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comments/comment1.xml" ContentType="application/vnd.openxmlformats-officedocument.spreadsheetml.comments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comments/comment2.xml" ContentType="application/vnd.openxmlformats-officedocument.spreadsheetml.comments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0" windowHeight="0" tabRatio="600" firstSheet="2" activeTab="6" autoFilterDateGrouping="1"/>
  </bookViews>
  <sheets>
    <sheet xmlns:r="http://schemas.openxmlformats.org/officeDocument/2006/relationships" name="Company Names" sheetId="1" state="visible" r:id="rId1"/>
    <sheet xmlns:r="http://schemas.openxmlformats.org/officeDocument/2006/relationships" name="MTG Set Lookup Table" sheetId="2" state="visible" r:id="rId2"/>
    <sheet xmlns:r="http://schemas.openxmlformats.org/officeDocument/2006/relationships" name="MTG Set" sheetId="3" state="visible" r:id="rId3"/>
    <sheet xmlns:r="http://schemas.openxmlformats.org/officeDocument/2006/relationships" name="Sales Order" sheetId="4" state="visible" r:id="rId4"/>
    <sheet xmlns:r="http://schemas.openxmlformats.org/officeDocument/2006/relationships" name="Sales Order Item" sheetId="5" state="visible" r:id="rId5"/>
    <sheet xmlns:r="http://schemas.openxmlformats.org/officeDocument/2006/relationships" name="Product" sheetId="6" state="visible" r:id="rId6"/>
    <sheet xmlns:r="http://schemas.openxmlformats.org/officeDocument/2006/relationships" name="Sourcing" sheetId="7" state="visible" r:id="rId7"/>
    <sheet xmlns:r="http://schemas.openxmlformats.org/officeDocument/2006/relationships" name="Supplier" sheetId="8" state="visible" r:id="rId8"/>
    <sheet xmlns:r="http://schemas.openxmlformats.org/officeDocument/2006/relationships" name="Statistics" sheetId="9" state="visible" r:id="rId9"/>
    <sheet xmlns:r="http://schemas.openxmlformats.org/officeDocument/2006/relationships" name="PKM Set" sheetId="10" state="visible" r:id="rId10"/>
    <sheet xmlns:r="http://schemas.openxmlformats.org/officeDocument/2006/relationships" name="Purchases" sheetId="11" state="visible" r:id="rId11"/>
    <sheet xmlns:r="http://schemas.openxmlformats.org/officeDocument/2006/relationships" name="MTG Set Import Raw" sheetId="12" state="visible" r:id="rId12"/>
  </sheets>
  <definedNames>
    <definedName name="v_Item_Shipping_Cost_In">Statistics!$B$23</definedName>
    <definedName name="v_Item_Shipping_Cost_Out">Statistics!$B$14</definedName>
  </definedNames>
  <calcPr calcId="191028" fullCalcOnLoad="1"/>
</workbook>
</file>

<file path=xl/styles.xml><?xml version="1.0" encoding="utf-8"?>
<styleSheet xmlns="http://schemas.openxmlformats.org/spreadsheetml/2006/main">
  <numFmts count="1">
    <numFmt numFmtId="164" formatCode="[$£-809]#,##0.00"/>
  </numFmts>
  <fonts count="4">
    <font>
      <name val="Aptos Narrow"/>
      <family val="2"/>
      <color theme="1"/>
      <sz val="11"/>
      <scheme val="minor"/>
    </font>
    <font>
      <name val="Aptos Narrow"/>
      <family val="2"/>
      <color theme="10"/>
      <sz val="11"/>
      <u val="single"/>
      <scheme val="minor"/>
    </font>
    <font>
      <name val="Aptos Narrow"/>
      <family val="2"/>
      <b val="1"/>
      <color theme="1"/>
      <sz val="11"/>
      <scheme val="minor"/>
    </font>
    <font>
      <name val="Yu Gothic"/>
      <charset val="128"/>
      <family val="2"/>
      <sz val="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0" pivotButton="0" quotePrefix="0" xfId="0"/>
    <xf numFmtId="14" fontId="0" fillId="0" borderId="0" pivotButton="0" quotePrefix="0" xfId="0"/>
    <xf numFmtId="1" fontId="0" fillId="0" borderId="0" pivotButton="0" quotePrefix="0" xfId="0"/>
    <xf numFmtId="49" fontId="0" fillId="0" borderId="0" pivotButton="0" quotePrefix="0" xfId="0"/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1"/>
    <xf numFmtId="14" fontId="1" fillId="0" borderId="0" pivotButton="0" quotePrefix="0" xfId="1"/>
    <xf numFmtId="164" fontId="0" fillId="0" borderId="0" pivotButton="0" quotePrefix="0" xfId="0"/>
    <xf numFmtId="2" fontId="0" fillId="0" borderId="0" pivotButton="0" quotePrefix="0" xfId="0"/>
    <xf numFmtId="164" fontId="0" fillId="0" borderId="0" applyAlignment="1" pivotButton="0" quotePrefix="0" xfId="0">
      <alignment wrapText="1"/>
    </xf>
    <xf numFmtId="1" fontId="0" fillId="0" borderId="0" applyAlignment="1" pivotButton="0" quotePrefix="0" xfId="0">
      <alignment wrapText="1"/>
    </xf>
    <xf numFmtId="20" fontId="0" fillId="0" borderId="0" pivotButton="0" quotePrefix="0" xfId="0"/>
    <xf numFmtId="164" fontId="1" fillId="0" borderId="0" pivotButton="0" quotePrefix="0" xfId="1"/>
    <xf numFmtId="2" fontId="0" fillId="0" borderId="0" applyAlignment="1" pivotButton="0" quotePrefix="0" xfId="0">
      <alignment wrapText="1"/>
    </xf>
    <xf numFmtId="9" fontId="0" fillId="0" borderId="0" pivotButton="0" quotePrefix="0" xfId="0"/>
    <xf numFmtId="9" fontId="0" fillId="0" borderId="0" applyAlignment="1" pivotButton="0" quotePrefix="0" xfId="0">
      <alignment wrapText="1"/>
    </xf>
    <xf numFmtId="10" fontId="0" fillId="0" borderId="0" pivotButton="0" quotePrefix="0" xfId="0"/>
    <xf numFmtId="10" fontId="0" fillId="0" borderId="0" applyAlignment="1" pivotButton="0" quotePrefix="0" xfId="0">
      <alignment wrapText="1"/>
    </xf>
  </cellXfs>
  <cellStyles count="2">
    <cellStyle name="Normal" xfId="0" builtinId="0"/>
    <cellStyle name="Hyperlink" xfId="1" builtinId="8"/>
  </cellStyles>
  <dxfs count="10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9C0006"/>
      </font>
      <fill>
        <patternFill>
          <bgColor rgb="FFFFC7CE"/>
        </patternFill>
      </fill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4" formatCode="0.0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2" formatCode="0.00"/>
    </dxf>
    <dxf>
      <numFmt numFmtId="2" formatCode="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0" formatCode="General"/>
    </dxf>
    <dxf>
      <numFmt numFmtId="0" formatCode="General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alignment wrapText="1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30" formatCode="@"/>
    </dxf>
    <dxf>
      <numFmt numFmtId="0" formatCode="General"/>
    </dxf>
    <dxf>
      <numFmt numFmtId="0" formatCode="General"/>
    </dxf>
    <dxf>
      <numFmt numFmtId="30" formatCode="@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comments/comment1.xml><?xml version="1.0" encoding="utf-8"?>
<comments xmlns="http://schemas.openxmlformats.org/spreadsheetml/2006/main">
  <authors>
    <author>Edward Middleton - Smith</author>
  </authors>
  <commentList>
    <comment ref="AU2" authorId="0" shapeId="0">
      <text>
        <t>Edward Middleton - Smith:
=IF(ISERROR(MIN(FILTER(tbl_Sourcing[Source Unit Cost], (tbl_Sourcing[Product Id]=[@[Collector Booster Box Product Id]])*(tbl_Sourcing[Active]=TRUE)))), "", MIN(FILTER(tbl_Sourcing[Source Unit Cost], (tbl_Sourcing[Product Id]=[@[Collector Booster Box Product Id]])*(tbl_Sourcing[Active]=TRUE))))</t>
      </text>
    </comment>
    <comment ref="AV2" authorId="0" shapeId="0">
      <text>
        <t>Edward Middleton - Smith:
=IF(ISERROR(INDEX(FILTER(tbl_Sourcing[Source Name], (tbl_Sourcing[Product Id]=[@[Collector Booster Box Product Id]])*(tbl_Sourcing[Active]=TRUE)*(tbl_Sourcing[Source Unit Cost]=[@[Collector Booster Box Cost]])), 1)), "", INDEX(FILTER(tbl_Sourcing[Source Name], (tbl_Sourcing[Product Id]=[@[Collector Booster Box Product Id]])*(tbl_Sourcing[Active]=TRUE)*(tbl_Sourcing[Source Unit Cost]=[@[Collector Booster Box Cost]])), 1))</t>
      </text>
    </comment>
    <comment ref="BI2" authorId="0" shapeId="0">
      <text>
        <t>Edward Middleton - Smith:
=[@[Play Booster Expected Market Value]]&gt;[@[Play Boost Sealed Market Value]]</t>
      </text>
    </comment>
  </commentList>
</comments>
</file>

<file path=xl/comments/comment2.xml><?xml version="1.0" encoding="utf-8"?>
<comments xmlns="http://schemas.openxmlformats.org/spreadsheetml/2006/main">
  <authors>
    <author>Edward Middleton - Smith</author>
  </authors>
  <commentList>
    <comment ref="O1" authorId="0" shapeId="0">
      <text>
        <t>Edward Middleton - Smith:
=IF([@[Source Name]]="Card Market", [@[Index Card Market]], IF([@[Source Name]]="Chaos Cards", [@[Index Chaos Cards]]+MAX([Index Card Market]), IF([@[Source Name]]="Games Lore", [@[Index Games Lore]]+MAX([Index Card Market])+MAX([Index Chaos Cards]), IF([@[Source Name]]="Magic Madhouse", [@[Index Magic Madhouse]]+MAX([Index Card Market])+MAX([Index Chaos Cards])+MAX([Index Games Lore]), -1))))</t>
      </text>
    </comment>
  </commentList>
</comments>
</file>

<file path=xl/tables/table1.xml><?xml version="1.0" encoding="utf-8"?>
<table xmlns="http://schemas.openxmlformats.org/spreadsheetml/2006/main" id="1" name="Table2" displayName="Table2" ref="A1:H25" headerRowCount="1" totalsRowShown="0">
  <autoFilter ref="A1:H25"/>
  <sortState ref="A2:H25">
    <sortCondition ref="A1:A25"/>
  </sortState>
  <tableColumns count="8">
    <tableColumn id="1" name="Rank"/>
    <tableColumn id="8" name="Name"/>
    <tableColumn id="2" name="CardMarket"/>
    <tableColumn id="3" name="Companies House"/>
    <tableColumn id="4" name="Domain"/>
    <tableColumn id="5" name="YouTube"/>
    <tableColumn id="7" name="Tierney Approved"/>
    <tableColumn id="6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_MTG_Set_Type" displayName="tbl_MTG_Set_Type" ref="A1:N9" headerRowCount="1" totalsRowShown="0">
  <autoFilter ref="A1:N9"/>
  <tableColumns count="14">
    <tableColumn id="1" name="Index"/>
    <tableColumn id="8" name="Set Type"/>
    <tableColumn id="2" name="Buy Window (Months)" dataDxfId="107"/>
    <tableColumn id="6" name="Why"/>
    <tableColumn id="5" name="Heavy Printing Months" dataDxfId="106"/>
    <tableColumn id="4" name="Tapering Months" dataDxfId="105"/>
    <tableColumn id="7" name="Final Print Run Months" dataDxfId="104"/>
    <tableColumn id="3" name="Sell Window (Months)" dataDxfId="103"/>
    <tableColumn id="9" name="Buy Window Month Start" dataDxfId="102"/>
    <tableColumn id="10" name="Buy Window Month End" dataDxfId="101"/>
    <tableColumn id="11" name="Heavy Printing Window Month Start" dataDxfId="100">
      <calculatedColumnFormula array="1">_xlfn.NUMBERVALUE(INDEX(_xlfn.TEXTSPLIT(tbl_MTG_Set_Type[[#This Row],[Heavy Printing Months]], "-"), 1), ".", ",")</calculatedColumnFormula>
    </tableColumn>
    <tableColumn id="12" name="Heavy Printing Window Month End" dataDxfId="99">
      <calculatedColumnFormula array="1">_xlfn.NUMBERVALUE(INDEX(_xlfn.TEXTSPLIT(tbl_MTG_Set_Type[[#This Row],[Heavy Printing Months]], "-"), COLUMNS(_xlfn.TEXTSPLIT(tbl_MTG_Set_Type[[#This Row],[Heavy Printing Months]], "-"))), ".", ",")</calculatedColumnFormula>
    </tableColumn>
    <tableColumn id="13" name="Sell Window Month Start" dataDxfId="98"/>
    <tableColumn id="14" name="Sell Window Month End" dataDxfId="9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bl_MTG_Scryfall_Set_Type_Map" displayName="tbl_MTG_Scryfall_Set_Type_Map" ref="Q1:R8" headerRowCount="1" totalsRowShown="0">
  <autoFilter ref="Q1:R8"/>
  <tableColumns count="2">
    <tableColumn id="1" name="My Set Type"/>
    <tableColumn id="2" name="Corresponding Scryfall Set Type(s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1" displayName="Table1" ref="W1:AA2" headerRowCount="1" insertRow="1" totalsRowShown="0">
  <autoFilter ref="W1:AA2"/>
  <tableColumns count="5">
    <tableColumn id="1" name="Set Name"/>
    <tableColumn id="2" name="Card Count"/>
    <tableColumn id="3" name="Released On"/>
    <tableColumn id="4" name="Type Name"/>
    <tableColumn id="5" name="Language Code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bl_MTG_Set" displayName="tbl_MTG_Set" ref="A2:BT1024" headerRowCount="1" totalsRowShown="0" headerRowDxfId="82">
  <autoFilter ref="A2:BT1024"/>
  <tableColumns count="72">
    <tableColumn id="1" name="Index"/>
    <tableColumn id="25" name="Set Name"/>
    <tableColumn id="2" name="Card Count"/>
    <tableColumn id="3" name="Released On" dataDxfId="81"/>
    <tableColumn id="4" name="Type Name"/>
    <tableColumn id="5" name="Language Codes"/>
    <tableColumn id="6" name="Row number"/>
    <tableColumn id="7" name="Months Since Release" dataDxfId="80">
      <calculatedColumnFormula>MONTH(NOW())+12*YEAR(NOW())-MONTH(tbl_MTG_Set[[#This Row],[Released On]])-12*YEAR(tbl_MTG_Set[[#This Row],[Released On]])</calculatedColumnFormula>
    </tableColumn>
    <tableColumn id="14" name="Set Type Record Index" dataDxfId="79">
      <calculatedColumnFormula>_xlfn.XLOOKUP(tbl_MTG_Set[[#This Row],[Type Name]], tbl_MTG_Set_Type[Set Type], tbl_MTG_Set_Type[Index], "(Set Type not found)")</calculatedColumnFormula>
    </tableColumn>
    <tableColumn id="11" name="Buy Window Month Start" dataDxfId="78">
      <calculatedColumnFormula>_xlfn.XLOOKUP(tbl_MTG_Set[[#This Row],[Type Name]], tbl_MTG_Set_Type[Set Type], tbl_MTG_Set_Type[Buy Window Month Start], "(Set Type not found)")</calculatedColumnFormula>
    </tableColumn>
    <tableColumn id="16" name="Buy Window Start" dataDxfId="77">
      <calculatedColumnFormula>tbl_MTG_Set[[#This Row],[Released On]]+tbl_MTG_Set[[#This Row],[Buy Window Month Start]]*365.25/12</calculatedColumnFormula>
    </tableColumn>
    <tableColumn id="8" name="Buy Window Month End" dataDxfId="76">
      <calculatedColumnFormula>_xlfn.XLOOKUP(tbl_MTG_Set[[#This Row],[Type Name]], tbl_MTG_Set_Type[Set Type], tbl_MTG_Set_Type[Buy Window Month End], "(Set Type not found)", 0, 1)</calculatedColumnFormula>
    </tableColumn>
    <tableColumn id="17" name="Buy Window End" dataDxfId="75">
      <calculatedColumnFormula>tbl_MTG_Set[[#This Row],[Released On]]+tbl_MTG_Set[[#This Row],[Buy Window Month End]]*365.25/12</calculatedColumnFormula>
    </tableColumn>
    <tableColumn id="22" name="Buy Now?" dataDxfId="74">
      <calculatedColumnFormula>AND(NOW()&gt;=tbl_MTG_Set[[#This Row],[Buy Window Start]], NOW()&lt;=tbl_MTG_Set[[#This Row],[Buy Window End]])</calculatedColumnFormula>
    </tableColumn>
    <tableColumn id="12" name="Heavy Printing Window Month Start" dataDxfId="73">
      <calculatedColumnFormula>_xlfn.XLOOKUP(tbl_MTG_Set[[#This Row],[Type Name]], tbl_MTG_Set_Type[Set Type], tbl_MTG_Set_Type[Heavy Printing Window Month Start], "(Set Type not found)", 0, 1)</calculatedColumnFormula>
    </tableColumn>
    <tableColumn id="20" name="Heavy Printing Window Start" dataDxfId="72">
      <calculatedColumnFormula>tbl_MTG_Set[[#This Row],[Released On]]+tbl_MTG_Set[[#This Row],[Heavy Printing Window Month Start]]*365.25/12</calculatedColumnFormula>
    </tableColumn>
    <tableColumn id="9" name="Heavy Printing Window Month End" dataDxfId="71">
      <calculatedColumnFormula>_xlfn.XLOOKUP(tbl_MTG_Set[[#This Row],[Type Name]], tbl_MTG_Set_Type[Set Type], tbl_MTG_Set_Type[Heavy Printing Window Month End], "(Set Type not found)", 0, 1)</calculatedColumnFormula>
    </tableColumn>
    <tableColumn id="19" name="Heavy Printing Window End" dataDxfId="70">
      <calculatedColumnFormula>tbl_MTG_Set[[#This Row],[Released On]]+tbl_MTG_Set[[#This Row],[Heavy Printing Window Month End]]*365.25/12</calculatedColumnFormula>
    </tableColumn>
    <tableColumn id="23" name="Heavy Printing Now?" dataDxfId="69">
      <calculatedColumnFormula>AND(NOW()&gt;=tbl_MTG_Set[[#This Row],[Heavy Printing Window Start]], NOW()&lt;=tbl_MTG_Set[[#This Row],[Heavy Printing Window End]])</calculatedColumnFormula>
    </tableColumn>
    <tableColumn id="13" name="Sell Window Month Start" dataDxfId="68">
      <calculatedColumnFormula>_xlfn.XLOOKUP(tbl_MTG_Set[[#This Row],[Type Name]], tbl_MTG_Set_Type[Set Type], tbl_MTG_Set_Type[Sell Window Month Start], "(Set Type not found)", 0, 1)</calculatedColumnFormula>
    </tableColumn>
    <tableColumn id="18" name="Sell Window Start" dataDxfId="67">
      <calculatedColumnFormula>tbl_MTG_Set[[#This Row],[Released On]]+tbl_MTG_Set[[#This Row],[Sell Window Month Start]]*365.25/12</calculatedColumnFormula>
    </tableColumn>
    <tableColumn id="10" name="Sell Window Month End" dataDxfId="66">
      <calculatedColumnFormula>_xlfn.XLOOKUP(tbl_MTG_Set[[#This Row],[Type Name]], tbl_MTG_Set_Type[Set Type], tbl_MTG_Set_Type[Sell Window Month End], "(Set Type not found)", 0, 1)</calculatedColumnFormula>
    </tableColumn>
    <tableColumn id="21" name="Sell Window End" dataDxfId="65">
      <calculatedColumnFormula>tbl_MTG_Set[[#This Row],[Released On]]+tbl_MTG_Set[[#This Row],[Sell Window Month End]]*365.25/12</calculatedColumnFormula>
    </tableColumn>
    <tableColumn id="24" name="Sell Now?" dataDxfId="64">
      <calculatedColumnFormula>AND(NOW()&gt;=tbl_MTG_Set[[#This Row],[Sell Window Start]], NOW()&lt;=tbl_MTG_Set[[#This Row],[Sell Window End]])</calculatedColumnFormula>
    </tableColumn>
    <tableColumn id="15" name="CardMarket PSBBBP" dataDxfId="63"/>
    <tableColumn id="26" name="Chaos Cards PSBBBP" dataDxfId="62"/>
    <tableColumn id="27" name="Magic Madhouse PSBBBP " dataDxfId="61"/>
    <tableColumn id="34" name="MuddleIt PSBBBP" dataDxfId="60"/>
    <tableColumn id="35" name="PlusMarketing PSBBBP" dataDxfId="59"/>
    <tableColumn id="32" name="CardMarket PSBFBBP" dataDxfId="58"/>
    <tableColumn id="31" name="Chaos Cards PSBFBBP" dataDxfId="57"/>
    <tableColumn id="29" name="Magic Madhouse PSBFBBP" dataDxfId="56"/>
    <tableColumn id="37" name="MuddleIt PSBFBBP" dataDxfId="55"/>
    <tableColumn id="36" name="PlusMarketing PSBFBBP" dataDxfId="54"/>
    <tableColumn id="40" name="Play Booster Box Product Id" dataDxfId="53"/>
    <tableColumn id="64" name="Play Booster Product Id" dataDxfId="52"/>
    <tableColumn id="50" name="Collector Booster Box Product Id" dataDxfId="51"/>
    <tableColumn id="41" name="Collector Booster Product Id" dataDxfId="50"/>
    <tableColumn id="38" name="Play Booster Box Cost" dataDxfId="49">
      <calculatedColumnFormula array="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calculatedColumnFormula>
    </tableColumn>
    <tableColumn id="39" name="Play Booster Box Source Name" dataDxfId="48">
      <calculatedColumnFormula array="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calculatedColumnFormula>
    </tableColumn>
    <tableColumn id="45" name="Play Booster Box Size" dataDxfId="47">
      <calculatedColumnFormula>_xlfn.XLOOKUP(tbl_MTG_Set[[#This Row],[Play Booster Box Product Id]], tbl_Product[Product Id], tbl_Product[Pack Size])</calculatedColumnFormula>
    </tableColumn>
    <tableColumn id="43" name="Play Booster Cost" dataDxfId="46">
      <calculatedColumnFormula>(tbl_MTG_Set[[#This Row],[Play Booster Box Cost]]+v_Item_Shipping_Cost_In)/tbl_MTG_Set[[#This Row],[Play Booster Box Size]]</calculatedColumnFormula>
    </tableColumn>
    <tableColumn id="28" name="Play Booster Sell Price CardMarket" dataDxfId="45">
      <calculatedColumnFormula array="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calculatedColumnFormula>
    </tableColumn>
    <tableColumn id="30" name="Play Booster Sell Price FB Marketplace" dataDxfId="44"/>
    <tableColumn id="33" name="Play Booster CardMarket Profit" dataDxfId="43"/>
    <tableColumn id="66" name="Play Booster CardMarket Profit Margin (%)" dataDxfId="42">
      <calculatedColumnFormula>tbl_MTG_Set[[#This Row],[Play Booster CardMarket Profit]]/tbl_MTG_Set[[#This Row],[Play Booster Cost]]</calculatedColumnFormula>
    </tableColumn>
    <tableColumn id="57" name="Collector Booster Box Cost" dataDxfId="41">
      <calculatedColumnFormula>_xlfn.XLOOKUP(tbl_MTG_Set[[#This Row],[Collector Booster Box Product Id]], tbl_Product[Product Id], tbl_Product[Min Cost])</calculatedColumnFormula>
    </tableColumn>
    <tableColumn id="56" name="Collector Booster Box Source Name" dataDxfId="40">
      <calculatedColumnFormula>_xlfn.XLOOKUP(tbl_MTG_Set[[#This Row],[Collector Booster Box Product Id]], tbl_Product[Product Id], tbl_Product[Best Source])</calculatedColumnFormula>
    </tableColumn>
    <tableColumn id="55" name="Collector Booster Box Size" dataDxfId="39">
      <calculatedColumnFormula>_xlfn.XLOOKUP(tbl_MTG_Set[[#This Row],[Collector Booster Box Product Id]], tbl_Product[Product Id], tbl_Product[Pack Size])</calculatedColumnFormula>
    </tableColumn>
    <tableColumn id="54" name="Collector Booster Cost" dataDxfId="38">
      <calculatedColumnFormula>(tbl_MTG_Set[[#This Row],[Collector Booster Box Cost]] + v_Item_Shipping_Cost_In) / tbl_MTG_Set[[#This Row],[Collector Booster Box Size]]</calculatedColumnFormula>
    </tableColumn>
    <tableColumn id="53" name="Collector Booster Sell Price CardMarket" dataDxfId="37">
      <calculatedColumnFormula array="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calculatedColumnFormula>
    </tableColumn>
    <tableColumn id="52" name="Collector Booster Sell Price FB Marketplace" dataDxfId="36"/>
    <tableColumn id="51" name="Collector Booster CardMarket Profit" dataDxfId="35">
      <calculatedColumnFormula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calculatedColumnFormula>
    </tableColumn>
    <tableColumn id="67" name="Collector Booster CardMarket Profit Margin (%)" dataDxfId="34">
      <calculatedColumnFormula>tbl_MTG_Set[[#This Row],[Collector Booster CardMarket Profit]]/tbl_MTG_Set[[#This Row],[Collector Booster Cost]]</calculatedColumnFormula>
    </tableColumn>
    <tableColumn id="48" name="EV MTG Stocks Link" dataDxfId="33"/>
    <tableColumn id="46" name="Play Booster Expected Market Value" dataDxfId="32"/>
    <tableColumn id="47" name="Play Boost Sealed Market Value" dataDxfId="31"/>
    <tableColumn id="44" name="Play Booster Expected Value" dataDxfId="30">
      <calculatedColumnFormula>tbl_MTG_Set[[#This Row],[Play Booster Sell Price CardMarket]]*tbl_MTG_Set[[#This Row],[Play Booster Expected Market Value]]/tbl_MTG_Set[[#This Row],[Play Boost Sealed Market Value]]</calculatedColumnFormula>
    </tableColumn>
    <tableColumn id="42" name="Play Singles CardMarket Profit" dataDxfId="29">
      <calculatedColumnFormula>IF(ISERROR(tbl_MTG_Set[[#This Row],[Play Booster Expected Value]]-tbl_MTG_Set[[#This Row],[Play Booster Cost]]-v_Item_Shipping_Cost_Out), -999, tbl_MTG_Set[[#This Row],[Play Booster Expected Value]]-tbl_MTG_Set[[#This Row],[Play Booster Cost]]-v_Item_Shipping_Cost_Out)</calculatedColumnFormula>
    </tableColumn>
    <tableColumn id="69" name="Play Singles CardMarket Profit Margin (%)" dataDxfId="28">
      <calculatedColumnFormula>tbl_MTG_Set[[#This Row],[Play Singles CardMarket Profit]]/tbl_MTG_Set[[#This Row],[Play Booster Cost]]</calculatedColumnFormula>
    </tableColumn>
    <tableColumn id="49" name="Split Play?" dataDxfId="27">
      <calculatedColumnFormula>tbl_MTG_Set[[#This Row],[Play Singles CardMarket Profit]]&gt;0</calculatedColumnFormula>
    </tableColumn>
    <tableColumn id="59" name="Collector Booster Expected Market Value" dataDxfId="26"/>
    <tableColumn id="60" name="Collector Boost Sealed Market Value" dataDxfId="25"/>
    <tableColumn id="61" name="Collector Booster Expected Value" dataDxfId="24">
      <calculatedColumnFormula>tbl_MTG_Set[[#This Row],[Collector Booster Sell Price CardMarket]]*tbl_MTG_Set[[#This Row],[Collector Booster Expected Market Value]]/tbl_MTG_Set[[#This Row],[Collector Boost Sealed Market Value]]</calculatedColumnFormula>
    </tableColumn>
    <tableColumn id="62" name="Collector Singles CardMarket Profit" dataDxfId="23">
      <calculatedColumnFormula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calculatedColumnFormula>
    </tableColumn>
    <tableColumn id="68" name="Collector Singles CardMarket Profit Margin (%)" dataDxfId="22">
      <calculatedColumnFormula>tbl_MTG_Set[[#This Row],[Collector Singles CardMarket Profit]]/tbl_MTG_Set[[#This Row],[Collector Booster Cost]]</calculatedColumnFormula>
    </tableColumn>
    <tableColumn id="63" name="Split Collector?" dataDxfId="21">
      <calculatedColumnFormula>tbl_MTG_Set[[#This Row],[Collector Singles CardMarket Profit]]&gt;0</calculatedColumnFormula>
    </tableColumn>
    <tableColumn id="65" name="Buy?" dataDxfId="20">
      <calculatedColumnFormula>OR(tbl_MTG_Set[[#This Row],[Split Collector?]], tbl_MTG_Set[[#This Row],[Split Play?]], tbl_MTG_Set[[#This Row],[Collector Booster CardMarket Profit]]&gt;0, tbl_MTG_Set[[#This Row],[Play Booster CardMarket Profit]]&gt;0)</calculatedColumnFormula>
    </tableColumn>
    <tableColumn id="58" name="Max Profit Option" dataDxfId="19">
      <calculatedColumnFormula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calculatedColumnFormula>
    </tableColumn>
    <tableColumn id="70" name="Max Profit" dataDxfId="18">
      <calculatedColumnFormula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calculatedColumnFormula>
    </tableColumn>
    <tableColumn id="71" name="Max Profit Margin Option" dataDxfId="17">
      <calculatedColumnFormula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calculatedColumnFormula>
    </tableColumn>
    <tableColumn id="72" name="Max Profit Margin (%)" dataDxfId="16">
      <calculatedColumnFormula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bl_Sales_Order" displayName="tbl_Sales_Order" ref="A1:H16" headerRowCount="1" totalsRowShown="0">
  <autoFilter ref="A1:H16"/>
  <tableColumns count="8">
    <tableColumn id="1" name="Order ID"/>
    <tableColumn id="2" name="Customer Name"/>
    <tableColumn id="3" name="Platform"/>
    <tableColumn id="4" name="Delivery Address"/>
    <tableColumn id="5" name="Date" dataDxfId="15"/>
    <tableColumn id="6" name="CardMarket Sale ID"/>
    <tableColumn id="7" name="Total Value GBP"/>
    <tableColumn id="8" name="Include In Statistics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tbl_Sales_Order_Item" displayName="tbl_Sales_Order_Item" ref="A1:H48" headerRowCount="1" totalsRowShown="0">
  <autoFilter ref="A1:H48"/>
  <tableColumns count="8">
    <tableColumn id="1" name="Order Item Id"/>
    <tableColumn id="2" name="Order Id"/>
    <tableColumn id="3" name="Product Id"/>
    <tableColumn id="4" name="Quantity"/>
    <tableColumn id="6" name="Order Ref" dataDxfId="14">
      <calculatedColumnFormula>_xlfn.XLOOKUP(tbl_Sales_Order_Item[[#This Row],[Order Id]], 'Sales Order'!A:A, 'Sales Order'!F:F)</calculatedColumnFormula>
    </tableColumn>
    <tableColumn id="5" name="Product Name" dataDxfId="13">
      <calculatedColumnFormula>_xlfn.XLOOKUP(tbl_Sales_Order_Item[[#This Row],[Product Id]],Product!A:A,Product!B:B)</calculatedColumnFormula>
    </tableColumn>
    <tableColumn id="7" name="Subtotal Price"/>
    <tableColumn id="8" name="Order Included In Statistics" dataDxfId="12">
      <calculatedColumnFormula>IF(_xlfn.XLOOKUP(tbl_Sales_Order_Item[[#This Row],[Order Id]], 'Sales Order'!A:A, 'Sales Order'!H:H)=0, FALSE, TRUE)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bl_Product" displayName="tbl_Product" ref="A1:J235" headerRowCount="1" totalsRowShown="0">
  <autoFilter ref="A1:J235"/>
  <sortState ref="A2:J235">
    <sortCondition ref="B1:B235"/>
  </sortState>
  <tableColumns count="10">
    <tableColumn id="1" name="Product Id"/>
    <tableColumn id="2" name="Name"/>
    <tableColumn id="3" name="Pack Size"/>
    <tableColumn id="4" name="Is Booster Box"/>
    <tableColumn id="5" name="Is Booster"/>
    <tableColumn id="6" name="Is Collector"/>
    <tableColumn id="7" name="Is Precon"/>
    <tableColumn id="8" name="Min Cost" dataDxfId="11">
      <calculatedColumnFormula array="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calculatedColumnFormula>
    </tableColumn>
    <tableColumn id="9" name="Best Source" dataDxfId="10">
      <calculatedColumnFormula array="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calculatedColumnFormula>
    </tableColumn>
    <tableColumn id="10" name="Sale Price CardMarket" dataDxfId="9">
      <calculatedColumnFormula array="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bl_Sourcing" displayName="tbl_Sourcing" ref="A1:O413" headerRowCount="1" totalsRowShown="0">
  <autoFilter ref="A1:O413"/>
  <sortState ref="A2:O413">
    <sortCondition ref="O1:O413"/>
  </sortState>
  <tableColumns count="15">
    <tableColumn id="1" name="Sourcing Id"/>
    <tableColumn id="2" name="Product Id"/>
    <tableColumn id="3" name="Source Name"/>
    <tableColumn id="4" name="Source Link"/>
    <tableColumn id="5" name="Source Unit Cost"/>
    <tableColumn id="7" name="Active"/>
    <tableColumn id="8" name="Min Order Value" dataDxfId="7">
      <calculatedColumnFormula>OR(tbl_Sourcing[[#This Row],[Active]]=TRUE,tbl_Sourcing[[#This Row],[Active]]="TRUE",tbl_Sourcing[[#This Row],[Active]]=1,tbl_Sourcing[[#This Row],[Active]]="1")</calculatedColumnFormula>
    </tableColumn>
    <tableColumn id="6" name="Sale Price" dataDxfId="6"/>
    <tableColumn id="9" name="Notes"/>
    <tableColumn id="10" name="Product Name" dataDxfId="5">
      <calculatedColumnFormula>_xlfn.XLOOKUP(tbl_Sourcing[[#This Row],[Product Id]], tbl_Product[Product Id], tbl_Product[Name])</calculatedColumnFormula>
    </tableColumn>
    <tableColumn id="11" name="Index Card Market" dataDxfId="4"/>
    <tableColumn id="12" name="Index Chaos Cards" dataDxfId="3"/>
    <tableColumn id="13" name="Index Games Lore" dataDxfId="2"/>
    <tableColumn id="14" name="Index Magic Madhouse" dataDxfId="1"/>
    <tableColumn id="15" name="Index Scraping Record" dataDxfId="0">
      <calculatedColumnFormula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calculatedColumnFormula>
    </tableColumn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Table4" displayName="Table4" ref="A1:I24" headerRowCount="1" totalsRowShown="0">
  <autoFilter ref="A1:I24"/>
  <tableColumns count="9">
    <tableColumn id="1" name="Date"/>
    <tableColumn id="2" name="From"/>
    <tableColumn id="3" name="Name"/>
    <tableColumn id="4" name="Quantity"/>
    <tableColumn id="5" name="Unit Cost"/>
    <tableColumn id="6" name="Notes"/>
    <tableColumn id="7" name="SKU"/>
    <tableColumn id="8" name="Received?"/>
    <tableColumn id="9" name="Purpos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Relationship Type="http://schemas.openxmlformats.org/officeDocument/2006/relationships/table" Target="/xl/tables/table3.xml" Id="rId2"/><Relationship Type="http://schemas.openxmlformats.org/officeDocument/2006/relationships/table" Target="/xl/tables/table4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mtgstocks.com/sets/1377-avatar-the-last-airbender" TargetMode="External" Id="rId1"/><Relationship Type="http://schemas.openxmlformats.org/officeDocument/2006/relationships/hyperlink" Target="https://www.mtgstocks.com/sets/2262-marvels-spider-man" TargetMode="External" Id="rId2"/><Relationship Type="http://schemas.openxmlformats.org/officeDocument/2006/relationships/hyperlink" Target="https://www.mtgstocks.com/sets/2231-edge-of-eternities" TargetMode="External" Id="rId3"/><Relationship Type="http://schemas.openxmlformats.org/officeDocument/2006/relationships/hyperlink" Target="https://www.mtgstocks.com/sets/2197-universes-beyond-final-fantasy" TargetMode="External" Id="rId4"/><Relationship Type="http://schemas.openxmlformats.org/officeDocument/2006/relationships/hyperlink" Target="https://www.mtgstocks.com/sets/2229-tarkir-dragonstorm" TargetMode="External" Id="rId5"/><Relationship Type="http://schemas.openxmlformats.org/officeDocument/2006/relationships/hyperlink" Target="https://www.mtgstocks.com/sets/2097-aetherdrift" TargetMode="External" Id="rId6"/><Relationship Type="http://schemas.openxmlformats.org/officeDocument/2006/relationships/hyperlink" Target="https://www.mtgstocks.com/sets/2098-innistrad-remastered" TargetMode="External" Id="rId7"/><Relationship Type="http://schemas.openxmlformats.org/officeDocument/2006/relationships/hyperlink" Target="https://www.mtgstocks.com/sets/1998-duskmourn-house-of-horror" TargetMode="External" Id="rId8"/><Relationship Type="http://schemas.openxmlformats.org/officeDocument/2006/relationships/hyperlink" Target="https://www.mtgstocks.com/sets/1906-bloomburrow" TargetMode="External" Id="rId9"/><Relationship Type="http://schemas.openxmlformats.org/officeDocument/2006/relationships/hyperlink" Target="https://www.mtgstocks.com/sets/1903-modern-horizons-3" TargetMode="External" Id="rId10"/><Relationship Type="http://schemas.openxmlformats.org/officeDocument/2006/relationships/hyperlink" Target="https://www.mtgstocks.com/sets/1901-outlaws-of-thunder-junction" TargetMode="External" Id="rId11"/><Relationship Type="http://schemas.openxmlformats.org/officeDocument/2006/relationships/hyperlink" Target="https://www.mtgstocks.com/sets/1868-murders-at-karlov-manor" TargetMode="External" Id="rId12"/><Relationship Type="http://schemas.openxmlformats.org/officeDocument/2006/relationships/hyperlink" Target="https://www.mtgstocks.com/sets/363-modern-horizons-2" TargetMode="External" Id="rId13"/><Relationship Type="http://schemas.openxmlformats.org/officeDocument/2006/relationships/hyperlink" Target="https://www.mtgstocks.com/sets/324-war-of-the-spark" TargetMode="External" Id="rId14"/><Relationship Type="http://schemas.openxmlformats.org/officeDocument/2006/relationships/hyperlink" Target="https://www.mtgstocks.com/sets/291-dominaria" TargetMode="External" Id="rId15"/><Relationship Type="http://schemas.openxmlformats.org/officeDocument/2006/relationships/hyperlink" Target="https://www.mtgstocks.com/sets/255-oath-of-the-gatewatch" TargetMode="External" Id="rId16"/><Relationship Type="http://schemas.openxmlformats.org/officeDocument/2006/relationships/table" Target="/xl/tables/table5.xml" Id="rId17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4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7.xml.rels><Relationships xmlns="http://schemas.openxmlformats.org/package/2006/relationships"><Relationship Type="http://schemas.openxmlformats.org/officeDocument/2006/relationships/hyperlink" Target="https://www.cardmarket.com/en/Magic/Products/Booster-Boxes/Modern-Horizons-2-Set-Booster-Box?sellerCountry=13&amp;language=1" TargetMode="External" Id="rId1"/><Relationship Type="http://schemas.openxmlformats.org/officeDocument/2006/relationships/hyperlink" Target="https://www.chaoscards.co.uk/prod/booster-boxes-magic/magic-the-gathering-set-booster-box-modern-horizons-2" TargetMode="External" Id="rId2"/><Relationship Type="http://schemas.openxmlformats.org/officeDocument/2006/relationships/hyperlink" Target="https://www.gameslore.com/mtg-streets-of-new-capenna-set-booster-pack.html" TargetMode="External" Id="rId3"/><Relationship Type="http://schemas.openxmlformats.org/officeDocument/2006/relationships/hyperlink" Target="https://magicmadhouse.co.uk/magic-the-gathering-aetherdrift-commander-deck-living-energy-aetherdrift" TargetMode="External" Id="rId4"/><Relationship Type="http://schemas.openxmlformats.org/officeDocument/2006/relationships/hyperlink" Target="https://www.cardmarket.com/en/Magic/Products/Booster-Boxes/The-Lost-Caverns-of-Ixalan-Set-Booster-Box?sellerCountry=13&amp;language=1" TargetMode="External" Id="rId5"/><Relationship Type="http://schemas.openxmlformats.org/officeDocument/2006/relationships/hyperlink" Target="https://www.chaoscards.co.uk/prod/booster-boxes-magic/magic-the-gathering-the-lost-caverns-of-ixalan-set-booster-box-30-packs" TargetMode="External" Id="rId6"/><Relationship Type="http://schemas.openxmlformats.org/officeDocument/2006/relationships/hyperlink" Target="https://www.gameslore.com/mtg-streets-of-new-capenna-collector-booster-pack.html" TargetMode="External" Id="rId7"/><Relationship Type="http://schemas.openxmlformats.org/officeDocument/2006/relationships/hyperlink" Target="https://magicmadhouse.co.uk/magic-the-gathering-bloomburrow-commander-deck-animated-army-bloomburrow" TargetMode="External" Id="rId8"/><Relationship Type="http://schemas.openxmlformats.org/officeDocument/2006/relationships/hyperlink" Target="https://www.cardmarket.com/en/Magic/Products/Booster-Boxes/Innistrad-Remastered-Play-Booster-Box?sellerCountry=13&amp;language=1" TargetMode="External" Id="rId9"/><Relationship Type="http://schemas.openxmlformats.org/officeDocument/2006/relationships/hyperlink" Target="https://www.chaoscards.co.uk/prod/booster-boxes-magic/magic-the-gathering-innistrad-remastered-play-booster-box-36-packs" TargetMode="External" Id="rId10"/><Relationship Type="http://schemas.openxmlformats.org/officeDocument/2006/relationships/hyperlink" Target="https://www.gameslore.com/mtg-streets-of-new-capenna-collector-booster-display.html" TargetMode="External" Id="rId11"/><Relationship Type="http://schemas.openxmlformats.org/officeDocument/2006/relationships/hyperlink" Target="https://magicmadhouse.co.uk/magic-the-gathering-bloomburrow-commander-deck-family-matters-bloomburrow" TargetMode="External" Id="rId12"/><Relationship Type="http://schemas.openxmlformats.org/officeDocument/2006/relationships/hyperlink" Target="https://www.cardmarket.com/en/Magic/Products/Booster-Boxes/Lorwyn-Eclipsed-Play-Booster-Box?sellerCountry=13&amp;language=1" TargetMode="External" Id="rId13"/><Relationship Type="http://schemas.openxmlformats.org/officeDocument/2006/relationships/hyperlink" Target="https://www.chaoscards.co.uk/prod/booster-boxes-magic/magic-the-gathering-lorwyn-eclipsed-play-booster-box-30-packs" TargetMode="External" Id="rId14"/><Relationship Type="http://schemas.openxmlformats.org/officeDocument/2006/relationships/hyperlink" Target="https://www.gameslore.com/mtg-outlaws-of-thunder-junction-play-booster-pack.html" TargetMode="External" Id="rId15"/><Relationship Type="http://schemas.openxmlformats.org/officeDocument/2006/relationships/hyperlink" Target="https://magicmadhouse.co.uk/magic-the-gathering-bloomburrow-commander-deck-peace-offering-bloomburrow" TargetMode="External" Id="rId16"/><Relationship Type="http://schemas.openxmlformats.org/officeDocument/2006/relationships/hyperlink" Target="https://www.cardmarket.com/en/Magic/Products/Booster-Boxes/Innistrad-Midnight-Hunt-Set-Booster-Box?sellerCountry=13&amp;language=1" TargetMode="External" Id="rId17"/><Relationship Type="http://schemas.openxmlformats.org/officeDocument/2006/relationships/hyperlink" Target="https://www.chaoscards.co.uk/prod/booster-boxes-magic/magic-the-gathering-innistrad-midnight-hunt-set-booster-box-30-packs" TargetMode="External" Id="rId18"/><Relationship Type="http://schemas.openxmlformats.org/officeDocument/2006/relationships/hyperlink" Target="https://www.gameslore.com/mtg-outlaws-of-thunder-junction-play-booster-display.html" TargetMode="External" Id="rId19"/><Relationship Type="http://schemas.openxmlformats.org/officeDocument/2006/relationships/hyperlink" Target="https://magicmadhouse.co.uk/magic-the-gathering-bloomburrow-commander-deck-squirreled-away-bloomburrow" TargetMode="External" Id="rId20"/><Relationship Type="http://schemas.openxmlformats.org/officeDocument/2006/relationships/hyperlink" Target="https://www.cardmarket.com/en/Magic/Products/Booster-Boxes/Kaldheim-Set-Booster-Box?sellerCountry=13&amp;language=1" TargetMode="External" Id="rId21"/><Relationship Type="http://schemas.openxmlformats.org/officeDocument/2006/relationships/hyperlink" Target="https://www.gameslore.com/mtg-modern-horizons-3-play-booster-pack.html" TargetMode="External" Id="rId22"/><Relationship Type="http://schemas.openxmlformats.org/officeDocument/2006/relationships/hyperlink" Target="https://magicmadhouse.co.uk/magic-the-gathering-commander-legends-battle-for-baldurs-gate-commander-deck-draconic-dissent-commander-legends-battle-for-baldurs-gate" TargetMode="External" Id="rId23"/><Relationship Type="http://schemas.openxmlformats.org/officeDocument/2006/relationships/hyperlink" Target="https://www.cardmarket.com/en/Magic/Products/Booster-Boxes/Commander-Masters-Set-Booster-Box?sellerCountry=13&amp;language=1" TargetMode="External" Id="rId24"/><Relationship Type="http://schemas.openxmlformats.org/officeDocument/2006/relationships/hyperlink" Target="https://www.gameslore.com/mtg-modern-horizons-3-play-booster-display.html" TargetMode="External" Id="rId25"/><Relationship Type="http://schemas.openxmlformats.org/officeDocument/2006/relationships/hyperlink" Target="https://magicmadhouse.co.uk/magic-the-gathering-commander-legends-battle-for-baldurs-gate-commander-deck-exit-from-exile-commander-legends-battle-for-baldurs-gate" TargetMode="External" Id="rId26"/><Relationship Type="http://schemas.openxmlformats.org/officeDocument/2006/relationships/hyperlink" Target="https://www.cardmarket.com/en/Magic/Products/Booster-Boxes/War-of-the-Spark-Booster-Box?sellerCountry=13&amp;language=1" TargetMode="External" Id="rId27"/><Relationship Type="http://schemas.openxmlformats.org/officeDocument/2006/relationships/hyperlink" Target="https://www.gameslore.com/mtg-modern-horizons-3-collector-s-booster-pack.html" TargetMode="External" Id="rId28"/><Relationship Type="http://schemas.openxmlformats.org/officeDocument/2006/relationships/hyperlink" Target="https://magicmadhouse.co.uk/magic-the-gathering-commander-masters-commander-deck-enduring-enchantments-commander-masters" TargetMode="External" Id="rId29"/><Relationship Type="http://schemas.openxmlformats.org/officeDocument/2006/relationships/hyperlink" Target="https://www.cardmarket.com/en/Magic/Products/Booster-Boxes/Strixhaven-School-of-Mages-Set-Booster-Box?sellerCountry=13&amp;language=1" TargetMode="External" Id="rId30"/><Relationship Type="http://schemas.openxmlformats.org/officeDocument/2006/relationships/hyperlink" Target="https://www.gameslore.com/mtg-dominaria-united-collector-booster-pack.html" TargetMode="External" Id="rId31"/><Relationship Type="http://schemas.openxmlformats.org/officeDocument/2006/relationships/hyperlink" Target="https://magicmadhouse.co.uk/magic-the-gathering-commander-masters-commander-deck-planeswalker-party-commander-masters" TargetMode="External" Id="rId32"/><Relationship Type="http://schemas.openxmlformats.org/officeDocument/2006/relationships/hyperlink" Target="https://www.cardmarket.com/en/Magic/Products/Booster-Boxes/Throne-of-Eldraine-Booster-Box?sellerCountry=13&amp;language=1" TargetMode="External" Id="rId33"/><Relationship Type="http://schemas.openxmlformats.org/officeDocument/2006/relationships/hyperlink" Target="https://www.gameslore.com/mtg-dominaria-united-collector-booster-display.html" TargetMode="External" Id="rId34"/><Relationship Type="http://schemas.openxmlformats.org/officeDocument/2006/relationships/hyperlink" Target="https://magicmadhouse.co.uk/magic-the-gathering-commander-masters-commander-deck-sliver-swarm-commander-masters" TargetMode="External" Id="rId35"/><Relationship Type="http://schemas.openxmlformats.org/officeDocument/2006/relationships/hyperlink" Target="https://www.cardmarket.com/en/Magic/Products/Booster-Boxes/Outlaws-of-Thunder-Junction-Play-Booster-Box?sellerCountry=13&amp;language=1" TargetMode="External" Id="rId36"/><Relationship Type="http://schemas.openxmlformats.org/officeDocument/2006/relationships/hyperlink" Target="https://www.gameslore.com/mtg-ravnica-remastered-draft-booster-pack.html" TargetMode="External" Id="rId37"/><Relationship Type="http://schemas.openxmlformats.org/officeDocument/2006/relationships/hyperlink" Target="https://magicmadhouse.co.uk/magic-the-gathering-doctor-who-commander-deck-blast-from-the-past-universes-beyond-doctor-who" TargetMode="External" Id="rId38"/><Relationship Type="http://schemas.openxmlformats.org/officeDocument/2006/relationships/hyperlink" Target="https://www.cardmarket.com/en/Magic/Products/Booster-Boxes/Magic-The-Gathering-Avatar-The-Last-Airbender-Play-Booster-Box?sellerCountry=13&amp;language=1" TargetMode="External" Id="rId39"/><Relationship Type="http://schemas.openxmlformats.org/officeDocument/2006/relationships/hyperlink" Target="https://www.gameslore.com/mtg-ravnica-remastered-draft-booster-display.html" TargetMode="External" Id="rId40"/><Relationship Type="http://schemas.openxmlformats.org/officeDocument/2006/relationships/hyperlink" Target="https://magicmadhouse.co.uk/magic-the-gathering-doctor-who-commander-deck-masters-of-evil-universes-beyond-doctor-who" TargetMode="External" Id="rId41"/><Relationship Type="http://schemas.openxmlformats.org/officeDocument/2006/relationships/hyperlink" Target="https://www.cardmarket.com/en/Magic/Products/Booster-Boxes/Innistrad-Crimson-Vow-Set-Booster-Box?sellerCountry=13&amp;language=1" TargetMode="External" Id="rId42"/><Relationship Type="http://schemas.openxmlformats.org/officeDocument/2006/relationships/hyperlink" Target="https://www.chaoscards.co.uk/prod/booster-boxes-magic/magic-the-gathering-innistrad-crimson-vow-set-booster-box-30-packs" TargetMode="External" Id="rId43"/><Relationship Type="http://schemas.openxmlformats.org/officeDocument/2006/relationships/hyperlink" Target="https://www.gameslore.com/mtg-murders-at-karlov-manor-play-booster-pack.html" TargetMode="External" Id="rId44"/><Relationship Type="http://schemas.openxmlformats.org/officeDocument/2006/relationships/hyperlink" Target="https://magicmadhouse.co.uk/magic-the-gathering-doctor-who-commander-deck-paradox-power-universes-beyond-doctor-who" TargetMode="External" Id="rId45"/><Relationship Type="http://schemas.openxmlformats.org/officeDocument/2006/relationships/hyperlink" Target="https://www.cardmarket.com/en/Magic/Products/Booster-Boxes/March-of-the-Machine-Set-Booster-Box?sellerCountry=13&amp;language=1" TargetMode="External" Id="rId46"/><Relationship Type="http://schemas.openxmlformats.org/officeDocument/2006/relationships/hyperlink" Target="https://www.chaoscards.co.uk/prod/booster-boxes-magic/magic-the-gathering-march-of-the-machine-set-booster-box-30-packs" TargetMode="External" Id="rId47"/><Relationship Type="http://schemas.openxmlformats.org/officeDocument/2006/relationships/hyperlink" Target="https://www.gameslore.com/mtg-murders-at-karlov-manor-play-booster-display.html" TargetMode="External" Id="rId48"/><Relationship Type="http://schemas.openxmlformats.org/officeDocument/2006/relationships/hyperlink" Target="https://magicmadhouse.co.uk/magic-the-gathering-doctor-who-commander-deck-timey-wimey-universes-beyond-doctor-who" TargetMode="External" Id="rId49"/><Relationship Type="http://schemas.openxmlformats.org/officeDocument/2006/relationships/hyperlink" Target="https://www.cardmarket.com/en/Magic/Products/Booster-Boxes/Modern-Horizons-3-Play-Booster-Box?sellerCountry=13&amp;language=1" TargetMode="External" Id="rId50"/><Relationship Type="http://schemas.openxmlformats.org/officeDocument/2006/relationships/hyperlink" Target="https://www.chaoscards.co.uk/prod/booster-boxes-magic/magic-the-gathering-modern-horizons-3-play-booster-box-36-packs" TargetMode="External" Id="rId51"/><Relationship Type="http://schemas.openxmlformats.org/officeDocument/2006/relationships/hyperlink" Target="https://www.gameslore.com/mtg-murders-at-karlov-manor-collector-booster-pack.html" TargetMode="External" Id="rId52"/><Relationship Type="http://schemas.openxmlformats.org/officeDocument/2006/relationships/hyperlink" Target="https://magicmadhouse.co.uk/magic-the-gathering-edge-of-eternities-commander-deck-counter-intelligence-edge-of-eternities" TargetMode="External" Id="rId53"/><Relationship Type="http://schemas.openxmlformats.org/officeDocument/2006/relationships/hyperlink" Target="https://www.cardmarket.com/en/Magic/Products/Booster-Boxes/Magic-The-Gathering-Foundations-Play-Booster-Box?sellerCountry=13&amp;language=1" TargetMode="External" Id="rId54"/><Relationship Type="http://schemas.openxmlformats.org/officeDocument/2006/relationships/hyperlink" Target="https://www.chaoscards.co.uk/prod/booster-boxes-magic/magic-the-gathering-foundations-play-booster-box-36-packs" TargetMode="External" Id="rId55"/><Relationship Type="http://schemas.openxmlformats.org/officeDocument/2006/relationships/hyperlink" Target="https://www.gameslore.com/mtg-murders-at-karlov-manor-collector-booster-display.html" TargetMode="External" Id="rId56"/><Relationship Type="http://schemas.openxmlformats.org/officeDocument/2006/relationships/hyperlink" Target="https://magicmadhouse.co.uk/magic-the-gathering-edge-of-eternities-commander-deck-world-shaper-edge-of-eternities" TargetMode="External" Id="rId57"/><Relationship Type="http://schemas.openxmlformats.org/officeDocument/2006/relationships/hyperlink" Target="https://www.cardmarket.com/en/Magic/Products/Booster-Boxes/Universes-Beyond-Assassins-Creed-Beyond-Booster-Display?sellerCountry=13&amp;language=1" TargetMode="External" Id="rId58"/><Relationship Type="http://schemas.openxmlformats.org/officeDocument/2006/relationships/hyperlink" Target="https://www.chaoscards.co.uk/prod/booster-boxes-magic/magic-the-gathering-dominaria-booster-box-36-packs" TargetMode="External" Id="rId59"/><Relationship Type="http://schemas.openxmlformats.org/officeDocument/2006/relationships/hyperlink" Target="https://www.gameslore.com/mtg-innistrad-remastered-play-booster-pack.html" TargetMode="External" Id="rId60"/><Relationship Type="http://schemas.openxmlformats.org/officeDocument/2006/relationships/hyperlink" Target="https://magicmadhouse.co.uk/magic-the-gathering-fallout-commander-deck-mutant-menace-universes-beyond-fallout" TargetMode="External" Id="rId61"/><Relationship Type="http://schemas.openxmlformats.org/officeDocument/2006/relationships/hyperlink" Target="https://www.cardmarket.com/en/Magic/Products/Booster-Boxes/Magic-The-Gathering-Marvels-Spider-Man-Play-Booster-Box?sellerCountry=13&amp;language=1" TargetMode="External" Id="rId62"/><Relationship Type="http://schemas.openxmlformats.org/officeDocument/2006/relationships/hyperlink" Target="https://www.chaoscards.co.uk/prod/booster-boxes-magic/magic-the-gathering-assassins-creed-beyond-booster-box-24-packs" TargetMode="External" Id="rId63"/><Relationship Type="http://schemas.openxmlformats.org/officeDocument/2006/relationships/hyperlink" Target="https://www.gameslore.com/mtg-innistrad-remastered-play-booster-display.html" TargetMode="External" Id="rId64"/><Relationship Type="http://schemas.openxmlformats.org/officeDocument/2006/relationships/hyperlink" Target="https://magicmadhouse.co.uk/magic-the-gathering-fallout-commander-deck-science-universes-beyond-fallout" TargetMode="External" Id="rId65"/><Relationship Type="http://schemas.openxmlformats.org/officeDocument/2006/relationships/hyperlink" Target="https://www.cardmarket.com/en/Magic/Products/Booster-Boxes/Edge-of-Eternities-Play-Booster-Box?sellerCountry=13&amp;language=1" TargetMode="External" Id="rId66"/><Relationship Type="http://schemas.openxmlformats.org/officeDocument/2006/relationships/hyperlink" Target="https://www.chaoscards.co.uk/prod/booster-boxes-magic/magic-the-gathering-marvels-spider-man-play-booster-box-30-packs" TargetMode="External" Id="rId67"/><Relationship Type="http://schemas.openxmlformats.org/officeDocument/2006/relationships/hyperlink" Target="https://www.gameslore.com/mtg-innistrad-remastered-collector-booster-pack.html" TargetMode="External" Id="rId68"/><Relationship Type="http://schemas.openxmlformats.org/officeDocument/2006/relationships/hyperlink" Target="https://magicmadhouse.co.uk/magic-the-gathering-fallout-commander-deck-scrappy-survivors-universes-beyond-fallout" TargetMode="External" Id="rId69"/><Relationship Type="http://schemas.openxmlformats.org/officeDocument/2006/relationships/hyperlink" Target="https://www.cardmarket.com/en/Magic/Products/Booster-Boxes/The-Lord-of-the-Rings-Tales-of-Middle-earth-Set-Booster-Box?sellerCountry=13&amp;language=1" TargetMode="External" Id="rId70"/><Relationship Type="http://schemas.openxmlformats.org/officeDocument/2006/relationships/hyperlink" Target="https://www.chaoscards.co.uk/prod/booster-boxes-magic/magic-the-gathering-edge-of-eternities-play-booster-box-30-packs" TargetMode="External" Id="rId71"/><Relationship Type="http://schemas.openxmlformats.org/officeDocument/2006/relationships/hyperlink" Target="https://www.gameslore.com/mtg-innistrad-midnight-hunt-collector-booster-pack.html" TargetMode="External" Id="rId72"/><Relationship Type="http://schemas.openxmlformats.org/officeDocument/2006/relationships/hyperlink" Target="https://magicmadhouse.co.uk/magic-the-gathering-final-fantasy-commander-deck-counter-blitz-final-fantasy" TargetMode="External" Id="rId73"/><Relationship Type="http://schemas.openxmlformats.org/officeDocument/2006/relationships/hyperlink" Target="https://www.cardmarket.com/en/Magic/Products/Booster-Boxes/Phyrexia-All-Will-Be-One-Set-Booster-Box?sellerCountry=13&amp;language=1" TargetMode="External" Id="rId74"/><Relationship Type="http://schemas.openxmlformats.org/officeDocument/2006/relationships/hyperlink" Target="https://www.chaoscards.co.uk/prod/booster-boxes-magic/magic-the-gathering-lord-of-the-rings-tales-of-middle-earth-set-booster-box-30-packs" TargetMode="External" Id="rId75"/><Relationship Type="http://schemas.openxmlformats.org/officeDocument/2006/relationships/hyperlink" Target="https://www.gameslore.com/mtg-innistrad-midnight-hunt-collector-booster-display.html" TargetMode="External" Id="rId76"/><Relationship Type="http://schemas.openxmlformats.org/officeDocument/2006/relationships/hyperlink" Target="https://magicmadhouse.co.uk/magic-the-gathering-final-fantasy-commander-deck-limit-break-final-fantasy" TargetMode="External" Id="rId77"/><Relationship Type="http://schemas.openxmlformats.org/officeDocument/2006/relationships/hyperlink" Target="https://www.cardmarket.com/en/Magic/Products/Booster-Boxes/Ravnica-Remastered-Draft-Booster-Box?sellerCountry=13&amp;language=1" TargetMode="External" Id="rId78"/><Relationship Type="http://schemas.openxmlformats.org/officeDocument/2006/relationships/hyperlink" Target="https://www.chaoscards.co.uk/prod/booster-boxes-magic/magic-the-gathering-phyrexia-all-will-be-one-set-booster-box-30-packs" TargetMode="External" Id="rId79"/><Relationship Type="http://schemas.openxmlformats.org/officeDocument/2006/relationships/hyperlink" Target="https://www.gameslore.com/mtg-duskmourn-play-booster-pack.html" TargetMode="External" Id="rId80"/><Relationship Type="http://schemas.openxmlformats.org/officeDocument/2006/relationships/hyperlink" Target="https://magicmadhouse.co.uk/magic-the-gathering-final-fantasy-commander-deck-revival-trance-final-fantasy" TargetMode="External" Id="rId81"/><Relationship Type="http://schemas.openxmlformats.org/officeDocument/2006/relationships/hyperlink" Target="https://www.cardmarket.com/en/Magic/Products/Booster-Boxes/Kamigawa-Neon-Dynasty-Set-Booster-Box?sellerCountry=13&amp;language=1" TargetMode="External" Id="rId82"/><Relationship Type="http://schemas.openxmlformats.org/officeDocument/2006/relationships/hyperlink" Target="https://www.chaoscards.co.uk/prod/booster-boxes-magic/magic-the-gathering-ravnica-remastered-draft-booster-box-36-packs" TargetMode="External" Id="rId83"/><Relationship Type="http://schemas.openxmlformats.org/officeDocument/2006/relationships/hyperlink" Target="https://www.gameslore.com/mtg-duskmourn-play-booster-display.html" TargetMode="External" Id="rId84"/><Relationship Type="http://schemas.openxmlformats.org/officeDocument/2006/relationships/hyperlink" Target="https://magicmadhouse.co.uk/magic-the-gathering-final-fantasy-commander-deck-scions-spellcraft-final-fantasy" TargetMode="External" Id="rId85"/><Relationship Type="http://schemas.openxmlformats.org/officeDocument/2006/relationships/hyperlink" Target="https://www.cardmarket.com/en/Magic/Products/Booster-Boxes/Aetherdrift-Play-Booster-Box?sellerCountry=13&amp;language=1" TargetMode="External" Id="rId86"/><Relationship Type="http://schemas.openxmlformats.org/officeDocument/2006/relationships/hyperlink" Target="https://www.chaoscards.co.uk/prod/booster-boxes-magic/magic-the-gathering-kamigawa-neon-dynasty-set-booster-box-30-packs" TargetMode="External" Id="rId87"/><Relationship Type="http://schemas.openxmlformats.org/officeDocument/2006/relationships/hyperlink" Target="https://www.gameslore.com/mtg-commander-masters-set-booster-pack.html" TargetMode="External" Id="rId88"/><Relationship Type="http://schemas.openxmlformats.org/officeDocument/2006/relationships/hyperlink" Target="https://magicmadhouse.co.uk/magic-the-gathering-kamigawa-neon-dynasty-commander-deck-buckle-up-kamigawa-neon-dynasty" TargetMode="External" Id="rId89"/><Relationship Type="http://schemas.openxmlformats.org/officeDocument/2006/relationships/hyperlink" Target="https://www.cardmarket.com/en/Magic/Products/Booster-Boxes/Duskmourn-House-of-Horror-Play-Booster-Box?sellerCountry=13&amp;language=1" TargetMode="External" Id="rId90"/><Relationship Type="http://schemas.openxmlformats.org/officeDocument/2006/relationships/hyperlink" Target="https://www.chaoscards.co.uk/prod/booster-boxes-magic/magic-the-gathering-aetherdrift-play-booster-box-30-packs" TargetMode="External" Id="rId91"/><Relationship Type="http://schemas.openxmlformats.org/officeDocument/2006/relationships/hyperlink" Target="https://www.gameslore.com/mtg-commander-masters-set-booster-display.html" TargetMode="External" Id="rId92"/><Relationship Type="http://schemas.openxmlformats.org/officeDocument/2006/relationships/hyperlink" Target="https://magicmadhouse.co.uk/magic-the-gathering-kamigawa-neon-dynasty-commander-deck-upgrades-unleashed-kamigawa-neon-dynasty" TargetMode="External" Id="rId93"/><Relationship Type="http://schemas.openxmlformats.org/officeDocument/2006/relationships/hyperlink" Target="https://www.cardmarket.com/en/Magic/Products/Booster-Boxes/Tarkir-Dragonstorm-Play-Booster-Box?sellerCountry=13&amp;language=1" TargetMode="External" Id="rId94"/><Relationship Type="http://schemas.openxmlformats.org/officeDocument/2006/relationships/hyperlink" Target="https://www.chaoscards.co.uk/prod/booster-boxes-magic/magic-the-gathering-duskmourn-house-of-horror-play-booster-box-36-packs" TargetMode="External" Id="rId95"/><Relationship Type="http://schemas.openxmlformats.org/officeDocument/2006/relationships/hyperlink" Target="https://www.gameslore.com/mtg-assassin-s-creed-booster-pack.html" TargetMode="External" Id="rId96"/><Relationship Type="http://schemas.openxmlformats.org/officeDocument/2006/relationships/hyperlink" Target="https://magicmadhouse.co.uk/magic-the-gathering-lost-caverns-of-ixalan-commander-deck-blood-rites-lost-caverns-of-ixalan" TargetMode="External" Id="rId97"/><Relationship Type="http://schemas.openxmlformats.org/officeDocument/2006/relationships/hyperlink" Target="https://www.cardmarket.com/en/Magic/Products/Booster-Boxes/The-Brothers-War-Set-Booster-Box?sellerCountry=13&amp;language=1" TargetMode="External" Id="rId98"/><Relationship Type="http://schemas.openxmlformats.org/officeDocument/2006/relationships/hyperlink" Target="https://www.chaoscards.co.uk/prod/booster-boxes-magic/magic-the-gathering-tarkir-dragonstorm-play-booster-box-30-packs" TargetMode="External" Id="rId99"/><Relationship Type="http://schemas.openxmlformats.org/officeDocument/2006/relationships/hyperlink" Target="https://www.gameslore.com/mtg-assassin-s-creed-booster-display.html" TargetMode="External" Id="rId100"/><Relationship Type="http://schemas.openxmlformats.org/officeDocument/2006/relationships/hyperlink" Target="https://magicmadhouse.co.uk/magic-the-gathering-lost-caverns-of-ixalan-commander-deck-explorers-of-the-deep-lost-caverns-of-ixalan" TargetMode="External" Id="rId101"/><Relationship Type="http://schemas.openxmlformats.org/officeDocument/2006/relationships/hyperlink" Target="https://www.cardmarket.com/en/Magic/Products/Booster-Boxes/Wilds-of-Eldraine-Set-Booster-Box?sellerCountry=13&amp;language=1" TargetMode="External" Id="rId102"/><Relationship Type="http://schemas.openxmlformats.org/officeDocument/2006/relationships/hyperlink" Target="https://www.gameslore.com/mtg-aetherdrift-play-booster-pack.html" TargetMode="External" Id="rId103"/><Relationship Type="http://schemas.openxmlformats.org/officeDocument/2006/relationships/hyperlink" Target="https://magicmadhouse.co.uk/magic-the-gathering-lost-caverns-of-ixalan-commander-deck-veloci-ramp-tor-lost-caverns-of-ixalan" TargetMode="External" Id="rId104"/><Relationship Type="http://schemas.openxmlformats.org/officeDocument/2006/relationships/hyperlink" Target="https://www.cardmarket.com/en/Magic/Products/Booster-Boxes/Streets-of-New-Capenna-Set-Booster-Box?sellerCountry=13&amp;language=1" TargetMode="External" Id="rId105"/><Relationship Type="http://schemas.openxmlformats.org/officeDocument/2006/relationships/hyperlink" Target="https://www.gameslore.com/mtg-aetherdrift-play-booster-display.html" TargetMode="External" Id="rId106"/><Relationship Type="http://schemas.openxmlformats.org/officeDocument/2006/relationships/hyperlink" Target="https://magicmadhouse.co.uk/magic-the-gathering-march-of-the-machine-commander-deck-tinker-time-march-of-the-machine" TargetMode="External" Id="rId107"/><Relationship Type="http://schemas.openxmlformats.org/officeDocument/2006/relationships/hyperlink" Target="https://www.cardmarket.com/en/Magic/Products/Booster-Boxes/Dominaria-United-Set-Booster-Box?sellerCountry=13&amp;language=1" TargetMode="External" Id="rId108"/><Relationship Type="http://schemas.openxmlformats.org/officeDocument/2006/relationships/hyperlink" Target="https://www.gameslore.com/mtg-aetherdrift-collector-booster-pack.html" TargetMode="External" Id="rId109"/><Relationship Type="http://schemas.openxmlformats.org/officeDocument/2006/relationships/hyperlink" Target="https://magicmadhouse.co.uk/magic-the-gathering-modern-horizons-3-commander-deck-creative-energy-modern-horizons-3" TargetMode="External" Id="rId110"/><Relationship Type="http://schemas.openxmlformats.org/officeDocument/2006/relationships/hyperlink" Target="https://www.cardmarket.com/en/Magic/Products/Booster-Boxes/Oath-of-the-Gatewatch-Booster-Box?sellerCountry=13&amp;language=1" TargetMode="External" Id="rId111"/><Relationship Type="http://schemas.openxmlformats.org/officeDocument/2006/relationships/hyperlink" Target="https://www.gameslore.com/mtg-aetherdrift-collector-booster-display.html" TargetMode="External" Id="rId112"/><Relationship Type="http://schemas.openxmlformats.org/officeDocument/2006/relationships/hyperlink" Target="https://magicmadhouse.co.uk/magic-the-gathering-modern-horizons-3-commander-deck-eldrazi-incursion-modern-horizons-3" TargetMode="External" Id="rId113"/><Relationship Type="http://schemas.openxmlformats.org/officeDocument/2006/relationships/hyperlink" Target="https://www.cardmarket.com/en/Magic/Products/Booster-Boxes/Magic-The-Gathering-FINAL-FANTASY-Play-Booster-Box?sellerCountry=13&amp;language=1" TargetMode="External" Id="rId114"/><Relationship Type="http://schemas.openxmlformats.org/officeDocument/2006/relationships/hyperlink" Target="https://www.gameslore.com/mtg-modern-horizons-3-graveyard-overdrive-commander-deck.html" TargetMode="External" Id="rId115"/><Relationship Type="http://schemas.openxmlformats.org/officeDocument/2006/relationships/hyperlink" Target="https://magicmadhouse.co.uk/magic-the-gathering-modern-horizons-3-commander-deck-graveyard-overdrive-modern-horizons-3" TargetMode="External" Id="rId116"/><Relationship Type="http://schemas.openxmlformats.org/officeDocument/2006/relationships/hyperlink" Target="https://www.cardmarket.com/en/Magic/Products/Booster-Boxes/Bloomburrow-Play-Booster-Box?sellerCountry=13&amp;language=1" TargetMode="External" Id="rId117"/><Relationship Type="http://schemas.openxmlformats.org/officeDocument/2006/relationships/hyperlink" Target="https://www.chaoscards.co.uk/prod/booster-boxes-magic/magic-the-gathering-universes-beyond-final-fantasy-play-booster-box-30-packs" TargetMode="External" Id="rId118"/><Relationship Type="http://schemas.openxmlformats.org/officeDocument/2006/relationships/hyperlink" Target="https://www.gameslore.com/mtg-modern-horizons-3-creative-energy-commander-deck.html" TargetMode="External" Id="rId119"/><Relationship Type="http://schemas.openxmlformats.org/officeDocument/2006/relationships/hyperlink" Target="https://magicmadhouse.co.uk/magic-the-gathering-modern-horizons-3-commander-deck-tricky-terrain-modern-horizons-3" TargetMode="External" Id="rId120"/><Relationship Type="http://schemas.openxmlformats.org/officeDocument/2006/relationships/hyperlink" Target="https://www.cardmarket.com/en/Magic/Products/Booster-Boxes/Murders-at-Karlov-Manor-Play-Booster-Box?sellerCountry=13&amp;language=1" TargetMode="External" Id="rId121"/><Relationship Type="http://schemas.openxmlformats.org/officeDocument/2006/relationships/hyperlink" Target="https://www.gameslore.com/mtg-commander-masters-commander-planeswalker-party-deck.html" TargetMode="External" Id="rId122"/><Relationship Type="http://schemas.openxmlformats.org/officeDocument/2006/relationships/hyperlink" Target="https://magicmadhouse.co.uk/magic-the-gathering-murders-at-karlov-manor-commander-deck-deadly-disguise-murders-at-karlov-manor" TargetMode="External" Id="rId123"/><Relationship Type="http://schemas.openxmlformats.org/officeDocument/2006/relationships/hyperlink" Target="https://www.cardmarket.com/en/Magic/Products/Booster-Boxes/Aetherdrift-Collector-Booster-Box?sellerCountry=13&amp;language=1" TargetMode="External" Id="rId124"/><Relationship Type="http://schemas.openxmlformats.org/officeDocument/2006/relationships/hyperlink" Target="https://magicmadhouse.co.uk/magic-the-gathering-outlaws-of-thunder-junction-commander-deck-desert-bloom-outlaws-of-thunder-junction" TargetMode="External" Id="rId125"/><Relationship Type="http://schemas.openxmlformats.org/officeDocument/2006/relationships/hyperlink" Target="https://www.cardmarket.com/en/Magic/Products/Booster-Boxes/Universes-Beyond-Assassins-Creed-Collector-Booster-Box?sellerCountry=13&amp;language=1" TargetMode="External" Id="rId126"/><Relationship Type="http://schemas.openxmlformats.org/officeDocument/2006/relationships/hyperlink" Target="https://www.chaoscards.co.uk/prod/booster-boxes-magic/magic-the-gathering-aetherdrift-collector-booster-box-12-packs" TargetMode="External" Id="rId127"/><Relationship Type="http://schemas.openxmlformats.org/officeDocument/2006/relationships/hyperlink" Target="https://magicmadhouse.co.uk/magic-the-gathering-outlaws-of-thunder-junction-commander-deck-grand-larceny-outlaws-of-thunder-junction" TargetMode="External" Id="rId128"/><Relationship Type="http://schemas.openxmlformats.org/officeDocument/2006/relationships/hyperlink" Target="https://www.cardmarket.com/en/Magic/Products/Booster-Boxes/Magic-The-Gathering-Avatar-The-Last-Airbender-Collector-Booster-Box?sellerCountry=13&amp;language=1" TargetMode="External" Id="rId129"/><Relationship Type="http://schemas.openxmlformats.org/officeDocument/2006/relationships/hyperlink" Target="https://www.chaoscards.co.uk/prod/booster-boxes-magic/magic-the-gathering-assassins-creed-collector-booster-box-12-packs" TargetMode="External" Id="rId130"/><Relationship Type="http://schemas.openxmlformats.org/officeDocument/2006/relationships/hyperlink" Target="https://magicmadhouse.co.uk/magic-the-gathering-outlaws-of-thunder-junction-commander-deck-most-wanted-outlaws-of-thunder-junction" TargetMode="External" Id="rId131"/><Relationship Type="http://schemas.openxmlformats.org/officeDocument/2006/relationships/hyperlink" Target="https://www.cardmarket.com/en/Magic/Products/Booster-Boxes/Bloomburrow-Collector-Booster-Box?sellerCountry=13&amp;language=1" TargetMode="External" Id="rId132"/><Relationship Type="http://schemas.openxmlformats.org/officeDocument/2006/relationships/hyperlink" Target="https://www.chaoscards.co.uk/prod/booster-boxes-magic/magic-the-gathering-avatar-the-last-airbender-collector-booster-box-12-packs" TargetMode="External" Id="rId133"/><Relationship Type="http://schemas.openxmlformats.org/officeDocument/2006/relationships/hyperlink" Target="https://magicmadhouse.co.uk/magic-the-gathering-phyrexia-all-will-be-one-commander-deck-corrupting-influence-phyrexia-all-will-be-one" TargetMode="External" Id="rId134"/><Relationship Type="http://schemas.openxmlformats.org/officeDocument/2006/relationships/hyperlink" Target="https://www.cardmarket.com/en/Magic/Products/Booster-Boxes/Commander-Masters-Collector-Booster-Box?sellerCountry=13&amp;language=1" TargetMode="External" Id="rId135"/><Relationship Type="http://schemas.openxmlformats.org/officeDocument/2006/relationships/hyperlink" Target="https://www.chaoscards.co.uk/prod/booster-boxes-magic/magic-the-gathering-bloomburrow-collector-booster-box-12-packs" TargetMode="External" Id="rId136"/><Relationship Type="http://schemas.openxmlformats.org/officeDocument/2006/relationships/hyperlink" Target="https://magicmadhouse.co.uk/magic-the-gathering-streets-of-new-capenna-commander-deck-bedecked-brokers-streets-of-new-capenna" TargetMode="External" Id="rId137"/><Relationship Type="http://schemas.openxmlformats.org/officeDocument/2006/relationships/hyperlink" Target="https://www.cardmarket.com/en/Magic/Products/Booster-Boxes/Dominaria-United-Collector-Booster-Box?sellerCountry=13&amp;language=1" TargetMode="External" Id="rId138"/><Relationship Type="http://schemas.openxmlformats.org/officeDocument/2006/relationships/hyperlink" Target="https://www.chaoscards.co.uk/prod/booster-boxes-magic/magic-the-gathering-commander-masters-collector-booster-box-4-packs" TargetMode="External" Id="rId139"/><Relationship Type="http://schemas.openxmlformats.org/officeDocument/2006/relationships/hyperlink" Target="https://magicmadhouse.co.uk/magic-the-gathering-tarkir-dragonstorm-commander-deck-abzan-armor-tarkir-dragonstorm" TargetMode="External" Id="rId140"/><Relationship Type="http://schemas.openxmlformats.org/officeDocument/2006/relationships/hyperlink" Target="https://www.cardmarket.com/en/Magic/Products/Booster-Boxes/Duskmourn-House-of-Horror-Collector-Booster-Box?sellerCountry=13&amp;language=1" TargetMode="External" Id="rId141"/><Relationship Type="http://schemas.openxmlformats.org/officeDocument/2006/relationships/hyperlink" Target="https://www.chaoscards.co.uk/prod/booster-boxes-magic/magic-the-gathering-dominaria-united-collector-booster-box-12-packs" TargetMode="External" Id="rId142"/><Relationship Type="http://schemas.openxmlformats.org/officeDocument/2006/relationships/hyperlink" Target="https://magicmadhouse.co.uk/magic-the-gathering-tarkir-dragonstorm-commander-deck-jeskai-striker-tarkir-dragonstorm" TargetMode="External" Id="rId143"/><Relationship Type="http://schemas.openxmlformats.org/officeDocument/2006/relationships/hyperlink" Target="https://www.cardmarket.com/en/Magic/Products/Booster-Boxes/Edge-of-Eternities-Collector-Booster-Box?sellerCountry=13&amp;language=1" TargetMode="External" Id="rId144"/><Relationship Type="http://schemas.openxmlformats.org/officeDocument/2006/relationships/hyperlink" Target="https://www.chaoscards.co.uk/prod/booster-boxes-magic/magic-the-gathering-duskmourn-house-of-horror-collector-booster-box-12-packs" TargetMode="External" Id="rId145"/><Relationship Type="http://schemas.openxmlformats.org/officeDocument/2006/relationships/hyperlink" Target="https://magicmadhouse.co.uk/magic-the-gathering-tarkir-dragonstorm-commander-deck-sultai-arisen-tarkir-dragonstorm" TargetMode="External" Id="rId146"/><Relationship Type="http://schemas.openxmlformats.org/officeDocument/2006/relationships/hyperlink" Target="https://www.cardmarket.com/en/Magic/Products/Booster-Boxes/Magic-The-Gathering-FINAL-FANTASY-Collector-Booster-Box?sellerCountry=13&amp;language=1" TargetMode="External" Id="rId147"/><Relationship Type="http://schemas.openxmlformats.org/officeDocument/2006/relationships/hyperlink" Target="https://www.chaoscards.co.uk/prod/booster-boxes-magic/magic-the-gathering-edge-of-eternities-collector-booster-box-12-packs" TargetMode="External" Id="rId148"/><Relationship Type="http://schemas.openxmlformats.org/officeDocument/2006/relationships/hyperlink" Target="https://magicmadhouse.co.uk/magic-the-gathering-tarkir-dragonstorm-commander-deck-temur-roar-tarkir-dragonstorm" TargetMode="External" Id="rId149"/><Relationship Type="http://schemas.openxmlformats.org/officeDocument/2006/relationships/hyperlink" Target="https://www.cardmarket.com/en/Magic/Products/Booster-Boxes/Magic-The-Gathering-Foundations-Collector-Booster-Box?sellerCountry=13&amp;language=1" TargetMode="External" Id="rId150"/><Relationship Type="http://schemas.openxmlformats.org/officeDocument/2006/relationships/hyperlink" Target="https://www.chaoscards.co.uk/prod/booster-boxes-magic/magic-the-gathering-universes-beyond-final-fantasy-collector-booster-box-12-packs" TargetMode="External" Id="rId151"/><Relationship Type="http://schemas.openxmlformats.org/officeDocument/2006/relationships/hyperlink" Target="https://magicmadhouse.co.uk/magic-the-gathering-the-brothers-war-commander-deck-mishras-burnished-banner-the-brothers-war" TargetMode="External" Id="rId152"/><Relationship Type="http://schemas.openxmlformats.org/officeDocument/2006/relationships/hyperlink" Target="https://www.cardmarket.com/en/Magic/Products/Booster-Boxes/Innistrad-Midnight-Hunt-Collector-Booster-Box?sellerCountry=13&amp;language=1" TargetMode="External" Id="rId153"/><Relationship Type="http://schemas.openxmlformats.org/officeDocument/2006/relationships/hyperlink" Target="https://www.chaoscards.co.uk/prod/booster-boxes-magic/magic-the-gathering-foundations-collector-booster-box-12-packs" TargetMode="External" Id="rId154"/><Relationship Type="http://schemas.openxmlformats.org/officeDocument/2006/relationships/hyperlink" Target="https://www.cardmarket.com/en/Magic/Products/Booster-Boxes/Innistrad-Remastered-Collector-Booster-Box?sellerCountry=13&amp;language=1" TargetMode="External" Id="rId155"/><Relationship Type="http://schemas.openxmlformats.org/officeDocument/2006/relationships/hyperlink" Target="https://www.chaoscards.co.uk/prod/booster-boxes-magic/magic-the-gathering-innistrad-midnight-hunt-collector-booster-box-12-packs" TargetMode="External" Id="rId156"/><Relationship Type="http://schemas.openxmlformats.org/officeDocument/2006/relationships/hyperlink" Target="https://www.cardmarket.com/en/Magic/Products/Booster-Boxes/Innistrad-Crimson-Vow-Collector-Booster-Box?sellerCountry=13&amp;language=1" TargetMode="External" Id="rId157"/><Relationship Type="http://schemas.openxmlformats.org/officeDocument/2006/relationships/hyperlink" Target="https://www.chaoscards.co.uk/prod/booster-boxes-magic/magic-the-gathering-innistrad-remastered-collector-booster-box-12-packs" TargetMode="External" Id="rId158"/><Relationship Type="http://schemas.openxmlformats.org/officeDocument/2006/relationships/hyperlink" Target="https://www.cardmarket.com/en/Magic/Products/Booster-Boxes/Kaldheim-Collector-Booster-Box?sellerCountry=13&amp;language=1" TargetMode="External" Id="rId159"/><Relationship Type="http://schemas.openxmlformats.org/officeDocument/2006/relationships/hyperlink" Target="https://www.chaoscards.co.uk/prod/booster-boxes-magic/magic-the-gathering-innistrad-crimson-vow-collector-booster-box-12-packs" TargetMode="External" Id="rId160"/><Relationship Type="http://schemas.openxmlformats.org/officeDocument/2006/relationships/hyperlink" Target="https://www.cardmarket.com/en/Magic/Products/Booster-Boxes/Kamigawa-Neon-Dynasty-Collector-Booster-Box?sellerCountry=13&amp;language=1" TargetMode="External" Id="rId161"/><Relationship Type="http://schemas.openxmlformats.org/officeDocument/2006/relationships/hyperlink" Target="https://www.chaoscards.co.uk/prod/booster-boxes-magic/magic-the-gathering-kaldheim-collectors-booster-box-12-packs" TargetMode="External" Id="rId162"/><Relationship Type="http://schemas.openxmlformats.org/officeDocument/2006/relationships/hyperlink" Target="https://www.cardmarket.com/en/Magic/Products/Booster-Boxes/Lorwyn-Eclipsed-Collector-Booster-Box?sellerCountry=13&amp;language=1" TargetMode="External" Id="rId163"/><Relationship Type="http://schemas.openxmlformats.org/officeDocument/2006/relationships/hyperlink" Target="https://www.chaoscards.co.uk/prod/booster-boxes-magic/magic-the-gathering-kamigawa-neon-dynasty-collector-booster-box-12-packs" TargetMode="External" Id="rId164"/><Relationship Type="http://schemas.openxmlformats.org/officeDocument/2006/relationships/hyperlink" Target="https://www.cardmarket.com/en/Magic/Products/Booster-Boxes/March-of-the-Machine-Collector-Booster-Box?sellerCountry=13&amp;language=1" TargetMode="External" Id="rId165"/><Relationship Type="http://schemas.openxmlformats.org/officeDocument/2006/relationships/hyperlink" Target="https://www.chaoscards.co.uk/prod/booster-boxes-magic/magic-the-gathering-lorwyn-eclipsed-collector-booster-box-12-packs" TargetMode="External" Id="rId166"/><Relationship Type="http://schemas.openxmlformats.org/officeDocument/2006/relationships/hyperlink" Target="https://www.cardmarket.com/en/Magic/Products/Booster-Boxes/Magic-The-Gathering-Marvels-Spider-Man-Collector-Booster-Box?sellerCountry=13&amp;language=1" TargetMode="External" Id="rId167"/><Relationship Type="http://schemas.openxmlformats.org/officeDocument/2006/relationships/hyperlink" Target="https://www.chaoscards.co.uk/prod/booster-boxes-magic/magic-the-gathering-march-of-the-machine-collector-booster-box-12-packs" TargetMode="External" Id="rId168"/><Relationship Type="http://schemas.openxmlformats.org/officeDocument/2006/relationships/hyperlink" Target="https://www.cardmarket.com/en/Magic/Products/Booster-Boxes/Modern-Horizons-2-Collector-Booster-Box?sellerCountry=13&amp;language=1" TargetMode="External" Id="rId169"/><Relationship Type="http://schemas.openxmlformats.org/officeDocument/2006/relationships/hyperlink" Target="https://www.chaoscards.co.uk/prod/booster-boxes-magic/magic-the-gathering-marvels-spider-man-collector-booster-box-12-packs" TargetMode="External" Id="rId170"/><Relationship Type="http://schemas.openxmlformats.org/officeDocument/2006/relationships/hyperlink" Target="https://www.cardmarket.com/en/Magic/Products/Booster-Boxes/Modern-Horizons-3-Collector-Booster-Box?sellerCountry=13&amp;language=1" TargetMode="External" Id="rId171"/><Relationship Type="http://schemas.openxmlformats.org/officeDocument/2006/relationships/hyperlink" Target="https://www.chaoscards.co.uk/prod/booster-boxes-magic/magic-the-gathering-collector-booster-box-modern-horizons-2" TargetMode="External" Id="rId172"/><Relationship Type="http://schemas.openxmlformats.org/officeDocument/2006/relationships/hyperlink" Target="https://www.cardmarket.com/en/Magic/Products/Booster-Boxes/Murders-at-Karlov-Manor-Collector-Booster-Box?sellerCountry=13&amp;language=1" TargetMode="External" Id="rId173"/><Relationship Type="http://schemas.openxmlformats.org/officeDocument/2006/relationships/hyperlink" Target="https://www.chaoscards.co.uk/prod/booster-boxes-magic/magic-the-gathering-modern-horizons-3-collector-booster-box-12-packs" TargetMode="External" Id="rId174"/><Relationship Type="http://schemas.openxmlformats.org/officeDocument/2006/relationships/hyperlink" Target="https://www.cardmarket.com/en/Magic/Products/Booster-Boxes/Outlaws-of-Thunder-Junction-Collector-Booster-Box?sellerCountry=13&amp;language=1" TargetMode="External" Id="rId175"/><Relationship Type="http://schemas.openxmlformats.org/officeDocument/2006/relationships/hyperlink" Target="https://www.chaoscards.co.uk/prod/booster-boxes-magic/magic-the-gathering-murders-at-karlov-manor-collector-booster-box-12-packs" TargetMode="External" Id="rId176"/><Relationship Type="http://schemas.openxmlformats.org/officeDocument/2006/relationships/hyperlink" Target="https://www.cardmarket.com/en/Magic/Products/Booster-Boxes/Phyrexia-All-Will-Be-One-Collector-Booster-Box?sellerCountry=13&amp;language=1" TargetMode="External" Id="rId177"/><Relationship Type="http://schemas.openxmlformats.org/officeDocument/2006/relationships/hyperlink" Target="https://www.chaoscards.co.uk/prod/booster-boxes-magic/magic-the-gathering-outlaws-of-thunder-junction-collector-booster-box-12-packs" TargetMode="External" Id="rId178"/><Relationship Type="http://schemas.openxmlformats.org/officeDocument/2006/relationships/hyperlink" Target="https://www.cardmarket.com/en/Magic/Products/Booster-Boxes/Ravnica-Remastered-Collector-Booster-Box?sellerCountry=13&amp;language=1" TargetMode="External" Id="rId179"/><Relationship Type="http://schemas.openxmlformats.org/officeDocument/2006/relationships/hyperlink" Target="https://www.chaoscards.co.uk/prod/booster-boxes-magic/magic-the-gathering-phyrexia-all-will-be-one-collector-booster-box-12-packs" TargetMode="External" Id="rId180"/><Relationship Type="http://schemas.openxmlformats.org/officeDocument/2006/relationships/hyperlink" Target="https://www.cardmarket.com/en/Magic/Products/Booster-Boxes/Streets-of-New-Capenna-Collector-Booster-Box?sellerCountry=13&amp;language=1" TargetMode="External" Id="rId181"/><Relationship Type="http://schemas.openxmlformats.org/officeDocument/2006/relationships/hyperlink" Target="https://www.chaoscards.co.uk/prod/booster-boxes-magic/magic-the-gathering-ravnica-remastered-collector-booster-box-12-packs" TargetMode="External" Id="rId182"/><Relationship Type="http://schemas.openxmlformats.org/officeDocument/2006/relationships/hyperlink" Target="https://www.cardmarket.com/en/Magic/Products/Booster-Boxes/Strixhaven-School-of-Mages-Collector-Booster-Box?sellerCountry=13&amp;language=1" TargetMode="External" Id="rId183"/><Relationship Type="http://schemas.openxmlformats.org/officeDocument/2006/relationships/hyperlink" Target="https://www.chaoscards.co.uk/prod/booster-boxes-magic/magic-the-gathering-streets-of-new-capenna-collector-booster-box-12-packs" TargetMode="External" Id="rId184"/><Relationship Type="http://schemas.openxmlformats.org/officeDocument/2006/relationships/hyperlink" Target="https://www.cardmarket.com/en/Magic/Products/Booster-Boxes/Tarkir-Dragonstorm-Collector-Booster-Box?sellerCountry=13&amp;language=1" TargetMode="External" Id="rId185"/><Relationship Type="http://schemas.openxmlformats.org/officeDocument/2006/relationships/hyperlink" Target="https://www.chaoscards.co.uk/prod/booster-boxes-magic/magic-the-gathering-strixhaven-school-of-mages-collector-booster-box-12-packs" TargetMode="External" Id="rId186"/><Relationship Type="http://schemas.openxmlformats.org/officeDocument/2006/relationships/hyperlink" Target="https://www.cardmarket.com/en/Magic/Products/Booster-Boxes/The-Brothers-War-Collector-Booster-Box?sellerCountry=13&amp;language=1" TargetMode="External" Id="rId187"/><Relationship Type="http://schemas.openxmlformats.org/officeDocument/2006/relationships/hyperlink" Target="https://www.chaoscards.co.uk/prod/booster-boxes-magic/magic-the-gathering-tarkir-dragonstorm-collector-booster-box-12-packs" TargetMode="External" Id="rId188"/><Relationship Type="http://schemas.openxmlformats.org/officeDocument/2006/relationships/hyperlink" Target="https://www.cardmarket.com/en/Magic/Products/Booster-Boxes/The-Lord-of-the-Rings-Tales-of-Middle-earth-Collector-Booster-Box?sellerCountry=13&amp;language=1" TargetMode="External" Id="rId189"/><Relationship Type="http://schemas.openxmlformats.org/officeDocument/2006/relationships/hyperlink" Target="https://www.chaoscards.co.uk/prod/booster-boxes-magic/magic-the-gathering-the-brothers-war-collector-booster-box-12-packs" TargetMode="External" Id="rId190"/><Relationship Type="http://schemas.openxmlformats.org/officeDocument/2006/relationships/hyperlink" Target="https://www.cardmarket.com/en/Magic/Products/Booster-Boxes/The-Lost-Caverns-of-Ixalan-Collector-Booster-Box?sellerCountry=13&amp;language=1" TargetMode="External" Id="rId191"/><Relationship Type="http://schemas.openxmlformats.org/officeDocument/2006/relationships/hyperlink" Target="https://www.chaoscards.co.uk/prod/booster-boxes-magic/magic-the-gathering-lord-of-the-rings-tales-of-middle-earth-collector-booster-box-12-packs" TargetMode="External" Id="rId192"/><Relationship Type="http://schemas.openxmlformats.org/officeDocument/2006/relationships/hyperlink" Target="https://www.cardmarket.com/en/Magic/Products/Booster-Boxes/Theros-Beyond-Death-Collector-Booster-Box?sellerCountry=13&amp;language=1" TargetMode="External" Id="rId193"/><Relationship Type="http://schemas.openxmlformats.org/officeDocument/2006/relationships/hyperlink" Target="https://www.chaoscards.co.uk/prod/booster-boxes-magic/magic-the-gathering-the-lost-caverns-of-ixalan-collector-booster-box-12-packs" TargetMode="External" Id="rId194"/><Relationship Type="http://schemas.openxmlformats.org/officeDocument/2006/relationships/hyperlink" Target="https://www.cardmarket.com/en/Magic/Products/Booster-Boxes/Throne-of-Eldraine-Collector-Booster-Box?sellerCountry=13&amp;language=1" TargetMode="External" Id="rId195"/><Relationship Type="http://schemas.openxmlformats.org/officeDocument/2006/relationships/hyperlink" Target="https://www.chaoscards.co.uk/prod/booster-boxes-magic/magic-the-gathering-theros-beyond-death-collector-booster-box-12-packs" TargetMode="External" Id="rId196"/><Relationship Type="http://schemas.openxmlformats.org/officeDocument/2006/relationships/hyperlink" Target="https://www.cardmarket.com/en/Magic/Products/Booster-Boxes/Wilds-of-Eldraine-Collector-Booster-Box?sellerCountry=13&amp;language=1" TargetMode="External" Id="rId197"/><Relationship Type="http://schemas.openxmlformats.org/officeDocument/2006/relationships/hyperlink" Target="https://www.chaoscards.co.uk/prod/booster-boxes-magic/magic-the-gathering-throne-of-eldraine-collector-booster-box-12-packs-1-183231" TargetMode="External" Id="rId198"/><Relationship Type="http://schemas.openxmlformats.org/officeDocument/2006/relationships/hyperlink" Target="https://www.cardmarket.com/en/Magic/Products/Boosters/Modern-Horizons-2-Set-Booster?sellerCountry=13&amp;language=1" TargetMode="External" Id="rId199"/><Relationship Type="http://schemas.openxmlformats.org/officeDocument/2006/relationships/hyperlink" Target="https://www.chaoscards.co.uk/prod/booster-boxes-magic/magic-the-gathering-wilds-of-eldraine-collector-booster-box-12-packs" TargetMode="External" Id="rId200"/><Relationship Type="http://schemas.openxmlformats.org/officeDocument/2006/relationships/hyperlink" Target="https://www.cardmarket.com/en/Magic/Products/Boosters/The-Lost-Caverns-of-Ixalan-Set-Booster?sellerCountry=13&amp;language=1" TargetMode="External" Id="rId201"/><Relationship Type="http://schemas.openxmlformats.org/officeDocument/2006/relationships/hyperlink" Target="https://www.chaoscards.co.uk/prod/commander-magic/magic-the-gathering-commander-masters-commander-deck-planeswalker-party" TargetMode="External" Id="rId202"/><Relationship Type="http://schemas.openxmlformats.org/officeDocument/2006/relationships/hyperlink" Target="https://www.cardmarket.com/en/Magic/Products/Boosters/Innistrad-Remastered-Play-Booster?sellerCountry=13&amp;language=1" TargetMode="External" Id="rId203"/><Relationship Type="http://schemas.openxmlformats.org/officeDocument/2006/relationships/hyperlink" Target="https://www.chaoscards.co.uk/prod/commander-magic/magic-the-gathering-commander-masters-commander-deck-enduring-enchantments" TargetMode="External" Id="rId204"/><Relationship Type="http://schemas.openxmlformats.org/officeDocument/2006/relationships/hyperlink" Target="https://www.cardmarket.com/en/Magic/Products/Boosters/Lorwyn-Eclipsed-Play-Booster?sellerCountry=13&amp;language=1" TargetMode="External" Id="rId205"/><Relationship Type="http://schemas.openxmlformats.org/officeDocument/2006/relationships/hyperlink" Target="https://www.chaoscards.co.uk/prod/commander-magic/magic-the-gathering-tarkir-dragonstorm-commander-deck-mardu-surge" TargetMode="External" Id="rId206"/><Relationship Type="http://schemas.openxmlformats.org/officeDocument/2006/relationships/hyperlink" Target="https://www.cardmarket.com/en/Magic/Products/Boosters/Innistrad-Midnight-Hunt-Set-Booster?sellerCountry=13&amp;language=1" TargetMode="External" Id="rId207"/><Relationship Type="http://schemas.openxmlformats.org/officeDocument/2006/relationships/hyperlink" Target="https://www.chaoscards.co.uk/prod/commander-magic/magic-the-gathering-bloomburrow-commander-deck-peace-offering" TargetMode="External" Id="rId208"/><Relationship Type="http://schemas.openxmlformats.org/officeDocument/2006/relationships/hyperlink" Target="https://www.cardmarket.com/en/Magic/Products/Boosters/Kaldheim-Set-Booster?sellerCountry=13&amp;language=1" TargetMode="External" Id="rId209"/><Relationship Type="http://schemas.openxmlformats.org/officeDocument/2006/relationships/hyperlink" Target="https://www.chaoscards.co.uk/prod/commander-magic/magic-the-gathering-bloomburrow-commander-deck-family-matters" TargetMode="External" Id="rId210"/><Relationship Type="http://schemas.openxmlformats.org/officeDocument/2006/relationships/hyperlink" Target="https://www.cardmarket.com/en/Magic/Products/Boosters/Commander-Masters-Set-Booster?sellerCountry=13&amp;language=1" TargetMode="External" Id="rId211"/><Relationship Type="http://schemas.openxmlformats.org/officeDocument/2006/relationships/hyperlink" Target="https://www.chaoscards.co.uk/prod/commander-magic/magic-the-gathering-aetherdrift-commander-deck-living-energy" TargetMode="External" Id="rId212"/><Relationship Type="http://schemas.openxmlformats.org/officeDocument/2006/relationships/hyperlink" Target="https://www.cardmarket.com/en/Magic/Products/Boosters/War-of-the-Spark-Booster?sellerCountry=13&amp;language=1" TargetMode="External" Id="rId213"/><Relationship Type="http://schemas.openxmlformats.org/officeDocument/2006/relationships/hyperlink" Target="https://www.chaoscards.co.uk/prod/commander-magic/magic-the-gathering-tarkir-dragonstorm-commander-deck-jeskai-striker" TargetMode="External" Id="rId214"/><Relationship Type="http://schemas.openxmlformats.org/officeDocument/2006/relationships/hyperlink" Target="https://www.cardmarket.com/en/Magic/Products/Boosters/Strixhaven-School-of-Mages-Set-Booster?sellerCountry=13&amp;language=1" TargetMode="External" Id="rId215"/><Relationship Type="http://schemas.openxmlformats.org/officeDocument/2006/relationships/hyperlink" Target="https://www.chaoscards.co.uk/prod/commander-magic/magic-the-gathering-modern-horizons-3-commander-deck-graveyard-overdrive" TargetMode="External" Id="rId216"/><Relationship Type="http://schemas.openxmlformats.org/officeDocument/2006/relationships/hyperlink" Target="https://www.cardmarket.com/en/Magic/Products/Boosters/Throne-of-Eldraine-Booster?sellerCountry=13&amp;language=1" TargetMode="External" Id="rId217"/><Relationship Type="http://schemas.openxmlformats.org/officeDocument/2006/relationships/hyperlink" Target="https://www.chaoscards.co.uk/prod/commander-magic/magic-the-gathering-bloomburrow-commander-deck-animated-army" TargetMode="External" Id="rId218"/><Relationship Type="http://schemas.openxmlformats.org/officeDocument/2006/relationships/hyperlink" Target="https://www.cardmarket.com/en/Magic/Products/Boosters/Outlaws-of-Thunder-Junction-Play-Booster?sellerCountry=13&amp;language=1" TargetMode="External" Id="rId219"/><Relationship Type="http://schemas.openxmlformats.org/officeDocument/2006/relationships/hyperlink" Target="https://www.chaoscards.co.uk/prod/commander-magic/magic-the-gathering-warhammer-40k-the-ruinous-powers-commander-deck" TargetMode="External" Id="rId220"/><Relationship Type="http://schemas.openxmlformats.org/officeDocument/2006/relationships/hyperlink" Target="https://www.cardmarket.com/en/Magic/Products/Boosters/Magic-The-Gathering-Avatar-The-Last-Airbender-Play-Booster?sellerCountry=13&amp;language=1" TargetMode="External" Id="rId221"/><Relationship Type="http://schemas.openxmlformats.org/officeDocument/2006/relationships/hyperlink" Target="https://www.chaoscards.co.uk/prod/commander-magic/magic-the-gathering-doctor-who-commander-deck-paradox-power" TargetMode="External" Id="rId222"/><Relationship Type="http://schemas.openxmlformats.org/officeDocument/2006/relationships/hyperlink" Target="https://www.cardmarket.com/en/Magic/Products/Boosters/Innistrad-Crimson-Vow-Set-Booster?sellerCountry=13&amp;language=1" TargetMode="External" Id="rId223"/><Relationship Type="http://schemas.openxmlformats.org/officeDocument/2006/relationships/hyperlink" Target="https://www.chaoscards.co.uk/prod/commander-magic/magic-the-gathering-tarkir-dragonstorm-commander-deck-sultai-arisen" TargetMode="External" Id="rId224"/><Relationship Type="http://schemas.openxmlformats.org/officeDocument/2006/relationships/hyperlink" Target="https://www.cardmarket.com/en/Magic/Products/Boosters/March-of-the-Machine-Set-Booster?sellerCountry=13&amp;language=1" TargetMode="External" Id="rId225"/><Relationship Type="http://schemas.openxmlformats.org/officeDocument/2006/relationships/hyperlink" Target="https://www.chaoscards.co.uk/prod/commander-magic/magic-the-gathering-universes-beyond-final-fantasy-commander-deck-limit-break" TargetMode="External" Id="rId226"/><Relationship Type="http://schemas.openxmlformats.org/officeDocument/2006/relationships/hyperlink" Target="https://www.cardmarket.com/en/Magic/Products/Boosters/Modern-Horizons-3-Play-Booster?sellerCountry=13&amp;language=1" TargetMode="External" Id="rId227"/><Relationship Type="http://schemas.openxmlformats.org/officeDocument/2006/relationships/hyperlink" Target="https://www.chaoscards.co.uk/prod/commander-magic/magic-the-gathering-universes-beyond-final-fantasy-commander-deck-revival-trance" TargetMode="External" Id="rId228"/><Relationship Type="http://schemas.openxmlformats.org/officeDocument/2006/relationships/hyperlink" Target="https://www.cardmarket.com/en/Magic/Products/Boosters/Magic-The-Gathering-Foundations-Play-Booster?sellerCountry=13&amp;language=1" TargetMode="External" Id="rId229"/><Relationship Type="http://schemas.openxmlformats.org/officeDocument/2006/relationships/hyperlink" Target="https://www.chaoscards.co.uk/prod/commander-magic/magic-the-gathering-modern-horizons-3-commander-deck-tricky-terrain" TargetMode="External" Id="rId230"/><Relationship Type="http://schemas.openxmlformats.org/officeDocument/2006/relationships/hyperlink" Target="https://www.cardmarket.com/en/Magic/Products/Boosters/Dominaria-Booster?sellerCountry=13&amp;language=1" TargetMode="External" Id="rId231"/><Relationship Type="http://schemas.openxmlformats.org/officeDocument/2006/relationships/hyperlink" Target="https://www.chaoscards.co.uk/prod/commander-magic/magic-the-gathering-march-of-the-machine-commander-deck-tinker-time" TargetMode="External" Id="rId232"/><Relationship Type="http://schemas.openxmlformats.org/officeDocument/2006/relationships/hyperlink" Target="https://www.cardmarket.com/en/Magic/Products/Boosters/Universes-Beyond-Assassins-Creed-Beyond-Booster?sellerCountry=13&amp;language=1" TargetMode="External" Id="rId233"/><Relationship Type="http://schemas.openxmlformats.org/officeDocument/2006/relationships/hyperlink" Target="https://www.chaoscards.co.uk/prod/commander-magic/magic-the-gathering-bloomburrow-commander-deck-squirreled-away" TargetMode="External" Id="rId234"/><Relationship Type="http://schemas.openxmlformats.org/officeDocument/2006/relationships/hyperlink" Target="https://www.cardmarket.com/en/Magic/Products/Boosters/Magic-The-Gathering-Marvels-Spider-Man-Play-Booster?sellerCountry=13&amp;language=1" TargetMode="External" Id="rId235"/><Relationship Type="http://schemas.openxmlformats.org/officeDocument/2006/relationships/hyperlink" Target="https://www.chaoscards.co.uk/prod/commander-magic/magic-the-gathering-modern-horizons-3-commander-deck-creative-energy" TargetMode="External" Id="rId236"/><Relationship Type="http://schemas.openxmlformats.org/officeDocument/2006/relationships/hyperlink" Target="https://www.cardmarket.com/en/Magic/Products/Boosters/Edge-of-Eternities-Play-Booster?sellerCountry=13&amp;language=1" TargetMode="External" Id="rId237"/><Relationship Type="http://schemas.openxmlformats.org/officeDocument/2006/relationships/hyperlink" Target="https://www.chaoscards.co.uk/prod/commander-magic/magic-the-gathering-tarkir-dragonstorm-commander-deck-temur-roar" TargetMode="External" Id="rId238"/><Relationship Type="http://schemas.openxmlformats.org/officeDocument/2006/relationships/hyperlink" Target="https://www.cardmarket.com/en/Magic/Products/Boosters/The-Lord-of-the-Rings-Tales-of-Middle-earth-Set-Booster?sellerCountry=13&amp;language=1" TargetMode="External" Id="rId239"/><Relationship Type="http://schemas.openxmlformats.org/officeDocument/2006/relationships/hyperlink" Target="https://www.chaoscards.co.uk/prod/commander-magic/magic-the-gathering-universes-beyond-final-fantasy-commander-deck-scions-spellcraft" TargetMode="External" Id="rId240"/><Relationship Type="http://schemas.openxmlformats.org/officeDocument/2006/relationships/hyperlink" Target="https://www.cardmarket.com/en/Magic/Products/Boosters/Phyrexia-All-Will-Be-One-Set-Booster?sellerCountry=13&amp;language=1" TargetMode="External" Id="rId241"/><Relationship Type="http://schemas.openxmlformats.org/officeDocument/2006/relationships/hyperlink" Target="https://www.chaoscards.co.uk/prod/commander-magic/magic-the-gathering-doctor-who-commander-deck-blast-from-the-past" TargetMode="External" Id="rId242"/><Relationship Type="http://schemas.openxmlformats.org/officeDocument/2006/relationships/hyperlink" Target="https://www.cardmarket.com/en/Magic/Products/Boosters/Ravnica-Remastered-Draft-Booster?sellerCountry=13&amp;language=1" TargetMode="External" Id="rId243"/><Relationship Type="http://schemas.openxmlformats.org/officeDocument/2006/relationships/hyperlink" Target="https://www.chaoscards.co.uk/prod/commander-magic/magic-the-gathering-universes-beyond-final-fantasy-commander-deck-counter-blitz" TargetMode="External" Id="rId244"/><Relationship Type="http://schemas.openxmlformats.org/officeDocument/2006/relationships/hyperlink" Target="https://www.cardmarket.com/en/Magic/Products/Boosters/Kamigawa-Neon-Dynasty-Set-Booster?sellerCountry=13&amp;language=1" TargetMode="External" Id="rId245"/><Relationship Type="http://schemas.openxmlformats.org/officeDocument/2006/relationships/hyperlink" Target="https://www.cardmarket.com/en/Magic/Products/Boosters/Aetherdrift-Play-Booster?sellerCountry=13&amp;language=1" TargetMode="External" Id="rId246"/><Relationship Type="http://schemas.openxmlformats.org/officeDocument/2006/relationships/hyperlink" Target="https://www.cardmarket.com/en/Magic/Products/Boosters/Duskmourn-House-of-Horror-Play-Booster?sellerCountry=13&amp;language=1" TargetMode="External" Id="rId247"/><Relationship Type="http://schemas.openxmlformats.org/officeDocument/2006/relationships/hyperlink" Target="https://www.cardmarket.com/en/Magic/Products/Boosters/Tarkir-Dragonstorm-Play-Booster?sellerCountry=13&amp;language=1" TargetMode="External" Id="rId248"/><Relationship Type="http://schemas.openxmlformats.org/officeDocument/2006/relationships/hyperlink" Target="https://www.cardmarket.com/en/Magic/Products/Boosters/The-Brothers-War-Set-Booster?sellerCountry=13&amp;language=1" TargetMode="External" Id="rId249"/><Relationship Type="http://schemas.openxmlformats.org/officeDocument/2006/relationships/hyperlink" Target="https://www.cardmarket.com/en/Magic/Products/Boosters/Wilds-of-Eldraine-Set-Booster?sellerCountry=13&amp;language=1" TargetMode="External" Id="rId250"/><Relationship Type="http://schemas.openxmlformats.org/officeDocument/2006/relationships/hyperlink" Target="https://www.cardmarket.com/en/Magic/Products/Boosters/Streets-of-New-Capenna-Set-Booster?sellerCountry=13&amp;language=1" TargetMode="External" Id="rId251"/><Relationship Type="http://schemas.openxmlformats.org/officeDocument/2006/relationships/hyperlink" Target="https://www.cardmarket.com/en/Magic/Products/Boosters/Dominaria-United-Set-Booster?sellerCountry=13&amp;language=1" TargetMode="External" Id="rId252"/><Relationship Type="http://schemas.openxmlformats.org/officeDocument/2006/relationships/hyperlink" Target="https://www.cardmarket.com/en/Magic/Products/Boosters/Oath-of-the-Gatewatch-Booster?sellerCountry=13&amp;language=1" TargetMode="External" Id="rId253"/><Relationship Type="http://schemas.openxmlformats.org/officeDocument/2006/relationships/hyperlink" Target="https://www.cardmarket.com/en/Magic/Products/Boosters/Magic-The-Gathering-FINAL-FANTASY-Play-Booster?sellerCountry=13&amp;language=1" TargetMode="External" Id="rId254"/><Relationship Type="http://schemas.openxmlformats.org/officeDocument/2006/relationships/hyperlink" Target="https://www.cardmarket.com/en/Magic/Products/Boosters/Bloomburrow-Play-Booster?sellerCountry=13&amp;language=1" TargetMode="External" Id="rId255"/><Relationship Type="http://schemas.openxmlformats.org/officeDocument/2006/relationships/hyperlink" Target="https://www.cardmarket.com/en/Magic/Products/Boosters/Murders-at-Karlov-Manor-Play-Booster?sellerCountry=13&amp;language=1" TargetMode="External" Id="rId256"/><Relationship Type="http://schemas.openxmlformats.org/officeDocument/2006/relationships/hyperlink" Target="https://www.cardmarket.com/en/Magic/Products/Boosters/Rivals-of-Ixalan-Booster?sellerCountry=13&amp;language=1" TargetMode="External" Id="rId257"/><Relationship Type="http://schemas.openxmlformats.org/officeDocument/2006/relationships/hyperlink" Target="https://www.cardmarket.com/en/Magic/Products/Boosters/Guilds-of-Ravnica-Booster?sellerCountry=13&amp;language=1" TargetMode="External" Id="rId258"/><Relationship Type="http://schemas.openxmlformats.org/officeDocument/2006/relationships/hyperlink" Target="https://www.cardmarket.com/en/Magic/Products/Boosters/Theros-Beyond-Death-Booster?sellerCountry=13&amp;language=1" TargetMode="External" Id="rId259"/><Relationship Type="http://schemas.openxmlformats.org/officeDocument/2006/relationships/hyperlink" Target="https://www.cardmarket.com/en/Magic/Products/Boosters/Aetherdrift-Collector-Booster?sellerCountry=13&amp;language=1" TargetMode="External" Id="rId260"/><Relationship Type="http://schemas.openxmlformats.org/officeDocument/2006/relationships/hyperlink" Target="https://www.cardmarket.com/en/Magic/Products/Boosters/Universes-Beyond-Assassins-Creed-Collector-Booster?sellerCountry=13&amp;language=1" TargetMode="External" Id="rId261"/><Relationship Type="http://schemas.openxmlformats.org/officeDocument/2006/relationships/hyperlink" Target="https://www.cardmarket.com/en/Magic/Products/Boosters/Magic-The-Gathering-Avatar-The-Last-Airbender-Collector-Booster?sellerCountry=13&amp;language=1" TargetMode="External" Id="rId262"/><Relationship Type="http://schemas.openxmlformats.org/officeDocument/2006/relationships/hyperlink" Target="https://www.cardmarket.com/en/Magic/Products/Boosters/Bloomburrow-Collector-Booster?sellerCountry=13&amp;language=1" TargetMode="External" Id="rId263"/><Relationship Type="http://schemas.openxmlformats.org/officeDocument/2006/relationships/hyperlink" Target="https://www.cardmarket.com/en/Magic/Products/Boosters/Commander-Masters-Collector-Booster?sellerCountry=13&amp;language=1" TargetMode="External" Id="rId264"/><Relationship Type="http://schemas.openxmlformats.org/officeDocument/2006/relationships/hyperlink" Target="https://www.cardmarket.com/en/Magic/Products/Boosters/Dominaria-United-Collector-Booster?sellerCountry=13&amp;language=1" TargetMode="External" Id="rId265"/><Relationship Type="http://schemas.openxmlformats.org/officeDocument/2006/relationships/hyperlink" Target="https://www.cardmarket.com/en/Magic/Products/Boosters/Duskmourn-House-of-Horror-Collector-Booster?sellerCountry=13&amp;language=1" TargetMode="External" Id="rId266"/><Relationship Type="http://schemas.openxmlformats.org/officeDocument/2006/relationships/hyperlink" Target="https://www.cardmarket.com/en/Magic/Products/Boosters/Edge-of-Eternities-Collector-Booster?sellerCountry=13&amp;language=1" TargetMode="External" Id="rId267"/><Relationship Type="http://schemas.openxmlformats.org/officeDocument/2006/relationships/hyperlink" Target="https://www.cardmarket.com/en/Magic/Products/Boosters/Magic-The-Gathering-FINAL-FANTASY-Collector-Booster?sellerCountry=13&amp;language=1" TargetMode="External" Id="rId268"/><Relationship Type="http://schemas.openxmlformats.org/officeDocument/2006/relationships/hyperlink" Target="https://www.cardmarket.com/en/Magic/Products/Boosters/Magic-The-Gathering-Foundations-Collector-Booster?sellerCountry=13&amp;language=1" TargetMode="External" Id="rId269"/><Relationship Type="http://schemas.openxmlformats.org/officeDocument/2006/relationships/hyperlink" Target="https://www.cardmarket.com/en/Magic/Products/Boosters/Innistrad-Midnight-Hunt-Collector-Booster?sellerCountry=13&amp;language=1" TargetMode="External" Id="rId270"/><Relationship Type="http://schemas.openxmlformats.org/officeDocument/2006/relationships/hyperlink" Target="https://www.cardmarket.com/en/Magic/Products/Boosters/Innistrad-Remastered-Collector-Booster?sellerCountry=13&amp;language=1" TargetMode="External" Id="rId271"/><Relationship Type="http://schemas.openxmlformats.org/officeDocument/2006/relationships/hyperlink" Target="https://www.cardmarket.com/en/Magic/Products/Boosters/Innistrad-Crimson-Vow-Collector-Booster?sellerCountry=13&amp;language=1" TargetMode="External" Id="rId272"/><Relationship Type="http://schemas.openxmlformats.org/officeDocument/2006/relationships/hyperlink" Target="https://www.cardmarket.com/en/Magic/Products/Boosters/Kaldheim-Collector-Booster?sellerCountry=13&amp;language=1" TargetMode="External" Id="rId273"/><Relationship Type="http://schemas.openxmlformats.org/officeDocument/2006/relationships/hyperlink" Target="https://www.cardmarket.com/en/Magic/Products/Boosters/Kamigawa-Neon-Dynasty-Collector-Booster?sellerCountry=13&amp;language=1" TargetMode="External" Id="rId274"/><Relationship Type="http://schemas.openxmlformats.org/officeDocument/2006/relationships/hyperlink" Target="https://www.cardmarket.com/en/Magic/Products/Boosters/Lorwyn-Eclipsed-Collector-Booster?sellerCountry=13&amp;language=1" TargetMode="External" Id="rId275"/><Relationship Type="http://schemas.openxmlformats.org/officeDocument/2006/relationships/hyperlink" Target="https://www.cardmarket.com/en/Magic/Products/Boosters/March-of-the-Machine-Collector-Booster?sellerCountry=13&amp;language=1" TargetMode="External" Id="rId276"/><Relationship Type="http://schemas.openxmlformats.org/officeDocument/2006/relationships/hyperlink" Target="https://www.cardmarket.com/en/Magic/Products/Boosters/Magic-The-Gathering-Marvels-Spider-Man-Collector-Booster?sellerCountry=13&amp;language=1" TargetMode="External" Id="rId277"/><Relationship Type="http://schemas.openxmlformats.org/officeDocument/2006/relationships/hyperlink" Target="https://www.cardmarket.com/en/Magic/Products/Boosters/Modern-Horizons-2-Collector-Booster?sellerCountry=13&amp;language=1" TargetMode="External" Id="rId278"/><Relationship Type="http://schemas.openxmlformats.org/officeDocument/2006/relationships/hyperlink" Target="https://www.cardmarket.com/en/Magic/Products/Boosters/Modern-Horizons-3-Collector-Booster?sellerCountry=13&amp;language=1" TargetMode="External" Id="rId279"/><Relationship Type="http://schemas.openxmlformats.org/officeDocument/2006/relationships/hyperlink" Target="https://www.cardmarket.com/en/Magic/Products/Boosters/Murders-at-Karlov-Manor-Collector-Booster?sellerCountry=13&amp;language=1" TargetMode="External" Id="rId280"/><Relationship Type="http://schemas.openxmlformats.org/officeDocument/2006/relationships/hyperlink" Target="https://www.cardmarket.com/en/Magic/Products/Boosters/Outlaws-of-Thunder-Junction-Collector-Booster?sellerCountry=13&amp;language=1" TargetMode="External" Id="rId281"/><Relationship Type="http://schemas.openxmlformats.org/officeDocument/2006/relationships/hyperlink" Target="https://www.cardmarket.com/en/Magic/Products/Boosters/Phyrexia-All-Will-Be-One-Collector-Booster?sellerCountry=13&amp;language=1" TargetMode="External" Id="rId282"/><Relationship Type="http://schemas.openxmlformats.org/officeDocument/2006/relationships/hyperlink" Target="https://www.cardmarket.com/en/Magic/Products/Boosters/Ravnica-Remastered-Collector-Booster?sellerCountry=13&amp;language=1" TargetMode="External" Id="rId283"/><Relationship Type="http://schemas.openxmlformats.org/officeDocument/2006/relationships/hyperlink" Target="https://www.cardmarket.com/en/Magic/Products/Boosters/Streets-of-New-Capenna-Collector-Booster?sellerCountry=13&amp;language=1" TargetMode="External" Id="rId284"/><Relationship Type="http://schemas.openxmlformats.org/officeDocument/2006/relationships/hyperlink" Target="https://www.cardmarket.com/en/Magic/Products/Boosters/Strixhaven-School-of-Mages-Collector-Booster?sellerCountry=13&amp;language=1" TargetMode="External" Id="rId285"/><Relationship Type="http://schemas.openxmlformats.org/officeDocument/2006/relationships/hyperlink" Target="https://www.cardmarket.com/en/Magic/Products/Boosters/Tarkir-Dragonstorm-Collector-Booster?sellerCountry=13&amp;language=1" TargetMode="External" Id="rId286"/><Relationship Type="http://schemas.openxmlformats.org/officeDocument/2006/relationships/hyperlink" Target="https://www.cardmarket.com/en/Magic/Products/Boosters/The-Brothers-War-Collector-Booster?sellerCountry=13&amp;language=1" TargetMode="External" Id="rId287"/><Relationship Type="http://schemas.openxmlformats.org/officeDocument/2006/relationships/hyperlink" Target="https://www.cardmarket.com/en/Magic/Products/Boosters/The-Lord-of-the-Rings-Tales-of-Middle-earth-Collector-Booster?sellerCountry=13&amp;language=1" TargetMode="External" Id="rId288"/><Relationship Type="http://schemas.openxmlformats.org/officeDocument/2006/relationships/hyperlink" Target="https://www.cardmarket.com/en/Magic/Products/Boosters/The-Lost-Caverns-of-Ixalan-Collector-Booster?sellerCountry=13&amp;language=1" TargetMode="External" Id="rId289"/><Relationship Type="http://schemas.openxmlformats.org/officeDocument/2006/relationships/hyperlink" Target="https://www.cardmarket.com/en/Magic/Products/Boosters/Theros-Beyond-Death-Collector-Booster?sellerCountry=13&amp;language=1" TargetMode="External" Id="rId290"/><Relationship Type="http://schemas.openxmlformats.org/officeDocument/2006/relationships/hyperlink" Target="https://www.cardmarket.com/en/Magic/Products/Boosters/Throne-of-Eldraine-Collector-Booster?sellerCountry=13&amp;language=1" TargetMode="External" Id="rId291"/><Relationship Type="http://schemas.openxmlformats.org/officeDocument/2006/relationships/hyperlink" Target="https://www.cardmarket.com/en/Magic/Products/Boosters/Wilds-of-Eldraine-Collector-Booster?sellerCountry=13&amp;language=1" TargetMode="External" Id="rId292"/><Relationship Type="http://schemas.openxmlformats.org/officeDocument/2006/relationships/hyperlink" Target="https://www.cardmarket.com/en/Magic/Products/Preconstructed-Decks/Commander-Edge-of-Eternities-World-Shaper-Commander-Deck" TargetMode="External" Id="rId293"/><Relationship Type="http://schemas.openxmlformats.org/officeDocument/2006/relationships/hyperlink" Target="https://www.cardmarket.com/en/Magic/Products/Preconstructed-Decks/Commander-Edge-of-Eternities-Counter-Intelligence-Commander-Deck" TargetMode="External" Id="rId294"/><Relationship Type="http://schemas.openxmlformats.org/officeDocument/2006/relationships/hyperlink" Target="https://www.cardmarket.com/en/Magic/Products/Preconstructed-Decks/Commander-Magic-The-Gathering-FINAL-FANTASY-Revival-Trance-Commander-Deck" TargetMode="External" Id="rId295"/><Relationship Type="http://schemas.openxmlformats.org/officeDocument/2006/relationships/hyperlink" Target="https://www.cardmarket.com/en/Magic/Products/Preconstructed-Decks/Commander-Magic-The-Gathering-FINAL-FANTASY-Limit-Break-Commander-Deck" TargetMode="External" Id="rId296"/><Relationship Type="http://schemas.openxmlformats.org/officeDocument/2006/relationships/hyperlink" Target="https://www.cardmarket.com/en/Magic/Products/Preconstructed-Decks/Commander-Magic-The-Gathering-FINAL-FANTASY-Counter-Blitz-Commander-Deck" TargetMode="External" Id="rId297"/><Relationship Type="http://schemas.openxmlformats.org/officeDocument/2006/relationships/hyperlink" Target="https://www.cardmarket.com/en/Magic/Products/Preconstructed-Decks/Commander-Magic-The-Gathering-FINAL-FANTASY-Scions-Spellcraft-Commander-Deck" TargetMode="External" Id="rId298"/><Relationship Type="http://schemas.openxmlformats.org/officeDocument/2006/relationships/hyperlink" Target="https://www.cardmarket.com/en/Magic/Products/Preconstructed-Decks/Commander-Tarkir-Dragonstorm-Abzan-Armor-Commander-Deck" TargetMode="External" Id="rId299"/><Relationship Type="http://schemas.openxmlformats.org/officeDocument/2006/relationships/hyperlink" Target="https://www.cardmarket.com/en/Magic/Products/Preconstructed-Decks/Commander-Tarkir-Dragonstorm-Mardu-Surge-Commander-Deck" TargetMode="External" Id="rId300"/><Relationship Type="http://schemas.openxmlformats.org/officeDocument/2006/relationships/hyperlink" Target="https://www.cardmarket.com/en/Magic/Products/Preconstructed-Decks/Commander-Tarkir-Dragonstorm-Jeskai-Striker-Commander-Deck" TargetMode="External" Id="rId301"/><Relationship Type="http://schemas.openxmlformats.org/officeDocument/2006/relationships/hyperlink" Target="https://www.cardmarket.com/en/Magic/Products/Preconstructed-Decks/Commander-Tarkir-Dragonstorm-Temur-Roar-Commander-Deck" TargetMode="External" Id="rId302"/><Relationship Type="http://schemas.openxmlformats.org/officeDocument/2006/relationships/hyperlink" Target="https://www.cardmarket.com/en/Magic/Products/Preconstructed-Decks/Commander-Tarkir-Dragonstorm-Sultai-Arisen-Commander-Deck" TargetMode="External" Id="rId303"/><Relationship Type="http://schemas.openxmlformats.org/officeDocument/2006/relationships/hyperlink" Target="https://www.cardmarket.com/en/Magic/Products/Preconstructed-Decks/Commander-Aetherdrift-Eternal-Might-Commander-Deck" TargetMode="External" Id="rId304"/><Relationship Type="http://schemas.openxmlformats.org/officeDocument/2006/relationships/hyperlink" Target="https://www.cardmarket.com/en/Magic/Products/Preconstructed-Decks/Commander-Aetherdrift-Living-Energy-Commander-Deck" TargetMode="External" Id="rId305"/><Relationship Type="http://schemas.openxmlformats.org/officeDocument/2006/relationships/hyperlink" Target="https://www.cardmarket.com/en/Magic/Products/Preconstructed-Decks/Commander-Duskmourn-House-of-Horror-Miracle-Worker-Commander-Deck" TargetMode="External" Id="rId306"/><Relationship Type="http://schemas.openxmlformats.org/officeDocument/2006/relationships/hyperlink" Target="https://www.cardmarket.com/en/Magic/Products/Preconstructed-Decks/Commander-Duskmourn-House-of-Horror-Jump-Scare-Commander-Deck" TargetMode="External" Id="rId307"/><Relationship Type="http://schemas.openxmlformats.org/officeDocument/2006/relationships/hyperlink" Target="https://www.cardmarket.com/en/Magic/Products/Preconstructed-Decks/Commander-Duskmourn-House-of-Horror-Endless-Punishment-Commander-Deck" TargetMode="External" Id="rId308"/><Relationship Type="http://schemas.openxmlformats.org/officeDocument/2006/relationships/hyperlink" Target="https://www.cardmarket.com/en/Magic/Products/Preconstructed-Decks/Commander-Duskmourn-House-of-Horror-Death-Toll-Commander-Deck" TargetMode="External" Id="rId309"/><Relationship Type="http://schemas.openxmlformats.org/officeDocument/2006/relationships/hyperlink" Target="https://www.cardmarket.com/en/Magic/Products/Preconstructed-Decks/Commander-Bloomburrow-Squirreled-Away-Commander-Deck" TargetMode="External" Id="rId310"/><Relationship Type="http://schemas.openxmlformats.org/officeDocument/2006/relationships/hyperlink" Target="https://www.cardmarket.com/en/Magic/Products/Preconstructed-Decks/Commander-Bloomburrow-Animated-Army-Commander-Deck" TargetMode="External" Id="rId311"/><Relationship Type="http://schemas.openxmlformats.org/officeDocument/2006/relationships/hyperlink" Target="https://www.cardmarket.com/en/Magic/Products/Preconstructed-Decks/Commander-Bloomburrow-Peace-Offering-Commander-Deck" TargetMode="External" Id="rId312"/><Relationship Type="http://schemas.openxmlformats.org/officeDocument/2006/relationships/hyperlink" Target="https://www.cardmarket.com/en/Magic/Products/Preconstructed-Decks/Commander-Bloomburrow-Family-Matters-Commander-Deck" TargetMode="External" Id="rId313"/><Relationship Type="http://schemas.openxmlformats.org/officeDocument/2006/relationships/hyperlink" Target="https://www.cardmarket.com/en/Magic/Products/Preconstructed-Decks/Commander-Modern-Horizons-3-Eldrazi-Incursion-Commander-Deck" TargetMode="External" Id="rId314"/><Relationship Type="http://schemas.openxmlformats.org/officeDocument/2006/relationships/hyperlink" Target="https://www.cardmarket.com/en/Magic/Products/Preconstructed-Decks/Commander-Modern-Horizons-3-Graveyard-Overdrive-Commander-Deck" TargetMode="External" Id="rId315"/><Relationship Type="http://schemas.openxmlformats.org/officeDocument/2006/relationships/hyperlink" Target="https://www.cardmarket.com/en/Magic/Products/Preconstructed-Decks/Commander-Modern-Horizons-3-Tricky-Terrain-Commander-Deck" TargetMode="External" Id="rId316"/><Relationship Type="http://schemas.openxmlformats.org/officeDocument/2006/relationships/hyperlink" Target="https://www.cardmarket.com/en/Magic/Products/Preconstructed-Decks/Commander-Modern-Horizons-3-Creative-Energy-Commander-Deck" TargetMode="External" Id="rId317"/><Relationship Type="http://schemas.openxmlformats.org/officeDocument/2006/relationships/hyperlink" Target="https://www.cardmarket.com/en/Magic/Products/Preconstructed-Decks/Commander-Outlaws-of-Thunder-Junction-Quick-Draw-Commander-Deck" TargetMode="External" Id="rId318"/><Relationship Type="http://schemas.openxmlformats.org/officeDocument/2006/relationships/hyperlink" Target="https://www.cardmarket.com/en/Magic/Products/Preconstructed-Decks/Commander-Outlaws-of-Thunder-Junction-Desert-Bloom-Commander-Deck" TargetMode="External" Id="rId319"/><Relationship Type="http://schemas.openxmlformats.org/officeDocument/2006/relationships/hyperlink" Target="https://www.cardmarket.com/en/Magic/Products/Preconstructed-Decks/Commander-Outlaws-of-Thunder-Junction-Grand-Larceny-Commander-Deck" TargetMode="External" Id="rId320"/><Relationship Type="http://schemas.openxmlformats.org/officeDocument/2006/relationships/hyperlink" Target="https://www.cardmarket.com/en/Magic/Products/Preconstructed-Decks/Commander-Outlaws-of-Thunder-Junction-Most-Wanted-Commander-Deck" TargetMode="External" Id="rId321"/><Relationship Type="http://schemas.openxmlformats.org/officeDocument/2006/relationships/hyperlink" Target="https://www.cardmarket.com/en/Magic/Products/Preconstructed-Decks/Universes-Beyond-Fallout-Scrappy-Survivors-Commander-Deck" TargetMode="External" Id="rId322"/><Relationship Type="http://schemas.openxmlformats.org/officeDocument/2006/relationships/hyperlink" Target="https://www.cardmarket.com/en/Magic/Products/Preconstructed-Decks/Universes-Beyond-Fallout-Science-Commander-Deck" TargetMode="External" Id="rId323"/><Relationship Type="http://schemas.openxmlformats.org/officeDocument/2006/relationships/hyperlink" Target="https://www.cardmarket.com/en/Magic/Products/Preconstructed-Decks/Universes-Beyond-Fallout-Hail-Caesar-Commander-Deck" TargetMode="External" Id="rId324"/><Relationship Type="http://schemas.openxmlformats.org/officeDocument/2006/relationships/hyperlink" Target="https://www.cardmarket.com/en/Magic/Products/Preconstructed-Decks/Universes-Beyond-Fallout-Mutant-Menace-Commander-Deck" TargetMode="External" Id="rId325"/><Relationship Type="http://schemas.openxmlformats.org/officeDocument/2006/relationships/hyperlink" Target="https://www.cardmarket.com/en/Magic/Products/Preconstructed-Decks/Commander-Murders-at-Karlov-Manor-Blame-Game-Commander-Deck" TargetMode="External" Id="rId326"/><Relationship Type="http://schemas.openxmlformats.org/officeDocument/2006/relationships/hyperlink" Target="https://www.cardmarket.com/en/Magic/Products/Preconstructed-Decks/Commander-Murders-at-Karlov-Manor-Revenant-Recon-Commander-Deck" TargetMode="External" Id="rId327"/><Relationship Type="http://schemas.openxmlformats.org/officeDocument/2006/relationships/hyperlink" Target="https://www.cardmarket.com/en/Magic/Products/Preconstructed-Decks/Commander-Murders-at-Karlov-Manor-Deadly-Disguise-Commander-Deck" TargetMode="External" Id="rId328"/><Relationship Type="http://schemas.openxmlformats.org/officeDocument/2006/relationships/hyperlink" Target="https://www.cardmarket.com/en/Magic/Products/Preconstructed-Decks/Commander-Murders-at-Karlov-Manor-Deep-Clue-Sea-Commander-Deck" TargetMode="External" Id="rId329"/><Relationship Type="http://schemas.openxmlformats.org/officeDocument/2006/relationships/hyperlink" Target="https://www.cardmarket.com/en/Magic/Products/Preconstructed-Decks/Commander-The-Lost-Caverns-of-Ixalan-Veloci-Ramp-Tor-Commander-Deck" TargetMode="External" Id="rId330"/><Relationship Type="http://schemas.openxmlformats.org/officeDocument/2006/relationships/hyperlink" Target="https://www.cardmarket.com/en/Magic/Products/Preconstructed-Decks/Commander-The-Lost-Caverns-of-Ixalan-Blood-Rites-Commander-Deck" TargetMode="External" Id="rId331"/><Relationship Type="http://schemas.openxmlformats.org/officeDocument/2006/relationships/hyperlink" Target="https://www.cardmarket.com/en/Magic/Products/Preconstructed-Decks/Commander-The-Lost-Caverns-of-Ixalan-Ahoy-Mateys-Commander-Deck" TargetMode="External" Id="rId332"/><Relationship Type="http://schemas.openxmlformats.org/officeDocument/2006/relationships/hyperlink" Target="https://www.cardmarket.com/en/Magic/Products/Preconstructed-Decks/Commander-The-Lost-Caverns-of-Ixalan-Explorers-of-the-Deep-Commander-Deck" TargetMode="External" Id="rId333"/><Relationship Type="http://schemas.openxmlformats.org/officeDocument/2006/relationships/hyperlink" Target="https://www.cardmarket.com/en/Magic/Products/Preconstructed-Decks/Universes-Beyond-Doctor-Who-Blast-from-the-Past-Commander-Deck" TargetMode="External" Id="rId334"/><Relationship Type="http://schemas.openxmlformats.org/officeDocument/2006/relationships/hyperlink" Target="https://www.cardmarket.com/en/Magic/Products/Preconstructed-Decks/Universes-Beyond-Doctor-Who-Timey-Wimey-Commander-Deck" TargetMode="External" Id="rId335"/><Relationship Type="http://schemas.openxmlformats.org/officeDocument/2006/relationships/hyperlink" Target="https://www.cardmarket.com/en/Magic/Products/Preconstructed-Decks/Universes-Beyond-Doctor-Who-Paradox-Power-Commander-Deck" TargetMode="External" Id="rId336"/><Relationship Type="http://schemas.openxmlformats.org/officeDocument/2006/relationships/hyperlink" Target="https://www.cardmarket.com/en/Magic/Products/Preconstructed-Decks/Universes-Beyond-Doctor-Who-Masters-of-Evil-Commander-Deck" TargetMode="External" Id="rId337"/><Relationship Type="http://schemas.openxmlformats.org/officeDocument/2006/relationships/hyperlink" Target="https://www.cardmarket.com/en/Magic/Products/Preconstructed-Decks/Commander-Wilds-of-Eldraine-Virtue-and-Valor-Commander-Deck" TargetMode="External" Id="rId338"/><Relationship Type="http://schemas.openxmlformats.org/officeDocument/2006/relationships/hyperlink" Target="https://www.cardmarket.com/en/Magic/Products/Preconstructed-Decks/Commander-Wilds-of-Eldraine-Fae-Dominion-Commander-Deck" TargetMode="External" Id="rId339"/><Relationship Type="http://schemas.openxmlformats.org/officeDocument/2006/relationships/hyperlink" Target="https://www.cardmarket.com/en/Magic/Products/Preconstructed-Decks/Commander-Masters-Sliver-Swarm-Commander-Deck" TargetMode="External" Id="rId340"/><Relationship Type="http://schemas.openxmlformats.org/officeDocument/2006/relationships/hyperlink" Target="https://www.cardmarket.com/en/Magic/Products/Preconstructed-Decks/Commander-Masters-Planeswalker-Party-Commander-Deck" TargetMode="External" Id="rId341"/><Relationship Type="http://schemas.openxmlformats.org/officeDocument/2006/relationships/hyperlink" Target="https://www.cardmarket.com/en/Magic/Products/Preconstructed-Decks/Commander-Masters-Enduring-Enchantments-Commander-Deck" TargetMode="External" Id="rId342"/><Relationship Type="http://schemas.openxmlformats.org/officeDocument/2006/relationships/hyperlink" Target="https://www.cardmarket.com/en/Magic/Products/Preconstructed-Decks/Commander-Masters-Eldrazi-Unbound-Commander-Deck" TargetMode="External" Id="rId343"/><Relationship Type="http://schemas.openxmlformats.org/officeDocument/2006/relationships/hyperlink" Target="https://www.cardmarket.com/en/Magic/Products/Preconstructed-Decks/Commander-The-Lord-of-the-Rings-Tales-of-Middle-earth-Food-and-Fellowship-Commander-Deck" TargetMode="External" Id="rId344"/><Relationship Type="http://schemas.openxmlformats.org/officeDocument/2006/relationships/hyperlink" Target="https://www.cardmarket.com/en/Magic/Products/Preconstructed-Decks/Commander-The-Lord-of-the-Rings-Tales-of-Middle-earth-Elven-Council-Commander-Deck" TargetMode="External" Id="rId345"/><Relationship Type="http://schemas.openxmlformats.org/officeDocument/2006/relationships/hyperlink" Target="https://www.cardmarket.com/en/Magic/Products/Preconstructed-Decks/Commander-The-Lord-of-the-Rings-Tales-of-Middle-earth-Riders-of-Rohan-Commander-Deck" TargetMode="External" Id="rId346"/><Relationship Type="http://schemas.openxmlformats.org/officeDocument/2006/relationships/hyperlink" Target="https://www.cardmarket.com/en/Magic/Products/Preconstructed-Decks/Commander-The-Lord-of-the-Rings-Tales-of-Middle-earth-The-Hosts-of-Mordor-Commander-Deck" TargetMode="External" Id="rId347"/><Relationship Type="http://schemas.openxmlformats.org/officeDocument/2006/relationships/hyperlink" Target="https://www.cardmarket.com/en/Magic/Products/Preconstructed-Decks/Commander-March-of-the-Machine-Growing-Threat-Commander-Deck" TargetMode="External" Id="rId348"/><Relationship Type="http://schemas.openxmlformats.org/officeDocument/2006/relationships/hyperlink" Target="https://www.cardmarket.com/en/Magic/Products/Preconstructed-Decks/Commander-March-of-the-Machine-Cavalry-Charge-Commander-Deck" TargetMode="External" Id="rId349"/><Relationship Type="http://schemas.openxmlformats.org/officeDocument/2006/relationships/hyperlink" Target="https://www.cardmarket.com/en/Magic/Products/Preconstructed-Decks/Commander-March-of-the-Machine-Call-for-Backup-Commander-Deck" TargetMode="External" Id="rId350"/><Relationship Type="http://schemas.openxmlformats.org/officeDocument/2006/relationships/hyperlink" Target="https://www.cardmarket.com/en/Magic/Products/Preconstructed-Decks/Commander-March-of-the-Machine-Divine-Convocation-Commander-Deck" TargetMode="External" Id="rId351"/><Relationship Type="http://schemas.openxmlformats.org/officeDocument/2006/relationships/hyperlink" Target="https://www.cardmarket.com/en/Magic/Products/Preconstructed-Decks/Commander-March-of-the-Machine-Tinker-Time-Commander-Deck" TargetMode="External" Id="rId352"/><Relationship Type="http://schemas.openxmlformats.org/officeDocument/2006/relationships/hyperlink" Target="https://www.cardmarket.com/en/Magic/Products/Preconstructed-Decks/Commander-Phyrexia-All-Will-Be-One-Corrupting-Influence-Commander-Deck" TargetMode="External" Id="rId353"/><Relationship Type="http://schemas.openxmlformats.org/officeDocument/2006/relationships/hyperlink" Target="https://www.cardmarket.com/en/Magic/Products/Preconstructed-Decks/Commander-Phyrexia-All-Will-Be-One-Rebellion-Rising-Commander-Deck" TargetMode="External" Id="rId354"/><Relationship Type="http://schemas.openxmlformats.org/officeDocument/2006/relationships/hyperlink" Target="https://www.cardmarket.com/en/Magic/Products/Preconstructed-Decks/Starter-Commander-Decks-First-Flight-Commander-Deck" TargetMode="External" Id="rId355"/><Relationship Type="http://schemas.openxmlformats.org/officeDocument/2006/relationships/hyperlink" Target="https://www.cardmarket.com/en/Magic/Products/Preconstructed-Decks/Starter-Commander-Decks-Grave-Danger-Commander-Deck" TargetMode="External" Id="rId356"/><Relationship Type="http://schemas.openxmlformats.org/officeDocument/2006/relationships/hyperlink" Target="https://www.cardmarket.com/en/Magic/Products/Preconstructed-Decks/Starter-Commander-Decks-Chaos-Incarnate-Commander-Deck" TargetMode="External" Id="rId357"/><Relationship Type="http://schemas.openxmlformats.org/officeDocument/2006/relationships/hyperlink" Target="https://www.cardmarket.com/en/Magic/Products/Preconstructed-Decks/Starter-Commander-Decks-Draconic-Destruction-Commander-Deck" TargetMode="External" Id="rId358"/><Relationship Type="http://schemas.openxmlformats.org/officeDocument/2006/relationships/hyperlink" Target="https://www.cardmarket.com/en/Magic/Products/Preconstructed-Decks/Starter-Commander-Decks-Token-Triumph-Commander-Deck" TargetMode="External" Id="rId359"/><Relationship Type="http://schemas.openxmlformats.org/officeDocument/2006/relationships/hyperlink" Target="https://www.cardmarket.com/en/Magic/Products/Preconstructed-Decks/Commander-The-Brothers-War-Urzas-Iron-Alliance-Commander-Deck" TargetMode="External" Id="rId360"/><Relationship Type="http://schemas.openxmlformats.org/officeDocument/2006/relationships/hyperlink" Target="https://www.cardmarket.com/en/Magic/Products/Preconstructed-Decks/Commander-The-Brothers-War-Mishras-Burnished-Banner-Commander-Deck" TargetMode="External" Id="rId361"/><Relationship Type="http://schemas.openxmlformats.org/officeDocument/2006/relationships/hyperlink" Target="https://www.cardmarket.com/en/Magic/Products/Preconstructed-Decks/Universes-Beyond-Warhammer-40000-The-Ruinous-Powers-Commander-Deck" TargetMode="External" Id="rId362"/><Relationship Type="http://schemas.openxmlformats.org/officeDocument/2006/relationships/hyperlink" Target="https://www.cardmarket.com/en/Magic/Products/Preconstructed-Decks/Universes-Beyond-Warhammer-40000-Tyranid-Swarm-Commander-Deck" TargetMode="External" Id="rId363"/><Relationship Type="http://schemas.openxmlformats.org/officeDocument/2006/relationships/hyperlink" Target="https://www.cardmarket.com/en/Magic/Products/Preconstructed-Decks/Universes-Beyond-Warhammer-40000-Forces-of-the-Imperium-Commander-Deck" TargetMode="External" Id="rId364"/><Relationship Type="http://schemas.openxmlformats.org/officeDocument/2006/relationships/hyperlink" Target="https://www.cardmarket.com/en/Magic/Products/Preconstructed-Decks/Universes-Beyond-Warhammer-40000-Necron-Dynasties-Commander-Deck" TargetMode="External" Id="rId365"/><Relationship Type="http://schemas.openxmlformats.org/officeDocument/2006/relationships/hyperlink" Target="https://www.cardmarket.com/en/Magic/Products/Preconstructed-Decks/Commander-Dominaria-United-Painbow-Deck" TargetMode="External" Id="rId366"/><Relationship Type="http://schemas.openxmlformats.org/officeDocument/2006/relationships/hyperlink" Target="https://www.cardmarket.com/en/Magic/Products/Preconstructed-Decks/Commander-Dominaria-United-Legends-Legacy-Deck" TargetMode="External" Id="rId367"/><Relationship Type="http://schemas.openxmlformats.org/officeDocument/2006/relationships/hyperlink" Target="https://www.cardmarket.com/en/Magic/Products/Preconstructed-Decks/Commander-Legends-Battle-for-Baldurs-Gate-Party-Time-Deck" TargetMode="External" Id="rId368"/><Relationship Type="http://schemas.openxmlformats.org/officeDocument/2006/relationships/hyperlink" Target="https://www.cardmarket.com/en/Magic/Products/Preconstructed-Decks/Commander-Legends-Battle-for-Baldurs-Gate-Mind-Flayarrrs-Deck" TargetMode="External" Id="rId369"/><Relationship Type="http://schemas.openxmlformats.org/officeDocument/2006/relationships/hyperlink" Target="https://www.cardmarket.com/en/Magic/Products/Preconstructed-Decks/Commander-Legends-Battle-for-Baldurs-Gate-Draconic-Dissent-Deck" TargetMode="External" Id="rId370"/><Relationship Type="http://schemas.openxmlformats.org/officeDocument/2006/relationships/hyperlink" Target="https://www.cardmarket.com/en/Magic/Products/Preconstructed-Decks/Commander-Legends-Battle-for-Baldurs-Gate-Exit-from-Exile-Deck" TargetMode="External" Id="rId371"/><Relationship Type="http://schemas.openxmlformats.org/officeDocument/2006/relationships/hyperlink" Target="https://www.cardmarket.com/en/Magic/Products/Preconstructed-Decks/Commander-Streets-of-New-Capenna-Obscura-Operation-Deck" TargetMode="External" Id="rId372"/><Relationship Type="http://schemas.openxmlformats.org/officeDocument/2006/relationships/hyperlink" Target="https://www.cardmarket.com/en/Magic/Products/Preconstructed-Decks/Commander-Streets-of-New-Capenna-Maestros-Massacre-Deck" TargetMode="External" Id="rId373"/><Relationship Type="http://schemas.openxmlformats.org/officeDocument/2006/relationships/hyperlink" Target="https://www.cardmarket.com/en/Magic/Products/Preconstructed-Decks/Commander-Streets-of-New-Capenna-Riveteers-Rampage-Deck" TargetMode="External" Id="rId374"/><Relationship Type="http://schemas.openxmlformats.org/officeDocument/2006/relationships/hyperlink" Target="https://www.cardmarket.com/en/Magic/Products/Preconstructed-Decks/Commander-Streets-of-New-Capenna-Cabaretti-Cacophony-Deck" TargetMode="External" Id="rId375"/><Relationship Type="http://schemas.openxmlformats.org/officeDocument/2006/relationships/hyperlink" Target="https://www.cardmarket.com/en/Magic/Products/Preconstructed-Decks/Commander-Streets-of-New-Capenna-Bedecked-Brokers-Deck-Minimum-Waste" TargetMode="External" Id="rId376"/><Relationship Type="http://schemas.openxmlformats.org/officeDocument/2006/relationships/hyperlink" Target="https://www.cardmarket.com/en/Magic/Products/Preconstructed-Decks/Commander-Kamigawa-Neon-Dynasty-Buckle-Up-Deck" TargetMode="External" Id="rId377"/><Relationship Type="http://schemas.openxmlformats.org/officeDocument/2006/relationships/hyperlink" Target="https://www.cardmarket.com/en/Magic/Products/Preconstructed-Decks/Commander-Kamigawa-Neon-Dynasty-Upgrades-Unleashed-Deck" TargetMode="External" Id="rId378"/><Relationship Type="http://schemas.openxmlformats.org/officeDocument/2006/relationships/table" Target="/xl/tables/table9.xml" Id="rId379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8.xml.rels><Relationships xmlns="http://schemas.openxmlformats.org/package/2006/relationships"><Relationship Type="http://schemas.openxmlformats.org/officeDocument/2006/relationships/hyperlink" Target="https://entoyment.co.uk/" TargetMode="External" Id="rId1"/><Relationship Type="http://schemas.openxmlformats.org/officeDocument/2006/relationships/hyperlink" Target="https://totalcards.net/" TargetMode="External" Id="rId2"/><Relationship Type="http://schemas.openxmlformats.org/officeDocument/2006/relationships/hyperlink" Target="https://invictatcg.co.uk/wholesale-login/" TargetMode="External" Id="rId3"/><Relationship Type="http://schemas.openxmlformats.org/officeDocument/2006/relationships/hyperlink" Target="https://www.asmodee.co.uk/pages/new-account-application" TargetMode="External" Id="rId4"/><Relationship Type="http://schemas.openxmlformats.org/officeDocument/2006/relationships/hyperlink" Target="https://www.japan2uk.com/" TargetMode="External" Id="rId5"/><Relationship Type="http://schemas.openxmlformats.org/officeDocument/2006/relationships/hyperlink" Target="https://pokeuk.co.uk/pokemon-booster-boxes/" TargetMode="External" Id="rId6"/><Relationship Type="http://schemas.openxmlformats.org/officeDocument/2006/relationships/hyperlink" Target="https://titancards.co.uk/" TargetMode="External" Id="rId7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hyperlink" Target="https://scryfall.com/sets/msh" TargetMode="External" Id="rId1"/><Relationship Type="http://schemas.openxmlformats.org/officeDocument/2006/relationships/hyperlink" Target="https://scryfall.com/sets/msh" TargetMode="External" Id="rId2"/><Relationship Type="http://schemas.openxmlformats.org/officeDocument/2006/relationships/hyperlink" Target="https://scryfall.com/sets/msh" TargetMode="External" Id="rId3"/><Relationship Type="http://schemas.openxmlformats.org/officeDocument/2006/relationships/hyperlink" Target="https://scryfall.com/sets/msh" TargetMode="External" Id="rId4"/><Relationship Type="http://schemas.openxmlformats.org/officeDocument/2006/relationships/hyperlink" Target="https://scryfall.com/sets/msc" TargetMode="External" Id="rId5"/><Relationship Type="http://schemas.openxmlformats.org/officeDocument/2006/relationships/hyperlink" Target="https://scryfall.com/sets/msc" TargetMode="External" Id="rId6"/><Relationship Type="http://schemas.openxmlformats.org/officeDocument/2006/relationships/hyperlink" Target="https://scryfall.com/sets/msc" TargetMode="External" Id="rId7"/><Relationship Type="http://schemas.openxmlformats.org/officeDocument/2006/relationships/hyperlink" Target="https://scryfall.com/sets/msc" TargetMode="External" Id="rId8"/><Relationship Type="http://schemas.openxmlformats.org/officeDocument/2006/relationships/hyperlink" Target="https://scryfall.com/sets/tmt" TargetMode="External" Id="rId9"/><Relationship Type="http://schemas.openxmlformats.org/officeDocument/2006/relationships/hyperlink" Target="https://scryfall.com/sets/tmt" TargetMode="External" Id="rId10"/><Relationship Type="http://schemas.openxmlformats.org/officeDocument/2006/relationships/hyperlink" Target="https://scryfall.com/sets/tmt" TargetMode="External" Id="rId11"/><Relationship Type="http://schemas.openxmlformats.org/officeDocument/2006/relationships/hyperlink" Target="https://scryfall.com/sets/tmt" TargetMode="External" Id="rId12"/><Relationship Type="http://schemas.openxmlformats.org/officeDocument/2006/relationships/hyperlink" Target="https://scryfall.com/sets/pza" TargetMode="External" Id="rId13"/><Relationship Type="http://schemas.openxmlformats.org/officeDocument/2006/relationships/hyperlink" Target="https://scryfall.com/sets/pza" TargetMode="External" Id="rId14"/><Relationship Type="http://schemas.openxmlformats.org/officeDocument/2006/relationships/hyperlink" Target="https://scryfall.com/sets/pza" TargetMode="External" Id="rId15"/><Relationship Type="http://schemas.openxmlformats.org/officeDocument/2006/relationships/hyperlink" Target="https://scryfall.com/sets/pza" TargetMode="External" Id="rId16"/><Relationship Type="http://schemas.openxmlformats.org/officeDocument/2006/relationships/hyperlink" Target="https://scryfall.com/sets/ttmt" TargetMode="External" Id="rId17"/><Relationship Type="http://schemas.openxmlformats.org/officeDocument/2006/relationships/hyperlink" Target="https://scryfall.com/sets/ttmt" TargetMode="External" Id="rId18"/><Relationship Type="http://schemas.openxmlformats.org/officeDocument/2006/relationships/hyperlink" Target="https://scryfall.com/sets/ttmt" TargetMode="External" Id="rId19"/><Relationship Type="http://schemas.openxmlformats.org/officeDocument/2006/relationships/hyperlink" Target="https://scryfall.com/sets/ttmt" TargetMode="External" Id="rId20"/><Relationship Type="http://schemas.openxmlformats.org/officeDocument/2006/relationships/hyperlink" Target="https://scryfall.com/sets/tmc" TargetMode="External" Id="rId21"/><Relationship Type="http://schemas.openxmlformats.org/officeDocument/2006/relationships/hyperlink" Target="https://scryfall.com/sets/tmc" TargetMode="External" Id="rId22"/><Relationship Type="http://schemas.openxmlformats.org/officeDocument/2006/relationships/hyperlink" Target="https://scryfall.com/sets/tmc" TargetMode="External" Id="rId23"/><Relationship Type="http://schemas.openxmlformats.org/officeDocument/2006/relationships/hyperlink" Target="https://scryfall.com/sets/tmc" TargetMode="External" Id="rId24"/><Relationship Type="http://schemas.openxmlformats.org/officeDocument/2006/relationships/hyperlink" Target="https://scryfall.com/sets/ttmc" TargetMode="External" Id="rId25"/><Relationship Type="http://schemas.openxmlformats.org/officeDocument/2006/relationships/hyperlink" Target="https://scryfall.com/sets/ttmc" TargetMode="External" Id="rId26"/><Relationship Type="http://schemas.openxmlformats.org/officeDocument/2006/relationships/hyperlink" Target="https://scryfall.com/sets/ttmc" TargetMode="External" Id="rId27"/><Relationship Type="http://schemas.openxmlformats.org/officeDocument/2006/relationships/hyperlink" Target="https://scryfall.com/sets/ttmc" TargetMode="External" Id="rId28"/><Relationship Type="http://schemas.openxmlformats.org/officeDocument/2006/relationships/hyperlink" Target="https://scryfall.com/sets/ecl" TargetMode="External" Id="rId29"/><Relationship Type="http://schemas.openxmlformats.org/officeDocument/2006/relationships/hyperlink" Target="https://scryfall.com/sets/ecl" TargetMode="External" Id="rId30"/><Relationship Type="http://schemas.openxmlformats.org/officeDocument/2006/relationships/hyperlink" Target="https://scryfall.com/sets/ecl" TargetMode="External" Id="rId31"/><Relationship Type="http://schemas.openxmlformats.org/officeDocument/2006/relationships/hyperlink" Target="https://scryfall.com/sets/ecl" TargetMode="External" Id="rId32"/><Relationship Type="http://schemas.openxmlformats.org/officeDocument/2006/relationships/hyperlink" Target="https://scryfall.com/sets/pf26" TargetMode="External" Id="rId33"/><Relationship Type="http://schemas.openxmlformats.org/officeDocument/2006/relationships/hyperlink" Target="https://scryfall.com/sets/pf26" TargetMode="External" Id="rId34"/><Relationship Type="http://schemas.openxmlformats.org/officeDocument/2006/relationships/hyperlink" Target="https://scryfall.com/sets/pf26" TargetMode="External" Id="rId35"/><Relationship Type="http://schemas.openxmlformats.org/officeDocument/2006/relationships/hyperlink" Target="https://scryfall.com/sets/pf26" TargetMode="External" Id="rId36"/><Relationship Type="http://schemas.openxmlformats.org/officeDocument/2006/relationships/hyperlink" Target="https://scryfall.com/sets/tla" TargetMode="External" Id="rId37"/><Relationship Type="http://schemas.openxmlformats.org/officeDocument/2006/relationships/hyperlink" Target="https://scryfall.com/sets/tla" TargetMode="External" Id="rId38"/><Relationship Type="http://schemas.openxmlformats.org/officeDocument/2006/relationships/hyperlink" Target="https://scryfall.com/sets/tla" TargetMode="External" Id="rId39"/><Relationship Type="http://schemas.openxmlformats.org/officeDocument/2006/relationships/hyperlink" Target="https://scryfall.com/sets/tla" TargetMode="External" Id="rId40"/><Relationship Type="http://schemas.openxmlformats.org/officeDocument/2006/relationships/hyperlink" Target="https://scryfall.com/sets/ttla" TargetMode="External" Id="rId41"/><Relationship Type="http://schemas.openxmlformats.org/officeDocument/2006/relationships/hyperlink" Target="https://scryfall.com/sets/ttla" TargetMode="External" Id="rId42"/><Relationship Type="http://schemas.openxmlformats.org/officeDocument/2006/relationships/hyperlink" Target="https://scryfall.com/sets/ttla" TargetMode="External" Id="rId43"/><Relationship Type="http://schemas.openxmlformats.org/officeDocument/2006/relationships/hyperlink" Target="https://scryfall.com/sets/ttla" TargetMode="External" Id="rId44"/><Relationship Type="http://schemas.openxmlformats.org/officeDocument/2006/relationships/hyperlink" Target="https://scryfall.com/sets/ftla" TargetMode="External" Id="rId45"/><Relationship Type="http://schemas.openxmlformats.org/officeDocument/2006/relationships/hyperlink" Target="https://scryfall.com/sets/ftla" TargetMode="External" Id="rId46"/><Relationship Type="http://schemas.openxmlformats.org/officeDocument/2006/relationships/hyperlink" Target="https://scryfall.com/sets/ftla" TargetMode="External" Id="rId47"/><Relationship Type="http://schemas.openxmlformats.org/officeDocument/2006/relationships/hyperlink" Target="https://scryfall.com/sets/ftla" TargetMode="External" Id="rId48"/><Relationship Type="http://schemas.openxmlformats.org/officeDocument/2006/relationships/hyperlink" Target="https://scryfall.com/sets/jtla" TargetMode="External" Id="rId49"/><Relationship Type="http://schemas.openxmlformats.org/officeDocument/2006/relationships/hyperlink" Target="https://scryfall.com/sets/jtla" TargetMode="External" Id="rId50"/><Relationship Type="http://schemas.openxmlformats.org/officeDocument/2006/relationships/hyperlink" Target="https://scryfall.com/sets/jtla" TargetMode="External" Id="rId51"/><Relationship Type="http://schemas.openxmlformats.org/officeDocument/2006/relationships/hyperlink" Target="https://scryfall.com/sets/jtla" TargetMode="External" Id="rId52"/><Relationship Type="http://schemas.openxmlformats.org/officeDocument/2006/relationships/hyperlink" Target="https://scryfall.com/sets/tle" TargetMode="External" Id="rId53"/><Relationship Type="http://schemas.openxmlformats.org/officeDocument/2006/relationships/hyperlink" Target="https://scryfall.com/sets/tle" TargetMode="External" Id="rId54"/><Relationship Type="http://schemas.openxmlformats.org/officeDocument/2006/relationships/hyperlink" Target="https://scryfall.com/sets/tle" TargetMode="External" Id="rId55"/><Relationship Type="http://schemas.openxmlformats.org/officeDocument/2006/relationships/hyperlink" Target="https://scryfall.com/sets/tle" TargetMode="External" Id="rId56"/><Relationship Type="http://schemas.openxmlformats.org/officeDocument/2006/relationships/hyperlink" Target="https://scryfall.com/sets/ttle" TargetMode="External" Id="rId57"/><Relationship Type="http://schemas.openxmlformats.org/officeDocument/2006/relationships/hyperlink" Target="https://scryfall.com/sets/ttle" TargetMode="External" Id="rId58"/><Relationship Type="http://schemas.openxmlformats.org/officeDocument/2006/relationships/hyperlink" Target="https://scryfall.com/sets/ttle" TargetMode="External" Id="rId59"/><Relationship Type="http://schemas.openxmlformats.org/officeDocument/2006/relationships/hyperlink" Target="https://scryfall.com/sets/ttle" TargetMode="External" Id="rId60"/><Relationship Type="http://schemas.openxmlformats.org/officeDocument/2006/relationships/hyperlink" Target="https://scryfall.com/cubes/apcube" TargetMode="External" Id="rId61"/><Relationship Type="http://schemas.openxmlformats.org/officeDocument/2006/relationships/hyperlink" Target="https://scryfall.com/cubes/apcube" TargetMode="External" Id="rId62"/><Relationship Type="http://schemas.openxmlformats.org/officeDocument/2006/relationships/hyperlink" Target="https://scryfall.com/cubes/apcube" TargetMode="External" Id="rId63"/><Relationship Type="http://schemas.openxmlformats.org/officeDocument/2006/relationships/hyperlink" Target="https://scryfall.com/sets/mar" TargetMode="External" Id="rId64"/><Relationship Type="http://schemas.openxmlformats.org/officeDocument/2006/relationships/hyperlink" Target="https://scryfall.com/sets/mar" TargetMode="External" Id="rId65"/><Relationship Type="http://schemas.openxmlformats.org/officeDocument/2006/relationships/hyperlink" Target="https://scryfall.com/sets/mar" TargetMode="External" Id="rId66"/><Relationship Type="http://schemas.openxmlformats.org/officeDocument/2006/relationships/hyperlink" Target="https://scryfall.com/sets/omb" TargetMode="External" Id="rId67"/><Relationship Type="http://schemas.openxmlformats.org/officeDocument/2006/relationships/hyperlink" Target="https://scryfall.com/sets/omb" TargetMode="External" Id="rId68"/><Relationship Type="http://schemas.openxmlformats.org/officeDocument/2006/relationships/hyperlink" Target="https://scryfall.com/sets/omb" TargetMode="External" Id="rId69"/><Relationship Type="http://schemas.openxmlformats.org/officeDocument/2006/relationships/hyperlink" Target="https://scryfall.com/sets/omb" TargetMode="External" Id="rId70"/><Relationship Type="http://schemas.openxmlformats.org/officeDocument/2006/relationships/hyperlink" Target="https://scryfall.com/sets/lmar" TargetMode="External" Id="rId71"/><Relationship Type="http://schemas.openxmlformats.org/officeDocument/2006/relationships/hyperlink" Target="https://scryfall.com/sets/lmar" TargetMode="External" Id="rId72"/><Relationship Type="http://schemas.openxmlformats.org/officeDocument/2006/relationships/hyperlink" Target="https://scryfall.com/sets/lmar" TargetMode="External" Id="rId73"/><Relationship Type="http://schemas.openxmlformats.org/officeDocument/2006/relationships/hyperlink" Target="https://scryfall.com/sets/lmar" TargetMode="External" Id="rId74"/><Relationship Type="http://schemas.openxmlformats.org/officeDocument/2006/relationships/hyperlink" Target="https://scryfall.com/sets/spm" TargetMode="External" Id="rId75"/><Relationship Type="http://schemas.openxmlformats.org/officeDocument/2006/relationships/hyperlink" Target="https://scryfall.com/sets/spm" TargetMode="External" Id="rId76"/><Relationship Type="http://schemas.openxmlformats.org/officeDocument/2006/relationships/hyperlink" Target="https://scryfall.com/sets/spm" TargetMode="External" Id="rId77"/><Relationship Type="http://schemas.openxmlformats.org/officeDocument/2006/relationships/hyperlink" Target="https://scryfall.com/sets/pspm" TargetMode="External" Id="rId78"/><Relationship Type="http://schemas.openxmlformats.org/officeDocument/2006/relationships/hyperlink" Target="https://scryfall.com/sets/pspm" TargetMode="External" Id="rId79"/><Relationship Type="http://schemas.openxmlformats.org/officeDocument/2006/relationships/hyperlink" Target="https://scryfall.com/sets/pspm" TargetMode="External" Id="rId80"/><Relationship Type="http://schemas.openxmlformats.org/officeDocument/2006/relationships/hyperlink" Target="https://scryfall.com/sets/pspm" TargetMode="External" Id="rId81"/><Relationship Type="http://schemas.openxmlformats.org/officeDocument/2006/relationships/hyperlink" Target="https://scryfall.com/sets/tspm" TargetMode="External" Id="rId82"/><Relationship Type="http://schemas.openxmlformats.org/officeDocument/2006/relationships/hyperlink" Target="https://scryfall.com/sets/tspm" TargetMode="External" Id="rId83"/><Relationship Type="http://schemas.openxmlformats.org/officeDocument/2006/relationships/hyperlink" Target="https://scryfall.com/sets/tspm" TargetMode="External" Id="rId84"/><Relationship Type="http://schemas.openxmlformats.org/officeDocument/2006/relationships/hyperlink" Target="https://scryfall.com/sets/tspm" TargetMode="External" Id="rId85"/><Relationship Type="http://schemas.openxmlformats.org/officeDocument/2006/relationships/hyperlink" Target="https://scryfall.com/sets/spe" TargetMode="External" Id="rId86"/><Relationship Type="http://schemas.openxmlformats.org/officeDocument/2006/relationships/hyperlink" Target="https://scryfall.com/sets/spe" TargetMode="External" Id="rId87"/><Relationship Type="http://schemas.openxmlformats.org/officeDocument/2006/relationships/hyperlink" Target="https://scryfall.com/sets/spe" TargetMode="External" Id="rId88"/><Relationship Type="http://schemas.openxmlformats.org/officeDocument/2006/relationships/hyperlink" Target="https://scryfall.com/sets/om1" TargetMode="External" Id="rId89"/><Relationship Type="http://schemas.openxmlformats.org/officeDocument/2006/relationships/hyperlink" Target="https://scryfall.com/sets/om1" TargetMode="External" Id="rId90"/><Relationship Type="http://schemas.openxmlformats.org/officeDocument/2006/relationships/hyperlink" Target="https://scryfall.com/sets/om1" TargetMode="External" Id="rId91"/><Relationship Type="http://schemas.openxmlformats.org/officeDocument/2006/relationships/hyperlink" Target="https://scryfall.com/sets/om1" TargetMode="External" Id="rId92"/><Relationship Type="http://schemas.openxmlformats.org/officeDocument/2006/relationships/hyperlink" Target="https://scryfall.com/sets/aa4" TargetMode="External" Id="rId93"/><Relationship Type="http://schemas.openxmlformats.org/officeDocument/2006/relationships/hyperlink" Target="https://scryfall.com/sets/aa4" TargetMode="External" Id="rId94"/><Relationship Type="http://schemas.openxmlformats.org/officeDocument/2006/relationships/hyperlink" Target="https://scryfall.com/sets/aa4" TargetMode="External" Id="rId95"/><Relationship Type="http://schemas.openxmlformats.org/officeDocument/2006/relationships/hyperlink" Target="https://scryfall.com/sets/aa4" TargetMode="External" Id="rId96"/><Relationship Type="http://schemas.openxmlformats.org/officeDocument/2006/relationships/hyperlink" Target="https://scryfall.com/sets/aa3" TargetMode="External" Id="rId97"/><Relationship Type="http://schemas.openxmlformats.org/officeDocument/2006/relationships/hyperlink" Target="https://scryfall.com/sets/aa3" TargetMode="External" Id="rId98"/><Relationship Type="http://schemas.openxmlformats.org/officeDocument/2006/relationships/hyperlink" Target="https://scryfall.com/sets/aa3" TargetMode="External" Id="rId99"/><Relationship Type="http://schemas.openxmlformats.org/officeDocument/2006/relationships/hyperlink" Target="https://scryfall.com/sets/aa3" TargetMode="External" Id="rId100"/><Relationship Type="http://schemas.openxmlformats.org/officeDocument/2006/relationships/hyperlink" Target="https://scryfall.com/sets/ph23" TargetMode="External" Id="rId101"/><Relationship Type="http://schemas.openxmlformats.org/officeDocument/2006/relationships/hyperlink" Target="https://scryfall.com/sets/ph23" TargetMode="External" Id="rId102"/><Relationship Type="http://schemas.openxmlformats.org/officeDocument/2006/relationships/hyperlink" Target="https://scryfall.com/sets/ph23" TargetMode="External" Id="rId103"/><Relationship Type="http://schemas.openxmlformats.org/officeDocument/2006/relationships/hyperlink" Target="https://scryfall.com/sets/ph23" TargetMode="External" Id="rId104"/><Relationship Type="http://schemas.openxmlformats.org/officeDocument/2006/relationships/hyperlink" Target="https://scryfall.com/sets/aa2" TargetMode="External" Id="rId105"/><Relationship Type="http://schemas.openxmlformats.org/officeDocument/2006/relationships/hyperlink" Target="https://scryfall.com/sets/aa2" TargetMode="External" Id="rId106"/><Relationship Type="http://schemas.openxmlformats.org/officeDocument/2006/relationships/hyperlink" Target="https://scryfall.com/sets/aa2" TargetMode="External" Id="rId107"/><Relationship Type="http://schemas.openxmlformats.org/officeDocument/2006/relationships/hyperlink" Target="https://scryfall.com/sets/aa2" TargetMode="External" Id="rId108"/><Relationship Type="http://schemas.openxmlformats.org/officeDocument/2006/relationships/hyperlink" Target="https://scryfall.com/sets/aa1" TargetMode="External" Id="rId109"/><Relationship Type="http://schemas.openxmlformats.org/officeDocument/2006/relationships/hyperlink" Target="https://scryfall.com/sets/aa1" TargetMode="External" Id="rId110"/><Relationship Type="http://schemas.openxmlformats.org/officeDocument/2006/relationships/hyperlink" Target="https://scryfall.com/sets/aa1" TargetMode="External" Id="rId111"/><Relationship Type="http://schemas.openxmlformats.org/officeDocument/2006/relationships/hyperlink" Target="https://scryfall.com/sets/aa1" TargetMode="External" Id="rId112"/><Relationship Type="http://schemas.openxmlformats.org/officeDocument/2006/relationships/hyperlink" Target="https://scryfall.com/sets/eoe" TargetMode="External" Id="rId113"/><Relationship Type="http://schemas.openxmlformats.org/officeDocument/2006/relationships/hyperlink" Target="https://scryfall.com/sets/eoe" TargetMode="External" Id="rId114"/><Relationship Type="http://schemas.openxmlformats.org/officeDocument/2006/relationships/hyperlink" Target="https://scryfall.com/sets/eoe" TargetMode="External" Id="rId115"/><Relationship Type="http://schemas.openxmlformats.org/officeDocument/2006/relationships/hyperlink" Target="https://scryfall.com/sets/eos" TargetMode="External" Id="rId116"/><Relationship Type="http://schemas.openxmlformats.org/officeDocument/2006/relationships/hyperlink" Target="https://scryfall.com/sets/eos" TargetMode="External" Id="rId117"/><Relationship Type="http://schemas.openxmlformats.org/officeDocument/2006/relationships/hyperlink" Target="https://scryfall.com/sets/eos" TargetMode="External" Id="rId118"/><Relationship Type="http://schemas.openxmlformats.org/officeDocument/2006/relationships/hyperlink" Target="https://scryfall.com/sets/eos" TargetMode="External" Id="rId119"/><Relationship Type="http://schemas.openxmlformats.org/officeDocument/2006/relationships/hyperlink" Target="https://scryfall.com/sets/peoe" TargetMode="External" Id="rId120"/><Relationship Type="http://schemas.openxmlformats.org/officeDocument/2006/relationships/hyperlink" Target="https://scryfall.com/sets/peoe" TargetMode="External" Id="rId121"/><Relationship Type="http://schemas.openxmlformats.org/officeDocument/2006/relationships/hyperlink" Target="https://scryfall.com/sets/peoe" TargetMode="External" Id="rId122"/><Relationship Type="http://schemas.openxmlformats.org/officeDocument/2006/relationships/hyperlink" Target="https://scryfall.com/sets/peoe" TargetMode="External" Id="rId123"/><Relationship Type="http://schemas.openxmlformats.org/officeDocument/2006/relationships/hyperlink" Target="https://scryfall.com/sets/teoe" TargetMode="External" Id="rId124"/><Relationship Type="http://schemas.openxmlformats.org/officeDocument/2006/relationships/hyperlink" Target="https://scryfall.com/sets/teoe" TargetMode="External" Id="rId125"/><Relationship Type="http://schemas.openxmlformats.org/officeDocument/2006/relationships/hyperlink" Target="https://scryfall.com/sets/teoe" TargetMode="External" Id="rId126"/><Relationship Type="http://schemas.openxmlformats.org/officeDocument/2006/relationships/hyperlink" Target="https://scryfall.com/sets/teoe" TargetMode="External" Id="rId127"/><Relationship Type="http://schemas.openxmlformats.org/officeDocument/2006/relationships/hyperlink" Target="https://scryfall.com/sets/yeoe" TargetMode="External" Id="rId128"/><Relationship Type="http://schemas.openxmlformats.org/officeDocument/2006/relationships/hyperlink" Target="https://scryfall.com/sets/yeoe" TargetMode="External" Id="rId129"/><Relationship Type="http://schemas.openxmlformats.org/officeDocument/2006/relationships/hyperlink" Target="https://scryfall.com/sets/yeoe" TargetMode="External" Id="rId130"/><Relationship Type="http://schemas.openxmlformats.org/officeDocument/2006/relationships/hyperlink" Target="https://scryfall.com/sets/yeoe" TargetMode="External" Id="rId131"/><Relationship Type="http://schemas.openxmlformats.org/officeDocument/2006/relationships/hyperlink" Target="https://scryfall.com/sets/aeoe" TargetMode="External" Id="rId132"/><Relationship Type="http://schemas.openxmlformats.org/officeDocument/2006/relationships/hyperlink" Target="https://scryfall.com/sets/aeoe" TargetMode="External" Id="rId133"/><Relationship Type="http://schemas.openxmlformats.org/officeDocument/2006/relationships/hyperlink" Target="https://scryfall.com/sets/aeoe" TargetMode="External" Id="rId134"/><Relationship Type="http://schemas.openxmlformats.org/officeDocument/2006/relationships/hyperlink" Target="https://scryfall.com/sets/aeoe" TargetMode="External" Id="rId135"/><Relationship Type="http://schemas.openxmlformats.org/officeDocument/2006/relationships/hyperlink" Target="https://scryfall.com/sets/eoc" TargetMode="External" Id="rId136"/><Relationship Type="http://schemas.openxmlformats.org/officeDocument/2006/relationships/hyperlink" Target="https://scryfall.com/sets/eoc" TargetMode="External" Id="rId137"/><Relationship Type="http://schemas.openxmlformats.org/officeDocument/2006/relationships/hyperlink" Target="https://scryfall.com/sets/eoc" TargetMode="External" Id="rId138"/><Relationship Type="http://schemas.openxmlformats.org/officeDocument/2006/relationships/hyperlink" Target="https://scryfall.com/sets/teoc" TargetMode="External" Id="rId139"/><Relationship Type="http://schemas.openxmlformats.org/officeDocument/2006/relationships/hyperlink" Target="https://scryfall.com/sets/teoc" TargetMode="External" Id="rId140"/><Relationship Type="http://schemas.openxmlformats.org/officeDocument/2006/relationships/hyperlink" Target="https://scryfall.com/sets/teoc" TargetMode="External" Id="rId141"/><Relationship Type="http://schemas.openxmlformats.org/officeDocument/2006/relationships/hyperlink" Target="https://scryfall.com/sets/teoc" TargetMode="External" Id="rId142"/><Relationship Type="http://schemas.openxmlformats.org/officeDocument/2006/relationships/hyperlink" Target="https://scryfall.com/sets/fin" TargetMode="External" Id="rId143"/><Relationship Type="http://schemas.openxmlformats.org/officeDocument/2006/relationships/hyperlink" Target="https://scryfall.com/sets/fin" TargetMode="External" Id="rId144"/><Relationship Type="http://schemas.openxmlformats.org/officeDocument/2006/relationships/hyperlink" Target="https://scryfall.com/sets/fin" TargetMode="External" Id="rId145"/><Relationship Type="http://schemas.openxmlformats.org/officeDocument/2006/relationships/hyperlink" Target="https://scryfall.com/sets/fca" TargetMode="External" Id="rId146"/><Relationship Type="http://schemas.openxmlformats.org/officeDocument/2006/relationships/hyperlink" Target="https://scryfall.com/sets/fca" TargetMode="External" Id="rId147"/><Relationship Type="http://schemas.openxmlformats.org/officeDocument/2006/relationships/hyperlink" Target="https://scryfall.com/sets/fca" TargetMode="External" Id="rId148"/><Relationship Type="http://schemas.openxmlformats.org/officeDocument/2006/relationships/hyperlink" Target="https://scryfall.com/sets/pfin" TargetMode="External" Id="rId149"/><Relationship Type="http://schemas.openxmlformats.org/officeDocument/2006/relationships/hyperlink" Target="https://scryfall.com/sets/pfin" TargetMode="External" Id="rId150"/><Relationship Type="http://schemas.openxmlformats.org/officeDocument/2006/relationships/hyperlink" Target="https://scryfall.com/sets/pfin" TargetMode="External" Id="rId151"/><Relationship Type="http://schemas.openxmlformats.org/officeDocument/2006/relationships/hyperlink" Target="https://scryfall.com/sets/pfin" TargetMode="External" Id="rId152"/><Relationship Type="http://schemas.openxmlformats.org/officeDocument/2006/relationships/hyperlink" Target="https://scryfall.com/sets/tfin" TargetMode="External" Id="rId153"/><Relationship Type="http://schemas.openxmlformats.org/officeDocument/2006/relationships/hyperlink" Target="https://scryfall.com/sets/tfin" TargetMode="External" Id="rId154"/><Relationship Type="http://schemas.openxmlformats.org/officeDocument/2006/relationships/hyperlink" Target="https://scryfall.com/sets/tfin" TargetMode="External" Id="rId155"/><Relationship Type="http://schemas.openxmlformats.org/officeDocument/2006/relationships/hyperlink" Target="https://scryfall.com/sets/tfin" TargetMode="External" Id="rId156"/><Relationship Type="http://schemas.openxmlformats.org/officeDocument/2006/relationships/hyperlink" Target="https://scryfall.com/sets/rfin" TargetMode="External" Id="rId157"/><Relationship Type="http://schemas.openxmlformats.org/officeDocument/2006/relationships/hyperlink" Target="https://scryfall.com/sets/rfin" TargetMode="External" Id="rId158"/><Relationship Type="http://schemas.openxmlformats.org/officeDocument/2006/relationships/hyperlink" Target="https://scryfall.com/sets/rfin" TargetMode="External" Id="rId159"/><Relationship Type="http://schemas.openxmlformats.org/officeDocument/2006/relationships/hyperlink" Target="https://scryfall.com/sets/rfin/ja" TargetMode="External" Id="rId160"/><Relationship Type="http://schemas.openxmlformats.org/officeDocument/2006/relationships/hyperlink" Target="https://scryfall.com/sets/afin" TargetMode="External" Id="rId161"/><Relationship Type="http://schemas.openxmlformats.org/officeDocument/2006/relationships/hyperlink" Target="https://scryfall.com/sets/afin" TargetMode="External" Id="rId162"/><Relationship Type="http://schemas.openxmlformats.org/officeDocument/2006/relationships/hyperlink" Target="https://scryfall.com/sets/afin" TargetMode="External" Id="rId163"/><Relationship Type="http://schemas.openxmlformats.org/officeDocument/2006/relationships/hyperlink" Target="https://scryfall.com/sets/afin" TargetMode="External" Id="rId164"/><Relationship Type="http://schemas.openxmlformats.org/officeDocument/2006/relationships/hyperlink" Target="https://scryfall.com/sets/fic" TargetMode="External" Id="rId165"/><Relationship Type="http://schemas.openxmlformats.org/officeDocument/2006/relationships/hyperlink" Target="https://scryfall.com/sets/fic" TargetMode="External" Id="rId166"/><Relationship Type="http://schemas.openxmlformats.org/officeDocument/2006/relationships/hyperlink" Target="https://scryfall.com/sets/fic" TargetMode="External" Id="rId167"/><Relationship Type="http://schemas.openxmlformats.org/officeDocument/2006/relationships/hyperlink" Target="https://scryfall.com/sets/tfic" TargetMode="External" Id="rId168"/><Relationship Type="http://schemas.openxmlformats.org/officeDocument/2006/relationships/hyperlink" Target="https://scryfall.com/sets/tfic" TargetMode="External" Id="rId169"/><Relationship Type="http://schemas.openxmlformats.org/officeDocument/2006/relationships/hyperlink" Target="https://scryfall.com/sets/tfic" TargetMode="External" Id="rId170"/><Relationship Type="http://schemas.openxmlformats.org/officeDocument/2006/relationships/hyperlink" Target="https://scryfall.com/sets/tfic" TargetMode="External" Id="rId171"/><Relationship Type="http://schemas.openxmlformats.org/officeDocument/2006/relationships/hyperlink" Target="https://scryfall.com/sets/wfin" TargetMode="External" Id="rId172"/><Relationship Type="http://schemas.openxmlformats.org/officeDocument/2006/relationships/hyperlink" Target="https://scryfall.com/sets/wfin" TargetMode="External" Id="rId173"/><Relationship Type="http://schemas.openxmlformats.org/officeDocument/2006/relationships/hyperlink" Target="https://scryfall.com/sets/wfin" TargetMode="External" Id="rId174"/><Relationship Type="http://schemas.openxmlformats.org/officeDocument/2006/relationships/hyperlink" Target="https://scryfall.com/sets/wfin" TargetMode="External" Id="rId175"/><Relationship Type="http://schemas.openxmlformats.org/officeDocument/2006/relationships/hyperlink" Target="https://scryfall.com/sets/pss5" TargetMode="External" Id="rId176"/><Relationship Type="http://schemas.openxmlformats.org/officeDocument/2006/relationships/hyperlink" Target="https://scryfall.com/sets/pss5" TargetMode="External" Id="rId177"/><Relationship Type="http://schemas.openxmlformats.org/officeDocument/2006/relationships/hyperlink" Target="https://scryfall.com/sets/pss5" TargetMode="External" Id="rId178"/><Relationship Type="http://schemas.openxmlformats.org/officeDocument/2006/relationships/hyperlink" Target="https://scryfall.com/sets/pss5" TargetMode="External" Id="rId179"/><Relationship Type="http://schemas.openxmlformats.org/officeDocument/2006/relationships/hyperlink" Target="https://scryfall.com/sets/pa1" TargetMode="External" Id="rId180"/><Relationship Type="http://schemas.openxmlformats.org/officeDocument/2006/relationships/hyperlink" Target="https://scryfall.com/sets/pa1" TargetMode="External" Id="rId181"/><Relationship Type="http://schemas.openxmlformats.org/officeDocument/2006/relationships/hyperlink" Target="https://scryfall.com/sets/pa1" TargetMode="External" Id="rId182"/><Relationship Type="http://schemas.openxmlformats.org/officeDocument/2006/relationships/hyperlink" Target="https://scryfall.com/sets/pa1" TargetMode="External" Id="rId183"/><Relationship Type="http://schemas.openxmlformats.org/officeDocument/2006/relationships/hyperlink" Target="https://scryfall.com/sets/tdm" TargetMode="External" Id="rId184"/><Relationship Type="http://schemas.openxmlformats.org/officeDocument/2006/relationships/hyperlink" Target="https://scryfall.com/sets/tdm" TargetMode="External" Id="rId185"/><Relationship Type="http://schemas.openxmlformats.org/officeDocument/2006/relationships/hyperlink" Target="https://scryfall.com/sets/tdm" TargetMode="External" Id="rId186"/><Relationship Type="http://schemas.openxmlformats.org/officeDocument/2006/relationships/hyperlink" Target="https://scryfall.com/sets/ptdm" TargetMode="External" Id="rId187"/><Relationship Type="http://schemas.openxmlformats.org/officeDocument/2006/relationships/hyperlink" Target="https://scryfall.com/sets/ptdm" TargetMode="External" Id="rId188"/><Relationship Type="http://schemas.openxmlformats.org/officeDocument/2006/relationships/hyperlink" Target="https://scryfall.com/sets/ptdm" TargetMode="External" Id="rId189"/><Relationship Type="http://schemas.openxmlformats.org/officeDocument/2006/relationships/hyperlink" Target="https://scryfall.com/sets/ptdm" TargetMode="External" Id="rId190"/><Relationship Type="http://schemas.openxmlformats.org/officeDocument/2006/relationships/hyperlink" Target="https://scryfall.com/sets/ttdm" TargetMode="External" Id="rId191"/><Relationship Type="http://schemas.openxmlformats.org/officeDocument/2006/relationships/hyperlink" Target="https://scryfall.com/sets/ttdm" TargetMode="External" Id="rId192"/><Relationship Type="http://schemas.openxmlformats.org/officeDocument/2006/relationships/hyperlink" Target="https://scryfall.com/sets/ttdm" TargetMode="External" Id="rId193"/><Relationship Type="http://schemas.openxmlformats.org/officeDocument/2006/relationships/hyperlink" Target="https://scryfall.com/sets/ttdm" TargetMode="External" Id="rId194"/><Relationship Type="http://schemas.openxmlformats.org/officeDocument/2006/relationships/hyperlink" Target="https://scryfall.com/sets/ytdm" TargetMode="External" Id="rId195"/><Relationship Type="http://schemas.openxmlformats.org/officeDocument/2006/relationships/hyperlink" Target="https://scryfall.com/sets/ytdm" TargetMode="External" Id="rId196"/><Relationship Type="http://schemas.openxmlformats.org/officeDocument/2006/relationships/hyperlink" Target="https://scryfall.com/sets/ytdm" TargetMode="External" Id="rId197"/><Relationship Type="http://schemas.openxmlformats.org/officeDocument/2006/relationships/hyperlink" Target="https://scryfall.com/sets/ytdm" TargetMode="External" Id="rId198"/><Relationship Type="http://schemas.openxmlformats.org/officeDocument/2006/relationships/hyperlink" Target="https://scryfall.com/sets/atdm" TargetMode="External" Id="rId199"/><Relationship Type="http://schemas.openxmlformats.org/officeDocument/2006/relationships/hyperlink" Target="https://scryfall.com/sets/atdm" TargetMode="External" Id="rId200"/><Relationship Type="http://schemas.openxmlformats.org/officeDocument/2006/relationships/hyperlink" Target="https://scryfall.com/sets/atdm" TargetMode="External" Id="rId201"/><Relationship Type="http://schemas.openxmlformats.org/officeDocument/2006/relationships/hyperlink" Target="https://scryfall.com/sets/atdm" TargetMode="External" Id="rId202"/><Relationship Type="http://schemas.openxmlformats.org/officeDocument/2006/relationships/hyperlink" Target="https://scryfall.com/sets/tdc" TargetMode="External" Id="rId203"/><Relationship Type="http://schemas.openxmlformats.org/officeDocument/2006/relationships/hyperlink" Target="https://scryfall.com/sets/tdc" TargetMode="External" Id="rId204"/><Relationship Type="http://schemas.openxmlformats.org/officeDocument/2006/relationships/hyperlink" Target="https://scryfall.com/sets/tdc" TargetMode="External" Id="rId205"/><Relationship Type="http://schemas.openxmlformats.org/officeDocument/2006/relationships/hyperlink" Target="https://scryfall.com/sets/ttdc" TargetMode="External" Id="rId206"/><Relationship Type="http://schemas.openxmlformats.org/officeDocument/2006/relationships/hyperlink" Target="https://scryfall.com/sets/ttdc" TargetMode="External" Id="rId207"/><Relationship Type="http://schemas.openxmlformats.org/officeDocument/2006/relationships/hyperlink" Target="https://scryfall.com/sets/ttdc" TargetMode="External" Id="rId208"/><Relationship Type="http://schemas.openxmlformats.org/officeDocument/2006/relationships/hyperlink" Target="https://scryfall.com/sets/ttdc" TargetMode="External" Id="rId209"/><Relationship Type="http://schemas.openxmlformats.org/officeDocument/2006/relationships/hyperlink" Target="https://scryfall.com/sets/plg25" TargetMode="External" Id="rId210"/><Relationship Type="http://schemas.openxmlformats.org/officeDocument/2006/relationships/hyperlink" Target="https://scryfall.com/sets/plg25" TargetMode="External" Id="rId211"/><Relationship Type="http://schemas.openxmlformats.org/officeDocument/2006/relationships/hyperlink" Target="https://scryfall.com/sets/plg25" TargetMode="External" Id="rId212"/><Relationship Type="http://schemas.openxmlformats.org/officeDocument/2006/relationships/hyperlink" Target="https://scryfall.com/sets/plg25" TargetMode="External" Id="rId213"/><Relationship Type="http://schemas.openxmlformats.org/officeDocument/2006/relationships/hyperlink" Target="https://scryfall.com/sets/pl25" TargetMode="External" Id="rId214"/><Relationship Type="http://schemas.openxmlformats.org/officeDocument/2006/relationships/hyperlink" Target="https://scryfall.com/sets/pl25" TargetMode="External" Id="rId215"/><Relationship Type="http://schemas.openxmlformats.org/officeDocument/2006/relationships/hyperlink" Target="https://scryfall.com/sets/pl25" TargetMode="External" Id="rId216"/><Relationship Type="http://schemas.openxmlformats.org/officeDocument/2006/relationships/hyperlink" Target="https://scryfall.com/sets/pl25" TargetMode="External" Id="rId217"/><Relationship Type="http://schemas.openxmlformats.org/officeDocument/2006/relationships/hyperlink" Target="https://scryfall.com/sets/dft" TargetMode="External" Id="rId218"/><Relationship Type="http://schemas.openxmlformats.org/officeDocument/2006/relationships/hyperlink" Target="https://scryfall.com/sets/dft" TargetMode="External" Id="rId219"/><Relationship Type="http://schemas.openxmlformats.org/officeDocument/2006/relationships/hyperlink" Target="https://scryfall.com/sets/dft" TargetMode="External" Id="rId220"/><Relationship Type="http://schemas.openxmlformats.org/officeDocument/2006/relationships/hyperlink" Target="https://scryfall.com/sets/pdft" TargetMode="External" Id="rId221"/><Relationship Type="http://schemas.openxmlformats.org/officeDocument/2006/relationships/hyperlink" Target="https://scryfall.com/sets/pdft" TargetMode="External" Id="rId222"/><Relationship Type="http://schemas.openxmlformats.org/officeDocument/2006/relationships/hyperlink" Target="https://scryfall.com/sets/pdft" TargetMode="External" Id="rId223"/><Relationship Type="http://schemas.openxmlformats.org/officeDocument/2006/relationships/hyperlink" Target="https://scryfall.com/sets/pdft" TargetMode="External" Id="rId224"/><Relationship Type="http://schemas.openxmlformats.org/officeDocument/2006/relationships/hyperlink" Target="https://scryfall.com/sets/tdft" TargetMode="External" Id="rId225"/><Relationship Type="http://schemas.openxmlformats.org/officeDocument/2006/relationships/hyperlink" Target="https://scryfall.com/sets/tdft" TargetMode="External" Id="rId226"/><Relationship Type="http://schemas.openxmlformats.org/officeDocument/2006/relationships/hyperlink" Target="https://scryfall.com/sets/tdft" TargetMode="External" Id="rId227"/><Relationship Type="http://schemas.openxmlformats.org/officeDocument/2006/relationships/hyperlink" Target="https://scryfall.com/sets/tdft" TargetMode="External" Id="rId228"/><Relationship Type="http://schemas.openxmlformats.org/officeDocument/2006/relationships/hyperlink" Target="https://scryfall.com/sets/ydft" TargetMode="External" Id="rId229"/><Relationship Type="http://schemas.openxmlformats.org/officeDocument/2006/relationships/hyperlink" Target="https://scryfall.com/sets/ydft" TargetMode="External" Id="rId230"/><Relationship Type="http://schemas.openxmlformats.org/officeDocument/2006/relationships/hyperlink" Target="https://scryfall.com/sets/ydft" TargetMode="External" Id="rId231"/><Relationship Type="http://schemas.openxmlformats.org/officeDocument/2006/relationships/hyperlink" Target="https://scryfall.com/sets/ydft" TargetMode="External" Id="rId232"/><Relationship Type="http://schemas.openxmlformats.org/officeDocument/2006/relationships/hyperlink" Target="https://scryfall.com/sets/adft" TargetMode="External" Id="rId233"/><Relationship Type="http://schemas.openxmlformats.org/officeDocument/2006/relationships/hyperlink" Target="https://scryfall.com/sets/adft" TargetMode="External" Id="rId234"/><Relationship Type="http://schemas.openxmlformats.org/officeDocument/2006/relationships/hyperlink" Target="https://scryfall.com/sets/adft" TargetMode="External" Id="rId235"/><Relationship Type="http://schemas.openxmlformats.org/officeDocument/2006/relationships/hyperlink" Target="https://scryfall.com/sets/adft" TargetMode="External" Id="rId236"/><Relationship Type="http://schemas.openxmlformats.org/officeDocument/2006/relationships/hyperlink" Target="https://scryfall.com/sets/drc" TargetMode="External" Id="rId237"/><Relationship Type="http://schemas.openxmlformats.org/officeDocument/2006/relationships/hyperlink" Target="https://scryfall.com/sets/drc" TargetMode="External" Id="rId238"/><Relationship Type="http://schemas.openxmlformats.org/officeDocument/2006/relationships/hyperlink" Target="https://scryfall.com/sets/drc" TargetMode="External" Id="rId239"/><Relationship Type="http://schemas.openxmlformats.org/officeDocument/2006/relationships/hyperlink" Target="https://scryfall.com/sets/tdrc" TargetMode="External" Id="rId240"/><Relationship Type="http://schemas.openxmlformats.org/officeDocument/2006/relationships/hyperlink" Target="https://scryfall.com/sets/tdrc" TargetMode="External" Id="rId241"/><Relationship Type="http://schemas.openxmlformats.org/officeDocument/2006/relationships/hyperlink" Target="https://scryfall.com/sets/tdrc" TargetMode="External" Id="rId242"/><Relationship Type="http://schemas.openxmlformats.org/officeDocument/2006/relationships/hyperlink" Target="https://scryfall.com/sets/tdrc" TargetMode="External" Id="rId243"/><Relationship Type="http://schemas.openxmlformats.org/officeDocument/2006/relationships/hyperlink" Target="https://scryfall.com/sets/pjsc" TargetMode="External" Id="rId244"/><Relationship Type="http://schemas.openxmlformats.org/officeDocument/2006/relationships/hyperlink" Target="https://scryfall.com/sets/pjsc" TargetMode="External" Id="rId245"/><Relationship Type="http://schemas.openxmlformats.org/officeDocument/2006/relationships/hyperlink" Target="https://scryfall.com/sets/pjsc" TargetMode="External" Id="rId246"/><Relationship Type="http://schemas.openxmlformats.org/officeDocument/2006/relationships/hyperlink" Target="https://scryfall.com/sets/pjsc/ja" TargetMode="External" Id="rId247"/><Relationship Type="http://schemas.openxmlformats.org/officeDocument/2006/relationships/hyperlink" Target="https://scryfall.com/sets/inr" TargetMode="External" Id="rId248"/><Relationship Type="http://schemas.openxmlformats.org/officeDocument/2006/relationships/hyperlink" Target="https://scryfall.com/sets/inr" TargetMode="External" Id="rId249"/><Relationship Type="http://schemas.openxmlformats.org/officeDocument/2006/relationships/hyperlink" Target="https://scryfall.com/sets/inr" TargetMode="External" Id="rId250"/><Relationship Type="http://schemas.openxmlformats.org/officeDocument/2006/relationships/hyperlink" Target="https://scryfall.com/sets/inr" TargetMode="External" Id="rId251"/><Relationship Type="http://schemas.openxmlformats.org/officeDocument/2006/relationships/hyperlink" Target="https://scryfall.com/sets/tinr" TargetMode="External" Id="rId252"/><Relationship Type="http://schemas.openxmlformats.org/officeDocument/2006/relationships/hyperlink" Target="https://scryfall.com/sets/tinr" TargetMode="External" Id="rId253"/><Relationship Type="http://schemas.openxmlformats.org/officeDocument/2006/relationships/hyperlink" Target="https://scryfall.com/sets/tinr" TargetMode="External" Id="rId254"/><Relationship Type="http://schemas.openxmlformats.org/officeDocument/2006/relationships/hyperlink" Target="https://scryfall.com/sets/tinr" TargetMode="External" Id="rId255"/><Relationship Type="http://schemas.openxmlformats.org/officeDocument/2006/relationships/hyperlink" Target="https://scryfall.com/sets/ainr" TargetMode="External" Id="rId256"/><Relationship Type="http://schemas.openxmlformats.org/officeDocument/2006/relationships/hyperlink" Target="https://scryfall.com/sets/ainr" TargetMode="External" Id="rId257"/><Relationship Type="http://schemas.openxmlformats.org/officeDocument/2006/relationships/hyperlink" Target="https://scryfall.com/sets/ainr" TargetMode="External" Id="rId258"/><Relationship Type="http://schemas.openxmlformats.org/officeDocument/2006/relationships/hyperlink" Target="https://scryfall.com/sets/ainr" TargetMode="External" Id="rId259"/><Relationship Type="http://schemas.openxmlformats.org/officeDocument/2006/relationships/hyperlink" Target="https://scryfall.com/sets/pspl" TargetMode="External" Id="rId260"/><Relationship Type="http://schemas.openxmlformats.org/officeDocument/2006/relationships/hyperlink" Target="https://scryfall.com/sets/pspl" TargetMode="External" Id="rId261"/><Relationship Type="http://schemas.openxmlformats.org/officeDocument/2006/relationships/hyperlink" Target="https://scryfall.com/sets/pspl" TargetMode="External" Id="rId262"/><Relationship Type="http://schemas.openxmlformats.org/officeDocument/2006/relationships/hyperlink" Target="https://scryfall.com/sets/pf25" TargetMode="External" Id="rId263"/><Relationship Type="http://schemas.openxmlformats.org/officeDocument/2006/relationships/hyperlink" Target="https://scryfall.com/sets/pf25" TargetMode="External" Id="rId264"/><Relationship Type="http://schemas.openxmlformats.org/officeDocument/2006/relationships/hyperlink" Target="https://scryfall.com/sets/pf25" TargetMode="External" Id="rId265"/><Relationship Type="http://schemas.openxmlformats.org/officeDocument/2006/relationships/hyperlink" Target="https://scryfall.com/sets/pw25" TargetMode="External" Id="rId266"/><Relationship Type="http://schemas.openxmlformats.org/officeDocument/2006/relationships/hyperlink" Target="https://scryfall.com/sets/pw25" TargetMode="External" Id="rId267"/><Relationship Type="http://schemas.openxmlformats.org/officeDocument/2006/relationships/hyperlink" Target="https://scryfall.com/sets/pw25" TargetMode="External" Id="rId268"/><Relationship Type="http://schemas.openxmlformats.org/officeDocument/2006/relationships/hyperlink" Target="https://scryfall.com/sets/pw25" TargetMode="External" Id="rId269"/><Relationship Type="http://schemas.openxmlformats.org/officeDocument/2006/relationships/hyperlink" Target="https://scryfall.com/sets/pio" TargetMode="External" Id="rId270"/><Relationship Type="http://schemas.openxmlformats.org/officeDocument/2006/relationships/hyperlink" Target="https://scryfall.com/sets/pio" TargetMode="External" Id="rId271"/><Relationship Type="http://schemas.openxmlformats.org/officeDocument/2006/relationships/hyperlink" Target="https://scryfall.com/sets/pio" TargetMode="External" Id="rId272"/><Relationship Type="http://schemas.openxmlformats.org/officeDocument/2006/relationships/hyperlink" Target="https://scryfall.com/sets/pio" TargetMode="External" Id="rId273"/><Relationship Type="http://schemas.openxmlformats.org/officeDocument/2006/relationships/hyperlink" Target="https://scryfall.com/sets/fdn" TargetMode="External" Id="rId274"/><Relationship Type="http://schemas.openxmlformats.org/officeDocument/2006/relationships/hyperlink" Target="https://scryfall.com/sets/fdn" TargetMode="External" Id="rId275"/><Relationship Type="http://schemas.openxmlformats.org/officeDocument/2006/relationships/hyperlink" Target="https://scryfall.com/sets/fdn" TargetMode="External" Id="rId276"/><Relationship Type="http://schemas.openxmlformats.org/officeDocument/2006/relationships/hyperlink" Target="https://scryfall.com/sets/pfdn" TargetMode="External" Id="rId277"/><Relationship Type="http://schemas.openxmlformats.org/officeDocument/2006/relationships/hyperlink" Target="https://scryfall.com/sets/pfdn" TargetMode="External" Id="rId278"/><Relationship Type="http://schemas.openxmlformats.org/officeDocument/2006/relationships/hyperlink" Target="https://scryfall.com/sets/pfdn" TargetMode="External" Id="rId279"/><Relationship Type="http://schemas.openxmlformats.org/officeDocument/2006/relationships/hyperlink" Target="https://scryfall.com/sets/pfdn" TargetMode="External" Id="rId280"/><Relationship Type="http://schemas.openxmlformats.org/officeDocument/2006/relationships/hyperlink" Target="https://scryfall.com/sets/tfdn" TargetMode="External" Id="rId281"/><Relationship Type="http://schemas.openxmlformats.org/officeDocument/2006/relationships/hyperlink" Target="https://scryfall.com/sets/tfdn" TargetMode="External" Id="rId282"/><Relationship Type="http://schemas.openxmlformats.org/officeDocument/2006/relationships/hyperlink" Target="https://scryfall.com/sets/tfdn" TargetMode="External" Id="rId283"/><Relationship Type="http://schemas.openxmlformats.org/officeDocument/2006/relationships/hyperlink" Target="https://scryfall.com/sets/tfdn" TargetMode="External" Id="rId284"/><Relationship Type="http://schemas.openxmlformats.org/officeDocument/2006/relationships/hyperlink" Target="https://scryfall.com/sets/afdn" TargetMode="External" Id="rId285"/><Relationship Type="http://schemas.openxmlformats.org/officeDocument/2006/relationships/hyperlink" Target="https://scryfall.com/sets/afdn" TargetMode="External" Id="rId286"/><Relationship Type="http://schemas.openxmlformats.org/officeDocument/2006/relationships/hyperlink" Target="https://scryfall.com/sets/afdn" TargetMode="External" Id="rId287"/><Relationship Type="http://schemas.openxmlformats.org/officeDocument/2006/relationships/hyperlink" Target="https://scryfall.com/sets/afdn" TargetMode="External" Id="rId288"/><Relationship Type="http://schemas.openxmlformats.org/officeDocument/2006/relationships/hyperlink" Target="https://scryfall.com/sets/fdc" TargetMode="External" Id="rId289"/><Relationship Type="http://schemas.openxmlformats.org/officeDocument/2006/relationships/hyperlink" Target="https://scryfall.com/sets/fdc" TargetMode="External" Id="rId290"/><Relationship Type="http://schemas.openxmlformats.org/officeDocument/2006/relationships/hyperlink" Target="https://scryfall.com/sets/fdc" TargetMode="External" Id="rId291"/><Relationship Type="http://schemas.openxmlformats.org/officeDocument/2006/relationships/hyperlink" Target="https://scryfall.com/sets/fdc" TargetMode="External" Id="rId292"/><Relationship Type="http://schemas.openxmlformats.org/officeDocument/2006/relationships/hyperlink" Target="https://scryfall.com/sets/j25" TargetMode="External" Id="rId293"/><Relationship Type="http://schemas.openxmlformats.org/officeDocument/2006/relationships/hyperlink" Target="https://scryfall.com/sets/j25" TargetMode="External" Id="rId294"/><Relationship Type="http://schemas.openxmlformats.org/officeDocument/2006/relationships/hyperlink" Target="https://scryfall.com/sets/j25" TargetMode="External" Id="rId295"/><Relationship Type="http://schemas.openxmlformats.org/officeDocument/2006/relationships/hyperlink" Target="https://scryfall.com/sets/fj25" TargetMode="External" Id="rId296"/><Relationship Type="http://schemas.openxmlformats.org/officeDocument/2006/relationships/hyperlink" Target="https://scryfall.com/sets/fj25" TargetMode="External" Id="rId297"/><Relationship Type="http://schemas.openxmlformats.org/officeDocument/2006/relationships/hyperlink" Target="https://scryfall.com/sets/fj25" TargetMode="External" Id="rId298"/><Relationship Type="http://schemas.openxmlformats.org/officeDocument/2006/relationships/hyperlink" Target="https://scryfall.com/sets/fj25" TargetMode="External" Id="rId299"/><Relationship Type="http://schemas.openxmlformats.org/officeDocument/2006/relationships/hyperlink" Target="https://scryfall.com/sets/ffdn" TargetMode="External" Id="rId300"/><Relationship Type="http://schemas.openxmlformats.org/officeDocument/2006/relationships/hyperlink" Target="https://scryfall.com/sets/ffdn" TargetMode="External" Id="rId301"/><Relationship Type="http://schemas.openxmlformats.org/officeDocument/2006/relationships/hyperlink" Target="https://scryfall.com/sets/ffdn" TargetMode="External" Id="rId302"/><Relationship Type="http://schemas.openxmlformats.org/officeDocument/2006/relationships/hyperlink" Target="https://scryfall.com/sets/dsk" TargetMode="External" Id="rId303"/><Relationship Type="http://schemas.openxmlformats.org/officeDocument/2006/relationships/hyperlink" Target="https://scryfall.com/sets/dsk" TargetMode="External" Id="rId304"/><Relationship Type="http://schemas.openxmlformats.org/officeDocument/2006/relationships/hyperlink" Target="https://scryfall.com/sets/dsk" TargetMode="External" Id="rId305"/><Relationship Type="http://schemas.openxmlformats.org/officeDocument/2006/relationships/hyperlink" Target="https://scryfall.com/sets/pdsk" TargetMode="External" Id="rId306"/><Relationship Type="http://schemas.openxmlformats.org/officeDocument/2006/relationships/hyperlink" Target="https://scryfall.com/sets/pdsk" TargetMode="External" Id="rId307"/><Relationship Type="http://schemas.openxmlformats.org/officeDocument/2006/relationships/hyperlink" Target="https://scryfall.com/sets/pdsk" TargetMode="External" Id="rId308"/><Relationship Type="http://schemas.openxmlformats.org/officeDocument/2006/relationships/hyperlink" Target="https://scryfall.com/sets/pdsk" TargetMode="External" Id="rId309"/><Relationship Type="http://schemas.openxmlformats.org/officeDocument/2006/relationships/hyperlink" Target="https://scryfall.com/sets/tdsk" TargetMode="External" Id="rId310"/><Relationship Type="http://schemas.openxmlformats.org/officeDocument/2006/relationships/hyperlink" Target="https://scryfall.com/sets/tdsk" TargetMode="External" Id="rId311"/><Relationship Type="http://schemas.openxmlformats.org/officeDocument/2006/relationships/hyperlink" Target="https://scryfall.com/sets/tdsk" TargetMode="External" Id="rId312"/><Relationship Type="http://schemas.openxmlformats.org/officeDocument/2006/relationships/hyperlink" Target="https://scryfall.com/sets/tdsk" TargetMode="External" Id="rId313"/><Relationship Type="http://schemas.openxmlformats.org/officeDocument/2006/relationships/hyperlink" Target="https://scryfall.com/sets/ydsk" TargetMode="External" Id="rId314"/><Relationship Type="http://schemas.openxmlformats.org/officeDocument/2006/relationships/hyperlink" Target="https://scryfall.com/sets/ydsk" TargetMode="External" Id="rId315"/><Relationship Type="http://schemas.openxmlformats.org/officeDocument/2006/relationships/hyperlink" Target="https://scryfall.com/sets/ydsk" TargetMode="External" Id="rId316"/><Relationship Type="http://schemas.openxmlformats.org/officeDocument/2006/relationships/hyperlink" Target="https://scryfall.com/sets/ydsk" TargetMode="External" Id="rId317"/><Relationship Type="http://schemas.openxmlformats.org/officeDocument/2006/relationships/hyperlink" Target="https://scryfall.com/sets/dsc" TargetMode="External" Id="rId318"/><Relationship Type="http://schemas.openxmlformats.org/officeDocument/2006/relationships/hyperlink" Target="https://scryfall.com/sets/dsc" TargetMode="External" Id="rId319"/><Relationship Type="http://schemas.openxmlformats.org/officeDocument/2006/relationships/hyperlink" Target="https://scryfall.com/sets/dsc" TargetMode="External" Id="rId320"/><Relationship Type="http://schemas.openxmlformats.org/officeDocument/2006/relationships/hyperlink" Target="https://scryfall.com/sets/tdsc" TargetMode="External" Id="rId321"/><Relationship Type="http://schemas.openxmlformats.org/officeDocument/2006/relationships/hyperlink" Target="https://scryfall.com/sets/tdsc" TargetMode="External" Id="rId322"/><Relationship Type="http://schemas.openxmlformats.org/officeDocument/2006/relationships/hyperlink" Target="https://scryfall.com/sets/tdsc" TargetMode="External" Id="rId323"/><Relationship Type="http://schemas.openxmlformats.org/officeDocument/2006/relationships/hyperlink" Target="https://scryfall.com/sets/tdsc" TargetMode="External" Id="rId324"/><Relationship Type="http://schemas.openxmlformats.org/officeDocument/2006/relationships/hyperlink" Target="https://scryfall.com/sets/adsk" TargetMode="External" Id="rId325"/><Relationship Type="http://schemas.openxmlformats.org/officeDocument/2006/relationships/hyperlink" Target="https://scryfall.com/sets/adsk" TargetMode="External" Id="rId326"/><Relationship Type="http://schemas.openxmlformats.org/officeDocument/2006/relationships/hyperlink" Target="https://scryfall.com/sets/adsk" TargetMode="External" Id="rId327"/><Relationship Type="http://schemas.openxmlformats.org/officeDocument/2006/relationships/hyperlink" Target="https://scryfall.com/sets/adsk" TargetMode="External" Id="rId328"/><Relationship Type="http://schemas.openxmlformats.org/officeDocument/2006/relationships/hyperlink" Target="https://scryfall.com/sets/plg24" TargetMode="External" Id="rId329"/><Relationship Type="http://schemas.openxmlformats.org/officeDocument/2006/relationships/hyperlink" Target="https://scryfall.com/sets/plg24" TargetMode="External" Id="rId330"/><Relationship Type="http://schemas.openxmlformats.org/officeDocument/2006/relationships/hyperlink" Target="https://scryfall.com/sets/plg24" TargetMode="External" Id="rId331"/><Relationship Type="http://schemas.openxmlformats.org/officeDocument/2006/relationships/hyperlink" Target="https://scryfall.com/sets/mb2" TargetMode="External" Id="rId332"/><Relationship Type="http://schemas.openxmlformats.org/officeDocument/2006/relationships/hyperlink" Target="https://scryfall.com/sets/mb2" TargetMode="External" Id="rId333"/><Relationship Type="http://schemas.openxmlformats.org/officeDocument/2006/relationships/hyperlink" Target="https://scryfall.com/sets/mb2" TargetMode="External" Id="rId334"/><Relationship Type="http://schemas.openxmlformats.org/officeDocument/2006/relationships/hyperlink" Target="https://scryfall.com/sets/mb2" TargetMode="External" Id="rId335"/><Relationship Type="http://schemas.openxmlformats.org/officeDocument/2006/relationships/hyperlink" Target="https://scryfall.com/sets/blb" TargetMode="External" Id="rId336"/><Relationship Type="http://schemas.openxmlformats.org/officeDocument/2006/relationships/hyperlink" Target="https://scryfall.com/sets/blb" TargetMode="External" Id="rId337"/><Relationship Type="http://schemas.openxmlformats.org/officeDocument/2006/relationships/hyperlink" Target="https://scryfall.com/sets/blb" TargetMode="External" Id="rId338"/><Relationship Type="http://schemas.openxmlformats.org/officeDocument/2006/relationships/hyperlink" Target="https://scryfall.com/sets/pblb" TargetMode="External" Id="rId339"/><Relationship Type="http://schemas.openxmlformats.org/officeDocument/2006/relationships/hyperlink" Target="https://scryfall.com/sets/pblb" TargetMode="External" Id="rId340"/><Relationship Type="http://schemas.openxmlformats.org/officeDocument/2006/relationships/hyperlink" Target="https://scryfall.com/sets/pblb" TargetMode="External" Id="rId341"/><Relationship Type="http://schemas.openxmlformats.org/officeDocument/2006/relationships/hyperlink" Target="https://scryfall.com/sets/pblb" TargetMode="External" Id="rId342"/><Relationship Type="http://schemas.openxmlformats.org/officeDocument/2006/relationships/hyperlink" Target="https://scryfall.com/sets/tblb" TargetMode="External" Id="rId343"/><Relationship Type="http://schemas.openxmlformats.org/officeDocument/2006/relationships/hyperlink" Target="https://scryfall.com/sets/tblb" TargetMode="External" Id="rId344"/><Relationship Type="http://schemas.openxmlformats.org/officeDocument/2006/relationships/hyperlink" Target="https://scryfall.com/sets/tblb" TargetMode="External" Id="rId345"/><Relationship Type="http://schemas.openxmlformats.org/officeDocument/2006/relationships/hyperlink" Target="https://scryfall.com/sets/tblb" TargetMode="External" Id="rId346"/><Relationship Type="http://schemas.openxmlformats.org/officeDocument/2006/relationships/hyperlink" Target="https://scryfall.com/sets/yblb" TargetMode="External" Id="rId347"/><Relationship Type="http://schemas.openxmlformats.org/officeDocument/2006/relationships/hyperlink" Target="https://scryfall.com/sets/yblb" TargetMode="External" Id="rId348"/><Relationship Type="http://schemas.openxmlformats.org/officeDocument/2006/relationships/hyperlink" Target="https://scryfall.com/sets/yblb" TargetMode="External" Id="rId349"/><Relationship Type="http://schemas.openxmlformats.org/officeDocument/2006/relationships/hyperlink" Target="https://scryfall.com/sets/yblb" TargetMode="External" Id="rId350"/><Relationship Type="http://schemas.openxmlformats.org/officeDocument/2006/relationships/hyperlink" Target="https://scryfall.com/sets/ablb" TargetMode="External" Id="rId351"/><Relationship Type="http://schemas.openxmlformats.org/officeDocument/2006/relationships/hyperlink" Target="https://scryfall.com/sets/ablb" TargetMode="External" Id="rId352"/><Relationship Type="http://schemas.openxmlformats.org/officeDocument/2006/relationships/hyperlink" Target="https://scryfall.com/sets/ablb" TargetMode="External" Id="rId353"/><Relationship Type="http://schemas.openxmlformats.org/officeDocument/2006/relationships/hyperlink" Target="https://scryfall.com/sets/ablb" TargetMode="External" Id="rId354"/><Relationship Type="http://schemas.openxmlformats.org/officeDocument/2006/relationships/hyperlink" Target="https://scryfall.com/sets/blc" TargetMode="External" Id="rId355"/><Relationship Type="http://schemas.openxmlformats.org/officeDocument/2006/relationships/hyperlink" Target="https://scryfall.com/sets/blc" TargetMode="External" Id="rId356"/><Relationship Type="http://schemas.openxmlformats.org/officeDocument/2006/relationships/hyperlink" Target="https://scryfall.com/sets/blc" TargetMode="External" Id="rId357"/><Relationship Type="http://schemas.openxmlformats.org/officeDocument/2006/relationships/hyperlink" Target="https://scryfall.com/sets/tblc" TargetMode="External" Id="rId358"/><Relationship Type="http://schemas.openxmlformats.org/officeDocument/2006/relationships/hyperlink" Target="https://scryfall.com/sets/tblc" TargetMode="External" Id="rId359"/><Relationship Type="http://schemas.openxmlformats.org/officeDocument/2006/relationships/hyperlink" Target="https://scryfall.com/sets/tblc" TargetMode="External" Id="rId360"/><Relationship Type="http://schemas.openxmlformats.org/officeDocument/2006/relationships/hyperlink" Target="https://scryfall.com/sets/tblc" TargetMode="External" Id="rId361"/><Relationship Type="http://schemas.openxmlformats.org/officeDocument/2006/relationships/hyperlink" Target="https://scryfall.com/sets/pcbb" TargetMode="External" Id="rId362"/><Relationship Type="http://schemas.openxmlformats.org/officeDocument/2006/relationships/hyperlink" Target="https://scryfall.com/sets/pcbb" TargetMode="External" Id="rId363"/><Relationship Type="http://schemas.openxmlformats.org/officeDocument/2006/relationships/hyperlink" Target="https://scryfall.com/sets/pcbb" TargetMode="External" Id="rId364"/><Relationship Type="http://schemas.openxmlformats.org/officeDocument/2006/relationships/hyperlink" Target="https://scryfall.com/sets/pcbb" TargetMode="External" Id="rId365"/><Relationship Type="http://schemas.openxmlformats.org/officeDocument/2006/relationships/hyperlink" Target="https://scryfall.com/sets/acr" TargetMode="External" Id="rId366"/><Relationship Type="http://schemas.openxmlformats.org/officeDocument/2006/relationships/hyperlink" Target="https://scryfall.com/sets/acr" TargetMode="External" Id="rId367"/><Relationship Type="http://schemas.openxmlformats.org/officeDocument/2006/relationships/hyperlink" Target="https://scryfall.com/sets/acr" TargetMode="External" Id="rId368"/><Relationship Type="http://schemas.openxmlformats.org/officeDocument/2006/relationships/hyperlink" Target="https://scryfall.com/sets/tacr" TargetMode="External" Id="rId369"/><Relationship Type="http://schemas.openxmlformats.org/officeDocument/2006/relationships/hyperlink" Target="https://scryfall.com/sets/tacr" TargetMode="External" Id="rId370"/><Relationship Type="http://schemas.openxmlformats.org/officeDocument/2006/relationships/hyperlink" Target="https://scryfall.com/sets/tacr" TargetMode="External" Id="rId371"/><Relationship Type="http://schemas.openxmlformats.org/officeDocument/2006/relationships/hyperlink" Target="https://scryfall.com/sets/tacr" TargetMode="External" Id="rId372"/><Relationship Type="http://schemas.openxmlformats.org/officeDocument/2006/relationships/hyperlink" Target="https://scryfall.com/sets/macr" TargetMode="External" Id="rId373"/><Relationship Type="http://schemas.openxmlformats.org/officeDocument/2006/relationships/hyperlink" Target="https://scryfall.com/sets/macr" TargetMode="External" Id="rId374"/><Relationship Type="http://schemas.openxmlformats.org/officeDocument/2006/relationships/hyperlink" Target="https://scryfall.com/sets/macr" TargetMode="External" Id="rId375"/><Relationship Type="http://schemas.openxmlformats.org/officeDocument/2006/relationships/hyperlink" Target="https://scryfall.com/sets/macr" TargetMode="External" Id="rId376"/><Relationship Type="http://schemas.openxmlformats.org/officeDocument/2006/relationships/hyperlink" Target="https://scryfall.com/sets/aacr" TargetMode="External" Id="rId377"/><Relationship Type="http://schemas.openxmlformats.org/officeDocument/2006/relationships/hyperlink" Target="https://scryfall.com/sets/aacr" TargetMode="External" Id="rId378"/><Relationship Type="http://schemas.openxmlformats.org/officeDocument/2006/relationships/hyperlink" Target="https://scryfall.com/sets/aacr" TargetMode="External" Id="rId379"/><Relationship Type="http://schemas.openxmlformats.org/officeDocument/2006/relationships/hyperlink" Target="https://scryfall.com/sets/aacr" TargetMode="External" Id="rId380"/><Relationship Type="http://schemas.openxmlformats.org/officeDocument/2006/relationships/hyperlink" Target="https://scryfall.com/sets/mh3" TargetMode="External" Id="rId381"/><Relationship Type="http://schemas.openxmlformats.org/officeDocument/2006/relationships/hyperlink" Target="https://scryfall.com/sets/mh3" TargetMode="External" Id="rId382"/><Relationship Type="http://schemas.openxmlformats.org/officeDocument/2006/relationships/hyperlink" Target="https://scryfall.com/sets/mh3" TargetMode="External" Id="rId383"/><Relationship Type="http://schemas.openxmlformats.org/officeDocument/2006/relationships/hyperlink" Target="https://scryfall.com/sets/pmh3" TargetMode="External" Id="rId384"/><Relationship Type="http://schemas.openxmlformats.org/officeDocument/2006/relationships/hyperlink" Target="https://scryfall.com/sets/pmh3" TargetMode="External" Id="rId385"/><Relationship Type="http://schemas.openxmlformats.org/officeDocument/2006/relationships/hyperlink" Target="https://scryfall.com/sets/pmh3" TargetMode="External" Id="rId386"/><Relationship Type="http://schemas.openxmlformats.org/officeDocument/2006/relationships/hyperlink" Target="https://scryfall.com/sets/pmh3" TargetMode="External" Id="rId387"/><Relationship Type="http://schemas.openxmlformats.org/officeDocument/2006/relationships/hyperlink" Target="https://scryfall.com/sets/tmh3" TargetMode="External" Id="rId388"/><Relationship Type="http://schemas.openxmlformats.org/officeDocument/2006/relationships/hyperlink" Target="https://scryfall.com/sets/tmh3" TargetMode="External" Id="rId389"/><Relationship Type="http://schemas.openxmlformats.org/officeDocument/2006/relationships/hyperlink" Target="https://scryfall.com/sets/tmh3" TargetMode="External" Id="rId390"/><Relationship Type="http://schemas.openxmlformats.org/officeDocument/2006/relationships/hyperlink" Target="https://scryfall.com/sets/tmh3" TargetMode="External" Id="rId391"/><Relationship Type="http://schemas.openxmlformats.org/officeDocument/2006/relationships/hyperlink" Target="https://scryfall.com/sets/smh3" TargetMode="External" Id="rId392"/><Relationship Type="http://schemas.openxmlformats.org/officeDocument/2006/relationships/hyperlink" Target="https://scryfall.com/sets/smh3" TargetMode="External" Id="rId393"/><Relationship Type="http://schemas.openxmlformats.org/officeDocument/2006/relationships/hyperlink" Target="https://scryfall.com/sets/smh3" TargetMode="External" Id="rId394"/><Relationship Type="http://schemas.openxmlformats.org/officeDocument/2006/relationships/hyperlink" Target="https://scryfall.com/sets/smh3" TargetMode="External" Id="rId395"/><Relationship Type="http://schemas.openxmlformats.org/officeDocument/2006/relationships/hyperlink" Target="https://scryfall.com/sets/m3c" TargetMode="External" Id="rId396"/><Relationship Type="http://schemas.openxmlformats.org/officeDocument/2006/relationships/hyperlink" Target="https://scryfall.com/sets/m3c" TargetMode="External" Id="rId397"/><Relationship Type="http://schemas.openxmlformats.org/officeDocument/2006/relationships/hyperlink" Target="https://scryfall.com/sets/m3c" TargetMode="External" Id="rId398"/><Relationship Type="http://schemas.openxmlformats.org/officeDocument/2006/relationships/hyperlink" Target="https://scryfall.com/sets/tm3c" TargetMode="External" Id="rId399"/><Relationship Type="http://schemas.openxmlformats.org/officeDocument/2006/relationships/hyperlink" Target="https://scryfall.com/sets/tm3c" TargetMode="External" Id="rId400"/><Relationship Type="http://schemas.openxmlformats.org/officeDocument/2006/relationships/hyperlink" Target="https://scryfall.com/sets/tm3c" TargetMode="External" Id="rId401"/><Relationship Type="http://schemas.openxmlformats.org/officeDocument/2006/relationships/hyperlink" Target="https://scryfall.com/sets/tm3c" TargetMode="External" Id="rId402"/><Relationship Type="http://schemas.openxmlformats.org/officeDocument/2006/relationships/hyperlink" Target="https://scryfall.com/sets/amh3" TargetMode="External" Id="rId403"/><Relationship Type="http://schemas.openxmlformats.org/officeDocument/2006/relationships/hyperlink" Target="https://scryfall.com/sets/amh3" TargetMode="External" Id="rId404"/><Relationship Type="http://schemas.openxmlformats.org/officeDocument/2006/relationships/hyperlink" Target="https://scryfall.com/sets/amh3" TargetMode="External" Id="rId405"/><Relationship Type="http://schemas.openxmlformats.org/officeDocument/2006/relationships/hyperlink" Target="https://scryfall.com/sets/amh3" TargetMode="External" Id="rId406"/><Relationship Type="http://schemas.openxmlformats.org/officeDocument/2006/relationships/hyperlink" Target="https://scryfall.com/sets/h2r" TargetMode="External" Id="rId407"/><Relationship Type="http://schemas.openxmlformats.org/officeDocument/2006/relationships/hyperlink" Target="https://scryfall.com/sets/h2r" TargetMode="External" Id="rId408"/><Relationship Type="http://schemas.openxmlformats.org/officeDocument/2006/relationships/hyperlink" Target="https://scryfall.com/sets/h2r" TargetMode="External" Id="rId409"/><Relationship Type="http://schemas.openxmlformats.org/officeDocument/2006/relationships/hyperlink" Target="https://scryfall.com/sets/h2r" TargetMode="External" Id="rId410"/><Relationship Type="http://schemas.openxmlformats.org/officeDocument/2006/relationships/hyperlink" Target="https://scryfall.com/sets/otj" TargetMode="External" Id="rId411"/><Relationship Type="http://schemas.openxmlformats.org/officeDocument/2006/relationships/hyperlink" Target="https://scryfall.com/sets/otj" TargetMode="External" Id="rId412"/><Relationship Type="http://schemas.openxmlformats.org/officeDocument/2006/relationships/hyperlink" Target="https://scryfall.com/sets/otj" TargetMode="External" Id="rId413"/><Relationship Type="http://schemas.openxmlformats.org/officeDocument/2006/relationships/hyperlink" Target="https://scryfall.com/sets/otp" TargetMode="External" Id="rId414"/><Relationship Type="http://schemas.openxmlformats.org/officeDocument/2006/relationships/hyperlink" Target="https://scryfall.com/sets/otp" TargetMode="External" Id="rId415"/><Relationship Type="http://schemas.openxmlformats.org/officeDocument/2006/relationships/hyperlink" Target="https://scryfall.com/sets/otp" TargetMode="External" Id="rId416"/><Relationship Type="http://schemas.openxmlformats.org/officeDocument/2006/relationships/hyperlink" Target="https://scryfall.com/sets/totp" TargetMode="External" Id="rId417"/><Relationship Type="http://schemas.openxmlformats.org/officeDocument/2006/relationships/hyperlink" Target="https://scryfall.com/sets/totp" TargetMode="External" Id="rId418"/><Relationship Type="http://schemas.openxmlformats.org/officeDocument/2006/relationships/hyperlink" Target="https://scryfall.com/sets/totp" TargetMode="External" Id="rId419"/><Relationship Type="http://schemas.openxmlformats.org/officeDocument/2006/relationships/hyperlink" Target="https://scryfall.com/sets/totp" TargetMode="External" Id="rId420"/><Relationship Type="http://schemas.openxmlformats.org/officeDocument/2006/relationships/hyperlink" Target="https://scryfall.com/sets/potj" TargetMode="External" Id="rId421"/><Relationship Type="http://schemas.openxmlformats.org/officeDocument/2006/relationships/hyperlink" Target="https://scryfall.com/sets/potj" TargetMode="External" Id="rId422"/><Relationship Type="http://schemas.openxmlformats.org/officeDocument/2006/relationships/hyperlink" Target="https://scryfall.com/sets/potj" TargetMode="External" Id="rId423"/><Relationship Type="http://schemas.openxmlformats.org/officeDocument/2006/relationships/hyperlink" Target="https://scryfall.com/sets/potj" TargetMode="External" Id="rId424"/><Relationship Type="http://schemas.openxmlformats.org/officeDocument/2006/relationships/hyperlink" Target="https://scryfall.com/sets/totj" TargetMode="External" Id="rId425"/><Relationship Type="http://schemas.openxmlformats.org/officeDocument/2006/relationships/hyperlink" Target="https://scryfall.com/sets/totj" TargetMode="External" Id="rId426"/><Relationship Type="http://schemas.openxmlformats.org/officeDocument/2006/relationships/hyperlink" Target="https://scryfall.com/sets/totj" TargetMode="External" Id="rId427"/><Relationship Type="http://schemas.openxmlformats.org/officeDocument/2006/relationships/hyperlink" Target="https://scryfall.com/sets/totj" TargetMode="External" Id="rId428"/><Relationship Type="http://schemas.openxmlformats.org/officeDocument/2006/relationships/hyperlink" Target="https://scryfall.com/sets/yotj" TargetMode="External" Id="rId429"/><Relationship Type="http://schemas.openxmlformats.org/officeDocument/2006/relationships/hyperlink" Target="https://scryfall.com/sets/yotj" TargetMode="External" Id="rId430"/><Relationship Type="http://schemas.openxmlformats.org/officeDocument/2006/relationships/hyperlink" Target="https://scryfall.com/sets/yotj" TargetMode="External" Id="rId431"/><Relationship Type="http://schemas.openxmlformats.org/officeDocument/2006/relationships/hyperlink" Target="https://scryfall.com/sets/yotj" TargetMode="External" Id="rId432"/><Relationship Type="http://schemas.openxmlformats.org/officeDocument/2006/relationships/hyperlink" Target="https://scryfall.com/sets/aotj" TargetMode="External" Id="rId433"/><Relationship Type="http://schemas.openxmlformats.org/officeDocument/2006/relationships/hyperlink" Target="https://scryfall.com/sets/aotj" TargetMode="External" Id="rId434"/><Relationship Type="http://schemas.openxmlformats.org/officeDocument/2006/relationships/hyperlink" Target="https://scryfall.com/sets/aotj" TargetMode="External" Id="rId435"/><Relationship Type="http://schemas.openxmlformats.org/officeDocument/2006/relationships/hyperlink" Target="https://scryfall.com/sets/aotj" TargetMode="External" Id="rId436"/><Relationship Type="http://schemas.openxmlformats.org/officeDocument/2006/relationships/hyperlink" Target="https://scryfall.com/sets/big" TargetMode="External" Id="rId437"/><Relationship Type="http://schemas.openxmlformats.org/officeDocument/2006/relationships/hyperlink" Target="https://scryfall.com/sets/big" TargetMode="External" Id="rId438"/><Relationship Type="http://schemas.openxmlformats.org/officeDocument/2006/relationships/hyperlink" Target="https://scryfall.com/sets/big" TargetMode="External" Id="rId439"/><Relationship Type="http://schemas.openxmlformats.org/officeDocument/2006/relationships/hyperlink" Target="https://scryfall.com/sets/pbig" TargetMode="External" Id="rId440"/><Relationship Type="http://schemas.openxmlformats.org/officeDocument/2006/relationships/hyperlink" Target="https://scryfall.com/sets/pbig" TargetMode="External" Id="rId441"/><Relationship Type="http://schemas.openxmlformats.org/officeDocument/2006/relationships/hyperlink" Target="https://scryfall.com/sets/pbig" TargetMode="External" Id="rId442"/><Relationship Type="http://schemas.openxmlformats.org/officeDocument/2006/relationships/hyperlink" Target="https://scryfall.com/sets/pbig" TargetMode="External" Id="rId443"/><Relationship Type="http://schemas.openxmlformats.org/officeDocument/2006/relationships/hyperlink" Target="https://scryfall.com/sets/tbig" TargetMode="External" Id="rId444"/><Relationship Type="http://schemas.openxmlformats.org/officeDocument/2006/relationships/hyperlink" Target="https://scryfall.com/sets/tbig" TargetMode="External" Id="rId445"/><Relationship Type="http://schemas.openxmlformats.org/officeDocument/2006/relationships/hyperlink" Target="https://scryfall.com/sets/tbig" TargetMode="External" Id="rId446"/><Relationship Type="http://schemas.openxmlformats.org/officeDocument/2006/relationships/hyperlink" Target="https://scryfall.com/sets/tbig" TargetMode="External" Id="rId447"/><Relationship Type="http://schemas.openxmlformats.org/officeDocument/2006/relationships/hyperlink" Target="https://scryfall.com/sets/otc" TargetMode="External" Id="rId448"/><Relationship Type="http://schemas.openxmlformats.org/officeDocument/2006/relationships/hyperlink" Target="https://scryfall.com/sets/otc" TargetMode="External" Id="rId449"/><Relationship Type="http://schemas.openxmlformats.org/officeDocument/2006/relationships/hyperlink" Target="https://scryfall.com/sets/otc" TargetMode="External" Id="rId450"/><Relationship Type="http://schemas.openxmlformats.org/officeDocument/2006/relationships/hyperlink" Target="https://scryfall.com/sets/totc" TargetMode="External" Id="rId451"/><Relationship Type="http://schemas.openxmlformats.org/officeDocument/2006/relationships/hyperlink" Target="https://scryfall.com/sets/totc" TargetMode="External" Id="rId452"/><Relationship Type="http://schemas.openxmlformats.org/officeDocument/2006/relationships/hyperlink" Target="https://scryfall.com/sets/totc" TargetMode="External" Id="rId453"/><Relationship Type="http://schemas.openxmlformats.org/officeDocument/2006/relationships/hyperlink" Target="https://scryfall.com/sets/totc" TargetMode="External" Id="rId454"/><Relationship Type="http://schemas.openxmlformats.org/officeDocument/2006/relationships/hyperlink" Target="https://scryfall.com/sets/pip" TargetMode="External" Id="rId455"/><Relationship Type="http://schemas.openxmlformats.org/officeDocument/2006/relationships/hyperlink" Target="https://scryfall.com/sets/pip" TargetMode="External" Id="rId456"/><Relationship Type="http://schemas.openxmlformats.org/officeDocument/2006/relationships/hyperlink" Target="https://scryfall.com/sets/pip" TargetMode="External" Id="rId457"/><Relationship Type="http://schemas.openxmlformats.org/officeDocument/2006/relationships/hyperlink" Target="https://scryfall.com/sets/tpip" TargetMode="External" Id="rId458"/><Relationship Type="http://schemas.openxmlformats.org/officeDocument/2006/relationships/hyperlink" Target="https://scryfall.com/sets/tpip" TargetMode="External" Id="rId459"/><Relationship Type="http://schemas.openxmlformats.org/officeDocument/2006/relationships/hyperlink" Target="https://scryfall.com/sets/tpip" TargetMode="External" Id="rId460"/><Relationship Type="http://schemas.openxmlformats.org/officeDocument/2006/relationships/hyperlink" Target="https://scryfall.com/sets/tpip" TargetMode="External" Id="rId461"/><Relationship Type="http://schemas.openxmlformats.org/officeDocument/2006/relationships/hyperlink" Target="https://scryfall.com/sets/mkm" TargetMode="External" Id="rId462"/><Relationship Type="http://schemas.openxmlformats.org/officeDocument/2006/relationships/hyperlink" Target="https://scryfall.com/sets/mkm" TargetMode="External" Id="rId463"/><Relationship Type="http://schemas.openxmlformats.org/officeDocument/2006/relationships/hyperlink" Target="https://scryfall.com/sets/mkm" TargetMode="External" Id="rId464"/><Relationship Type="http://schemas.openxmlformats.org/officeDocument/2006/relationships/hyperlink" Target="https://scryfall.com/sets/pmkm" TargetMode="External" Id="rId465"/><Relationship Type="http://schemas.openxmlformats.org/officeDocument/2006/relationships/hyperlink" Target="https://scryfall.com/sets/pmkm" TargetMode="External" Id="rId466"/><Relationship Type="http://schemas.openxmlformats.org/officeDocument/2006/relationships/hyperlink" Target="https://scryfall.com/sets/pmkm" TargetMode="External" Id="rId467"/><Relationship Type="http://schemas.openxmlformats.org/officeDocument/2006/relationships/hyperlink" Target="https://scryfall.com/sets/pmkm" TargetMode="External" Id="rId468"/><Relationship Type="http://schemas.openxmlformats.org/officeDocument/2006/relationships/hyperlink" Target="https://scryfall.com/sets/tmkm" TargetMode="External" Id="rId469"/><Relationship Type="http://schemas.openxmlformats.org/officeDocument/2006/relationships/hyperlink" Target="https://scryfall.com/sets/tmkm" TargetMode="External" Id="rId470"/><Relationship Type="http://schemas.openxmlformats.org/officeDocument/2006/relationships/hyperlink" Target="https://scryfall.com/sets/tmkm" TargetMode="External" Id="rId471"/><Relationship Type="http://schemas.openxmlformats.org/officeDocument/2006/relationships/hyperlink" Target="https://scryfall.com/sets/tmkm" TargetMode="External" Id="rId472"/><Relationship Type="http://schemas.openxmlformats.org/officeDocument/2006/relationships/hyperlink" Target="https://scryfall.com/sets/ymkm" TargetMode="External" Id="rId473"/><Relationship Type="http://schemas.openxmlformats.org/officeDocument/2006/relationships/hyperlink" Target="https://scryfall.com/sets/ymkm" TargetMode="External" Id="rId474"/><Relationship Type="http://schemas.openxmlformats.org/officeDocument/2006/relationships/hyperlink" Target="https://scryfall.com/sets/ymkm" TargetMode="External" Id="rId475"/><Relationship Type="http://schemas.openxmlformats.org/officeDocument/2006/relationships/hyperlink" Target="https://scryfall.com/sets/ymkm" TargetMode="External" Id="rId476"/><Relationship Type="http://schemas.openxmlformats.org/officeDocument/2006/relationships/hyperlink" Target="https://scryfall.com/sets/clu" TargetMode="External" Id="rId477"/><Relationship Type="http://schemas.openxmlformats.org/officeDocument/2006/relationships/hyperlink" Target="https://scryfall.com/sets/clu" TargetMode="External" Id="rId478"/><Relationship Type="http://schemas.openxmlformats.org/officeDocument/2006/relationships/hyperlink" Target="https://scryfall.com/sets/clu" TargetMode="External" Id="rId479"/><Relationship Type="http://schemas.openxmlformats.org/officeDocument/2006/relationships/hyperlink" Target="https://scryfall.com/sets/clu" TargetMode="External" Id="rId480"/><Relationship Type="http://schemas.openxmlformats.org/officeDocument/2006/relationships/hyperlink" Target="https://scryfall.com/sets/fclu" TargetMode="External" Id="rId481"/><Relationship Type="http://schemas.openxmlformats.org/officeDocument/2006/relationships/hyperlink" Target="https://scryfall.com/sets/fclu" TargetMode="External" Id="rId482"/><Relationship Type="http://schemas.openxmlformats.org/officeDocument/2006/relationships/hyperlink" Target="https://scryfall.com/sets/fclu" TargetMode="External" Id="rId483"/><Relationship Type="http://schemas.openxmlformats.org/officeDocument/2006/relationships/hyperlink" Target="https://scryfall.com/sets/fclu" TargetMode="External" Id="rId484"/><Relationship Type="http://schemas.openxmlformats.org/officeDocument/2006/relationships/hyperlink" Target="https://scryfall.com/sets/pss4" TargetMode="External" Id="rId485"/><Relationship Type="http://schemas.openxmlformats.org/officeDocument/2006/relationships/hyperlink" Target="https://scryfall.com/sets/pss4" TargetMode="External" Id="rId486"/><Relationship Type="http://schemas.openxmlformats.org/officeDocument/2006/relationships/hyperlink" Target="https://scryfall.com/sets/pss4" TargetMode="External" Id="rId487"/><Relationship Type="http://schemas.openxmlformats.org/officeDocument/2006/relationships/hyperlink" Target="https://scryfall.com/sets/pss4" TargetMode="External" Id="rId488"/><Relationship Type="http://schemas.openxmlformats.org/officeDocument/2006/relationships/hyperlink" Target="https://scryfall.com/sets/amkm" TargetMode="External" Id="rId489"/><Relationship Type="http://schemas.openxmlformats.org/officeDocument/2006/relationships/hyperlink" Target="https://scryfall.com/sets/amkm" TargetMode="External" Id="rId490"/><Relationship Type="http://schemas.openxmlformats.org/officeDocument/2006/relationships/hyperlink" Target="https://scryfall.com/sets/amkm" TargetMode="External" Id="rId491"/><Relationship Type="http://schemas.openxmlformats.org/officeDocument/2006/relationships/hyperlink" Target="https://scryfall.com/sets/amkm" TargetMode="External" Id="rId492"/><Relationship Type="http://schemas.openxmlformats.org/officeDocument/2006/relationships/hyperlink" Target="https://scryfall.com/sets/wmkm" TargetMode="External" Id="rId493"/><Relationship Type="http://schemas.openxmlformats.org/officeDocument/2006/relationships/hyperlink" Target="https://scryfall.com/sets/wmkm" TargetMode="External" Id="rId494"/><Relationship Type="http://schemas.openxmlformats.org/officeDocument/2006/relationships/hyperlink" Target="https://scryfall.com/sets/wmkm" TargetMode="External" Id="rId495"/><Relationship Type="http://schemas.openxmlformats.org/officeDocument/2006/relationships/hyperlink" Target="https://scryfall.com/sets/wmkm/ja" TargetMode="External" Id="rId496"/><Relationship Type="http://schemas.openxmlformats.org/officeDocument/2006/relationships/hyperlink" Target="https://scryfall.com/sets/mkc" TargetMode="External" Id="rId497"/><Relationship Type="http://schemas.openxmlformats.org/officeDocument/2006/relationships/hyperlink" Target="https://scryfall.com/sets/mkc" TargetMode="External" Id="rId498"/><Relationship Type="http://schemas.openxmlformats.org/officeDocument/2006/relationships/hyperlink" Target="https://scryfall.com/sets/mkc" TargetMode="External" Id="rId499"/><Relationship Type="http://schemas.openxmlformats.org/officeDocument/2006/relationships/hyperlink" Target="https://scryfall.com/sets/tmkc" TargetMode="External" Id="rId500"/><Relationship Type="http://schemas.openxmlformats.org/officeDocument/2006/relationships/hyperlink" Target="https://scryfall.com/sets/tmkc" TargetMode="External" Id="rId501"/><Relationship Type="http://schemas.openxmlformats.org/officeDocument/2006/relationships/hyperlink" Target="https://scryfall.com/sets/tmkc" TargetMode="External" Id="rId502"/><Relationship Type="http://schemas.openxmlformats.org/officeDocument/2006/relationships/hyperlink" Target="https://scryfall.com/sets/tmkc" TargetMode="External" Id="rId503"/><Relationship Type="http://schemas.openxmlformats.org/officeDocument/2006/relationships/hyperlink" Target="https://scryfall.com/sets/pl24" TargetMode="External" Id="rId504"/><Relationship Type="http://schemas.openxmlformats.org/officeDocument/2006/relationships/hyperlink" Target="https://scryfall.com/sets/pl24" TargetMode="External" Id="rId505"/><Relationship Type="http://schemas.openxmlformats.org/officeDocument/2006/relationships/hyperlink" Target="https://scryfall.com/sets/pl24" TargetMode="External" Id="rId506"/><Relationship Type="http://schemas.openxmlformats.org/officeDocument/2006/relationships/hyperlink" Target="https://scryfall.com/sets/rvr" TargetMode="External" Id="rId507"/><Relationship Type="http://schemas.openxmlformats.org/officeDocument/2006/relationships/hyperlink" Target="https://scryfall.com/sets/rvr" TargetMode="External" Id="rId508"/><Relationship Type="http://schemas.openxmlformats.org/officeDocument/2006/relationships/hyperlink" Target="https://scryfall.com/sets/rvr" TargetMode="External" Id="rId509"/><Relationship Type="http://schemas.openxmlformats.org/officeDocument/2006/relationships/hyperlink" Target="https://scryfall.com/sets/trvr" TargetMode="External" Id="rId510"/><Relationship Type="http://schemas.openxmlformats.org/officeDocument/2006/relationships/hyperlink" Target="https://scryfall.com/sets/trvr" TargetMode="External" Id="rId511"/><Relationship Type="http://schemas.openxmlformats.org/officeDocument/2006/relationships/hyperlink" Target="https://scryfall.com/sets/trvr" TargetMode="External" Id="rId512"/><Relationship Type="http://schemas.openxmlformats.org/officeDocument/2006/relationships/hyperlink" Target="https://scryfall.com/sets/trvr" TargetMode="External" Id="rId513"/><Relationship Type="http://schemas.openxmlformats.org/officeDocument/2006/relationships/hyperlink" Target="https://scryfall.com/sets/pf24" TargetMode="External" Id="rId514"/><Relationship Type="http://schemas.openxmlformats.org/officeDocument/2006/relationships/hyperlink" Target="https://scryfall.com/sets/pf24" TargetMode="External" Id="rId515"/><Relationship Type="http://schemas.openxmlformats.org/officeDocument/2006/relationships/hyperlink" Target="https://scryfall.com/sets/pf24" TargetMode="External" Id="rId516"/><Relationship Type="http://schemas.openxmlformats.org/officeDocument/2006/relationships/hyperlink" Target="https://scryfall.com/sets/pf24" TargetMode="External" Id="rId517"/><Relationship Type="http://schemas.openxmlformats.org/officeDocument/2006/relationships/hyperlink" Target="https://scryfall.com/sets/pw24" TargetMode="External" Id="rId518"/><Relationship Type="http://schemas.openxmlformats.org/officeDocument/2006/relationships/hyperlink" Target="https://scryfall.com/sets/pw24" TargetMode="External" Id="rId519"/><Relationship Type="http://schemas.openxmlformats.org/officeDocument/2006/relationships/hyperlink" Target="https://scryfall.com/sets/pw24" TargetMode="External" Id="rId520"/><Relationship Type="http://schemas.openxmlformats.org/officeDocument/2006/relationships/hyperlink" Target="https://scryfall.com/sets/spg" TargetMode="External" Id="rId521"/><Relationship Type="http://schemas.openxmlformats.org/officeDocument/2006/relationships/hyperlink" Target="https://scryfall.com/sets/spg" TargetMode="External" Id="rId522"/><Relationship Type="http://schemas.openxmlformats.org/officeDocument/2006/relationships/hyperlink" Target="https://scryfall.com/sets/spg" TargetMode="External" Id="rId523"/><Relationship Type="http://schemas.openxmlformats.org/officeDocument/2006/relationships/hyperlink" Target="https://scryfall.com/sets/spg" TargetMode="External" Id="rId524"/><Relationship Type="http://schemas.openxmlformats.org/officeDocument/2006/relationships/hyperlink" Target="https://scryfall.com/sets/lci" TargetMode="External" Id="rId525"/><Relationship Type="http://schemas.openxmlformats.org/officeDocument/2006/relationships/hyperlink" Target="https://scryfall.com/sets/lci" TargetMode="External" Id="rId526"/><Relationship Type="http://schemas.openxmlformats.org/officeDocument/2006/relationships/hyperlink" Target="https://scryfall.com/sets/lci" TargetMode="External" Id="rId527"/><Relationship Type="http://schemas.openxmlformats.org/officeDocument/2006/relationships/hyperlink" Target="https://scryfall.com/sets/plci" TargetMode="External" Id="rId528"/><Relationship Type="http://schemas.openxmlformats.org/officeDocument/2006/relationships/hyperlink" Target="https://scryfall.com/sets/plci" TargetMode="External" Id="rId529"/><Relationship Type="http://schemas.openxmlformats.org/officeDocument/2006/relationships/hyperlink" Target="https://scryfall.com/sets/plci" TargetMode="External" Id="rId530"/><Relationship Type="http://schemas.openxmlformats.org/officeDocument/2006/relationships/hyperlink" Target="https://scryfall.com/sets/plci" TargetMode="External" Id="rId531"/><Relationship Type="http://schemas.openxmlformats.org/officeDocument/2006/relationships/hyperlink" Target="https://scryfall.com/sets/tlci" TargetMode="External" Id="rId532"/><Relationship Type="http://schemas.openxmlformats.org/officeDocument/2006/relationships/hyperlink" Target="https://scryfall.com/sets/tlci" TargetMode="External" Id="rId533"/><Relationship Type="http://schemas.openxmlformats.org/officeDocument/2006/relationships/hyperlink" Target="https://scryfall.com/sets/tlci" TargetMode="External" Id="rId534"/><Relationship Type="http://schemas.openxmlformats.org/officeDocument/2006/relationships/hyperlink" Target="https://scryfall.com/sets/tlci" TargetMode="External" Id="rId535"/><Relationship Type="http://schemas.openxmlformats.org/officeDocument/2006/relationships/hyperlink" Target="https://scryfall.com/sets/ylci" TargetMode="External" Id="rId536"/><Relationship Type="http://schemas.openxmlformats.org/officeDocument/2006/relationships/hyperlink" Target="https://scryfall.com/sets/ylci" TargetMode="External" Id="rId537"/><Relationship Type="http://schemas.openxmlformats.org/officeDocument/2006/relationships/hyperlink" Target="https://scryfall.com/sets/ylci" TargetMode="External" Id="rId538"/><Relationship Type="http://schemas.openxmlformats.org/officeDocument/2006/relationships/hyperlink" Target="https://scryfall.com/sets/ylci" TargetMode="External" Id="rId539"/><Relationship Type="http://schemas.openxmlformats.org/officeDocument/2006/relationships/hyperlink" Target="https://scryfall.com/sets/alci" TargetMode="External" Id="rId540"/><Relationship Type="http://schemas.openxmlformats.org/officeDocument/2006/relationships/hyperlink" Target="https://scryfall.com/sets/alci" TargetMode="External" Id="rId541"/><Relationship Type="http://schemas.openxmlformats.org/officeDocument/2006/relationships/hyperlink" Target="https://scryfall.com/sets/alci" TargetMode="External" Id="rId542"/><Relationship Type="http://schemas.openxmlformats.org/officeDocument/2006/relationships/hyperlink" Target="https://scryfall.com/sets/alci" TargetMode="External" Id="rId543"/><Relationship Type="http://schemas.openxmlformats.org/officeDocument/2006/relationships/hyperlink" Target="https://scryfall.com/sets/slci" TargetMode="External" Id="rId544"/><Relationship Type="http://schemas.openxmlformats.org/officeDocument/2006/relationships/hyperlink" Target="https://scryfall.com/sets/slci" TargetMode="External" Id="rId545"/><Relationship Type="http://schemas.openxmlformats.org/officeDocument/2006/relationships/hyperlink" Target="https://scryfall.com/sets/slci" TargetMode="External" Id="rId546"/><Relationship Type="http://schemas.openxmlformats.org/officeDocument/2006/relationships/hyperlink" Target="https://scryfall.com/sets/slci" TargetMode="External" Id="rId547"/><Relationship Type="http://schemas.openxmlformats.org/officeDocument/2006/relationships/hyperlink" Target="https://scryfall.com/sets/rex" TargetMode="External" Id="rId548"/><Relationship Type="http://schemas.openxmlformats.org/officeDocument/2006/relationships/hyperlink" Target="https://scryfall.com/sets/rex" TargetMode="External" Id="rId549"/><Relationship Type="http://schemas.openxmlformats.org/officeDocument/2006/relationships/hyperlink" Target="https://scryfall.com/sets/rex" TargetMode="External" Id="rId550"/><Relationship Type="http://schemas.openxmlformats.org/officeDocument/2006/relationships/hyperlink" Target="https://scryfall.com/sets/trex" TargetMode="External" Id="rId551"/><Relationship Type="http://schemas.openxmlformats.org/officeDocument/2006/relationships/hyperlink" Target="https://scryfall.com/sets/trex" TargetMode="External" Id="rId552"/><Relationship Type="http://schemas.openxmlformats.org/officeDocument/2006/relationships/hyperlink" Target="https://scryfall.com/sets/trex" TargetMode="External" Id="rId553"/><Relationship Type="http://schemas.openxmlformats.org/officeDocument/2006/relationships/hyperlink" Target="https://scryfall.com/sets/trex" TargetMode="External" Id="rId554"/><Relationship Type="http://schemas.openxmlformats.org/officeDocument/2006/relationships/hyperlink" Target="https://scryfall.com/sets/lcc" TargetMode="External" Id="rId555"/><Relationship Type="http://schemas.openxmlformats.org/officeDocument/2006/relationships/hyperlink" Target="https://scryfall.com/sets/lcc" TargetMode="External" Id="rId556"/><Relationship Type="http://schemas.openxmlformats.org/officeDocument/2006/relationships/hyperlink" Target="https://scryfall.com/sets/lcc" TargetMode="External" Id="rId557"/><Relationship Type="http://schemas.openxmlformats.org/officeDocument/2006/relationships/hyperlink" Target="https://scryfall.com/sets/tlcc" TargetMode="External" Id="rId558"/><Relationship Type="http://schemas.openxmlformats.org/officeDocument/2006/relationships/hyperlink" Target="https://scryfall.com/sets/tlcc" TargetMode="External" Id="rId559"/><Relationship Type="http://schemas.openxmlformats.org/officeDocument/2006/relationships/hyperlink" Target="https://scryfall.com/sets/tlcc" TargetMode="External" Id="rId560"/><Relationship Type="http://schemas.openxmlformats.org/officeDocument/2006/relationships/hyperlink" Target="https://scryfall.com/sets/tlcc" TargetMode="External" Id="rId561"/><Relationship Type="http://schemas.openxmlformats.org/officeDocument/2006/relationships/hyperlink" Target="https://scryfall.com/sets/who" TargetMode="External" Id="rId562"/><Relationship Type="http://schemas.openxmlformats.org/officeDocument/2006/relationships/hyperlink" Target="https://scryfall.com/sets/who" TargetMode="External" Id="rId563"/><Relationship Type="http://schemas.openxmlformats.org/officeDocument/2006/relationships/hyperlink" Target="https://scryfall.com/sets/who" TargetMode="External" Id="rId564"/><Relationship Type="http://schemas.openxmlformats.org/officeDocument/2006/relationships/hyperlink" Target="https://scryfall.com/sets/twho" TargetMode="External" Id="rId565"/><Relationship Type="http://schemas.openxmlformats.org/officeDocument/2006/relationships/hyperlink" Target="https://scryfall.com/sets/twho" TargetMode="External" Id="rId566"/><Relationship Type="http://schemas.openxmlformats.org/officeDocument/2006/relationships/hyperlink" Target="https://scryfall.com/sets/twho" TargetMode="External" Id="rId567"/><Relationship Type="http://schemas.openxmlformats.org/officeDocument/2006/relationships/hyperlink" Target="https://scryfall.com/sets/twho" TargetMode="External" Id="rId568"/><Relationship Type="http://schemas.openxmlformats.org/officeDocument/2006/relationships/hyperlink" Target="https://scryfall.com/sets/pmda" TargetMode="External" Id="rId569"/><Relationship Type="http://schemas.openxmlformats.org/officeDocument/2006/relationships/hyperlink" Target="https://scryfall.com/sets/pmda" TargetMode="External" Id="rId570"/><Relationship Type="http://schemas.openxmlformats.org/officeDocument/2006/relationships/hyperlink" Target="https://scryfall.com/sets/pmda" TargetMode="External" Id="rId571"/><Relationship Type="http://schemas.openxmlformats.org/officeDocument/2006/relationships/hyperlink" Target="https://scryfall.com/sets/pmda/ja" TargetMode="External" Id="rId572"/><Relationship Type="http://schemas.openxmlformats.org/officeDocument/2006/relationships/hyperlink" Target="https://scryfall.com/sets/woe" TargetMode="External" Id="rId573"/><Relationship Type="http://schemas.openxmlformats.org/officeDocument/2006/relationships/hyperlink" Target="https://scryfall.com/sets/woe" TargetMode="External" Id="rId574"/><Relationship Type="http://schemas.openxmlformats.org/officeDocument/2006/relationships/hyperlink" Target="https://scryfall.com/sets/woe" TargetMode="External" Id="rId575"/><Relationship Type="http://schemas.openxmlformats.org/officeDocument/2006/relationships/hyperlink" Target="https://scryfall.com/sets/wot" TargetMode="External" Id="rId576"/><Relationship Type="http://schemas.openxmlformats.org/officeDocument/2006/relationships/hyperlink" Target="https://scryfall.com/sets/wot" TargetMode="External" Id="rId577"/><Relationship Type="http://schemas.openxmlformats.org/officeDocument/2006/relationships/hyperlink" Target="https://scryfall.com/sets/wot" TargetMode="External" Id="rId578"/><Relationship Type="http://schemas.openxmlformats.org/officeDocument/2006/relationships/hyperlink" Target="https://scryfall.com/sets/pwoe" TargetMode="External" Id="rId579"/><Relationship Type="http://schemas.openxmlformats.org/officeDocument/2006/relationships/hyperlink" Target="https://scryfall.com/sets/pwoe" TargetMode="External" Id="rId580"/><Relationship Type="http://schemas.openxmlformats.org/officeDocument/2006/relationships/hyperlink" Target="https://scryfall.com/sets/pwoe" TargetMode="External" Id="rId581"/><Relationship Type="http://schemas.openxmlformats.org/officeDocument/2006/relationships/hyperlink" Target="https://scryfall.com/sets/pwoe" TargetMode="External" Id="rId582"/><Relationship Type="http://schemas.openxmlformats.org/officeDocument/2006/relationships/hyperlink" Target="https://scryfall.com/sets/twoe" TargetMode="External" Id="rId583"/><Relationship Type="http://schemas.openxmlformats.org/officeDocument/2006/relationships/hyperlink" Target="https://scryfall.com/sets/twoe" TargetMode="External" Id="rId584"/><Relationship Type="http://schemas.openxmlformats.org/officeDocument/2006/relationships/hyperlink" Target="https://scryfall.com/sets/twoe" TargetMode="External" Id="rId585"/><Relationship Type="http://schemas.openxmlformats.org/officeDocument/2006/relationships/hyperlink" Target="https://scryfall.com/sets/twoe" TargetMode="External" Id="rId586"/><Relationship Type="http://schemas.openxmlformats.org/officeDocument/2006/relationships/hyperlink" Target="https://scryfall.com/sets/ywoe" TargetMode="External" Id="rId587"/><Relationship Type="http://schemas.openxmlformats.org/officeDocument/2006/relationships/hyperlink" Target="https://scryfall.com/sets/ywoe" TargetMode="External" Id="rId588"/><Relationship Type="http://schemas.openxmlformats.org/officeDocument/2006/relationships/hyperlink" Target="https://scryfall.com/sets/ywoe" TargetMode="External" Id="rId589"/><Relationship Type="http://schemas.openxmlformats.org/officeDocument/2006/relationships/hyperlink" Target="https://scryfall.com/sets/ywoe" TargetMode="External" Id="rId590"/><Relationship Type="http://schemas.openxmlformats.org/officeDocument/2006/relationships/hyperlink" Target="https://scryfall.com/sets/woc" TargetMode="External" Id="rId591"/><Relationship Type="http://schemas.openxmlformats.org/officeDocument/2006/relationships/hyperlink" Target="https://scryfall.com/sets/woc" TargetMode="External" Id="rId592"/><Relationship Type="http://schemas.openxmlformats.org/officeDocument/2006/relationships/hyperlink" Target="https://scryfall.com/sets/woc" TargetMode="External" Id="rId593"/><Relationship Type="http://schemas.openxmlformats.org/officeDocument/2006/relationships/hyperlink" Target="https://scryfall.com/sets/twoc" TargetMode="External" Id="rId594"/><Relationship Type="http://schemas.openxmlformats.org/officeDocument/2006/relationships/hyperlink" Target="https://scryfall.com/sets/twoc" TargetMode="External" Id="rId595"/><Relationship Type="http://schemas.openxmlformats.org/officeDocument/2006/relationships/hyperlink" Target="https://scryfall.com/sets/twoc" TargetMode="External" Id="rId596"/><Relationship Type="http://schemas.openxmlformats.org/officeDocument/2006/relationships/hyperlink" Target="https://scryfall.com/sets/twoc" TargetMode="External" Id="rId597"/><Relationship Type="http://schemas.openxmlformats.org/officeDocument/2006/relationships/hyperlink" Target="https://scryfall.com/sets/wwoe" TargetMode="External" Id="rId598"/><Relationship Type="http://schemas.openxmlformats.org/officeDocument/2006/relationships/hyperlink" Target="https://scryfall.com/sets/wwoe" TargetMode="External" Id="rId599"/><Relationship Type="http://schemas.openxmlformats.org/officeDocument/2006/relationships/hyperlink" Target="https://scryfall.com/sets/wwoe" TargetMode="External" Id="rId600"/><Relationship Type="http://schemas.openxmlformats.org/officeDocument/2006/relationships/hyperlink" Target="https://scryfall.com/sets/wwoe/ja" TargetMode="External" Id="rId601"/><Relationship Type="http://schemas.openxmlformats.org/officeDocument/2006/relationships/hyperlink" Target="https://scryfall.com/sets/awoe" TargetMode="External" Id="rId602"/><Relationship Type="http://schemas.openxmlformats.org/officeDocument/2006/relationships/hyperlink" Target="https://scryfall.com/sets/awoe" TargetMode="External" Id="rId603"/><Relationship Type="http://schemas.openxmlformats.org/officeDocument/2006/relationships/hyperlink" Target="https://scryfall.com/sets/awoe" TargetMode="External" Id="rId604"/><Relationship Type="http://schemas.openxmlformats.org/officeDocument/2006/relationships/hyperlink" Target="https://scryfall.com/sets/awoe" TargetMode="External" Id="rId605"/><Relationship Type="http://schemas.openxmlformats.org/officeDocument/2006/relationships/hyperlink" Target="https://scryfall.com/sets/cmm" TargetMode="External" Id="rId606"/><Relationship Type="http://schemas.openxmlformats.org/officeDocument/2006/relationships/hyperlink" Target="https://scryfall.com/sets/cmm" TargetMode="External" Id="rId607"/><Relationship Type="http://schemas.openxmlformats.org/officeDocument/2006/relationships/hyperlink" Target="https://scryfall.com/sets/cmm" TargetMode="External" Id="rId608"/><Relationship Type="http://schemas.openxmlformats.org/officeDocument/2006/relationships/hyperlink" Target="https://scryfall.com/sets/tcmm" TargetMode="External" Id="rId609"/><Relationship Type="http://schemas.openxmlformats.org/officeDocument/2006/relationships/hyperlink" Target="https://scryfall.com/sets/tcmm" TargetMode="External" Id="rId610"/><Relationship Type="http://schemas.openxmlformats.org/officeDocument/2006/relationships/hyperlink" Target="https://scryfall.com/sets/tcmm" TargetMode="External" Id="rId611"/><Relationship Type="http://schemas.openxmlformats.org/officeDocument/2006/relationships/hyperlink" Target="https://scryfall.com/sets/tcmm" TargetMode="External" Id="rId612"/><Relationship Type="http://schemas.openxmlformats.org/officeDocument/2006/relationships/hyperlink" Target="https://scryfall.com/sets/acmm" TargetMode="External" Id="rId613"/><Relationship Type="http://schemas.openxmlformats.org/officeDocument/2006/relationships/hyperlink" Target="https://scryfall.com/sets/acmm" TargetMode="External" Id="rId614"/><Relationship Type="http://schemas.openxmlformats.org/officeDocument/2006/relationships/hyperlink" Target="https://scryfall.com/sets/acmm" TargetMode="External" Id="rId615"/><Relationship Type="http://schemas.openxmlformats.org/officeDocument/2006/relationships/hyperlink" Target="https://scryfall.com/sets/acmm" TargetMode="External" Id="rId616"/><Relationship Type="http://schemas.openxmlformats.org/officeDocument/2006/relationships/hyperlink" Target="https://scryfall.com/sets/ph22" TargetMode="External" Id="rId617"/><Relationship Type="http://schemas.openxmlformats.org/officeDocument/2006/relationships/hyperlink" Target="https://scryfall.com/sets/ph22" TargetMode="External" Id="rId618"/><Relationship Type="http://schemas.openxmlformats.org/officeDocument/2006/relationships/hyperlink" Target="https://scryfall.com/sets/ph22" TargetMode="External" Id="rId619"/><Relationship Type="http://schemas.openxmlformats.org/officeDocument/2006/relationships/hyperlink" Target="https://scryfall.com/sets/ph22" TargetMode="External" Id="rId620"/><Relationship Type="http://schemas.openxmlformats.org/officeDocument/2006/relationships/hyperlink" Target="https://scryfall.com/sets/ea3" TargetMode="External" Id="rId621"/><Relationship Type="http://schemas.openxmlformats.org/officeDocument/2006/relationships/hyperlink" Target="https://scryfall.com/sets/ea3" TargetMode="External" Id="rId622"/><Relationship Type="http://schemas.openxmlformats.org/officeDocument/2006/relationships/hyperlink" Target="https://scryfall.com/sets/ea3" TargetMode="External" Id="rId623"/><Relationship Type="http://schemas.openxmlformats.org/officeDocument/2006/relationships/hyperlink" Target="https://scryfall.com/sets/ea3" TargetMode="External" Id="rId624"/><Relationship Type="http://schemas.openxmlformats.org/officeDocument/2006/relationships/hyperlink" Target="https://scryfall.com/sets/ha7" TargetMode="External" Id="rId625"/><Relationship Type="http://schemas.openxmlformats.org/officeDocument/2006/relationships/hyperlink" Target="https://scryfall.com/sets/ha7" TargetMode="External" Id="rId626"/><Relationship Type="http://schemas.openxmlformats.org/officeDocument/2006/relationships/hyperlink" Target="https://scryfall.com/sets/ha7" TargetMode="External" Id="rId627"/><Relationship Type="http://schemas.openxmlformats.org/officeDocument/2006/relationships/hyperlink" Target="https://scryfall.com/sets/ha7" TargetMode="External" Id="rId628"/><Relationship Type="http://schemas.openxmlformats.org/officeDocument/2006/relationships/hyperlink" Target="https://scryfall.com/sets/pf23" TargetMode="External" Id="rId629"/><Relationship Type="http://schemas.openxmlformats.org/officeDocument/2006/relationships/hyperlink" Target="https://scryfall.com/sets/pf23" TargetMode="External" Id="rId630"/><Relationship Type="http://schemas.openxmlformats.org/officeDocument/2006/relationships/hyperlink" Target="https://scryfall.com/sets/pf23" TargetMode="External" Id="rId631"/><Relationship Type="http://schemas.openxmlformats.org/officeDocument/2006/relationships/hyperlink" Target="https://scryfall.com/sets/pf23" TargetMode="External" Id="rId632"/><Relationship Type="http://schemas.openxmlformats.org/officeDocument/2006/relationships/hyperlink" Target="https://scryfall.com/sets/ltr" TargetMode="External" Id="rId633"/><Relationship Type="http://schemas.openxmlformats.org/officeDocument/2006/relationships/hyperlink" Target="https://scryfall.com/sets/ltr" TargetMode="External" Id="rId634"/><Relationship Type="http://schemas.openxmlformats.org/officeDocument/2006/relationships/hyperlink" Target="https://scryfall.com/sets/ltr" TargetMode="External" Id="rId635"/><Relationship Type="http://schemas.openxmlformats.org/officeDocument/2006/relationships/hyperlink" Target="https://scryfall.com/sets/pltr" TargetMode="External" Id="rId636"/><Relationship Type="http://schemas.openxmlformats.org/officeDocument/2006/relationships/hyperlink" Target="https://scryfall.com/sets/pltr" TargetMode="External" Id="rId637"/><Relationship Type="http://schemas.openxmlformats.org/officeDocument/2006/relationships/hyperlink" Target="https://scryfall.com/sets/pltr" TargetMode="External" Id="rId638"/><Relationship Type="http://schemas.openxmlformats.org/officeDocument/2006/relationships/hyperlink" Target="https://scryfall.com/sets/pltr" TargetMode="External" Id="rId639"/><Relationship Type="http://schemas.openxmlformats.org/officeDocument/2006/relationships/hyperlink" Target="https://scryfall.com/sets/tltr" TargetMode="External" Id="rId640"/><Relationship Type="http://schemas.openxmlformats.org/officeDocument/2006/relationships/hyperlink" Target="https://scryfall.com/sets/tltr" TargetMode="External" Id="rId641"/><Relationship Type="http://schemas.openxmlformats.org/officeDocument/2006/relationships/hyperlink" Target="https://scryfall.com/sets/tltr" TargetMode="External" Id="rId642"/><Relationship Type="http://schemas.openxmlformats.org/officeDocument/2006/relationships/hyperlink" Target="https://scryfall.com/sets/tltr" TargetMode="External" Id="rId643"/><Relationship Type="http://schemas.openxmlformats.org/officeDocument/2006/relationships/hyperlink" Target="https://scryfall.com/sets/pltc" TargetMode="External" Id="rId644"/><Relationship Type="http://schemas.openxmlformats.org/officeDocument/2006/relationships/hyperlink" Target="https://scryfall.com/sets/pltc" TargetMode="External" Id="rId645"/><Relationship Type="http://schemas.openxmlformats.org/officeDocument/2006/relationships/hyperlink" Target="https://scryfall.com/sets/pltc" TargetMode="External" Id="rId646"/><Relationship Type="http://schemas.openxmlformats.org/officeDocument/2006/relationships/hyperlink" Target="https://scryfall.com/sets/pltc" TargetMode="External" Id="rId647"/><Relationship Type="http://schemas.openxmlformats.org/officeDocument/2006/relationships/hyperlink" Target="https://scryfall.com/sets/ltc" TargetMode="External" Id="rId648"/><Relationship Type="http://schemas.openxmlformats.org/officeDocument/2006/relationships/hyperlink" Target="https://scryfall.com/sets/ltc" TargetMode="External" Id="rId649"/><Relationship Type="http://schemas.openxmlformats.org/officeDocument/2006/relationships/hyperlink" Target="https://scryfall.com/sets/ltc" TargetMode="External" Id="rId650"/><Relationship Type="http://schemas.openxmlformats.org/officeDocument/2006/relationships/hyperlink" Target="https://scryfall.com/sets/tltc" TargetMode="External" Id="rId651"/><Relationship Type="http://schemas.openxmlformats.org/officeDocument/2006/relationships/hyperlink" Target="https://scryfall.com/sets/tltc" TargetMode="External" Id="rId652"/><Relationship Type="http://schemas.openxmlformats.org/officeDocument/2006/relationships/hyperlink" Target="https://scryfall.com/sets/tltc" TargetMode="External" Id="rId653"/><Relationship Type="http://schemas.openxmlformats.org/officeDocument/2006/relationships/hyperlink" Target="https://scryfall.com/sets/tltc" TargetMode="External" Id="rId654"/><Relationship Type="http://schemas.openxmlformats.org/officeDocument/2006/relationships/hyperlink" Target="https://scryfall.com/sets/altc" TargetMode="External" Id="rId655"/><Relationship Type="http://schemas.openxmlformats.org/officeDocument/2006/relationships/hyperlink" Target="https://scryfall.com/sets/altc" TargetMode="External" Id="rId656"/><Relationship Type="http://schemas.openxmlformats.org/officeDocument/2006/relationships/hyperlink" Target="https://scryfall.com/sets/altc" TargetMode="External" Id="rId657"/><Relationship Type="http://schemas.openxmlformats.org/officeDocument/2006/relationships/hyperlink" Target="https://scryfall.com/sets/altc" TargetMode="External" Id="rId658"/><Relationship Type="http://schemas.openxmlformats.org/officeDocument/2006/relationships/hyperlink" Target="https://scryfall.com/sets/altr" TargetMode="External" Id="rId659"/><Relationship Type="http://schemas.openxmlformats.org/officeDocument/2006/relationships/hyperlink" Target="https://scryfall.com/sets/altr" TargetMode="External" Id="rId660"/><Relationship Type="http://schemas.openxmlformats.org/officeDocument/2006/relationships/hyperlink" Target="https://scryfall.com/sets/altr" TargetMode="External" Id="rId661"/><Relationship Type="http://schemas.openxmlformats.org/officeDocument/2006/relationships/hyperlink" Target="https://scryfall.com/sets/altr" TargetMode="External" Id="rId662"/><Relationship Type="http://schemas.openxmlformats.org/officeDocument/2006/relationships/hyperlink" Target="https://scryfall.com/sets/fltr" TargetMode="External" Id="rId663"/><Relationship Type="http://schemas.openxmlformats.org/officeDocument/2006/relationships/hyperlink" Target="https://scryfall.com/sets/fltr" TargetMode="External" Id="rId664"/><Relationship Type="http://schemas.openxmlformats.org/officeDocument/2006/relationships/hyperlink" Target="https://scryfall.com/sets/fltr" TargetMode="External" Id="rId665"/><Relationship Type="http://schemas.openxmlformats.org/officeDocument/2006/relationships/hyperlink" Target="https://scryfall.com/sets/fltr" TargetMode="External" Id="rId666"/><Relationship Type="http://schemas.openxmlformats.org/officeDocument/2006/relationships/hyperlink" Target="https://scryfall.com/sets/mltr" TargetMode="External" Id="rId667"/><Relationship Type="http://schemas.openxmlformats.org/officeDocument/2006/relationships/hyperlink" Target="https://scryfall.com/sets/mltr" TargetMode="External" Id="rId668"/><Relationship Type="http://schemas.openxmlformats.org/officeDocument/2006/relationships/hyperlink" Target="https://scryfall.com/sets/mltr" TargetMode="External" Id="rId669"/><Relationship Type="http://schemas.openxmlformats.org/officeDocument/2006/relationships/hyperlink" Target="https://scryfall.com/sets/mltr" TargetMode="External" Id="rId670"/><Relationship Type="http://schemas.openxmlformats.org/officeDocument/2006/relationships/hyperlink" Target="https://scryfall.com/sets/mat" TargetMode="External" Id="rId671"/><Relationship Type="http://schemas.openxmlformats.org/officeDocument/2006/relationships/hyperlink" Target="https://scryfall.com/sets/mat" TargetMode="External" Id="rId672"/><Relationship Type="http://schemas.openxmlformats.org/officeDocument/2006/relationships/hyperlink" Target="https://scryfall.com/sets/mat" TargetMode="External" Id="rId673"/><Relationship Type="http://schemas.openxmlformats.org/officeDocument/2006/relationships/hyperlink" Target="https://scryfall.com/sets/pmat" TargetMode="External" Id="rId674"/><Relationship Type="http://schemas.openxmlformats.org/officeDocument/2006/relationships/hyperlink" Target="https://scryfall.com/sets/pmat" TargetMode="External" Id="rId675"/><Relationship Type="http://schemas.openxmlformats.org/officeDocument/2006/relationships/hyperlink" Target="https://scryfall.com/sets/pmat" TargetMode="External" Id="rId676"/><Relationship Type="http://schemas.openxmlformats.org/officeDocument/2006/relationships/hyperlink" Target="https://scryfall.com/sets/pmat" TargetMode="External" Id="rId677"/><Relationship Type="http://schemas.openxmlformats.org/officeDocument/2006/relationships/hyperlink" Target="https://scryfall.com/sets/mom" TargetMode="External" Id="rId678"/><Relationship Type="http://schemas.openxmlformats.org/officeDocument/2006/relationships/hyperlink" Target="https://scryfall.com/sets/mom" TargetMode="External" Id="rId679"/><Relationship Type="http://schemas.openxmlformats.org/officeDocument/2006/relationships/hyperlink" Target="https://scryfall.com/sets/mom" TargetMode="External" Id="rId680"/><Relationship Type="http://schemas.openxmlformats.org/officeDocument/2006/relationships/hyperlink" Target="https://scryfall.com/sets/mul" TargetMode="External" Id="rId681"/><Relationship Type="http://schemas.openxmlformats.org/officeDocument/2006/relationships/hyperlink" Target="https://scryfall.com/sets/mul" TargetMode="External" Id="rId682"/><Relationship Type="http://schemas.openxmlformats.org/officeDocument/2006/relationships/hyperlink" Target="https://scryfall.com/sets/mul" TargetMode="External" Id="rId683"/><Relationship Type="http://schemas.openxmlformats.org/officeDocument/2006/relationships/hyperlink" Target="https://scryfall.com/sets/tmul" TargetMode="External" Id="rId684"/><Relationship Type="http://schemas.openxmlformats.org/officeDocument/2006/relationships/hyperlink" Target="https://scryfall.com/sets/tmul" TargetMode="External" Id="rId685"/><Relationship Type="http://schemas.openxmlformats.org/officeDocument/2006/relationships/hyperlink" Target="https://scryfall.com/sets/tmul" TargetMode="External" Id="rId686"/><Relationship Type="http://schemas.openxmlformats.org/officeDocument/2006/relationships/hyperlink" Target="https://scryfall.com/sets/tmul" TargetMode="External" Id="rId687"/><Relationship Type="http://schemas.openxmlformats.org/officeDocument/2006/relationships/hyperlink" Target="https://scryfall.com/sets/pmom" TargetMode="External" Id="rId688"/><Relationship Type="http://schemas.openxmlformats.org/officeDocument/2006/relationships/hyperlink" Target="https://scryfall.com/sets/pmom" TargetMode="External" Id="rId689"/><Relationship Type="http://schemas.openxmlformats.org/officeDocument/2006/relationships/hyperlink" Target="https://scryfall.com/sets/pmom" TargetMode="External" Id="rId690"/><Relationship Type="http://schemas.openxmlformats.org/officeDocument/2006/relationships/hyperlink" Target="https://scryfall.com/sets/pmom" TargetMode="External" Id="rId691"/><Relationship Type="http://schemas.openxmlformats.org/officeDocument/2006/relationships/hyperlink" Target="https://scryfall.com/sets/tmom" TargetMode="External" Id="rId692"/><Relationship Type="http://schemas.openxmlformats.org/officeDocument/2006/relationships/hyperlink" Target="https://scryfall.com/sets/tmom" TargetMode="External" Id="rId693"/><Relationship Type="http://schemas.openxmlformats.org/officeDocument/2006/relationships/hyperlink" Target="https://scryfall.com/sets/tmom" TargetMode="External" Id="rId694"/><Relationship Type="http://schemas.openxmlformats.org/officeDocument/2006/relationships/hyperlink" Target="https://scryfall.com/sets/tmom" TargetMode="External" Id="rId695"/><Relationship Type="http://schemas.openxmlformats.org/officeDocument/2006/relationships/hyperlink" Target="https://scryfall.com/sets/fmom" TargetMode="External" Id="rId696"/><Relationship Type="http://schemas.openxmlformats.org/officeDocument/2006/relationships/hyperlink" Target="https://scryfall.com/sets/fmom" TargetMode="External" Id="rId697"/><Relationship Type="http://schemas.openxmlformats.org/officeDocument/2006/relationships/hyperlink" Target="https://scryfall.com/sets/fmom" TargetMode="External" Id="rId698"/><Relationship Type="http://schemas.openxmlformats.org/officeDocument/2006/relationships/hyperlink" Target="https://scryfall.com/sets/fmom" TargetMode="External" Id="rId699"/><Relationship Type="http://schemas.openxmlformats.org/officeDocument/2006/relationships/hyperlink" Target="https://scryfall.com/sets/moc" TargetMode="External" Id="rId700"/><Relationship Type="http://schemas.openxmlformats.org/officeDocument/2006/relationships/hyperlink" Target="https://scryfall.com/sets/moc" TargetMode="External" Id="rId701"/><Relationship Type="http://schemas.openxmlformats.org/officeDocument/2006/relationships/hyperlink" Target="https://scryfall.com/sets/moc" TargetMode="External" Id="rId702"/><Relationship Type="http://schemas.openxmlformats.org/officeDocument/2006/relationships/hyperlink" Target="https://scryfall.com/sets/tmoc" TargetMode="External" Id="rId703"/><Relationship Type="http://schemas.openxmlformats.org/officeDocument/2006/relationships/hyperlink" Target="https://scryfall.com/sets/tmoc" TargetMode="External" Id="rId704"/><Relationship Type="http://schemas.openxmlformats.org/officeDocument/2006/relationships/hyperlink" Target="https://scryfall.com/sets/tmoc" TargetMode="External" Id="rId705"/><Relationship Type="http://schemas.openxmlformats.org/officeDocument/2006/relationships/hyperlink" Target="https://scryfall.com/sets/tmoc" TargetMode="External" Id="rId706"/><Relationship Type="http://schemas.openxmlformats.org/officeDocument/2006/relationships/hyperlink" Target="https://scryfall.com/sets/wmom" TargetMode="External" Id="rId707"/><Relationship Type="http://schemas.openxmlformats.org/officeDocument/2006/relationships/hyperlink" Target="https://scryfall.com/sets/wmom" TargetMode="External" Id="rId708"/><Relationship Type="http://schemas.openxmlformats.org/officeDocument/2006/relationships/hyperlink" Target="https://scryfall.com/sets/wmom" TargetMode="External" Id="rId709"/><Relationship Type="http://schemas.openxmlformats.org/officeDocument/2006/relationships/hyperlink" Target="https://scryfall.com/sets/wmom/ja" TargetMode="External" Id="rId710"/><Relationship Type="http://schemas.openxmlformats.org/officeDocument/2006/relationships/hyperlink" Target="https://scryfall.com/sets/amom" TargetMode="External" Id="rId711"/><Relationship Type="http://schemas.openxmlformats.org/officeDocument/2006/relationships/hyperlink" Target="https://scryfall.com/sets/amom" TargetMode="External" Id="rId712"/><Relationship Type="http://schemas.openxmlformats.org/officeDocument/2006/relationships/hyperlink" Target="https://scryfall.com/sets/amom" TargetMode="External" Id="rId713"/><Relationship Type="http://schemas.openxmlformats.org/officeDocument/2006/relationships/hyperlink" Target="https://scryfall.com/sets/amom" TargetMode="External" Id="rId714"/><Relationship Type="http://schemas.openxmlformats.org/officeDocument/2006/relationships/hyperlink" Target="https://scryfall.com/sets/smom" TargetMode="External" Id="rId715"/><Relationship Type="http://schemas.openxmlformats.org/officeDocument/2006/relationships/hyperlink" Target="https://scryfall.com/sets/smom" TargetMode="External" Id="rId716"/><Relationship Type="http://schemas.openxmlformats.org/officeDocument/2006/relationships/hyperlink" Target="https://scryfall.com/sets/smom" TargetMode="External" Id="rId717"/><Relationship Type="http://schemas.openxmlformats.org/officeDocument/2006/relationships/hyperlink" Target="https://scryfall.com/sets/smom" TargetMode="External" Id="rId718"/><Relationship Type="http://schemas.openxmlformats.org/officeDocument/2006/relationships/hyperlink" Target="https://scryfall.com/sets/sir" TargetMode="External" Id="rId719"/><Relationship Type="http://schemas.openxmlformats.org/officeDocument/2006/relationships/hyperlink" Target="https://scryfall.com/sets/sir" TargetMode="External" Id="rId720"/><Relationship Type="http://schemas.openxmlformats.org/officeDocument/2006/relationships/hyperlink" Target="https://scryfall.com/sets/sir" TargetMode="External" Id="rId721"/><Relationship Type="http://schemas.openxmlformats.org/officeDocument/2006/relationships/hyperlink" Target="https://scryfall.com/sets/sir" TargetMode="External" Id="rId722"/><Relationship Type="http://schemas.openxmlformats.org/officeDocument/2006/relationships/hyperlink" Target="https://scryfall.com/sets/sis" TargetMode="External" Id="rId723"/><Relationship Type="http://schemas.openxmlformats.org/officeDocument/2006/relationships/hyperlink" Target="https://scryfall.com/sets/sis" TargetMode="External" Id="rId724"/><Relationship Type="http://schemas.openxmlformats.org/officeDocument/2006/relationships/hyperlink" Target="https://scryfall.com/sets/sis" TargetMode="External" Id="rId725"/><Relationship Type="http://schemas.openxmlformats.org/officeDocument/2006/relationships/hyperlink" Target="https://scryfall.com/sets/sis" TargetMode="External" Id="rId726"/><Relationship Type="http://schemas.openxmlformats.org/officeDocument/2006/relationships/hyperlink" Target="https://scryfall.com/sets/unk" TargetMode="External" Id="rId727"/><Relationship Type="http://schemas.openxmlformats.org/officeDocument/2006/relationships/hyperlink" Target="https://scryfall.com/sets/unk" TargetMode="External" Id="rId728"/><Relationship Type="http://schemas.openxmlformats.org/officeDocument/2006/relationships/hyperlink" Target="https://scryfall.com/sets/unk" TargetMode="External" Id="rId729"/><Relationship Type="http://schemas.openxmlformats.org/officeDocument/2006/relationships/hyperlink" Target="https://scryfall.com/sets/unk" TargetMode="External" Id="rId730"/><Relationship Type="http://schemas.openxmlformats.org/officeDocument/2006/relationships/hyperlink" Target="https://scryfall.com/sets/punk" TargetMode="External" Id="rId731"/><Relationship Type="http://schemas.openxmlformats.org/officeDocument/2006/relationships/hyperlink" Target="https://scryfall.com/sets/punk" TargetMode="External" Id="rId732"/><Relationship Type="http://schemas.openxmlformats.org/officeDocument/2006/relationships/hyperlink" Target="https://scryfall.com/sets/punk" TargetMode="External" Id="rId733"/><Relationship Type="http://schemas.openxmlformats.org/officeDocument/2006/relationships/hyperlink" Target="https://scryfall.com/sets/punk" TargetMode="External" Id="rId734"/><Relationship Type="http://schemas.openxmlformats.org/officeDocument/2006/relationships/hyperlink" Target="https://scryfall.com/sets/pl23" TargetMode="External" Id="rId735"/><Relationship Type="http://schemas.openxmlformats.org/officeDocument/2006/relationships/hyperlink" Target="https://scryfall.com/sets/pl23" TargetMode="External" Id="rId736"/><Relationship Type="http://schemas.openxmlformats.org/officeDocument/2006/relationships/hyperlink" Target="https://scryfall.com/sets/pl23" TargetMode="External" Id="rId737"/><Relationship Type="http://schemas.openxmlformats.org/officeDocument/2006/relationships/hyperlink" Target="https://scryfall.com/sets/one" TargetMode="External" Id="rId738"/><Relationship Type="http://schemas.openxmlformats.org/officeDocument/2006/relationships/hyperlink" Target="https://scryfall.com/sets/one" TargetMode="External" Id="rId739"/><Relationship Type="http://schemas.openxmlformats.org/officeDocument/2006/relationships/hyperlink" Target="https://scryfall.com/sets/one" TargetMode="External" Id="rId740"/><Relationship Type="http://schemas.openxmlformats.org/officeDocument/2006/relationships/hyperlink" Target="https://scryfall.com/sets/pone" TargetMode="External" Id="rId741"/><Relationship Type="http://schemas.openxmlformats.org/officeDocument/2006/relationships/hyperlink" Target="https://scryfall.com/sets/pone" TargetMode="External" Id="rId742"/><Relationship Type="http://schemas.openxmlformats.org/officeDocument/2006/relationships/hyperlink" Target="https://scryfall.com/sets/pone" TargetMode="External" Id="rId743"/><Relationship Type="http://schemas.openxmlformats.org/officeDocument/2006/relationships/hyperlink" Target="https://scryfall.com/sets/pone" TargetMode="External" Id="rId744"/><Relationship Type="http://schemas.openxmlformats.org/officeDocument/2006/relationships/hyperlink" Target="https://scryfall.com/sets/tone" TargetMode="External" Id="rId745"/><Relationship Type="http://schemas.openxmlformats.org/officeDocument/2006/relationships/hyperlink" Target="https://scryfall.com/sets/tone" TargetMode="External" Id="rId746"/><Relationship Type="http://schemas.openxmlformats.org/officeDocument/2006/relationships/hyperlink" Target="https://scryfall.com/sets/tone" TargetMode="External" Id="rId747"/><Relationship Type="http://schemas.openxmlformats.org/officeDocument/2006/relationships/hyperlink" Target="https://scryfall.com/sets/tone" TargetMode="External" Id="rId748"/><Relationship Type="http://schemas.openxmlformats.org/officeDocument/2006/relationships/hyperlink" Target="https://scryfall.com/sets/yone" TargetMode="External" Id="rId749"/><Relationship Type="http://schemas.openxmlformats.org/officeDocument/2006/relationships/hyperlink" Target="https://scryfall.com/sets/yone" TargetMode="External" Id="rId750"/><Relationship Type="http://schemas.openxmlformats.org/officeDocument/2006/relationships/hyperlink" Target="https://scryfall.com/sets/yone" TargetMode="External" Id="rId751"/><Relationship Type="http://schemas.openxmlformats.org/officeDocument/2006/relationships/hyperlink" Target="https://scryfall.com/sets/yone" TargetMode="External" Id="rId752"/><Relationship Type="http://schemas.openxmlformats.org/officeDocument/2006/relationships/hyperlink" Target="https://scryfall.com/sets/onc" TargetMode="External" Id="rId753"/><Relationship Type="http://schemas.openxmlformats.org/officeDocument/2006/relationships/hyperlink" Target="https://scryfall.com/sets/onc" TargetMode="External" Id="rId754"/><Relationship Type="http://schemas.openxmlformats.org/officeDocument/2006/relationships/hyperlink" Target="https://scryfall.com/sets/onc" TargetMode="External" Id="rId755"/><Relationship Type="http://schemas.openxmlformats.org/officeDocument/2006/relationships/hyperlink" Target="https://scryfall.com/sets/tonc" TargetMode="External" Id="rId756"/><Relationship Type="http://schemas.openxmlformats.org/officeDocument/2006/relationships/hyperlink" Target="https://scryfall.com/sets/tonc" TargetMode="External" Id="rId757"/><Relationship Type="http://schemas.openxmlformats.org/officeDocument/2006/relationships/hyperlink" Target="https://scryfall.com/sets/tonc" TargetMode="External" Id="rId758"/><Relationship Type="http://schemas.openxmlformats.org/officeDocument/2006/relationships/hyperlink" Target="https://scryfall.com/sets/tonc" TargetMode="External" Id="rId759"/><Relationship Type="http://schemas.openxmlformats.org/officeDocument/2006/relationships/hyperlink" Target="https://scryfall.com/sets/mone" TargetMode="External" Id="rId760"/><Relationship Type="http://schemas.openxmlformats.org/officeDocument/2006/relationships/hyperlink" Target="https://scryfall.com/sets/mone" TargetMode="External" Id="rId761"/><Relationship Type="http://schemas.openxmlformats.org/officeDocument/2006/relationships/hyperlink" Target="https://scryfall.com/sets/mone" TargetMode="External" Id="rId762"/><Relationship Type="http://schemas.openxmlformats.org/officeDocument/2006/relationships/hyperlink" Target="https://scryfall.com/sets/mone" TargetMode="External" Id="rId763"/><Relationship Type="http://schemas.openxmlformats.org/officeDocument/2006/relationships/hyperlink" Target="https://scryfall.com/sets/aone" TargetMode="External" Id="rId764"/><Relationship Type="http://schemas.openxmlformats.org/officeDocument/2006/relationships/hyperlink" Target="https://scryfall.com/sets/aone" TargetMode="External" Id="rId765"/><Relationship Type="http://schemas.openxmlformats.org/officeDocument/2006/relationships/hyperlink" Target="https://scryfall.com/sets/aone" TargetMode="External" Id="rId766"/><Relationship Type="http://schemas.openxmlformats.org/officeDocument/2006/relationships/hyperlink" Target="https://scryfall.com/sets/aone" TargetMode="External" Id="rId767"/><Relationship Type="http://schemas.openxmlformats.org/officeDocument/2006/relationships/hyperlink" Target="https://scryfall.com/sets/fone" TargetMode="External" Id="rId768"/><Relationship Type="http://schemas.openxmlformats.org/officeDocument/2006/relationships/hyperlink" Target="https://scryfall.com/sets/fone" TargetMode="External" Id="rId769"/><Relationship Type="http://schemas.openxmlformats.org/officeDocument/2006/relationships/hyperlink" Target="https://scryfall.com/sets/fone" TargetMode="External" Id="rId770"/><Relationship Type="http://schemas.openxmlformats.org/officeDocument/2006/relationships/hyperlink" Target="https://scryfall.com/sets/fone" TargetMode="External" Id="rId771"/><Relationship Type="http://schemas.openxmlformats.org/officeDocument/2006/relationships/hyperlink" Target="https://scryfall.com/sets/wone" TargetMode="External" Id="rId772"/><Relationship Type="http://schemas.openxmlformats.org/officeDocument/2006/relationships/hyperlink" Target="https://scryfall.com/sets/wone" TargetMode="External" Id="rId773"/><Relationship Type="http://schemas.openxmlformats.org/officeDocument/2006/relationships/hyperlink" Target="https://scryfall.com/sets/wone" TargetMode="External" Id="rId774"/><Relationship Type="http://schemas.openxmlformats.org/officeDocument/2006/relationships/hyperlink" Target="https://scryfall.com/sets/wone/ja" TargetMode="External" Id="rId775"/><Relationship Type="http://schemas.openxmlformats.org/officeDocument/2006/relationships/hyperlink" Target="https://scryfall.com/sets/dmr" TargetMode="External" Id="rId776"/><Relationship Type="http://schemas.openxmlformats.org/officeDocument/2006/relationships/hyperlink" Target="https://scryfall.com/sets/dmr" TargetMode="External" Id="rId777"/><Relationship Type="http://schemas.openxmlformats.org/officeDocument/2006/relationships/hyperlink" Target="https://scryfall.com/sets/dmr" TargetMode="External" Id="rId778"/><Relationship Type="http://schemas.openxmlformats.org/officeDocument/2006/relationships/hyperlink" Target="https://scryfall.com/sets/tdmr" TargetMode="External" Id="rId779"/><Relationship Type="http://schemas.openxmlformats.org/officeDocument/2006/relationships/hyperlink" Target="https://scryfall.com/sets/tdmr" TargetMode="External" Id="rId780"/><Relationship Type="http://schemas.openxmlformats.org/officeDocument/2006/relationships/hyperlink" Target="https://scryfall.com/sets/tdmr" TargetMode="External" Id="rId781"/><Relationship Type="http://schemas.openxmlformats.org/officeDocument/2006/relationships/hyperlink" Target="https://scryfall.com/sets/tdmr" TargetMode="External" Id="rId782"/><Relationship Type="http://schemas.openxmlformats.org/officeDocument/2006/relationships/hyperlink" Target="https://scryfall.com/sets/pr23" TargetMode="External" Id="rId783"/><Relationship Type="http://schemas.openxmlformats.org/officeDocument/2006/relationships/hyperlink" Target="https://scryfall.com/sets/pr23" TargetMode="External" Id="rId784"/><Relationship Type="http://schemas.openxmlformats.org/officeDocument/2006/relationships/hyperlink" Target="https://scryfall.com/sets/pr23" TargetMode="External" Id="rId785"/><Relationship Type="http://schemas.openxmlformats.org/officeDocument/2006/relationships/hyperlink" Target="https://scryfall.com/sets/pr23" TargetMode="External" Id="rId786"/><Relationship Type="http://schemas.openxmlformats.org/officeDocument/2006/relationships/hyperlink" Target="https://scryfall.com/sets/pw23" TargetMode="External" Id="rId787"/><Relationship Type="http://schemas.openxmlformats.org/officeDocument/2006/relationships/hyperlink" Target="https://scryfall.com/sets/pw23" TargetMode="External" Id="rId788"/><Relationship Type="http://schemas.openxmlformats.org/officeDocument/2006/relationships/hyperlink" Target="https://scryfall.com/sets/pw23" TargetMode="External" Id="rId789"/><Relationship Type="http://schemas.openxmlformats.org/officeDocument/2006/relationships/hyperlink" Target="https://scryfall.com/sets/p23" TargetMode="External" Id="rId790"/><Relationship Type="http://schemas.openxmlformats.org/officeDocument/2006/relationships/hyperlink" Target="https://scryfall.com/sets/p23" TargetMode="External" Id="rId791"/><Relationship Type="http://schemas.openxmlformats.org/officeDocument/2006/relationships/hyperlink" Target="https://scryfall.com/sets/p23" TargetMode="External" Id="rId792"/><Relationship Type="http://schemas.openxmlformats.org/officeDocument/2006/relationships/hyperlink" Target="https://scryfall.com/sets/p23" TargetMode="External" Id="rId793"/><Relationship Type="http://schemas.openxmlformats.org/officeDocument/2006/relationships/hyperlink" Target="https://scryfall.com/sets/ea2" TargetMode="External" Id="rId794"/><Relationship Type="http://schemas.openxmlformats.org/officeDocument/2006/relationships/hyperlink" Target="https://scryfall.com/sets/ea2" TargetMode="External" Id="rId795"/><Relationship Type="http://schemas.openxmlformats.org/officeDocument/2006/relationships/hyperlink" Target="https://scryfall.com/sets/ea2" TargetMode="External" Id="rId796"/><Relationship Type="http://schemas.openxmlformats.org/officeDocument/2006/relationships/hyperlink" Target="https://scryfall.com/sets/ea2" TargetMode="External" Id="rId797"/><Relationship Type="http://schemas.openxmlformats.org/officeDocument/2006/relationships/hyperlink" Target="https://scryfall.com/sets/scd" TargetMode="External" Id="rId798"/><Relationship Type="http://schemas.openxmlformats.org/officeDocument/2006/relationships/hyperlink" Target="https://scryfall.com/sets/scd" TargetMode="External" Id="rId799"/><Relationship Type="http://schemas.openxmlformats.org/officeDocument/2006/relationships/hyperlink" Target="https://scryfall.com/sets/scd" TargetMode="External" Id="rId800"/><Relationship Type="http://schemas.openxmlformats.org/officeDocument/2006/relationships/hyperlink" Target="https://scryfall.com/sets/scd" TargetMode="External" Id="rId801"/><Relationship Type="http://schemas.openxmlformats.org/officeDocument/2006/relationships/hyperlink" Target="https://scryfall.com/sets/tscd" TargetMode="External" Id="rId802"/><Relationship Type="http://schemas.openxmlformats.org/officeDocument/2006/relationships/hyperlink" Target="https://scryfall.com/sets/tscd" TargetMode="External" Id="rId803"/><Relationship Type="http://schemas.openxmlformats.org/officeDocument/2006/relationships/hyperlink" Target="https://scryfall.com/sets/tscd" TargetMode="External" Id="rId804"/><Relationship Type="http://schemas.openxmlformats.org/officeDocument/2006/relationships/hyperlink" Target="https://scryfall.com/sets/tscd" TargetMode="External" Id="rId805"/><Relationship Type="http://schemas.openxmlformats.org/officeDocument/2006/relationships/hyperlink" Target="https://scryfall.com/sets/j22" TargetMode="External" Id="rId806"/><Relationship Type="http://schemas.openxmlformats.org/officeDocument/2006/relationships/hyperlink" Target="https://scryfall.com/sets/j22" TargetMode="External" Id="rId807"/><Relationship Type="http://schemas.openxmlformats.org/officeDocument/2006/relationships/hyperlink" Target="https://scryfall.com/sets/j22" TargetMode="External" Id="rId808"/><Relationship Type="http://schemas.openxmlformats.org/officeDocument/2006/relationships/hyperlink" Target="https://scryfall.com/sets/fj22" TargetMode="External" Id="rId809"/><Relationship Type="http://schemas.openxmlformats.org/officeDocument/2006/relationships/hyperlink" Target="https://scryfall.com/sets/fj22" TargetMode="External" Id="rId810"/><Relationship Type="http://schemas.openxmlformats.org/officeDocument/2006/relationships/hyperlink" Target="https://scryfall.com/sets/fj22" TargetMode="External" Id="rId811"/><Relationship Type="http://schemas.openxmlformats.org/officeDocument/2006/relationships/hyperlink" Target="https://scryfall.com/sets/fj22" TargetMode="External" Id="rId812"/><Relationship Type="http://schemas.openxmlformats.org/officeDocument/2006/relationships/hyperlink" Target="https://scryfall.com/sets/30a" TargetMode="External" Id="rId813"/><Relationship Type="http://schemas.openxmlformats.org/officeDocument/2006/relationships/hyperlink" Target="https://scryfall.com/sets/30a" TargetMode="External" Id="rId814"/><Relationship Type="http://schemas.openxmlformats.org/officeDocument/2006/relationships/hyperlink" Target="https://scryfall.com/sets/30a" TargetMode="External" Id="rId815"/><Relationship Type="http://schemas.openxmlformats.org/officeDocument/2006/relationships/hyperlink" Target="https://scryfall.com/sets/30a" TargetMode="External" Id="rId816"/><Relationship Type="http://schemas.openxmlformats.org/officeDocument/2006/relationships/hyperlink" Target="https://scryfall.com/sets/p30a" TargetMode="External" Id="rId817"/><Relationship Type="http://schemas.openxmlformats.org/officeDocument/2006/relationships/hyperlink" Target="https://scryfall.com/sets/p30a" TargetMode="External" Id="rId818"/><Relationship Type="http://schemas.openxmlformats.org/officeDocument/2006/relationships/hyperlink" Target="https://scryfall.com/sets/p30a" TargetMode="External" Id="rId819"/><Relationship Type="http://schemas.openxmlformats.org/officeDocument/2006/relationships/hyperlink" Target="https://scryfall.com/sets/t30a" TargetMode="External" Id="rId820"/><Relationship Type="http://schemas.openxmlformats.org/officeDocument/2006/relationships/hyperlink" Target="https://scryfall.com/sets/t30a" TargetMode="External" Id="rId821"/><Relationship Type="http://schemas.openxmlformats.org/officeDocument/2006/relationships/hyperlink" Target="https://scryfall.com/sets/t30a" TargetMode="External" Id="rId822"/><Relationship Type="http://schemas.openxmlformats.org/officeDocument/2006/relationships/hyperlink" Target="https://scryfall.com/sets/t30a" TargetMode="External" Id="rId823"/><Relationship Type="http://schemas.openxmlformats.org/officeDocument/2006/relationships/hyperlink" Target="https://scryfall.com/sets/p30t" TargetMode="External" Id="rId824"/><Relationship Type="http://schemas.openxmlformats.org/officeDocument/2006/relationships/hyperlink" Target="https://scryfall.com/sets/p30t" TargetMode="External" Id="rId825"/><Relationship Type="http://schemas.openxmlformats.org/officeDocument/2006/relationships/hyperlink" Target="https://scryfall.com/sets/p30t" TargetMode="External" Id="rId826"/><Relationship Type="http://schemas.openxmlformats.org/officeDocument/2006/relationships/hyperlink" Target="https://scryfall.com/sets/p30t/ja" TargetMode="External" Id="rId827"/><Relationship Type="http://schemas.openxmlformats.org/officeDocument/2006/relationships/hyperlink" Target="https://scryfall.com/sets/p30h" TargetMode="External" Id="rId828"/><Relationship Type="http://schemas.openxmlformats.org/officeDocument/2006/relationships/hyperlink" Target="https://scryfall.com/sets/p30h" TargetMode="External" Id="rId829"/><Relationship Type="http://schemas.openxmlformats.org/officeDocument/2006/relationships/hyperlink" Target="https://scryfall.com/sets/p30h" TargetMode="External" Id="rId830"/><Relationship Type="http://schemas.openxmlformats.org/officeDocument/2006/relationships/hyperlink" Target="https://scryfall.com/sets/p30m" TargetMode="External" Id="rId831"/><Relationship Type="http://schemas.openxmlformats.org/officeDocument/2006/relationships/hyperlink" Target="https://scryfall.com/sets/p30m" TargetMode="External" Id="rId832"/><Relationship Type="http://schemas.openxmlformats.org/officeDocument/2006/relationships/hyperlink" Target="https://scryfall.com/sets/p30m" TargetMode="External" Id="rId833"/><Relationship Type="http://schemas.openxmlformats.org/officeDocument/2006/relationships/hyperlink" Target="https://scryfall.com/sets/p30m" TargetMode="External" Id="rId834"/><Relationship Type="http://schemas.openxmlformats.org/officeDocument/2006/relationships/hyperlink" Target="https://scryfall.com/sets/pewk" TargetMode="External" Id="rId835"/><Relationship Type="http://schemas.openxmlformats.org/officeDocument/2006/relationships/hyperlink" Target="https://scryfall.com/sets/pewk" TargetMode="External" Id="rId836"/><Relationship Type="http://schemas.openxmlformats.org/officeDocument/2006/relationships/hyperlink" Target="https://scryfall.com/sets/pewk" TargetMode="External" Id="rId837"/><Relationship Type="http://schemas.openxmlformats.org/officeDocument/2006/relationships/hyperlink" Target="https://scryfall.com/sets/pewk" TargetMode="External" Id="rId838"/><Relationship Type="http://schemas.openxmlformats.org/officeDocument/2006/relationships/hyperlink" Target="https://scryfall.com/sets/bro" TargetMode="External" Id="rId839"/><Relationship Type="http://schemas.openxmlformats.org/officeDocument/2006/relationships/hyperlink" Target="https://scryfall.com/sets/bro" TargetMode="External" Id="rId840"/><Relationship Type="http://schemas.openxmlformats.org/officeDocument/2006/relationships/hyperlink" Target="https://scryfall.com/sets/bro" TargetMode="External" Id="rId841"/><Relationship Type="http://schemas.openxmlformats.org/officeDocument/2006/relationships/hyperlink" Target="https://scryfall.com/sets/brr" TargetMode="External" Id="rId842"/><Relationship Type="http://schemas.openxmlformats.org/officeDocument/2006/relationships/hyperlink" Target="https://scryfall.com/sets/brr" TargetMode="External" Id="rId843"/><Relationship Type="http://schemas.openxmlformats.org/officeDocument/2006/relationships/hyperlink" Target="https://scryfall.com/sets/brr" TargetMode="External" Id="rId844"/><Relationship Type="http://schemas.openxmlformats.org/officeDocument/2006/relationships/hyperlink" Target="https://scryfall.com/sets/pbro" TargetMode="External" Id="rId845"/><Relationship Type="http://schemas.openxmlformats.org/officeDocument/2006/relationships/hyperlink" Target="https://scryfall.com/sets/pbro" TargetMode="External" Id="rId846"/><Relationship Type="http://schemas.openxmlformats.org/officeDocument/2006/relationships/hyperlink" Target="https://scryfall.com/sets/pbro" TargetMode="External" Id="rId847"/><Relationship Type="http://schemas.openxmlformats.org/officeDocument/2006/relationships/hyperlink" Target="https://scryfall.com/sets/pbro" TargetMode="External" Id="rId848"/><Relationship Type="http://schemas.openxmlformats.org/officeDocument/2006/relationships/hyperlink" Target="https://scryfall.com/sets/tbro" TargetMode="External" Id="rId849"/><Relationship Type="http://schemas.openxmlformats.org/officeDocument/2006/relationships/hyperlink" Target="https://scryfall.com/sets/tbro" TargetMode="External" Id="rId850"/><Relationship Type="http://schemas.openxmlformats.org/officeDocument/2006/relationships/hyperlink" Target="https://scryfall.com/sets/tbro" TargetMode="External" Id="rId851"/><Relationship Type="http://schemas.openxmlformats.org/officeDocument/2006/relationships/hyperlink" Target="https://scryfall.com/sets/tbro" TargetMode="External" Id="rId852"/><Relationship Type="http://schemas.openxmlformats.org/officeDocument/2006/relationships/hyperlink" Target="https://scryfall.com/sets/ybro" TargetMode="External" Id="rId853"/><Relationship Type="http://schemas.openxmlformats.org/officeDocument/2006/relationships/hyperlink" Target="https://scryfall.com/sets/ybro" TargetMode="External" Id="rId854"/><Relationship Type="http://schemas.openxmlformats.org/officeDocument/2006/relationships/hyperlink" Target="https://scryfall.com/sets/ybro" TargetMode="External" Id="rId855"/><Relationship Type="http://schemas.openxmlformats.org/officeDocument/2006/relationships/hyperlink" Target="https://scryfall.com/sets/ybro" TargetMode="External" Id="rId856"/><Relationship Type="http://schemas.openxmlformats.org/officeDocument/2006/relationships/hyperlink" Target="https://scryfall.com/sets/brc" TargetMode="External" Id="rId857"/><Relationship Type="http://schemas.openxmlformats.org/officeDocument/2006/relationships/hyperlink" Target="https://scryfall.com/sets/brc" TargetMode="External" Id="rId858"/><Relationship Type="http://schemas.openxmlformats.org/officeDocument/2006/relationships/hyperlink" Target="https://scryfall.com/sets/brc" TargetMode="External" Id="rId859"/><Relationship Type="http://schemas.openxmlformats.org/officeDocument/2006/relationships/hyperlink" Target="https://scryfall.com/sets/tbrc" TargetMode="External" Id="rId860"/><Relationship Type="http://schemas.openxmlformats.org/officeDocument/2006/relationships/hyperlink" Target="https://scryfall.com/sets/tbrc" TargetMode="External" Id="rId861"/><Relationship Type="http://schemas.openxmlformats.org/officeDocument/2006/relationships/hyperlink" Target="https://scryfall.com/sets/tbrc" TargetMode="External" Id="rId862"/><Relationship Type="http://schemas.openxmlformats.org/officeDocument/2006/relationships/hyperlink" Target="https://scryfall.com/sets/tbrc" TargetMode="External" Id="rId863"/><Relationship Type="http://schemas.openxmlformats.org/officeDocument/2006/relationships/hyperlink" Target="https://scryfall.com/sets/bot" TargetMode="External" Id="rId864"/><Relationship Type="http://schemas.openxmlformats.org/officeDocument/2006/relationships/hyperlink" Target="https://scryfall.com/sets/bot" TargetMode="External" Id="rId865"/><Relationship Type="http://schemas.openxmlformats.org/officeDocument/2006/relationships/hyperlink" Target="https://scryfall.com/sets/bot" TargetMode="External" Id="rId866"/><Relationship Type="http://schemas.openxmlformats.org/officeDocument/2006/relationships/hyperlink" Target="https://scryfall.com/sets/bot" TargetMode="External" Id="rId867"/><Relationship Type="http://schemas.openxmlformats.org/officeDocument/2006/relationships/hyperlink" Target="https://scryfall.com/sets/tbot" TargetMode="External" Id="rId868"/><Relationship Type="http://schemas.openxmlformats.org/officeDocument/2006/relationships/hyperlink" Target="https://scryfall.com/sets/tbot" TargetMode="External" Id="rId869"/><Relationship Type="http://schemas.openxmlformats.org/officeDocument/2006/relationships/hyperlink" Target="https://scryfall.com/sets/tbot" TargetMode="External" Id="rId870"/><Relationship Type="http://schemas.openxmlformats.org/officeDocument/2006/relationships/hyperlink" Target="https://scryfall.com/sets/tbot" TargetMode="External" Id="rId871"/><Relationship Type="http://schemas.openxmlformats.org/officeDocument/2006/relationships/hyperlink" Target="https://scryfall.com/sets/ptbro" TargetMode="External" Id="rId872"/><Relationship Type="http://schemas.openxmlformats.org/officeDocument/2006/relationships/hyperlink" Target="https://scryfall.com/sets/ptbro" TargetMode="External" Id="rId873"/><Relationship Type="http://schemas.openxmlformats.org/officeDocument/2006/relationships/hyperlink" Target="https://scryfall.com/sets/ptbro" TargetMode="External" Id="rId874"/><Relationship Type="http://schemas.openxmlformats.org/officeDocument/2006/relationships/hyperlink" Target="https://scryfall.com/sets/ptbro" TargetMode="External" Id="rId875"/><Relationship Type="http://schemas.openxmlformats.org/officeDocument/2006/relationships/hyperlink" Target="https://scryfall.com/sets/sbro" TargetMode="External" Id="rId876"/><Relationship Type="http://schemas.openxmlformats.org/officeDocument/2006/relationships/hyperlink" Target="https://scryfall.com/sets/sbro" TargetMode="External" Id="rId877"/><Relationship Type="http://schemas.openxmlformats.org/officeDocument/2006/relationships/hyperlink" Target="https://scryfall.com/sets/sbro" TargetMode="External" Id="rId878"/><Relationship Type="http://schemas.openxmlformats.org/officeDocument/2006/relationships/hyperlink" Target="https://scryfall.com/sets/sbro" TargetMode="External" Id="rId879"/><Relationship Type="http://schemas.openxmlformats.org/officeDocument/2006/relationships/hyperlink" Target="https://scryfall.com/sets/abro" TargetMode="External" Id="rId880"/><Relationship Type="http://schemas.openxmlformats.org/officeDocument/2006/relationships/hyperlink" Target="https://scryfall.com/sets/abro" TargetMode="External" Id="rId881"/><Relationship Type="http://schemas.openxmlformats.org/officeDocument/2006/relationships/hyperlink" Target="https://scryfall.com/sets/abro" TargetMode="External" Id="rId882"/><Relationship Type="http://schemas.openxmlformats.org/officeDocument/2006/relationships/hyperlink" Target="https://scryfall.com/sets/abro" TargetMode="External" Id="rId883"/><Relationship Type="http://schemas.openxmlformats.org/officeDocument/2006/relationships/hyperlink" Target="https://scryfall.com/sets/mbro" TargetMode="External" Id="rId884"/><Relationship Type="http://schemas.openxmlformats.org/officeDocument/2006/relationships/hyperlink" Target="https://scryfall.com/sets/mbro" TargetMode="External" Id="rId885"/><Relationship Type="http://schemas.openxmlformats.org/officeDocument/2006/relationships/hyperlink" Target="https://scryfall.com/sets/mbro" TargetMode="External" Id="rId886"/><Relationship Type="http://schemas.openxmlformats.org/officeDocument/2006/relationships/hyperlink" Target="https://scryfall.com/sets/mbro" TargetMode="External" Id="rId887"/><Relationship Type="http://schemas.openxmlformats.org/officeDocument/2006/relationships/hyperlink" Target="https://scryfall.com/sets/fbro" TargetMode="External" Id="rId888"/><Relationship Type="http://schemas.openxmlformats.org/officeDocument/2006/relationships/hyperlink" Target="https://scryfall.com/sets/fbro" TargetMode="External" Id="rId889"/><Relationship Type="http://schemas.openxmlformats.org/officeDocument/2006/relationships/hyperlink" Target="https://scryfall.com/sets/fbro" TargetMode="External" Id="rId890"/><Relationship Type="http://schemas.openxmlformats.org/officeDocument/2006/relationships/hyperlink" Target="https://scryfall.com/sets/fbro" TargetMode="External" Id="rId891"/><Relationship Type="http://schemas.openxmlformats.org/officeDocument/2006/relationships/hyperlink" Target="https://scryfall.com/sets/gn3" TargetMode="External" Id="rId892"/><Relationship Type="http://schemas.openxmlformats.org/officeDocument/2006/relationships/hyperlink" Target="https://scryfall.com/sets/gn3" TargetMode="External" Id="rId893"/><Relationship Type="http://schemas.openxmlformats.org/officeDocument/2006/relationships/hyperlink" Target="https://scryfall.com/sets/gn3" TargetMode="External" Id="rId894"/><Relationship Type="http://schemas.openxmlformats.org/officeDocument/2006/relationships/hyperlink" Target="https://scryfall.com/sets/tgn3" TargetMode="External" Id="rId895"/><Relationship Type="http://schemas.openxmlformats.org/officeDocument/2006/relationships/hyperlink" Target="https://scryfall.com/sets/tgn3" TargetMode="External" Id="rId896"/><Relationship Type="http://schemas.openxmlformats.org/officeDocument/2006/relationships/hyperlink" Target="https://scryfall.com/sets/tgn3" TargetMode="External" Id="rId897"/><Relationship Type="http://schemas.openxmlformats.org/officeDocument/2006/relationships/hyperlink" Target="https://scryfall.com/sets/tgn3" TargetMode="External" Id="rId898"/><Relationship Type="http://schemas.openxmlformats.org/officeDocument/2006/relationships/hyperlink" Target="https://scryfall.com/sets/unf" TargetMode="External" Id="rId899"/><Relationship Type="http://schemas.openxmlformats.org/officeDocument/2006/relationships/hyperlink" Target="https://scryfall.com/sets/unf" TargetMode="External" Id="rId900"/><Relationship Type="http://schemas.openxmlformats.org/officeDocument/2006/relationships/hyperlink" Target="https://scryfall.com/sets/unf" TargetMode="External" Id="rId901"/><Relationship Type="http://schemas.openxmlformats.org/officeDocument/2006/relationships/hyperlink" Target="https://scryfall.com/sets/unf" TargetMode="External" Id="rId902"/><Relationship Type="http://schemas.openxmlformats.org/officeDocument/2006/relationships/hyperlink" Target="https://scryfall.com/sets/tunf" TargetMode="External" Id="rId903"/><Relationship Type="http://schemas.openxmlformats.org/officeDocument/2006/relationships/hyperlink" Target="https://scryfall.com/sets/tunf" TargetMode="External" Id="rId904"/><Relationship Type="http://schemas.openxmlformats.org/officeDocument/2006/relationships/hyperlink" Target="https://scryfall.com/sets/tunf" TargetMode="External" Id="rId905"/><Relationship Type="http://schemas.openxmlformats.org/officeDocument/2006/relationships/hyperlink" Target="https://scryfall.com/sets/tunf" TargetMode="External" Id="rId906"/><Relationship Type="http://schemas.openxmlformats.org/officeDocument/2006/relationships/hyperlink" Target="https://scryfall.com/sets/sunf" TargetMode="External" Id="rId907"/><Relationship Type="http://schemas.openxmlformats.org/officeDocument/2006/relationships/hyperlink" Target="https://scryfall.com/sets/sunf" TargetMode="External" Id="rId908"/><Relationship Type="http://schemas.openxmlformats.org/officeDocument/2006/relationships/hyperlink" Target="https://scryfall.com/sets/sunf" TargetMode="External" Id="rId909"/><Relationship Type="http://schemas.openxmlformats.org/officeDocument/2006/relationships/hyperlink" Target="https://scryfall.com/sets/sunf" TargetMode="External" Id="rId910"/><Relationship Type="http://schemas.openxmlformats.org/officeDocument/2006/relationships/hyperlink" Target="https://scryfall.com/sets/40k" TargetMode="External" Id="rId911"/><Relationship Type="http://schemas.openxmlformats.org/officeDocument/2006/relationships/hyperlink" Target="https://scryfall.com/sets/40k" TargetMode="External" Id="rId912"/><Relationship Type="http://schemas.openxmlformats.org/officeDocument/2006/relationships/hyperlink" Target="https://scryfall.com/sets/40k" TargetMode="External" Id="rId913"/><Relationship Type="http://schemas.openxmlformats.org/officeDocument/2006/relationships/hyperlink" Target="https://scryfall.com/sets/t40k" TargetMode="External" Id="rId914"/><Relationship Type="http://schemas.openxmlformats.org/officeDocument/2006/relationships/hyperlink" Target="https://scryfall.com/sets/t40k" TargetMode="External" Id="rId915"/><Relationship Type="http://schemas.openxmlformats.org/officeDocument/2006/relationships/hyperlink" Target="https://scryfall.com/sets/t40k" TargetMode="External" Id="rId916"/><Relationship Type="http://schemas.openxmlformats.org/officeDocument/2006/relationships/hyperlink" Target="https://scryfall.com/sets/t40k" TargetMode="External" Id="rId917"/><Relationship Type="http://schemas.openxmlformats.org/officeDocument/2006/relationships/hyperlink" Target="https://scryfall.com/sets/prcq" TargetMode="External" Id="rId918"/><Relationship Type="http://schemas.openxmlformats.org/officeDocument/2006/relationships/hyperlink" Target="https://scryfall.com/sets/prcq" TargetMode="External" Id="rId919"/><Relationship Type="http://schemas.openxmlformats.org/officeDocument/2006/relationships/hyperlink" Target="https://scryfall.com/sets/prcq" TargetMode="External" Id="rId920"/><Relationship Type="http://schemas.openxmlformats.org/officeDocument/2006/relationships/hyperlink" Target="https://scryfall.com/sets/prcq" TargetMode="External" Id="rId921"/><Relationship Type="http://schemas.openxmlformats.org/officeDocument/2006/relationships/hyperlink" Target="https://scryfall.com/sets/dmu" TargetMode="External" Id="rId922"/><Relationship Type="http://schemas.openxmlformats.org/officeDocument/2006/relationships/hyperlink" Target="https://scryfall.com/sets/dmu" TargetMode="External" Id="rId923"/><Relationship Type="http://schemas.openxmlformats.org/officeDocument/2006/relationships/hyperlink" Target="https://scryfall.com/sets/dmu" TargetMode="External" Id="rId924"/><Relationship Type="http://schemas.openxmlformats.org/officeDocument/2006/relationships/hyperlink" Target="https://scryfall.com/sets/pdmu" TargetMode="External" Id="rId925"/><Relationship Type="http://schemas.openxmlformats.org/officeDocument/2006/relationships/hyperlink" Target="https://scryfall.com/sets/pdmu" TargetMode="External" Id="rId926"/><Relationship Type="http://schemas.openxmlformats.org/officeDocument/2006/relationships/hyperlink" Target="https://scryfall.com/sets/pdmu" TargetMode="External" Id="rId927"/><Relationship Type="http://schemas.openxmlformats.org/officeDocument/2006/relationships/hyperlink" Target="https://scryfall.com/sets/pdmu" TargetMode="External" Id="rId928"/><Relationship Type="http://schemas.openxmlformats.org/officeDocument/2006/relationships/hyperlink" Target="https://scryfall.com/sets/tdmu" TargetMode="External" Id="rId929"/><Relationship Type="http://schemas.openxmlformats.org/officeDocument/2006/relationships/hyperlink" Target="https://scryfall.com/sets/tdmu" TargetMode="External" Id="rId930"/><Relationship Type="http://schemas.openxmlformats.org/officeDocument/2006/relationships/hyperlink" Target="https://scryfall.com/sets/tdmu" TargetMode="External" Id="rId931"/><Relationship Type="http://schemas.openxmlformats.org/officeDocument/2006/relationships/hyperlink" Target="https://scryfall.com/sets/tdmu" TargetMode="External" Id="rId932"/><Relationship Type="http://schemas.openxmlformats.org/officeDocument/2006/relationships/hyperlink" Target="https://scryfall.com/sets/ydmu" TargetMode="External" Id="rId933"/><Relationship Type="http://schemas.openxmlformats.org/officeDocument/2006/relationships/hyperlink" Target="https://scryfall.com/sets/ydmu" TargetMode="External" Id="rId934"/><Relationship Type="http://schemas.openxmlformats.org/officeDocument/2006/relationships/hyperlink" Target="https://scryfall.com/sets/ydmu" TargetMode="External" Id="rId935"/><Relationship Type="http://schemas.openxmlformats.org/officeDocument/2006/relationships/hyperlink" Target="https://scryfall.com/sets/ydmu" TargetMode="External" Id="rId936"/><Relationship Type="http://schemas.openxmlformats.org/officeDocument/2006/relationships/hyperlink" Target="https://scryfall.com/sets/ptdmu" TargetMode="External" Id="rId937"/><Relationship Type="http://schemas.openxmlformats.org/officeDocument/2006/relationships/hyperlink" Target="https://scryfall.com/sets/ptdmu" TargetMode="External" Id="rId938"/><Relationship Type="http://schemas.openxmlformats.org/officeDocument/2006/relationships/hyperlink" Target="https://scryfall.com/sets/ptdmu" TargetMode="External" Id="rId939"/><Relationship Type="http://schemas.openxmlformats.org/officeDocument/2006/relationships/hyperlink" Target="https://scryfall.com/sets/ptdmu" TargetMode="External" Id="rId940"/><Relationship Type="http://schemas.openxmlformats.org/officeDocument/2006/relationships/hyperlink" Target="https://scryfall.com/sets/fdmu" TargetMode="External" Id="rId941"/><Relationship Type="http://schemas.openxmlformats.org/officeDocument/2006/relationships/hyperlink" Target="https://scryfall.com/sets/fdmu" TargetMode="External" Id="rId942"/><Relationship Type="http://schemas.openxmlformats.org/officeDocument/2006/relationships/hyperlink" Target="https://scryfall.com/sets/fdmu" TargetMode="External" Id="rId943"/><Relationship Type="http://schemas.openxmlformats.org/officeDocument/2006/relationships/hyperlink" Target="https://scryfall.com/sets/fdmu" TargetMode="External" Id="rId944"/><Relationship Type="http://schemas.openxmlformats.org/officeDocument/2006/relationships/hyperlink" Target="https://scryfall.com/sets/wdmu" TargetMode="External" Id="rId945"/><Relationship Type="http://schemas.openxmlformats.org/officeDocument/2006/relationships/hyperlink" Target="https://scryfall.com/sets/wdmu" TargetMode="External" Id="rId946"/><Relationship Type="http://schemas.openxmlformats.org/officeDocument/2006/relationships/hyperlink" Target="https://scryfall.com/sets/wdmu" TargetMode="External" Id="rId947"/><Relationship Type="http://schemas.openxmlformats.org/officeDocument/2006/relationships/hyperlink" Target="https://scryfall.com/sets/wdmu/ja" TargetMode="External" Id="rId948"/><Relationship Type="http://schemas.openxmlformats.org/officeDocument/2006/relationships/hyperlink" Target="https://scryfall.com/sets/admu" TargetMode="External" Id="rId949"/><Relationship Type="http://schemas.openxmlformats.org/officeDocument/2006/relationships/hyperlink" Target="https://scryfall.com/sets/admu" TargetMode="External" Id="rId950"/><Relationship Type="http://schemas.openxmlformats.org/officeDocument/2006/relationships/hyperlink" Target="https://scryfall.com/sets/admu" TargetMode="External" Id="rId951"/><Relationship Type="http://schemas.openxmlformats.org/officeDocument/2006/relationships/hyperlink" Target="https://scryfall.com/sets/admu" TargetMode="External" Id="rId952"/><Relationship Type="http://schemas.openxmlformats.org/officeDocument/2006/relationships/hyperlink" Target="https://scryfall.com/sets/dmc" TargetMode="External" Id="rId953"/><Relationship Type="http://schemas.openxmlformats.org/officeDocument/2006/relationships/hyperlink" Target="https://scryfall.com/sets/dmc" TargetMode="External" Id="rId954"/><Relationship Type="http://schemas.openxmlformats.org/officeDocument/2006/relationships/hyperlink" Target="https://scryfall.com/sets/dmc" TargetMode="External" Id="rId955"/><Relationship Type="http://schemas.openxmlformats.org/officeDocument/2006/relationships/hyperlink" Target="https://scryfall.com/sets/tdmc" TargetMode="External" Id="rId956"/><Relationship Type="http://schemas.openxmlformats.org/officeDocument/2006/relationships/hyperlink" Target="https://scryfall.com/sets/tdmc" TargetMode="External" Id="rId957"/><Relationship Type="http://schemas.openxmlformats.org/officeDocument/2006/relationships/hyperlink" Target="https://scryfall.com/sets/tdmc" TargetMode="External" Id="rId958"/><Relationship Type="http://schemas.openxmlformats.org/officeDocument/2006/relationships/hyperlink" Target="https://scryfall.com/sets/tdmc" TargetMode="External" Id="rId959"/><Relationship Type="http://schemas.openxmlformats.org/officeDocument/2006/relationships/hyperlink" Target="https://scryfall.com/sets/mdmu" TargetMode="External" Id="rId960"/><Relationship Type="http://schemas.openxmlformats.org/officeDocument/2006/relationships/hyperlink" Target="https://scryfall.com/sets/mdmu" TargetMode="External" Id="rId961"/><Relationship Type="http://schemas.openxmlformats.org/officeDocument/2006/relationships/hyperlink" Target="https://scryfall.com/sets/mdmu" TargetMode="External" Id="rId962"/><Relationship Type="http://schemas.openxmlformats.org/officeDocument/2006/relationships/hyperlink" Target="https://scryfall.com/sets/mdmu" TargetMode="External" Id="rId963"/><Relationship Type="http://schemas.openxmlformats.org/officeDocument/2006/relationships/hyperlink" Target="https://scryfall.com/sets/psvc" TargetMode="External" Id="rId964"/><Relationship Type="http://schemas.openxmlformats.org/officeDocument/2006/relationships/hyperlink" Target="https://scryfall.com/sets/psvc" TargetMode="External" Id="rId965"/><Relationship Type="http://schemas.openxmlformats.org/officeDocument/2006/relationships/hyperlink" Target="https://scryfall.com/sets/psvc" TargetMode="External" Id="rId966"/><Relationship Type="http://schemas.openxmlformats.org/officeDocument/2006/relationships/hyperlink" Target="https://scryfall.com/sets/psvc/ja" TargetMode="External" Id="rId967"/><Relationship Type="http://schemas.openxmlformats.org/officeDocument/2006/relationships/hyperlink" Target="https://scryfall.com/sets/ph21" TargetMode="External" Id="rId968"/><Relationship Type="http://schemas.openxmlformats.org/officeDocument/2006/relationships/hyperlink" Target="https://scryfall.com/sets/ph21" TargetMode="External" Id="rId969"/><Relationship Type="http://schemas.openxmlformats.org/officeDocument/2006/relationships/hyperlink" Target="https://scryfall.com/sets/ph21" TargetMode="External" Id="rId970"/><Relationship Type="http://schemas.openxmlformats.org/officeDocument/2006/relationships/hyperlink" Target="https://scryfall.com/sets/ph21" TargetMode="External" Id="rId971"/><Relationship Type="http://schemas.openxmlformats.org/officeDocument/2006/relationships/hyperlink" Target="https://scryfall.com/sets/ea1" TargetMode="External" Id="rId972"/><Relationship Type="http://schemas.openxmlformats.org/officeDocument/2006/relationships/hyperlink" Target="https://scryfall.com/sets/ea1" TargetMode="External" Id="rId973"/><Relationship Type="http://schemas.openxmlformats.org/officeDocument/2006/relationships/hyperlink" Target="https://scryfall.com/sets/ea1" TargetMode="External" Id="rId974"/><Relationship Type="http://schemas.openxmlformats.org/officeDocument/2006/relationships/hyperlink" Target="https://scryfall.com/sets/ea1" TargetMode="External" Id="rId975"/><Relationship Type="http://schemas.openxmlformats.org/officeDocument/2006/relationships/hyperlink" Target="https://scryfall.com/sets/ha6" TargetMode="External" Id="rId976"/><Relationship Type="http://schemas.openxmlformats.org/officeDocument/2006/relationships/hyperlink" Target="https://scryfall.com/sets/ha6" TargetMode="External" Id="rId977"/><Relationship Type="http://schemas.openxmlformats.org/officeDocument/2006/relationships/hyperlink" Target="https://scryfall.com/sets/ha6" TargetMode="External" Id="rId978"/><Relationship Type="http://schemas.openxmlformats.org/officeDocument/2006/relationships/hyperlink" Target="https://scryfall.com/sets/ha6" TargetMode="External" Id="rId979"/><Relationship Type="http://schemas.openxmlformats.org/officeDocument/2006/relationships/hyperlink" Target="https://scryfall.com/sets/sch" TargetMode="External" Id="rId980"/><Relationship Type="http://schemas.openxmlformats.org/officeDocument/2006/relationships/hyperlink" Target="https://scryfall.com/sets/sch" TargetMode="External" Id="rId981"/><Relationship Type="http://schemas.openxmlformats.org/officeDocument/2006/relationships/hyperlink" Target="https://scryfall.com/sets/sch" TargetMode="External" Id="rId982"/><Relationship Type="http://schemas.openxmlformats.org/officeDocument/2006/relationships/hyperlink" Target="https://scryfall.com/sets/sch" TargetMode="External" Id="rId983"/><Relationship Type="http://schemas.openxmlformats.org/officeDocument/2006/relationships/hyperlink" Target="https://scryfall.com/sets/2x2" TargetMode="External" Id="rId984"/><Relationship Type="http://schemas.openxmlformats.org/officeDocument/2006/relationships/hyperlink" Target="https://scryfall.com/sets/2x2" TargetMode="External" Id="rId985"/><Relationship Type="http://schemas.openxmlformats.org/officeDocument/2006/relationships/hyperlink" Target="https://scryfall.com/sets/2x2" TargetMode="External" Id="rId986"/><Relationship Type="http://schemas.openxmlformats.org/officeDocument/2006/relationships/hyperlink" Target="https://scryfall.com/sets/t2x2" TargetMode="External" Id="rId987"/><Relationship Type="http://schemas.openxmlformats.org/officeDocument/2006/relationships/hyperlink" Target="https://scryfall.com/sets/t2x2" TargetMode="External" Id="rId988"/><Relationship Type="http://schemas.openxmlformats.org/officeDocument/2006/relationships/hyperlink" Target="https://scryfall.com/sets/t2x2" TargetMode="External" Id="rId989"/><Relationship Type="http://schemas.openxmlformats.org/officeDocument/2006/relationships/hyperlink" Target="https://scryfall.com/sets/t2x2" TargetMode="External" Id="rId990"/><Relationship Type="http://schemas.openxmlformats.org/officeDocument/2006/relationships/hyperlink" Target="https://scryfall.com/sets/hbg" TargetMode="External" Id="rId991"/><Relationship Type="http://schemas.openxmlformats.org/officeDocument/2006/relationships/hyperlink" Target="https://scryfall.com/sets/hbg" TargetMode="External" Id="rId992"/><Relationship Type="http://schemas.openxmlformats.org/officeDocument/2006/relationships/hyperlink" Target="https://scryfall.com/sets/hbg" TargetMode="External" Id="rId993"/><Relationship Type="http://schemas.openxmlformats.org/officeDocument/2006/relationships/hyperlink" Target="https://scryfall.com/sets/hbg" TargetMode="External" Id="rId994"/><Relationship Type="http://schemas.openxmlformats.org/officeDocument/2006/relationships/hyperlink" Target="https://scryfall.com/sets/plg22" TargetMode="External" Id="rId995"/><Relationship Type="http://schemas.openxmlformats.org/officeDocument/2006/relationships/hyperlink" Target="https://scryfall.com/sets/plg22" TargetMode="External" Id="rId996"/><Relationship Type="http://schemas.openxmlformats.org/officeDocument/2006/relationships/hyperlink" Target="https://scryfall.com/sets/plg22" TargetMode="External" Id="rId997"/><Relationship Type="http://schemas.openxmlformats.org/officeDocument/2006/relationships/hyperlink" Target="https://scryfall.com/sets/plg22" TargetMode="External" Id="rId998"/><Relationship Type="http://schemas.openxmlformats.org/officeDocument/2006/relationships/hyperlink" Target="https://scryfall.com/sets/clb" TargetMode="External" Id="rId999"/><Relationship Type="http://schemas.openxmlformats.org/officeDocument/2006/relationships/hyperlink" Target="https://scryfall.com/sets/clb" TargetMode="External" Id="rId1000"/><Relationship Type="http://schemas.openxmlformats.org/officeDocument/2006/relationships/hyperlink" Target="https://scryfall.com/sets/clb" TargetMode="External" Id="rId1001"/><Relationship Type="http://schemas.openxmlformats.org/officeDocument/2006/relationships/hyperlink" Target="https://scryfall.com/sets/pclb" TargetMode="External" Id="rId1002"/><Relationship Type="http://schemas.openxmlformats.org/officeDocument/2006/relationships/hyperlink" Target="https://scryfall.com/sets/pclb" TargetMode="External" Id="rId1003"/><Relationship Type="http://schemas.openxmlformats.org/officeDocument/2006/relationships/hyperlink" Target="https://scryfall.com/sets/pclb" TargetMode="External" Id="rId1004"/><Relationship Type="http://schemas.openxmlformats.org/officeDocument/2006/relationships/hyperlink" Target="https://scryfall.com/sets/pclb" TargetMode="External" Id="rId1005"/><Relationship Type="http://schemas.openxmlformats.org/officeDocument/2006/relationships/hyperlink" Target="https://scryfall.com/sets/tclb" TargetMode="External" Id="rId1006"/><Relationship Type="http://schemas.openxmlformats.org/officeDocument/2006/relationships/hyperlink" Target="https://scryfall.com/sets/tclb" TargetMode="External" Id="rId1007"/><Relationship Type="http://schemas.openxmlformats.org/officeDocument/2006/relationships/hyperlink" Target="https://scryfall.com/sets/tclb" TargetMode="External" Id="rId1008"/><Relationship Type="http://schemas.openxmlformats.org/officeDocument/2006/relationships/hyperlink" Target="https://scryfall.com/sets/tclb" TargetMode="External" Id="rId1009"/><Relationship Type="http://schemas.openxmlformats.org/officeDocument/2006/relationships/hyperlink" Target="https://scryfall.com/sets/mclb" TargetMode="External" Id="rId1010"/><Relationship Type="http://schemas.openxmlformats.org/officeDocument/2006/relationships/hyperlink" Target="https://scryfall.com/sets/mclb" TargetMode="External" Id="rId1011"/><Relationship Type="http://schemas.openxmlformats.org/officeDocument/2006/relationships/hyperlink" Target="https://scryfall.com/sets/mclb" TargetMode="External" Id="rId1012"/><Relationship Type="http://schemas.openxmlformats.org/officeDocument/2006/relationships/hyperlink" Target="https://scryfall.com/sets/mclb" TargetMode="External" Id="rId1013"/><Relationship Type="http://schemas.openxmlformats.org/officeDocument/2006/relationships/hyperlink" Target="https://scryfall.com/sets/oclb" TargetMode="External" Id="rId1014"/><Relationship Type="http://schemas.openxmlformats.org/officeDocument/2006/relationships/hyperlink" Target="https://scryfall.com/sets/oclb" TargetMode="External" Id="rId1015"/><Relationship Type="http://schemas.openxmlformats.org/officeDocument/2006/relationships/hyperlink" Target="https://scryfall.com/sets/oclb" TargetMode="External" Id="rId1016"/><Relationship Type="http://schemas.openxmlformats.org/officeDocument/2006/relationships/hyperlink" Target="https://scryfall.com/sets/oclb" TargetMode="External" Id="rId1017"/><Relationship Type="http://schemas.openxmlformats.org/officeDocument/2006/relationships/hyperlink" Target="https://scryfall.com/sets/aclb" TargetMode="External" Id="rId1018"/><Relationship Type="http://schemas.openxmlformats.org/officeDocument/2006/relationships/hyperlink" Target="https://scryfall.com/sets/aclb" TargetMode="External" Id="rId1019"/><Relationship Type="http://schemas.openxmlformats.org/officeDocument/2006/relationships/hyperlink" Target="https://scryfall.com/sets/aclb" TargetMode="External" Id="rId1020"/><Relationship Type="http://schemas.openxmlformats.org/officeDocument/2006/relationships/hyperlink" Target="https://scryfall.com/sets/aclb" TargetMode="External" Id="rId1021"/><Relationship Type="http://schemas.openxmlformats.org/officeDocument/2006/relationships/hyperlink" Target="https://scryfall.com/sets/snc" TargetMode="External" Id="rId1022"/><Relationship Type="http://schemas.openxmlformats.org/officeDocument/2006/relationships/hyperlink" Target="https://scryfall.com/sets/snc" TargetMode="External" Id="rId1023"/><Relationship Type="http://schemas.openxmlformats.org/officeDocument/2006/relationships/hyperlink" Target="https://scryfall.com/sets/snc" TargetMode="External" Id="rId1024"/><Relationship Type="http://schemas.openxmlformats.org/officeDocument/2006/relationships/hyperlink" Target="https://scryfall.com/sets/psnc" TargetMode="External" Id="rId1025"/><Relationship Type="http://schemas.openxmlformats.org/officeDocument/2006/relationships/hyperlink" Target="https://scryfall.com/sets/psnc" TargetMode="External" Id="rId1026"/><Relationship Type="http://schemas.openxmlformats.org/officeDocument/2006/relationships/hyperlink" Target="https://scryfall.com/sets/psnc" TargetMode="External" Id="rId1027"/><Relationship Type="http://schemas.openxmlformats.org/officeDocument/2006/relationships/hyperlink" Target="https://scryfall.com/sets/psnc" TargetMode="External" Id="rId1028"/><Relationship Type="http://schemas.openxmlformats.org/officeDocument/2006/relationships/hyperlink" Target="https://scryfall.com/sets/ptsnc" TargetMode="External" Id="rId1029"/><Relationship Type="http://schemas.openxmlformats.org/officeDocument/2006/relationships/hyperlink" Target="https://scryfall.com/sets/ptsnc" TargetMode="External" Id="rId1030"/><Relationship Type="http://schemas.openxmlformats.org/officeDocument/2006/relationships/hyperlink" Target="https://scryfall.com/sets/ptsnc" TargetMode="External" Id="rId1031"/><Relationship Type="http://schemas.openxmlformats.org/officeDocument/2006/relationships/hyperlink" Target="https://scryfall.com/sets/ptsnc" TargetMode="External" Id="rId1032"/><Relationship Type="http://schemas.openxmlformats.org/officeDocument/2006/relationships/hyperlink" Target="https://scryfall.com/sets/tsnc" TargetMode="External" Id="rId1033"/><Relationship Type="http://schemas.openxmlformats.org/officeDocument/2006/relationships/hyperlink" Target="https://scryfall.com/sets/tsnc" TargetMode="External" Id="rId1034"/><Relationship Type="http://schemas.openxmlformats.org/officeDocument/2006/relationships/hyperlink" Target="https://scryfall.com/sets/tsnc" TargetMode="External" Id="rId1035"/><Relationship Type="http://schemas.openxmlformats.org/officeDocument/2006/relationships/hyperlink" Target="https://scryfall.com/sets/tsnc" TargetMode="External" Id="rId1036"/><Relationship Type="http://schemas.openxmlformats.org/officeDocument/2006/relationships/hyperlink" Target="https://scryfall.com/sets/ysnc" TargetMode="External" Id="rId1037"/><Relationship Type="http://schemas.openxmlformats.org/officeDocument/2006/relationships/hyperlink" Target="https://scryfall.com/sets/ysnc" TargetMode="External" Id="rId1038"/><Relationship Type="http://schemas.openxmlformats.org/officeDocument/2006/relationships/hyperlink" Target="https://scryfall.com/sets/ysnc" TargetMode="External" Id="rId1039"/><Relationship Type="http://schemas.openxmlformats.org/officeDocument/2006/relationships/hyperlink" Target="https://scryfall.com/sets/ysnc" TargetMode="External" Id="rId1040"/><Relationship Type="http://schemas.openxmlformats.org/officeDocument/2006/relationships/hyperlink" Target="https://scryfall.com/sets/ncc" TargetMode="External" Id="rId1041"/><Relationship Type="http://schemas.openxmlformats.org/officeDocument/2006/relationships/hyperlink" Target="https://scryfall.com/sets/ncc" TargetMode="External" Id="rId1042"/><Relationship Type="http://schemas.openxmlformats.org/officeDocument/2006/relationships/hyperlink" Target="https://scryfall.com/sets/ncc" TargetMode="External" Id="rId1043"/><Relationship Type="http://schemas.openxmlformats.org/officeDocument/2006/relationships/hyperlink" Target="https://scryfall.com/sets/pncc" TargetMode="External" Id="rId1044"/><Relationship Type="http://schemas.openxmlformats.org/officeDocument/2006/relationships/hyperlink" Target="https://scryfall.com/sets/pncc" TargetMode="External" Id="rId1045"/><Relationship Type="http://schemas.openxmlformats.org/officeDocument/2006/relationships/hyperlink" Target="https://scryfall.com/sets/pncc" TargetMode="External" Id="rId1046"/><Relationship Type="http://schemas.openxmlformats.org/officeDocument/2006/relationships/hyperlink" Target="https://scryfall.com/sets/pncc" TargetMode="External" Id="rId1047"/><Relationship Type="http://schemas.openxmlformats.org/officeDocument/2006/relationships/hyperlink" Target="https://scryfall.com/sets/tncc" TargetMode="External" Id="rId1048"/><Relationship Type="http://schemas.openxmlformats.org/officeDocument/2006/relationships/hyperlink" Target="https://scryfall.com/sets/tncc" TargetMode="External" Id="rId1049"/><Relationship Type="http://schemas.openxmlformats.org/officeDocument/2006/relationships/hyperlink" Target="https://scryfall.com/sets/tncc" TargetMode="External" Id="rId1050"/><Relationship Type="http://schemas.openxmlformats.org/officeDocument/2006/relationships/hyperlink" Target="https://scryfall.com/sets/tncc" TargetMode="External" Id="rId1051"/><Relationship Type="http://schemas.openxmlformats.org/officeDocument/2006/relationships/hyperlink" Target="https://scryfall.com/sets/msnc" TargetMode="External" Id="rId1052"/><Relationship Type="http://schemas.openxmlformats.org/officeDocument/2006/relationships/hyperlink" Target="https://scryfall.com/sets/msnc" TargetMode="External" Id="rId1053"/><Relationship Type="http://schemas.openxmlformats.org/officeDocument/2006/relationships/hyperlink" Target="https://scryfall.com/sets/msnc" TargetMode="External" Id="rId1054"/><Relationship Type="http://schemas.openxmlformats.org/officeDocument/2006/relationships/hyperlink" Target="https://scryfall.com/sets/msnc" TargetMode="External" Id="rId1055"/><Relationship Type="http://schemas.openxmlformats.org/officeDocument/2006/relationships/hyperlink" Target="https://scryfall.com/sets/asnc" TargetMode="External" Id="rId1056"/><Relationship Type="http://schemas.openxmlformats.org/officeDocument/2006/relationships/hyperlink" Target="https://scryfall.com/sets/asnc" TargetMode="External" Id="rId1057"/><Relationship Type="http://schemas.openxmlformats.org/officeDocument/2006/relationships/hyperlink" Target="https://scryfall.com/sets/asnc" TargetMode="External" Id="rId1058"/><Relationship Type="http://schemas.openxmlformats.org/officeDocument/2006/relationships/hyperlink" Target="https://scryfall.com/sets/asnc" TargetMode="External" Id="rId1059"/><Relationship Type="http://schemas.openxmlformats.org/officeDocument/2006/relationships/hyperlink" Target="https://scryfall.com/sets/gdy" TargetMode="External" Id="rId1060"/><Relationship Type="http://schemas.openxmlformats.org/officeDocument/2006/relationships/hyperlink" Target="https://scryfall.com/sets/gdy" TargetMode="External" Id="rId1061"/><Relationship Type="http://schemas.openxmlformats.org/officeDocument/2006/relationships/hyperlink" Target="https://scryfall.com/sets/gdy" TargetMode="External" Id="rId1062"/><Relationship Type="http://schemas.openxmlformats.org/officeDocument/2006/relationships/hyperlink" Target="https://scryfall.com/sets/gdy" TargetMode="External" Id="rId1063"/><Relationship Type="http://schemas.openxmlformats.org/officeDocument/2006/relationships/hyperlink" Target="https://scryfall.com/sets/q07" TargetMode="External" Id="rId1064"/><Relationship Type="http://schemas.openxmlformats.org/officeDocument/2006/relationships/hyperlink" Target="https://scryfall.com/sets/q07" TargetMode="External" Id="rId1065"/><Relationship Type="http://schemas.openxmlformats.org/officeDocument/2006/relationships/hyperlink" Target="https://scryfall.com/sets/q07" TargetMode="External" Id="rId1066"/><Relationship Type="http://schemas.openxmlformats.org/officeDocument/2006/relationships/hyperlink" Target="https://scryfall.com/sets/q07" TargetMode="External" Id="rId1067"/><Relationship Type="http://schemas.openxmlformats.org/officeDocument/2006/relationships/hyperlink" Target="https://scryfall.com/sets/pw22" TargetMode="External" Id="rId1068"/><Relationship Type="http://schemas.openxmlformats.org/officeDocument/2006/relationships/hyperlink" Target="https://scryfall.com/sets/pw22" TargetMode="External" Id="rId1069"/><Relationship Type="http://schemas.openxmlformats.org/officeDocument/2006/relationships/hyperlink" Target="https://scryfall.com/sets/pw22" TargetMode="External" Id="rId1070"/><Relationship Type="http://schemas.openxmlformats.org/officeDocument/2006/relationships/hyperlink" Target="https://scryfall.com/sets/pw22" TargetMode="External" Id="rId1071"/><Relationship Type="http://schemas.openxmlformats.org/officeDocument/2006/relationships/hyperlink" Target="https://scryfall.com/sets/pl22" TargetMode="External" Id="rId1072"/><Relationship Type="http://schemas.openxmlformats.org/officeDocument/2006/relationships/hyperlink" Target="https://scryfall.com/sets/pl22" TargetMode="External" Id="rId1073"/><Relationship Type="http://schemas.openxmlformats.org/officeDocument/2006/relationships/hyperlink" Target="https://scryfall.com/sets/pl22" TargetMode="External" Id="rId1074"/><Relationship Type="http://schemas.openxmlformats.org/officeDocument/2006/relationships/hyperlink" Target="https://scryfall.com/sets/neo" TargetMode="External" Id="rId1075"/><Relationship Type="http://schemas.openxmlformats.org/officeDocument/2006/relationships/hyperlink" Target="https://scryfall.com/sets/neo" TargetMode="External" Id="rId1076"/><Relationship Type="http://schemas.openxmlformats.org/officeDocument/2006/relationships/hyperlink" Target="https://scryfall.com/sets/neo" TargetMode="External" Id="rId1077"/><Relationship Type="http://schemas.openxmlformats.org/officeDocument/2006/relationships/hyperlink" Target="https://scryfall.com/sets/pneo" TargetMode="External" Id="rId1078"/><Relationship Type="http://schemas.openxmlformats.org/officeDocument/2006/relationships/hyperlink" Target="https://scryfall.com/sets/pneo" TargetMode="External" Id="rId1079"/><Relationship Type="http://schemas.openxmlformats.org/officeDocument/2006/relationships/hyperlink" Target="https://scryfall.com/sets/pneo" TargetMode="External" Id="rId1080"/><Relationship Type="http://schemas.openxmlformats.org/officeDocument/2006/relationships/hyperlink" Target="https://scryfall.com/sets/pneo" TargetMode="External" Id="rId1081"/><Relationship Type="http://schemas.openxmlformats.org/officeDocument/2006/relationships/hyperlink" Target="https://scryfall.com/sets/tneo" TargetMode="External" Id="rId1082"/><Relationship Type="http://schemas.openxmlformats.org/officeDocument/2006/relationships/hyperlink" Target="https://scryfall.com/sets/tneo" TargetMode="External" Id="rId1083"/><Relationship Type="http://schemas.openxmlformats.org/officeDocument/2006/relationships/hyperlink" Target="https://scryfall.com/sets/tneo" TargetMode="External" Id="rId1084"/><Relationship Type="http://schemas.openxmlformats.org/officeDocument/2006/relationships/hyperlink" Target="https://scryfall.com/sets/tneo" TargetMode="External" Id="rId1085"/><Relationship Type="http://schemas.openxmlformats.org/officeDocument/2006/relationships/hyperlink" Target="https://scryfall.com/sets/yneo" TargetMode="External" Id="rId1086"/><Relationship Type="http://schemas.openxmlformats.org/officeDocument/2006/relationships/hyperlink" Target="https://scryfall.com/sets/yneo" TargetMode="External" Id="rId1087"/><Relationship Type="http://schemas.openxmlformats.org/officeDocument/2006/relationships/hyperlink" Target="https://scryfall.com/sets/yneo" TargetMode="External" Id="rId1088"/><Relationship Type="http://schemas.openxmlformats.org/officeDocument/2006/relationships/hyperlink" Target="https://scryfall.com/sets/yneo" TargetMode="External" Id="rId1089"/><Relationship Type="http://schemas.openxmlformats.org/officeDocument/2006/relationships/hyperlink" Target="https://scryfall.com/sets/mneo" TargetMode="External" Id="rId1090"/><Relationship Type="http://schemas.openxmlformats.org/officeDocument/2006/relationships/hyperlink" Target="https://scryfall.com/sets/mneo" TargetMode="External" Id="rId1091"/><Relationship Type="http://schemas.openxmlformats.org/officeDocument/2006/relationships/hyperlink" Target="https://scryfall.com/sets/mneo" TargetMode="External" Id="rId1092"/><Relationship Type="http://schemas.openxmlformats.org/officeDocument/2006/relationships/hyperlink" Target="https://scryfall.com/sets/mneo" TargetMode="External" Id="rId1093"/><Relationship Type="http://schemas.openxmlformats.org/officeDocument/2006/relationships/hyperlink" Target="https://scryfall.com/sets/sneo" TargetMode="External" Id="rId1094"/><Relationship Type="http://schemas.openxmlformats.org/officeDocument/2006/relationships/hyperlink" Target="https://scryfall.com/sets/sneo" TargetMode="External" Id="rId1095"/><Relationship Type="http://schemas.openxmlformats.org/officeDocument/2006/relationships/hyperlink" Target="https://scryfall.com/sets/sneo" TargetMode="External" Id="rId1096"/><Relationship Type="http://schemas.openxmlformats.org/officeDocument/2006/relationships/hyperlink" Target="https://scryfall.com/sets/sneo" TargetMode="External" Id="rId1097"/><Relationship Type="http://schemas.openxmlformats.org/officeDocument/2006/relationships/hyperlink" Target="https://scryfall.com/sets/nec" TargetMode="External" Id="rId1098"/><Relationship Type="http://schemas.openxmlformats.org/officeDocument/2006/relationships/hyperlink" Target="https://scryfall.com/sets/nec" TargetMode="External" Id="rId1099"/><Relationship Type="http://schemas.openxmlformats.org/officeDocument/2006/relationships/hyperlink" Target="https://scryfall.com/sets/nec" TargetMode="External" Id="rId1100"/><Relationship Type="http://schemas.openxmlformats.org/officeDocument/2006/relationships/hyperlink" Target="https://scryfall.com/sets/tnec" TargetMode="External" Id="rId1101"/><Relationship Type="http://schemas.openxmlformats.org/officeDocument/2006/relationships/hyperlink" Target="https://scryfall.com/sets/tnec" TargetMode="External" Id="rId1102"/><Relationship Type="http://schemas.openxmlformats.org/officeDocument/2006/relationships/hyperlink" Target="https://scryfall.com/sets/tnec" TargetMode="External" Id="rId1103"/><Relationship Type="http://schemas.openxmlformats.org/officeDocument/2006/relationships/hyperlink" Target="https://scryfall.com/sets/tnec" TargetMode="External" Id="rId1104"/><Relationship Type="http://schemas.openxmlformats.org/officeDocument/2006/relationships/hyperlink" Target="https://scryfall.com/sets/aneo" TargetMode="External" Id="rId1105"/><Relationship Type="http://schemas.openxmlformats.org/officeDocument/2006/relationships/hyperlink" Target="https://scryfall.com/sets/aneo" TargetMode="External" Id="rId1106"/><Relationship Type="http://schemas.openxmlformats.org/officeDocument/2006/relationships/hyperlink" Target="https://scryfall.com/sets/aneo" TargetMode="External" Id="rId1107"/><Relationship Type="http://schemas.openxmlformats.org/officeDocument/2006/relationships/hyperlink" Target="https://scryfall.com/sets/aneo" TargetMode="External" Id="rId1108"/><Relationship Type="http://schemas.openxmlformats.org/officeDocument/2006/relationships/hyperlink" Target="https://scryfall.com/sets/cc2" TargetMode="External" Id="rId1109"/><Relationship Type="http://schemas.openxmlformats.org/officeDocument/2006/relationships/hyperlink" Target="https://scryfall.com/sets/cc2" TargetMode="External" Id="rId1110"/><Relationship Type="http://schemas.openxmlformats.org/officeDocument/2006/relationships/hyperlink" Target="https://scryfall.com/sets/cc2" TargetMode="External" Id="rId1111"/><Relationship Type="http://schemas.openxmlformats.org/officeDocument/2006/relationships/hyperlink" Target="https://scryfall.com/sets/cc2" TargetMode="External" Id="rId1112"/><Relationship Type="http://schemas.openxmlformats.org/officeDocument/2006/relationships/hyperlink" Target="https://scryfall.com/sets/dbl" TargetMode="External" Id="rId1113"/><Relationship Type="http://schemas.openxmlformats.org/officeDocument/2006/relationships/hyperlink" Target="https://scryfall.com/sets/dbl" TargetMode="External" Id="rId1114"/><Relationship Type="http://schemas.openxmlformats.org/officeDocument/2006/relationships/hyperlink" Target="https://scryfall.com/sets/dbl" TargetMode="External" Id="rId1115"/><Relationship Type="http://schemas.openxmlformats.org/officeDocument/2006/relationships/hyperlink" Target="https://scryfall.com/sets/dbl" TargetMode="External" Id="rId1116"/><Relationship Type="http://schemas.openxmlformats.org/officeDocument/2006/relationships/hyperlink" Target="https://scryfall.com/sets/p22" TargetMode="External" Id="rId1117"/><Relationship Type="http://schemas.openxmlformats.org/officeDocument/2006/relationships/hyperlink" Target="https://scryfall.com/sets/p22" TargetMode="External" Id="rId1118"/><Relationship Type="http://schemas.openxmlformats.org/officeDocument/2006/relationships/hyperlink" Target="https://scryfall.com/sets/p22" TargetMode="External" Id="rId1119"/><Relationship Type="http://schemas.openxmlformats.org/officeDocument/2006/relationships/hyperlink" Target="https://scryfall.com/sets/p22" TargetMode="External" Id="rId1120"/><Relationship Type="http://schemas.openxmlformats.org/officeDocument/2006/relationships/hyperlink" Target="https://scryfall.com/sets/ymid" TargetMode="External" Id="rId1121"/><Relationship Type="http://schemas.openxmlformats.org/officeDocument/2006/relationships/hyperlink" Target="https://scryfall.com/sets/ymid" TargetMode="External" Id="rId1122"/><Relationship Type="http://schemas.openxmlformats.org/officeDocument/2006/relationships/hyperlink" Target="https://scryfall.com/sets/ymid" TargetMode="External" Id="rId1123"/><Relationship Type="http://schemas.openxmlformats.org/officeDocument/2006/relationships/hyperlink" Target="https://scryfall.com/sets/ymid" TargetMode="External" Id="rId1124"/><Relationship Type="http://schemas.openxmlformats.org/officeDocument/2006/relationships/hyperlink" Target="https://scryfall.com/sets/vow" TargetMode="External" Id="rId1125"/><Relationship Type="http://schemas.openxmlformats.org/officeDocument/2006/relationships/hyperlink" Target="https://scryfall.com/sets/vow" TargetMode="External" Id="rId1126"/><Relationship Type="http://schemas.openxmlformats.org/officeDocument/2006/relationships/hyperlink" Target="https://scryfall.com/sets/vow" TargetMode="External" Id="rId1127"/><Relationship Type="http://schemas.openxmlformats.org/officeDocument/2006/relationships/hyperlink" Target="https://scryfall.com/sets/pvow" TargetMode="External" Id="rId1128"/><Relationship Type="http://schemas.openxmlformats.org/officeDocument/2006/relationships/hyperlink" Target="https://scryfall.com/sets/pvow" TargetMode="External" Id="rId1129"/><Relationship Type="http://schemas.openxmlformats.org/officeDocument/2006/relationships/hyperlink" Target="https://scryfall.com/sets/pvow" TargetMode="External" Id="rId1130"/><Relationship Type="http://schemas.openxmlformats.org/officeDocument/2006/relationships/hyperlink" Target="https://scryfall.com/sets/pvow" TargetMode="External" Id="rId1131"/><Relationship Type="http://schemas.openxmlformats.org/officeDocument/2006/relationships/hyperlink" Target="https://scryfall.com/sets/tvow" TargetMode="External" Id="rId1132"/><Relationship Type="http://schemas.openxmlformats.org/officeDocument/2006/relationships/hyperlink" Target="https://scryfall.com/sets/tvow" TargetMode="External" Id="rId1133"/><Relationship Type="http://schemas.openxmlformats.org/officeDocument/2006/relationships/hyperlink" Target="https://scryfall.com/sets/tvow" TargetMode="External" Id="rId1134"/><Relationship Type="http://schemas.openxmlformats.org/officeDocument/2006/relationships/hyperlink" Target="https://scryfall.com/sets/tvow" TargetMode="External" Id="rId1135"/><Relationship Type="http://schemas.openxmlformats.org/officeDocument/2006/relationships/hyperlink" Target="https://scryfall.com/sets/mvow" TargetMode="External" Id="rId1136"/><Relationship Type="http://schemas.openxmlformats.org/officeDocument/2006/relationships/hyperlink" Target="https://scryfall.com/sets/mvow" TargetMode="External" Id="rId1137"/><Relationship Type="http://schemas.openxmlformats.org/officeDocument/2006/relationships/hyperlink" Target="https://scryfall.com/sets/mvow" TargetMode="External" Id="rId1138"/><Relationship Type="http://schemas.openxmlformats.org/officeDocument/2006/relationships/hyperlink" Target="https://scryfall.com/sets/mvow" TargetMode="External" Id="rId1139"/><Relationship Type="http://schemas.openxmlformats.org/officeDocument/2006/relationships/hyperlink" Target="https://scryfall.com/sets/svow" TargetMode="External" Id="rId1140"/><Relationship Type="http://schemas.openxmlformats.org/officeDocument/2006/relationships/hyperlink" Target="https://scryfall.com/sets/svow" TargetMode="External" Id="rId1141"/><Relationship Type="http://schemas.openxmlformats.org/officeDocument/2006/relationships/hyperlink" Target="https://scryfall.com/sets/svow" TargetMode="External" Id="rId1142"/><Relationship Type="http://schemas.openxmlformats.org/officeDocument/2006/relationships/hyperlink" Target="https://scryfall.com/sets/svow" TargetMode="External" Id="rId1143"/><Relationship Type="http://schemas.openxmlformats.org/officeDocument/2006/relationships/hyperlink" Target="https://scryfall.com/sets/avow" TargetMode="External" Id="rId1144"/><Relationship Type="http://schemas.openxmlformats.org/officeDocument/2006/relationships/hyperlink" Target="https://scryfall.com/sets/avow" TargetMode="External" Id="rId1145"/><Relationship Type="http://schemas.openxmlformats.org/officeDocument/2006/relationships/hyperlink" Target="https://scryfall.com/sets/avow" TargetMode="External" Id="rId1146"/><Relationship Type="http://schemas.openxmlformats.org/officeDocument/2006/relationships/hyperlink" Target="https://scryfall.com/sets/avow" TargetMode="External" Id="rId1147"/><Relationship Type="http://schemas.openxmlformats.org/officeDocument/2006/relationships/hyperlink" Target="https://scryfall.com/sets/voc" TargetMode="External" Id="rId1148"/><Relationship Type="http://schemas.openxmlformats.org/officeDocument/2006/relationships/hyperlink" Target="https://scryfall.com/sets/voc" TargetMode="External" Id="rId1149"/><Relationship Type="http://schemas.openxmlformats.org/officeDocument/2006/relationships/hyperlink" Target="https://scryfall.com/sets/voc" TargetMode="External" Id="rId1150"/><Relationship Type="http://schemas.openxmlformats.org/officeDocument/2006/relationships/hyperlink" Target="https://scryfall.com/sets/tvoc" TargetMode="External" Id="rId1151"/><Relationship Type="http://schemas.openxmlformats.org/officeDocument/2006/relationships/hyperlink" Target="https://scryfall.com/sets/tvoc" TargetMode="External" Id="rId1152"/><Relationship Type="http://schemas.openxmlformats.org/officeDocument/2006/relationships/hyperlink" Target="https://scryfall.com/sets/tvoc" TargetMode="External" Id="rId1153"/><Relationship Type="http://schemas.openxmlformats.org/officeDocument/2006/relationships/hyperlink" Target="https://scryfall.com/sets/tvoc" TargetMode="External" Id="rId1154"/><Relationship Type="http://schemas.openxmlformats.org/officeDocument/2006/relationships/hyperlink" Target="https://scryfall.com/sets/ovoc" TargetMode="External" Id="rId1155"/><Relationship Type="http://schemas.openxmlformats.org/officeDocument/2006/relationships/hyperlink" Target="https://scryfall.com/sets/ovoc" TargetMode="External" Id="rId1156"/><Relationship Type="http://schemas.openxmlformats.org/officeDocument/2006/relationships/hyperlink" Target="https://scryfall.com/sets/ovoc" TargetMode="External" Id="rId1157"/><Relationship Type="http://schemas.openxmlformats.org/officeDocument/2006/relationships/hyperlink" Target="https://scryfall.com/sets/ovoc" TargetMode="External" Id="rId1158"/><Relationship Type="http://schemas.openxmlformats.org/officeDocument/2006/relationships/hyperlink" Target="https://scryfall.com/sets/q06" TargetMode="External" Id="rId1159"/><Relationship Type="http://schemas.openxmlformats.org/officeDocument/2006/relationships/hyperlink" Target="https://scryfall.com/sets/q06" TargetMode="External" Id="rId1160"/><Relationship Type="http://schemas.openxmlformats.org/officeDocument/2006/relationships/hyperlink" Target="https://scryfall.com/sets/q06" TargetMode="External" Id="rId1161"/><Relationship Type="http://schemas.openxmlformats.org/officeDocument/2006/relationships/hyperlink" Target="https://scryfall.com/sets/q06" TargetMode="External" Id="rId1162"/><Relationship Type="http://schemas.openxmlformats.org/officeDocument/2006/relationships/hyperlink" Target="https://scryfall.com/sets/mid" TargetMode="External" Id="rId1163"/><Relationship Type="http://schemas.openxmlformats.org/officeDocument/2006/relationships/hyperlink" Target="https://scryfall.com/sets/mid" TargetMode="External" Id="rId1164"/><Relationship Type="http://schemas.openxmlformats.org/officeDocument/2006/relationships/hyperlink" Target="https://scryfall.com/sets/mid" TargetMode="External" Id="rId1165"/><Relationship Type="http://schemas.openxmlformats.org/officeDocument/2006/relationships/hyperlink" Target="https://scryfall.com/sets/pmid" TargetMode="External" Id="rId1166"/><Relationship Type="http://schemas.openxmlformats.org/officeDocument/2006/relationships/hyperlink" Target="https://scryfall.com/sets/pmid" TargetMode="External" Id="rId1167"/><Relationship Type="http://schemas.openxmlformats.org/officeDocument/2006/relationships/hyperlink" Target="https://scryfall.com/sets/pmid" TargetMode="External" Id="rId1168"/><Relationship Type="http://schemas.openxmlformats.org/officeDocument/2006/relationships/hyperlink" Target="https://scryfall.com/sets/pmid" TargetMode="External" Id="rId1169"/><Relationship Type="http://schemas.openxmlformats.org/officeDocument/2006/relationships/hyperlink" Target="https://scryfall.com/sets/tmid" TargetMode="External" Id="rId1170"/><Relationship Type="http://schemas.openxmlformats.org/officeDocument/2006/relationships/hyperlink" Target="https://scryfall.com/sets/tmid" TargetMode="External" Id="rId1171"/><Relationship Type="http://schemas.openxmlformats.org/officeDocument/2006/relationships/hyperlink" Target="https://scryfall.com/sets/tmid" TargetMode="External" Id="rId1172"/><Relationship Type="http://schemas.openxmlformats.org/officeDocument/2006/relationships/hyperlink" Target="https://scryfall.com/sets/tmid" TargetMode="External" Id="rId1173"/><Relationship Type="http://schemas.openxmlformats.org/officeDocument/2006/relationships/hyperlink" Target="https://scryfall.com/sets/smid" TargetMode="External" Id="rId1174"/><Relationship Type="http://schemas.openxmlformats.org/officeDocument/2006/relationships/hyperlink" Target="https://scryfall.com/sets/smid" TargetMode="External" Id="rId1175"/><Relationship Type="http://schemas.openxmlformats.org/officeDocument/2006/relationships/hyperlink" Target="https://scryfall.com/sets/smid" TargetMode="External" Id="rId1176"/><Relationship Type="http://schemas.openxmlformats.org/officeDocument/2006/relationships/hyperlink" Target="https://scryfall.com/sets/smid" TargetMode="External" Id="rId1177"/><Relationship Type="http://schemas.openxmlformats.org/officeDocument/2006/relationships/hyperlink" Target="https://scryfall.com/sets/mic" TargetMode="External" Id="rId1178"/><Relationship Type="http://schemas.openxmlformats.org/officeDocument/2006/relationships/hyperlink" Target="https://scryfall.com/sets/mic" TargetMode="External" Id="rId1179"/><Relationship Type="http://schemas.openxmlformats.org/officeDocument/2006/relationships/hyperlink" Target="https://scryfall.com/sets/mic" TargetMode="External" Id="rId1180"/><Relationship Type="http://schemas.openxmlformats.org/officeDocument/2006/relationships/hyperlink" Target="https://scryfall.com/sets/tmic" TargetMode="External" Id="rId1181"/><Relationship Type="http://schemas.openxmlformats.org/officeDocument/2006/relationships/hyperlink" Target="https://scryfall.com/sets/tmic" TargetMode="External" Id="rId1182"/><Relationship Type="http://schemas.openxmlformats.org/officeDocument/2006/relationships/hyperlink" Target="https://scryfall.com/sets/tmic" TargetMode="External" Id="rId1183"/><Relationship Type="http://schemas.openxmlformats.org/officeDocument/2006/relationships/hyperlink" Target="https://scryfall.com/sets/tmic" TargetMode="External" Id="rId1184"/><Relationship Type="http://schemas.openxmlformats.org/officeDocument/2006/relationships/hyperlink" Target="https://scryfall.com/sets/omic" TargetMode="External" Id="rId1185"/><Relationship Type="http://schemas.openxmlformats.org/officeDocument/2006/relationships/hyperlink" Target="https://scryfall.com/sets/omic" TargetMode="External" Id="rId1186"/><Relationship Type="http://schemas.openxmlformats.org/officeDocument/2006/relationships/hyperlink" Target="https://scryfall.com/sets/omic" TargetMode="External" Id="rId1187"/><Relationship Type="http://schemas.openxmlformats.org/officeDocument/2006/relationships/hyperlink" Target="https://scryfall.com/sets/omic" TargetMode="External" Id="rId1188"/><Relationship Type="http://schemas.openxmlformats.org/officeDocument/2006/relationships/hyperlink" Target="https://scryfall.com/sets/amid" TargetMode="External" Id="rId1189"/><Relationship Type="http://schemas.openxmlformats.org/officeDocument/2006/relationships/hyperlink" Target="https://scryfall.com/sets/amid" TargetMode="External" Id="rId1190"/><Relationship Type="http://schemas.openxmlformats.org/officeDocument/2006/relationships/hyperlink" Target="https://scryfall.com/sets/amid" TargetMode="External" Id="rId1191"/><Relationship Type="http://schemas.openxmlformats.org/officeDocument/2006/relationships/hyperlink" Target="https://scryfall.com/sets/amid" TargetMode="External" Id="rId1192"/><Relationship Type="http://schemas.openxmlformats.org/officeDocument/2006/relationships/hyperlink" Target="https://scryfall.com/sets/mmid" TargetMode="External" Id="rId1193"/><Relationship Type="http://schemas.openxmlformats.org/officeDocument/2006/relationships/hyperlink" Target="https://scryfall.com/sets/mmid" TargetMode="External" Id="rId1194"/><Relationship Type="http://schemas.openxmlformats.org/officeDocument/2006/relationships/hyperlink" Target="https://scryfall.com/sets/mmid" TargetMode="External" Id="rId1195"/><Relationship Type="http://schemas.openxmlformats.org/officeDocument/2006/relationships/hyperlink" Target="https://scryfall.com/sets/mmid" TargetMode="External" Id="rId1196"/><Relationship Type="http://schemas.openxmlformats.org/officeDocument/2006/relationships/hyperlink" Target="https://scryfall.com/sets/j21" TargetMode="External" Id="rId1197"/><Relationship Type="http://schemas.openxmlformats.org/officeDocument/2006/relationships/hyperlink" Target="https://scryfall.com/sets/j21" TargetMode="External" Id="rId1198"/><Relationship Type="http://schemas.openxmlformats.org/officeDocument/2006/relationships/hyperlink" Target="https://scryfall.com/sets/j21" TargetMode="External" Id="rId1199"/><Relationship Type="http://schemas.openxmlformats.org/officeDocument/2006/relationships/hyperlink" Target="https://scryfall.com/sets/j21" TargetMode="External" Id="rId1200"/><Relationship Type="http://schemas.openxmlformats.org/officeDocument/2006/relationships/hyperlink" Target="https://scryfall.com/sets/cmb2" TargetMode="External" Id="rId1201"/><Relationship Type="http://schemas.openxmlformats.org/officeDocument/2006/relationships/hyperlink" Target="https://scryfall.com/sets/cmb2" TargetMode="External" Id="rId1202"/><Relationship Type="http://schemas.openxmlformats.org/officeDocument/2006/relationships/hyperlink" Target="https://scryfall.com/sets/cmb2" TargetMode="External" Id="rId1203"/><Relationship Type="http://schemas.openxmlformats.org/officeDocument/2006/relationships/hyperlink" Target="https://scryfall.com/sets/cmb2" TargetMode="External" Id="rId1204"/><Relationship Type="http://schemas.openxmlformats.org/officeDocument/2006/relationships/hyperlink" Target="https://scryfall.com/sets/ph20" TargetMode="External" Id="rId1205"/><Relationship Type="http://schemas.openxmlformats.org/officeDocument/2006/relationships/hyperlink" Target="https://scryfall.com/sets/ph20" TargetMode="External" Id="rId1206"/><Relationship Type="http://schemas.openxmlformats.org/officeDocument/2006/relationships/hyperlink" Target="https://scryfall.com/sets/ph20" TargetMode="External" Id="rId1207"/><Relationship Type="http://schemas.openxmlformats.org/officeDocument/2006/relationships/hyperlink" Target="https://scryfall.com/sets/ph20" TargetMode="External" Id="rId1208"/><Relationship Type="http://schemas.openxmlformats.org/officeDocument/2006/relationships/hyperlink" Target="https://scryfall.com/sets/afr" TargetMode="External" Id="rId1209"/><Relationship Type="http://schemas.openxmlformats.org/officeDocument/2006/relationships/hyperlink" Target="https://scryfall.com/sets/afr" TargetMode="External" Id="rId1210"/><Relationship Type="http://schemas.openxmlformats.org/officeDocument/2006/relationships/hyperlink" Target="https://scryfall.com/sets/afr" TargetMode="External" Id="rId1211"/><Relationship Type="http://schemas.openxmlformats.org/officeDocument/2006/relationships/hyperlink" Target="https://scryfall.com/sets/pafr" TargetMode="External" Id="rId1212"/><Relationship Type="http://schemas.openxmlformats.org/officeDocument/2006/relationships/hyperlink" Target="https://scryfall.com/sets/pafr" TargetMode="External" Id="rId1213"/><Relationship Type="http://schemas.openxmlformats.org/officeDocument/2006/relationships/hyperlink" Target="https://scryfall.com/sets/pafr" TargetMode="External" Id="rId1214"/><Relationship Type="http://schemas.openxmlformats.org/officeDocument/2006/relationships/hyperlink" Target="https://scryfall.com/sets/pafr" TargetMode="External" Id="rId1215"/><Relationship Type="http://schemas.openxmlformats.org/officeDocument/2006/relationships/hyperlink" Target="https://scryfall.com/sets/tafr" TargetMode="External" Id="rId1216"/><Relationship Type="http://schemas.openxmlformats.org/officeDocument/2006/relationships/hyperlink" Target="https://scryfall.com/sets/tafr" TargetMode="External" Id="rId1217"/><Relationship Type="http://schemas.openxmlformats.org/officeDocument/2006/relationships/hyperlink" Target="https://scryfall.com/sets/tafr" TargetMode="External" Id="rId1218"/><Relationship Type="http://schemas.openxmlformats.org/officeDocument/2006/relationships/hyperlink" Target="https://scryfall.com/sets/tafr" TargetMode="External" Id="rId1219"/><Relationship Type="http://schemas.openxmlformats.org/officeDocument/2006/relationships/hyperlink" Target="https://scryfall.com/sets/oafr" TargetMode="External" Id="rId1220"/><Relationship Type="http://schemas.openxmlformats.org/officeDocument/2006/relationships/hyperlink" Target="https://scryfall.com/sets/oafr" TargetMode="External" Id="rId1221"/><Relationship Type="http://schemas.openxmlformats.org/officeDocument/2006/relationships/hyperlink" Target="https://scryfall.com/sets/oafr" TargetMode="External" Id="rId1222"/><Relationship Type="http://schemas.openxmlformats.org/officeDocument/2006/relationships/hyperlink" Target="https://scryfall.com/sets/oafr" TargetMode="External" Id="rId1223"/><Relationship Type="http://schemas.openxmlformats.org/officeDocument/2006/relationships/hyperlink" Target="https://scryfall.com/sets/aafr" TargetMode="External" Id="rId1224"/><Relationship Type="http://schemas.openxmlformats.org/officeDocument/2006/relationships/hyperlink" Target="https://scryfall.com/sets/aafr" TargetMode="External" Id="rId1225"/><Relationship Type="http://schemas.openxmlformats.org/officeDocument/2006/relationships/hyperlink" Target="https://scryfall.com/sets/aafr" TargetMode="External" Id="rId1226"/><Relationship Type="http://schemas.openxmlformats.org/officeDocument/2006/relationships/hyperlink" Target="https://scryfall.com/sets/aafr" TargetMode="External" Id="rId1227"/><Relationship Type="http://schemas.openxmlformats.org/officeDocument/2006/relationships/hyperlink" Target="https://scryfall.com/sets/afc" TargetMode="External" Id="rId1228"/><Relationship Type="http://schemas.openxmlformats.org/officeDocument/2006/relationships/hyperlink" Target="https://scryfall.com/sets/afc" TargetMode="External" Id="rId1229"/><Relationship Type="http://schemas.openxmlformats.org/officeDocument/2006/relationships/hyperlink" Target="https://scryfall.com/sets/afc" TargetMode="External" Id="rId1230"/><Relationship Type="http://schemas.openxmlformats.org/officeDocument/2006/relationships/hyperlink" Target="https://scryfall.com/sets/tafc" TargetMode="External" Id="rId1231"/><Relationship Type="http://schemas.openxmlformats.org/officeDocument/2006/relationships/hyperlink" Target="https://scryfall.com/sets/tafc" TargetMode="External" Id="rId1232"/><Relationship Type="http://schemas.openxmlformats.org/officeDocument/2006/relationships/hyperlink" Target="https://scryfall.com/sets/tafc" TargetMode="External" Id="rId1233"/><Relationship Type="http://schemas.openxmlformats.org/officeDocument/2006/relationships/hyperlink" Target="https://scryfall.com/sets/tafc" TargetMode="External" Id="rId1234"/><Relationship Type="http://schemas.openxmlformats.org/officeDocument/2006/relationships/hyperlink" Target="https://scryfall.com/sets/oafc" TargetMode="External" Id="rId1235"/><Relationship Type="http://schemas.openxmlformats.org/officeDocument/2006/relationships/hyperlink" Target="https://scryfall.com/sets/oafc" TargetMode="External" Id="rId1236"/><Relationship Type="http://schemas.openxmlformats.org/officeDocument/2006/relationships/hyperlink" Target="https://scryfall.com/sets/oafc" TargetMode="External" Id="rId1237"/><Relationship Type="http://schemas.openxmlformats.org/officeDocument/2006/relationships/hyperlink" Target="https://scryfall.com/sets/oafc" TargetMode="External" Id="rId1238"/><Relationship Type="http://schemas.openxmlformats.org/officeDocument/2006/relationships/hyperlink" Target="https://scryfall.com/sets/mafr" TargetMode="External" Id="rId1239"/><Relationship Type="http://schemas.openxmlformats.org/officeDocument/2006/relationships/hyperlink" Target="https://scryfall.com/sets/mafr" TargetMode="External" Id="rId1240"/><Relationship Type="http://schemas.openxmlformats.org/officeDocument/2006/relationships/hyperlink" Target="https://scryfall.com/sets/mafr" TargetMode="External" Id="rId1241"/><Relationship Type="http://schemas.openxmlformats.org/officeDocument/2006/relationships/hyperlink" Target="https://scryfall.com/sets/mafr" TargetMode="External" Id="rId1242"/><Relationship Type="http://schemas.openxmlformats.org/officeDocument/2006/relationships/hyperlink" Target="https://scryfall.com/cubes/chromatic" TargetMode="External" Id="rId1243"/><Relationship Type="http://schemas.openxmlformats.org/officeDocument/2006/relationships/hyperlink" Target="https://scryfall.com/cubes/chromatic" TargetMode="External" Id="rId1244"/><Relationship Type="http://schemas.openxmlformats.org/officeDocument/2006/relationships/hyperlink" Target="https://scryfall.com/cubes/chromatic" TargetMode="External" Id="rId1245"/><Relationship Type="http://schemas.openxmlformats.org/officeDocument/2006/relationships/hyperlink" Target="https://scryfall.com/sets/plg21" TargetMode="External" Id="rId1246"/><Relationship Type="http://schemas.openxmlformats.org/officeDocument/2006/relationships/hyperlink" Target="https://scryfall.com/sets/plg21" TargetMode="External" Id="rId1247"/><Relationship Type="http://schemas.openxmlformats.org/officeDocument/2006/relationships/hyperlink" Target="https://scryfall.com/sets/plg21" TargetMode="External" Id="rId1248"/><Relationship Type="http://schemas.openxmlformats.org/officeDocument/2006/relationships/hyperlink" Target="https://scryfall.com/sets/pw21" TargetMode="External" Id="rId1249"/><Relationship Type="http://schemas.openxmlformats.org/officeDocument/2006/relationships/hyperlink" Target="https://scryfall.com/sets/pw21" TargetMode="External" Id="rId1250"/><Relationship Type="http://schemas.openxmlformats.org/officeDocument/2006/relationships/hyperlink" Target="https://scryfall.com/sets/pw21" TargetMode="External" Id="rId1251"/><Relationship Type="http://schemas.openxmlformats.org/officeDocument/2006/relationships/hyperlink" Target="https://scryfall.com/sets/pw21" TargetMode="External" Id="rId1252"/><Relationship Type="http://schemas.openxmlformats.org/officeDocument/2006/relationships/hyperlink" Target="https://scryfall.com/sets/mh2" TargetMode="External" Id="rId1253"/><Relationship Type="http://schemas.openxmlformats.org/officeDocument/2006/relationships/hyperlink" Target="https://scryfall.com/sets/mh2" TargetMode="External" Id="rId1254"/><Relationship Type="http://schemas.openxmlformats.org/officeDocument/2006/relationships/hyperlink" Target="https://scryfall.com/sets/mh2" TargetMode="External" Id="rId1255"/><Relationship Type="http://schemas.openxmlformats.org/officeDocument/2006/relationships/hyperlink" Target="https://scryfall.com/sets/pmh2" TargetMode="External" Id="rId1256"/><Relationship Type="http://schemas.openxmlformats.org/officeDocument/2006/relationships/hyperlink" Target="https://scryfall.com/sets/pmh2" TargetMode="External" Id="rId1257"/><Relationship Type="http://schemas.openxmlformats.org/officeDocument/2006/relationships/hyperlink" Target="https://scryfall.com/sets/pmh2" TargetMode="External" Id="rId1258"/><Relationship Type="http://schemas.openxmlformats.org/officeDocument/2006/relationships/hyperlink" Target="https://scryfall.com/sets/pmh2" TargetMode="External" Id="rId1259"/><Relationship Type="http://schemas.openxmlformats.org/officeDocument/2006/relationships/hyperlink" Target="https://scryfall.com/sets/tmh2" TargetMode="External" Id="rId1260"/><Relationship Type="http://schemas.openxmlformats.org/officeDocument/2006/relationships/hyperlink" Target="https://scryfall.com/sets/tmh2" TargetMode="External" Id="rId1261"/><Relationship Type="http://schemas.openxmlformats.org/officeDocument/2006/relationships/hyperlink" Target="https://scryfall.com/sets/tmh2" TargetMode="External" Id="rId1262"/><Relationship Type="http://schemas.openxmlformats.org/officeDocument/2006/relationships/hyperlink" Target="https://scryfall.com/sets/tmh2" TargetMode="External" Id="rId1263"/><Relationship Type="http://schemas.openxmlformats.org/officeDocument/2006/relationships/hyperlink" Target="https://scryfall.com/sets/amh2" TargetMode="External" Id="rId1264"/><Relationship Type="http://schemas.openxmlformats.org/officeDocument/2006/relationships/hyperlink" Target="https://scryfall.com/sets/amh2" TargetMode="External" Id="rId1265"/><Relationship Type="http://schemas.openxmlformats.org/officeDocument/2006/relationships/hyperlink" Target="https://scryfall.com/sets/amh2" TargetMode="External" Id="rId1266"/><Relationship Type="http://schemas.openxmlformats.org/officeDocument/2006/relationships/hyperlink" Target="https://scryfall.com/sets/amh2" TargetMode="External" Id="rId1267"/><Relationship Type="http://schemas.openxmlformats.org/officeDocument/2006/relationships/hyperlink" Target="https://scryfall.com/sets/mmh2" TargetMode="External" Id="rId1268"/><Relationship Type="http://schemas.openxmlformats.org/officeDocument/2006/relationships/hyperlink" Target="https://scryfall.com/sets/mmh2" TargetMode="External" Id="rId1269"/><Relationship Type="http://schemas.openxmlformats.org/officeDocument/2006/relationships/hyperlink" Target="https://scryfall.com/sets/mmh2" TargetMode="External" Id="rId1270"/><Relationship Type="http://schemas.openxmlformats.org/officeDocument/2006/relationships/hyperlink" Target="https://scryfall.com/sets/mmh2" TargetMode="External" Id="rId1271"/><Relationship Type="http://schemas.openxmlformats.org/officeDocument/2006/relationships/hyperlink" Target="https://scryfall.com/sets/h1r" TargetMode="External" Id="rId1272"/><Relationship Type="http://schemas.openxmlformats.org/officeDocument/2006/relationships/hyperlink" Target="https://scryfall.com/sets/h1r" TargetMode="External" Id="rId1273"/><Relationship Type="http://schemas.openxmlformats.org/officeDocument/2006/relationships/hyperlink" Target="https://scryfall.com/sets/h1r" TargetMode="External" Id="rId1274"/><Relationship Type="http://schemas.openxmlformats.org/officeDocument/2006/relationships/hyperlink" Target="https://scryfall.com/sets/h1r" TargetMode="External" Id="rId1275"/><Relationship Type="http://schemas.openxmlformats.org/officeDocument/2006/relationships/hyperlink" Target="https://scryfall.com/sets/ha5" TargetMode="External" Id="rId1276"/><Relationship Type="http://schemas.openxmlformats.org/officeDocument/2006/relationships/hyperlink" Target="https://scryfall.com/sets/ha5" TargetMode="External" Id="rId1277"/><Relationship Type="http://schemas.openxmlformats.org/officeDocument/2006/relationships/hyperlink" Target="https://scryfall.com/sets/ha5" TargetMode="External" Id="rId1278"/><Relationship Type="http://schemas.openxmlformats.org/officeDocument/2006/relationships/hyperlink" Target="https://scryfall.com/sets/ha5" TargetMode="External" Id="rId1279"/><Relationship Type="http://schemas.openxmlformats.org/officeDocument/2006/relationships/hyperlink" Target="https://scryfall.com/sets/stx" TargetMode="External" Id="rId1280"/><Relationship Type="http://schemas.openxmlformats.org/officeDocument/2006/relationships/hyperlink" Target="https://scryfall.com/sets/stx" TargetMode="External" Id="rId1281"/><Relationship Type="http://schemas.openxmlformats.org/officeDocument/2006/relationships/hyperlink" Target="https://scryfall.com/sets/stx" TargetMode="External" Id="rId1282"/><Relationship Type="http://schemas.openxmlformats.org/officeDocument/2006/relationships/hyperlink" Target="https://scryfall.com/sets/sta" TargetMode="External" Id="rId1283"/><Relationship Type="http://schemas.openxmlformats.org/officeDocument/2006/relationships/hyperlink" Target="https://scryfall.com/sets/sta" TargetMode="External" Id="rId1284"/><Relationship Type="http://schemas.openxmlformats.org/officeDocument/2006/relationships/hyperlink" Target="https://scryfall.com/sets/sta" TargetMode="External" Id="rId1285"/><Relationship Type="http://schemas.openxmlformats.org/officeDocument/2006/relationships/hyperlink" Target="https://scryfall.com/sets/pstx" TargetMode="External" Id="rId1286"/><Relationship Type="http://schemas.openxmlformats.org/officeDocument/2006/relationships/hyperlink" Target="https://scryfall.com/sets/pstx" TargetMode="External" Id="rId1287"/><Relationship Type="http://schemas.openxmlformats.org/officeDocument/2006/relationships/hyperlink" Target="https://scryfall.com/sets/pstx" TargetMode="External" Id="rId1288"/><Relationship Type="http://schemas.openxmlformats.org/officeDocument/2006/relationships/hyperlink" Target="https://scryfall.com/sets/pstx" TargetMode="External" Id="rId1289"/><Relationship Type="http://schemas.openxmlformats.org/officeDocument/2006/relationships/hyperlink" Target="https://scryfall.com/sets/tstx" TargetMode="External" Id="rId1290"/><Relationship Type="http://schemas.openxmlformats.org/officeDocument/2006/relationships/hyperlink" Target="https://scryfall.com/sets/tstx" TargetMode="External" Id="rId1291"/><Relationship Type="http://schemas.openxmlformats.org/officeDocument/2006/relationships/hyperlink" Target="https://scryfall.com/sets/tstx" TargetMode="External" Id="rId1292"/><Relationship Type="http://schemas.openxmlformats.org/officeDocument/2006/relationships/hyperlink" Target="https://scryfall.com/sets/tstx" TargetMode="External" Id="rId1293"/><Relationship Type="http://schemas.openxmlformats.org/officeDocument/2006/relationships/hyperlink" Target="https://scryfall.com/sets/sstx" TargetMode="External" Id="rId1294"/><Relationship Type="http://schemas.openxmlformats.org/officeDocument/2006/relationships/hyperlink" Target="https://scryfall.com/sets/sstx" TargetMode="External" Id="rId1295"/><Relationship Type="http://schemas.openxmlformats.org/officeDocument/2006/relationships/hyperlink" Target="https://scryfall.com/sets/sstx" TargetMode="External" Id="rId1296"/><Relationship Type="http://schemas.openxmlformats.org/officeDocument/2006/relationships/hyperlink" Target="https://scryfall.com/sets/sstx" TargetMode="External" Id="rId1297"/><Relationship Type="http://schemas.openxmlformats.org/officeDocument/2006/relationships/hyperlink" Target="https://scryfall.com/sets/mstx" TargetMode="External" Id="rId1298"/><Relationship Type="http://schemas.openxmlformats.org/officeDocument/2006/relationships/hyperlink" Target="https://scryfall.com/sets/mstx" TargetMode="External" Id="rId1299"/><Relationship Type="http://schemas.openxmlformats.org/officeDocument/2006/relationships/hyperlink" Target="https://scryfall.com/sets/mstx" TargetMode="External" Id="rId1300"/><Relationship Type="http://schemas.openxmlformats.org/officeDocument/2006/relationships/hyperlink" Target="https://scryfall.com/sets/mstx" TargetMode="External" Id="rId1301"/><Relationship Type="http://schemas.openxmlformats.org/officeDocument/2006/relationships/hyperlink" Target="https://scryfall.com/sets/astx" TargetMode="External" Id="rId1302"/><Relationship Type="http://schemas.openxmlformats.org/officeDocument/2006/relationships/hyperlink" Target="https://scryfall.com/sets/astx" TargetMode="External" Id="rId1303"/><Relationship Type="http://schemas.openxmlformats.org/officeDocument/2006/relationships/hyperlink" Target="https://scryfall.com/sets/astx" TargetMode="External" Id="rId1304"/><Relationship Type="http://schemas.openxmlformats.org/officeDocument/2006/relationships/hyperlink" Target="https://scryfall.com/sets/astx" TargetMode="External" Id="rId1305"/><Relationship Type="http://schemas.openxmlformats.org/officeDocument/2006/relationships/hyperlink" Target="https://scryfall.com/sets/c21" TargetMode="External" Id="rId1306"/><Relationship Type="http://schemas.openxmlformats.org/officeDocument/2006/relationships/hyperlink" Target="https://scryfall.com/sets/c21" TargetMode="External" Id="rId1307"/><Relationship Type="http://schemas.openxmlformats.org/officeDocument/2006/relationships/hyperlink" Target="https://scryfall.com/sets/c21" TargetMode="External" Id="rId1308"/><Relationship Type="http://schemas.openxmlformats.org/officeDocument/2006/relationships/hyperlink" Target="https://scryfall.com/sets/tc21" TargetMode="External" Id="rId1309"/><Relationship Type="http://schemas.openxmlformats.org/officeDocument/2006/relationships/hyperlink" Target="https://scryfall.com/sets/tc21" TargetMode="External" Id="rId1310"/><Relationship Type="http://schemas.openxmlformats.org/officeDocument/2006/relationships/hyperlink" Target="https://scryfall.com/sets/tc21" TargetMode="External" Id="rId1311"/><Relationship Type="http://schemas.openxmlformats.org/officeDocument/2006/relationships/hyperlink" Target="https://scryfall.com/sets/tc21" TargetMode="External" Id="rId1312"/><Relationship Type="http://schemas.openxmlformats.org/officeDocument/2006/relationships/hyperlink" Target="https://scryfall.com/sets/oc21" TargetMode="External" Id="rId1313"/><Relationship Type="http://schemas.openxmlformats.org/officeDocument/2006/relationships/hyperlink" Target="https://scryfall.com/sets/oc21" TargetMode="External" Id="rId1314"/><Relationship Type="http://schemas.openxmlformats.org/officeDocument/2006/relationships/hyperlink" Target="https://scryfall.com/sets/oc21" TargetMode="External" Id="rId1315"/><Relationship Type="http://schemas.openxmlformats.org/officeDocument/2006/relationships/hyperlink" Target="https://scryfall.com/sets/oc21" TargetMode="External" Id="rId1316"/><Relationship Type="http://schemas.openxmlformats.org/officeDocument/2006/relationships/hyperlink" Target="https://scryfall.com/sets/tsr" TargetMode="External" Id="rId1317"/><Relationship Type="http://schemas.openxmlformats.org/officeDocument/2006/relationships/hyperlink" Target="https://scryfall.com/sets/tsr" TargetMode="External" Id="rId1318"/><Relationship Type="http://schemas.openxmlformats.org/officeDocument/2006/relationships/hyperlink" Target="https://scryfall.com/sets/tsr" TargetMode="External" Id="rId1319"/><Relationship Type="http://schemas.openxmlformats.org/officeDocument/2006/relationships/hyperlink" Target="https://scryfall.com/sets/ptsr" TargetMode="External" Id="rId1320"/><Relationship Type="http://schemas.openxmlformats.org/officeDocument/2006/relationships/hyperlink" Target="https://scryfall.com/sets/ptsr" TargetMode="External" Id="rId1321"/><Relationship Type="http://schemas.openxmlformats.org/officeDocument/2006/relationships/hyperlink" Target="https://scryfall.com/sets/ptsr" TargetMode="External" Id="rId1322"/><Relationship Type="http://schemas.openxmlformats.org/officeDocument/2006/relationships/hyperlink" Target="https://scryfall.com/sets/ptsr" TargetMode="External" Id="rId1323"/><Relationship Type="http://schemas.openxmlformats.org/officeDocument/2006/relationships/hyperlink" Target="https://scryfall.com/sets/ttsr" TargetMode="External" Id="rId1324"/><Relationship Type="http://schemas.openxmlformats.org/officeDocument/2006/relationships/hyperlink" Target="https://scryfall.com/sets/ttsr" TargetMode="External" Id="rId1325"/><Relationship Type="http://schemas.openxmlformats.org/officeDocument/2006/relationships/hyperlink" Target="https://scryfall.com/sets/ttsr" TargetMode="External" Id="rId1326"/><Relationship Type="http://schemas.openxmlformats.org/officeDocument/2006/relationships/hyperlink" Target="https://scryfall.com/sets/ttsr" TargetMode="External" Id="rId1327"/><Relationship Type="http://schemas.openxmlformats.org/officeDocument/2006/relationships/hyperlink" Target="https://scryfall.com/sets/ha4" TargetMode="External" Id="rId1328"/><Relationship Type="http://schemas.openxmlformats.org/officeDocument/2006/relationships/hyperlink" Target="https://scryfall.com/sets/ha4" TargetMode="External" Id="rId1329"/><Relationship Type="http://schemas.openxmlformats.org/officeDocument/2006/relationships/hyperlink" Target="https://scryfall.com/sets/ha4" TargetMode="External" Id="rId1330"/><Relationship Type="http://schemas.openxmlformats.org/officeDocument/2006/relationships/hyperlink" Target="https://scryfall.com/sets/ha4" TargetMode="External" Id="rId1331"/><Relationship Type="http://schemas.openxmlformats.org/officeDocument/2006/relationships/hyperlink" Target="https://scryfall.com/sets/khm" TargetMode="External" Id="rId1332"/><Relationship Type="http://schemas.openxmlformats.org/officeDocument/2006/relationships/hyperlink" Target="https://scryfall.com/sets/khm" TargetMode="External" Id="rId1333"/><Relationship Type="http://schemas.openxmlformats.org/officeDocument/2006/relationships/hyperlink" Target="https://scryfall.com/sets/khm" TargetMode="External" Id="rId1334"/><Relationship Type="http://schemas.openxmlformats.org/officeDocument/2006/relationships/hyperlink" Target="https://scryfall.com/sets/pkhm" TargetMode="External" Id="rId1335"/><Relationship Type="http://schemas.openxmlformats.org/officeDocument/2006/relationships/hyperlink" Target="https://scryfall.com/sets/pkhm" TargetMode="External" Id="rId1336"/><Relationship Type="http://schemas.openxmlformats.org/officeDocument/2006/relationships/hyperlink" Target="https://scryfall.com/sets/pkhm" TargetMode="External" Id="rId1337"/><Relationship Type="http://schemas.openxmlformats.org/officeDocument/2006/relationships/hyperlink" Target="https://scryfall.com/sets/tkhm" TargetMode="External" Id="rId1338"/><Relationship Type="http://schemas.openxmlformats.org/officeDocument/2006/relationships/hyperlink" Target="https://scryfall.com/sets/tkhm" TargetMode="External" Id="rId1339"/><Relationship Type="http://schemas.openxmlformats.org/officeDocument/2006/relationships/hyperlink" Target="https://scryfall.com/sets/tkhm" TargetMode="External" Id="rId1340"/><Relationship Type="http://schemas.openxmlformats.org/officeDocument/2006/relationships/hyperlink" Target="https://scryfall.com/sets/tkhm" TargetMode="External" Id="rId1341"/><Relationship Type="http://schemas.openxmlformats.org/officeDocument/2006/relationships/hyperlink" Target="https://scryfall.com/sets/mkhm" TargetMode="External" Id="rId1342"/><Relationship Type="http://schemas.openxmlformats.org/officeDocument/2006/relationships/hyperlink" Target="https://scryfall.com/sets/mkhm" TargetMode="External" Id="rId1343"/><Relationship Type="http://schemas.openxmlformats.org/officeDocument/2006/relationships/hyperlink" Target="https://scryfall.com/sets/mkhm" TargetMode="External" Id="rId1344"/><Relationship Type="http://schemas.openxmlformats.org/officeDocument/2006/relationships/hyperlink" Target="https://scryfall.com/sets/mkhm" TargetMode="External" Id="rId1345"/><Relationship Type="http://schemas.openxmlformats.org/officeDocument/2006/relationships/hyperlink" Target="https://scryfall.com/sets/skhm" TargetMode="External" Id="rId1346"/><Relationship Type="http://schemas.openxmlformats.org/officeDocument/2006/relationships/hyperlink" Target="https://scryfall.com/sets/skhm" TargetMode="External" Id="rId1347"/><Relationship Type="http://schemas.openxmlformats.org/officeDocument/2006/relationships/hyperlink" Target="https://scryfall.com/sets/skhm" TargetMode="External" Id="rId1348"/><Relationship Type="http://schemas.openxmlformats.org/officeDocument/2006/relationships/hyperlink" Target="https://scryfall.com/sets/skhm" TargetMode="External" Id="rId1349"/><Relationship Type="http://schemas.openxmlformats.org/officeDocument/2006/relationships/hyperlink" Target="https://scryfall.com/sets/khc" TargetMode="External" Id="rId1350"/><Relationship Type="http://schemas.openxmlformats.org/officeDocument/2006/relationships/hyperlink" Target="https://scryfall.com/sets/khc" TargetMode="External" Id="rId1351"/><Relationship Type="http://schemas.openxmlformats.org/officeDocument/2006/relationships/hyperlink" Target="https://scryfall.com/sets/khc" TargetMode="External" Id="rId1352"/><Relationship Type="http://schemas.openxmlformats.org/officeDocument/2006/relationships/hyperlink" Target="https://scryfall.com/sets/tkhc" TargetMode="External" Id="rId1353"/><Relationship Type="http://schemas.openxmlformats.org/officeDocument/2006/relationships/hyperlink" Target="https://scryfall.com/sets/tkhc" TargetMode="External" Id="rId1354"/><Relationship Type="http://schemas.openxmlformats.org/officeDocument/2006/relationships/hyperlink" Target="https://scryfall.com/sets/tkhc" TargetMode="External" Id="rId1355"/><Relationship Type="http://schemas.openxmlformats.org/officeDocument/2006/relationships/hyperlink" Target="https://scryfall.com/sets/tkhc" TargetMode="External" Id="rId1356"/><Relationship Type="http://schemas.openxmlformats.org/officeDocument/2006/relationships/hyperlink" Target="https://scryfall.com/sets/akhm" TargetMode="External" Id="rId1357"/><Relationship Type="http://schemas.openxmlformats.org/officeDocument/2006/relationships/hyperlink" Target="https://scryfall.com/sets/akhm" TargetMode="External" Id="rId1358"/><Relationship Type="http://schemas.openxmlformats.org/officeDocument/2006/relationships/hyperlink" Target="https://scryfall.com/sets/akhm" TargetMode="External" Id="rId1359"/><Relationship Type="http://schemas.openxmlformats.org/officeDocument/2006/relationships/hyperlink" Target="https://scryfall.com/sets/akhm" TargetMode="External" Id="rId1360"/><Relationship Type="http://schemas.openxmlformats.org/officeDocument/2006/relationships/hyperlink" Target="https://scryfall.com/sets/pl21" TargetMode="External" Id="rId1361"/><Relationship Type="http://schemas.openxmlformats.org/officeDocument/2006/relationships/hyperlink" Target="https://scryfall.com/sets/pl21" TargetMode="External" Id="rId1362"/><Relationship Type="http://schemas.openxmlformats.org/officeDocument/2006/relationships/hyperlink" Target="https://scryfall.com/sets/pl21" TargetMode="External" Id="rId1363"/><Relationship Type="http://schemas.openxmlformats.org/officeDocument/2006/relationships/hyperlink" Target="https://scryfall.com/sets/pj21" TargetMode="External" Id="rId1364"/><Relationship Type="http://schemas.openxmlformats.org/officeDocument/2006/relationships/hyperlink" Target="https://scryfall.com/sets/pj21" TargetMode="External" Id="rId1365"/><Relationship Type="http://schemas.openxmlformats.org/officeDocument/2006/relationships/hyperlink" Target="https://scryfall.com/sets/pj21" TargetMode="External" Id="rId1366"/><Relationship Type="http://schemas.openxmlformats.org/officeDocument/2006/relationships/hyperlink" Target="https://scryfall.com/sets/pj21" TargetMode="External" Id="rId1367"/><Relationship Type="http://schemas.openxmlformats.org/officeDocument/2006/relationships/hyperlink" Target="https://scryfall.com/sets/cc1" TargetMode="External" Id="rId1368"/><Relationship Type="http://schemas.openxmlformats.org/officeDocument/2006/relationships/hyperlink" Target="https://scryfall.com/sets/cc1" TargetMode="External" Id="rId1369"/><Relationship Type="http://schemas.openxmlformats.org/officeDocument/2006/relationships/hyperlink" Target="https://scryfall.com/sets/cc1" TargetMode="External" Id="rId1370"/><Relationship Type="http://schemas.openxmlformats.org/officeDocument/2006/relationships/hyperlink" Target="https://scryfall.com/sets/cc1" TargetMode="External" Id="rId1371"/><Relationship Type="http://schemas.openxmlformats.org/officeDocument/2006/relationships/hyperlink" Target="https://scryfall.com/sets/cmr" TargetMode="External" Id="rId1372"/><Relationship Type="http://schemas.openxmlformats.org/officeDocument/2006/relationships/hyperlink" Target="https://scryfall.com/sets/cmr" TargetMode="External" Id="rId1373"/><Relationship Type="http://schemas.openxmlformats.org/officeDocument/2006/relationships/hyperlink" Target="https://scryfall.com/sets/cmr" TargetMode="External" Id="rId1374"/><Relationship Type="http://schemas.openxmlformats.org/officeDocument/2006/relationships/hyperlink" Target="https://scryfall.com/sets/pcmr" TargetMode="External" Id="rId1375"/><Relationship Type="http://schemas.openxmlformats.org/officeDocument/2006/relationships/hyperlink" Target="https://scryfall.com/sets/pcmr" TargetMode="External" Id="rId1376"/><Relationship Type="http://schemas.openxmlformats.org/officeDocument/2006/relationships/hyperlink" Target="https://scryfall.com/sets/pcmr" TargetMode="External" Id="rId1377"/><Relationship Type="http://schemas.openxmlformats.org/officeDocument/2006/relationships/hyperlink" Target="https://scryfall.com/sets/pcmr" TargetMode="External" Id="rId1378"/><Relationship Type="http://schemas.openxmlformats.org/officeDocument/2006/relationships/hyperlink" Target="https://scryfall.com/sets/tcmr" TargetMode="External" Id="rId1379"/><Relationship Type="http://schemas.openxmlformats.org/officeDocument/2006/relationships/hyperlink" Target="https://scryfall.com/sets/tcmr" TargetMode="External" Id="rId1380"/><Relationship Type="http://schemas.openxmlformats.org/officeDocument/2006/relationships/hyperlink" Target="https://scryfall.com/sets/tcmr" TargetMode="External" Id="rId1381"/><Relationship Type="http://schemas.openxmlformats.org/officeDocument/2006/relationships/hyperlink" Target="https://scryfall.com/sets/tcmr" TargetMode="External" Id="rId1382"/><Relationship Type="http://schemas.openxmlformats.org/officeDocument/2006/relationships/hyperlink" Target="https://scryfall.com/sets/klr" TargetMode="External" Id="rId1383"/><Relationship Type="http://schemas.openxmlformats.org/officeDocument/2006/relationships/hyperlink" Target="https://scryfall.com/sets/klr" TargetMode="External" Id="rId1384"/><Relationship Type="http://schemas.openxmlformats.org/officeDocument/2006/relationships/hyperlink" Target="https://scryfall.com/sets/klr" TargetMode="External" Id="rId1385"/><Relationship Type="http://schemas.openxmlformats.org/officeDocument/2006/relationships/hyperlink" Target="https://scryfall.com/sets/klr" TargetMode="External" Id="rId1386"/><Relationship Type="http://schemas.openxmlformats.org/officeDocument/2006/relationships/hyperlink" Target="https://scryfall.com/sets/plst" TargetMode="External" Id="rId1387"/><Relationship Type="http://schemas.openxmlformats.org/officeDocument/2006/relationships/hyperlink" Target="https://scryfall.com/sets/plst" TargetMode="External" Id="rId1388"/><Relationship Type="http://schemas.openxmlformats.org/officeDocument/2006/relationships/hyperlink" Target="https://scryfall.com/sets/plst" TargetMode="External" Id="rId1389"/><Relationship Type="http://schemas.openxmlformats.org/officeDocument/2006/relationships/hyperlink" Target="https://scryfall.com/sets/ulst" TargetMode="External" Id="rId1390"/><Relationship Type="http://schemas.openxmlformats.org/officeDocument/2006/relationships/hyperlink" Target="https://scryfall.com/sets/ulst" TargetMode="External" Id="rId1391"/><Relationship Type="http://schemas.openxmlformats.org/officeDocument/2006/relationships/hyperlink" Target="https://scryfall.com/sets/ulst" TargetMode="External" Id="rId1392"/><Relationship Type="http://schemas.openxmlformats.org/officeDocument/2006/relationships/hyperlink" Target="https://scryfall.com/sets/ulst" TargetMode="External" Id="rId1393"/><Relationship Type="http://schemas.openxmlformats.org/officeDocument/2006/relationships/hyperlink" Target="https://scryfall.com/sets/znr" TargetMode="External" Id="rId1394"/><Relationship Type="http://schemas.openxmlformats.org/officeDocument/2006/relationships/hyperlink" Target="https://scryfall.com/sets/znr" TargetMode="External" Id="rId1395"/><Relationship Type="http://schemas.openxmlformats.org/officeDocument/2006/relationships/hyperlink" Target="https://scryfall.com/sets/znr" TargetMode="External" Id="rId1396"/><Relationship Type="http://schemas.openxmlformats.org/officeDocument/2006/relationships/hyperlink" Target="https://scryfall.com/sets/zne" TargetMode="External" Id="rId1397"/><Relationship Type="http://schemas.openxmlformats.org/officeDocument/2006/relationships/hyperlink" Target="https://scryfall.com/sets/zne" TargetMode="External" Id="rId1398"/><Relationship Type="http://schemas.openxmlformats.org/officeDocument/2006/relationships/hyperlink" Target="https://scryfall.com/sets/zne" TargetMode="External" Id="rId1399"/><Relationship Type="http://schemas.openxmlformats.org/officeDocument/2006/relationships/hyperlink" Target="https://scryfall.com/sets/pznr" TargetMode="External" Id="rId1400"/><Relationship Type="http://schemas.openxmlformats.org/officeDocument/2006/relationships/hyperlink" Target="https://scryfall.com/sets/pznr" TargetMode="External" Id="rId1401"/><Relationship Type="http://schemas.openxmlformats.org/officeDocument/2006/relationships/hyperlink" Target="https://scryfall.com/sets/pznr" TargetMode="External" Id="rId1402"/><Relationship Type="http://schemas.openxmlformats.org/officeDocument/2006/relationships/hyperlink" Target="https://scryfall.com/sets/pznr" TargetMode="External" Id="rId1403"/><Relationship Type="http://schemas.openxmlformats.org/officeDocument/2006/relationships/hyperlink" Target="https://scryfall.com/sets/tznr" TargetMode="External" Id="rId1404"/><Relationship Type="http://schemas.openxmlformats.org/officeDocument/2006/relationships/hyperlink" Target="https://scryfall.com/sets/tznr" TargetMode="External" Id="rId1405"/><Relationship Type="http://schemas.openxmlformats.org/officeDocument/2006/relationships/hyperlink" Target="https://scryfall.com/sets/tznr" TargetMode="External" Id="rId1406"/><Relationship Type="http://schemas.openxmlformats.org/officeDocument/2006/relationships/hyperlink" Target="https://scryfall.com/sets/tznr" TargetMode="External" Id="rId1407"/><Relationship Type="http://schemas.openxmlformats.org/officeDocument/2006/relationships/hyperlink" Target="https://scryfall.com/sets/aznr" TargetMode="External" Id="rId1408"/><Relationship Type="http://schemas.openxmlformats.org/officeDocument/2006/relationships/hyperlink" Target="https://scryfall.com/sets/aznr" TargetMode="External" Id="rId1409"/><Relationship Type="http://schemas.openxmlformats.org/officeDocument/2006/relationships/hyperlink" Target="https://scryfall.com/sets/aznr" TargetMode="External" Id="rId1410"/><Relationship Type="http://schemas.openxmlformats.org/officeDocument/2006/relationships/hyperlink" Target="https://scryfall.com/sets/aznr" TargetMode="External" Id="rId1411"/><Relationship Type="http://schemas.openxmlformats.org/officeDocument/2006/relationships/hyperlink" Target="https://scryfall.com/sets/mznr" TargetMode="External" Id="rId1412"/><Relationship Type="http://schemas.openxmlformats.org/officeDocument/2006/relationships/hyperlink" Target="https://scryfall.com/sets/mznr" TargetMode="External" Id="rId1413"/><Relationship Type="http://schemas.openxmlformats.org/officeDocument/2006/relationships/hyperlink" Target="https://scryfall.com/sets/mznr" TargetMode="External" Id="rId1414"/><Relationship Type="http://schemas.openxmlformats.org/officeDocument/2006/relationships/hyperlink" Target="https://scryfall.com/sets/mznr" TargetMode="External" Id="rId1415"/><Relationship Type="http://schemas.openxmlformats.org/officeDocument/2006/relationships/hyperlink" Target="https://scryfall.com/sets/znc" TargetMode="External" Id="rId1416"/><Relationship Type="http://schemas.openxmlformats.org/officeDocument/2006/relationships/hyperlink" Target="https://scryfall.com/sets/znc" TargetMode="External" Id="rId1417"/><Relationship Type="http://schemas.openxmlformats.org/officeDocument/2006/relationships/hyperlink" Target="https://scryfall.com/sets/znc" TargetMode="External" Id="rId1418"/><Relationship Type="http://schemas.openxmlformats.org/officeDocument/2006/relationships/hyperlink" Target="https://scryfall.com/sets/tznc" TargetMode="External" Id="rId1419"/><Relationship Type="http://schemas.openxmlformats.org/officeDocument/2006/relationships/hyperlink" Target="https://scryfall.com/sets/tznc" TargetMode="External" Id="rId1420"/><Relationship Type="http://schemas.openxmlformats.org/officeDocument/2006/relationships/hyperlink" Target="https://scryfall.com/sets/tznc" TargetMode="External" Id="rId1421"/><Relationship Type="http://schemas.openxmlformats.org/officeDocument/2006/relationships/hyperlink" Target="https://scryfall.com/sets/tznc" TargetMode="External" Id="rId1422"/><Relationship Type="http://schemas.openxmlformats.org/officeDocument/2006/relationships/hyperlink" Target="https://scryfall.com/sets/sznr" TargetMode="External" Id="rId1423"/><Relationship Type="http://schemas.openxmlformats.org/officeDocument/2006/relationships/hyperlink" Target="https://scryfall.com/sets/sznr" TargetMode="External" Id="rId1424"/><Relationship Type="http://schemas.openxmlformats.org/officeDocument/2006/relationships/hyperlink" Target="https://scryfall.com/sets/sznr" TargetMode="External" Id="rId1425"/><Relationship Type="http://schemas.openxmlformats.org/officeDocument/2006/relationships/hyperlink" Target="https://scryfall.com/sets/sznr" TargetMode="External" Id="rId1426"/><Relationship Type="http://schemas.openxmlformats.org/officeDocument/2006/relationships/hyperlink" Target="https://scryfall.com/cubes/livethedream" TargetMode="External" Id="rId1427"/><Relationship Type="http://schemas.openxmlformats.org/officeDocument/2006/relationships/hyperlink" Target="https://scryfall.com/cubes/livethedream" TargetMode="External" Id="rId1428"/><Relationship Type="http://schemas.openxmlformats.org/officeDocument/2006/relationships/hyperlink" Target="https://scryfall.com/cubes/livethedream" TargetMode="External" Id="rId1429"/><Relationship Type="http://schemas.openxmlformats.org/officeDocument/2006/relationships/hyperlink" Target="https://scryfall.com/cubes/tinkerer" TargetMode="External" Id="rId1430"/><Relationship Type="http://schemas.openxmlformats.org/officeDocument/2006/relationships/hyperlink" Target="https://scryfall.com/cubes/tinkerer" TargetMode="External" Id="rId1431"/><Relationship Type="http://schemas.openxmlformats.org/officeDocument/2006/relationships/hyperlink" Target="https://scryfall.com/cubes/tinkerer" TargetMode="External" Id="rId1432"/><Relationship Type="http://schemas.openxmlformats.org/officeDocument/2006/relationships/hyperlink" Target="https://scryfall.com/sets/akr" TargetMode="External" Id="rId1433"/><Relationship Type="http://schemas.openxmlformats.org/officeDocument/2006/relationships/hyperlink" Target="https://scryfall.com/sets/akr" TargetMode="External" Id="rId1434"/><Relationship Type="http://schemas.openxmlformats.org/officeDocument/2006/relationships/hyperlink" Target="https://scryfall.com/sets/akr" TargetMode="External" Id="rId1435"/><Relationship Type="http://schemas.openxmlformats.org/officeDocument/2006/relationships/hyperlink" Target="https://scryfall.com/sets/akr" TargetMode="External" Id="rId1436"/><Relationship Type="http://schemas.openxmlformats.org/officeDocument/2006/relationships/hyperlink" Target="https://scryfall.com/sets/anb" TargetMode="External" Id="rId1437"/><Relationship Type="http://schemas.openxmlformats.org/officeDocument/2006/relationships/hyperlink" Target="https://scryfall.com/sets/anb" TargetMode="External" Id="rId1438"/><Relationship Type="http://schemas.openxmlformats.org/officeDocument/2006/relationships/hyperlink" Target="https://scryfall.com/sets/anb" TargetMode="External" Id="rId1439"/><Relationship Type="http://schemas.openxmlformats.org/officeDocument/2006/relationships/hyperlink" Target="https://scryfall.com/sets/anb" TargetMode="External" Id="rId1440"/><Relationship Type="http://schemas.openxmlformats.org/officeDocument/2006/relationships/hyperlink" Target="https://scryfall.com/sets/2xm" TargetMode="External" Id="rId1441"/><Relationship Type="http://schemas.openxmlformats.org/officeDocument/2006/relationships/hyperlink" Target="https://scryfall.com/sets/2xm" TargetMode="External" Id="rId1442"/><Relationship Type="http://schemas.openxmlformats.org/officeDocument/2006/relationships/hyperlink" Target="https://scryfall.com/sets/2xm" TargetMode="External" Id="rId1443"/><Relationship Type="http://schemas.openxmlformats.org/officeDocument/2006/relationships/hyperlink" Target="https://scryfall.com/sets/t2xm" TargetMode="External" Id="rId1444"/><Relationship Type="http://schemas.openxmlformats.org/officeDocument/2006/relationships/hyperlink" Target="https://scryfall.com/sets/t2xm" TargetMode="External" Id="rId1445"/><Relationship Type="http://schemas.openxmlformats.org/officeDocument/2006/relationships/hyperlink" Target="https://scryfall.com/sets/t2xm" TargetMode="External" Id="rId1446"/><Relationship Type="http://schemas.openxmlformats.org/officeDocument/2006/relationships/hyperlink" Target="https://scryfall.com/sets/t2xm" TargetMode="External" Id="rId1447"/><Relationship Type="http://schemas.openxmlformats.org/officeDocument/2006/relationships/hyperlink" Target="https://scryfall.com/sets/ph19" TargetMode="External" Id="rId1448"/><Relationship Type="http://schemas.openxmlformats.org/officeDocument/2006/relationships/hyperlink" Target="https://scryfall.com/sets/ph19" TargetMode="External" Id="rId1449"/><Relationship Type="http://schemas.openxmlformats.org/officeDocument/2006/relationships/hyperlink" Target="https://scryfall.com/sets/ph19" TargetMode="External" Id="rId1450"/><Relationship Type="http://schemas.openxmlformats.org/officeDocument/2006/relationships/hyperlink" Target="https://scryfall.com/sets/ph19" TargetMode="External" Id="rId1451"/><Relationship Type="http://schemas.openxmlformats.org/officeDocument/2006/relationships/hyperlink" Target="https://scryfall.com/sets/jmp" TargetMode="External" Id="rId1452"/><Relationship Type="http://schemas.openxmlformats.org/officeDocument/2006/relationships/hyperlink" Target="https://scryfall.com/sets/jmp" TargetMode="External" Id="rId1453"/><Relationship Type="http://schemas.openxmlformats.org/officeDocument/2006/relationships/hyperlink" Target="https://scryfall.com/sets/jmp" TargetMode="External" Id="rId1454"/><Relationship Type="http://schemas.openxmlformats.org/officeDocument/2006/relationships/hyperlink" Target="https://scryfall.com/sets/jmp" TargetMode="External" Id="rId1455"/><Relationship Type="http://schemas.openxmlformats.org/officeDocument/2006/relationships/hyperlink" Target="https://scryfall.com/sets/ajmp" TargetMode="External" Id="rId1456"/><Relationship Type="http://schemas.openxmlformats.org/officeDocument/2006/relationships/hyperlink" Target="https://scryfall.com/sets/ajmp" TargetMode="External" Id="rId1457"/><Relationship Type="http://schemas.openxmlformats.org/officeDocument/2006/relationships/hyperlink" Target="https://scryfall.com/sets/ajmp" TargetMode="External" Id="rId1458"/><Relationship Type="http://schemas.openxmlformats.org/officeDocument/2006/relationships/hyperlink" Target="https://scryfall.com/sets/ajmp" TargetMode="External" Id="rId1459"/><Relationship Type="http://schemas.openxmlformats.org/officeDocument/2006/relationships/hyperlink" Target="https://scryfall.com/sets/fjmp" TargetMode="External" Id="rId1460"/><Relationship Type="http://schemas.openxmlformats.org/officeDocument/2006/relationships/hyperlink" Target="https://scryfall.com/sets/fjmp" TargetMode="External" Id="rId1461"/><Relationship Type="http://schemas.openxmlformats.org/officeDocument/2006/relationships/hyperlink" Target="https://scryfall.com/sets/fjmp" TargetMode="External" Id="rId1462"/><Relationship Type="http://schemas.openxmlformats.org/officeDocument/2006/relationships/hyperlink" Target="https://scryfall.com/sets/fjmp" TargetMode="External" Id="rId1463"/><Relationship Type="http://schemas.openxmlformats.org/officeDocument/2006/relationships/hyperlink" Target="https://scryfall.com/sets/m21" TargetMode="External" Id="rId1464"/><Relationship Type="http://schemas.openxmlformats.org/officeDocument/2006/relationships/hyperlink" Target="https://scryfall.com/sets/m21" TargetMode="External" Id="rId1465"/><Relationship Type="http://schemas.openxmlformats.org/officeDocument/2006/relationships/hyperlink" Target="https://scryfall.com/sets/m21" TargetMode="External" Id="rId1466"/><Relationship Type="http://schemas.openxmlformats.org/officeDocument/2006/relationships/hyperlink" Target="https://scryfall.com/sets/pm21" TargetMode="External" Id="rId1467"/><Relationship Type="http://schemas.openxmlformats.org/officeDocument/2006/relationships/hyperlink" Target="https://scryfall.com/sets/pm21" TargetMode="External" Id="rId1468"/><Relationship Type="http://schemas.openxmlformats.org/officeDocument/2006/relationships/hyperlink" Target="https://scryfall.com/sets/pm21" TargetMode="External" Id="rId1469"/><Relationship Type="http://schemas.openxmlformats.org/officeDocument/2006/relationships/hyperlink" Target="https://scryfall.com/sets/pm21" TargetMode="External" Id="rId1470"/><Relationship Type="http://schemas.openxmlformats.org/officeDocument/2006/relationships/hyperlink" Target="https://scryfall.com/sets/tm21" TargetMode="External" Id="rId1471"/><Relationship Type="http://schemas.openxmlformats.org/officeDocument/2006/relationships/hyperlink" Target="https://scryfall.com/sets/tm21" TargetMode="External" Id="rId1472"/><Relationship Type="http://schemas.openxmlformats.org/officeDocument/2006/relationships/hyperlink" Target="https://scryfall.com/sets/tm21" TargetMode="External" Id="rId1473"/><Relationship Type="http://schemas.openxmlformats.org/officeDocument/2006/relationships/hyperlink" Target="https://scryfall.com/sets/tm21" TargetMode="External" Id="rId1474"/><Relationship Type="http://schemas.openxmlformats.org/officeDocument/2006/relationships/hyperlink" Target="https://scryfall.com/sets/ss3" TargetMode="External" Id="rId1475"/><Relationship Type="http://schemas.openxmlformats.org/officeDocument/2006/relationships/hyperlink" Target="https://scryfall.com/sets/ss3" TargetMode="External" Id="rId1476"/><Relationship Type="http://schemas.openxmlformats.org/officeDocument/2006/relationships/hyperlink" Target="https://scryfall.com/sets/ss3" TargetMode="External" Id="rId1477"/><Relationship Type="http://schemas.openxmlformats.org/officeDocument/2006/relationships/hyperlink" Target="https://scryfall.com/sets/ss3" TargetMode="External" Id="rId1478"/><Relationship Type="http://schemas.openxmlformats.org/officeDocument/2006/relationships/hyperlink" Target="https://scryfall.com/cubes/arena" TargetMode="External" Id="rId1479"/><Relationship Type="http://schemas.openxmlformats.org/officeDocument/2006/relationships/hyperlink" Target="https://scryfall.com/cubes/arena" TargetMode="External" Id="rId1480"/><Relationship Type="http://schemas.openxmlformats.org/officeDocument/2006/relationships/hyperlink" Target="https://scryfall.com/cubes/arena" TargetMode="External" Id="rId1481"/><Relationship Type="http://schemas.openxmlformats.org/officeDocument/2006/relationships/hyperlink" Target="https://scryfall.com/sets/ha3" TargetMode="External" Id="rId1482"/><Relationship Type="http://schemas.openxmlformats.org/officeDocument/2006/relationships/hyperlink" Target="https://scryfall.com/sets/ha3" TargetMode="External" Id="rId1483"/><Relationship Type="http://schemas.openxmlformats.org/officeDocument/2006/relationships/hyperlink" Target="https://scryfall.com/sets/ha3" TargetMode="External" Id="rId1484"/><Relationship Type="http://schemas.openxmlformats.org/officeDocument/2006/relationships/hyperlink" Target="https://scryfall.com/sets/ha3" TargetMode="External" Id="rId1485"/><Relationship Type="http://schemas.openxmlformats.org/officeDocument/2006/relationships/hyperlink" Target="https://scryfall.com/sets/plg20" TargetMode="External" Id="rId1486"/><Relationship Type="http://schemas.openxmlformats.org/officeDocument/2006/relationships/hyperlink" Target="https://scryfall.com/sets/plg20" TargetMode="External" Id="rId1487"/><Relationship Type="http://schemas.openxmlformats.org/officeDocument/2006/relationships/hyperlink" Target="https://scryfall.com/sets/plg20" TargetMode="External" Id="rId1488"/><Relationship Type="http://schemas.openxmlformats.org/officeDocument/2006/relationships/hyperlink" Target="https://scryfall.com/sets/plg20" TargetMode="External" Id="rId1489"/><Relationship Type="http://schemas.openxmlformats.org/officeDocument/2006/relationships/hyperlink" Target="https://scryfall.com/sets/iko" TargetMode="External" Id="rId1490"/><Relationship Type="http://schemas.openxmlformats.org/officeDocument/2006/relationships/hyperlink" Target="https://scryfall.com/sets/iko" TargetMode="External" Id="rId1491"/><Relationship Type="http://schemas.openxmlformats.org/officeDocument/2006/relationships/hyperlink" Target="https://scryfall.com/sets/iko" TargetMode="External" Id="rId1492"/><Relationship Type="http://schemas.openxmlformats.org/officeDocument/2006/relationships/hyperlink" Target="https://scryfall.com/sets/piko" TargetMode="External" Id="rId1493"/><Relationship Type="http://schemas.openxmlformats.org/officeDocument/2006/relationships/hyperlink" Target="https://scryfall.com/sets/piko" TargetMode="External" Id="rId1494"/><Relationship Type="http://schemas.openxmlformats.org/officeDocument/2006/relationships/hyperlink" Target="https://scryfall.com/sets/piko" TargetMode="External" Id="rId1495"/><Relationship Type="http://schemas.openxmlformats.org/officeDocument/2006/relationships/hyperlink" Target="https://scryfall.com/sets/piko" TargetMode="External" Id="rId1496"/><Relationship Type="http://schemas.openxmlformats.org/officeDocument/2006/relationships/hyperlink" Target="https://scryfall.com/sets/tiko" TargetMode="External" Id="rId1497"/><Relationship Type="http://schemas.openxmlformats.org/officeDocument/2006/relationships/hyperlink" Target="https://scryfall.com/sets/tiko" TargetMode="External" Id="rId1498"/><Relationship Type="http://schemas.openxmlformats.org/officeDocument/2006/relationships/hyperlink" Target="https://scryfall.com/sets/tiko" TargetMode="External" Id="rId1499"/><Relationship Type="http://schemas.openxmlformats.org/officeDocument/2006/relationships/hyperlink" Target="https://scryfall.com/sets/tiko" TargetMode="External" Id="rId1500"/><Relationship Type="http://schemas.openxmlformats.org/officeDocument/2006/relationships/hyperlink" Target="https://scryfall.com/sets/c20" TargetMode="External" Id="rId1501"/><Relationship Type="http://schemas.openxmlformats.org/officeDocument/2006/relationships/hyperlink" Target="https://scryfall.com/sets/c20" TargetMode="External" Id="rId1502"/><Relationship Type="http://schemas.openxmlformats.org/officeDocument/2006/relationships/hyperlink" Target="https://scryfall.com/sets/c20" TargetMode="External" Id="rId1503"/><Relationship Type="http://schemas.openxmlformats.org/officeDocument/2006/relationships/hyperlink" Target="https://scryfall.com/sets/tc20" TargetMode="External" Id="rId1504"/><Relationship Type="http://schemas.openxmlformats.org/officeDocument/2006/relationships/hyperlink" Target="https://scryfall.com/sets/tc20" TargetMode="External" Id="rId1505"/><Relationship Type="http://schemas.openxmlformats.org/officeDocument/2006/relationships/hyperlink" Target="https://scryfall.com/sets/tc20" TargetMode="External" Id="rId1506"/><Relationship Type="http://schemas.openxmlformats.org/officeDocument/2006/relationships/hyperlink" Target="https://scryfall.com/sets/tc20" TargetMode="External" Id="rId1507"/><Relationship Type="http://schemas.openxmlformats.org/officeDocument/2006/relationships/hyperlink" Target="https://scryfall.com/sets/oc20" TargetMode="External" Id="rId1508"/><Relationship Type="http://schemas.openxmlformats.org/officeDocument/2006/relationships/hyperlink" Target="https://scryfall.com/sets/oc20" TargetMode="External" Id="rId1509"/><Relationship Type="http://schemas.openxmlformats.org/officeDocument/2006/relationships/hyperlink" Target="https://scryfall.com/sets/oc20" TargetMode="External" Id="rId1510"/><Relationship Type="http://schemas.openxmlformats.org/officeDocument/2006/relationships/hyperlink" Target="https://scryfall.com/sets/oc20" TargetMode="External" Id="rId1511"/><Relationship Type="http://schemas.openxmlformats.org/officeDocument/2006/relationships/hyperlink" Target="https://scryfall.com/sets/ha2" TargetMode="External" Id="rId1512"/><Relationship Type="http://schemas.openxmlformats.org/officeDocument/2006/relationships/hyperlink" Target="https://scryfall.com/sets/ha2" TargetMode="External" Id="rId1513"/><Relationship Type="http://schemas.openxmlformats.org/officeDocument/2006/relationships/hyperlink" Target="https://scryfall.com/sets/ha2" TargetMode="External" Id="rId1514"/><Relationship Type="http://schemas.openxmlformats.org/officeDocument/2006/relationships/hyperlink" Target="https://scryfall.com/sets/ha2" TargetMode="External" Id="rId1515"/><Relationship Type="http://schemas.openxmlformats.org/officeDocument/2006/relationships/hyperlink" Target="https://scryfall.com/sets/und" TargetMode="External" Id="rId1516"/><Relationship Type="http://schemas.openxmlformats.org/officeDocument/2006/relationships/hyperlink" Target="https://scryfall.com/sets/und" TargetMode="External" Id="rId1517"/><Relationship Type="http://schemas.openxmlformats.org/officeDocument/2006/relationships/hyperlink" Target="https://scryfall.com/sets/und" TargetMode="External" Id="rId1518"/><Relationship Type="http://schemas.openxmlformats.org/officeDocument/2006/relationships/hyperlink" Target="https://scryfall.com/sets/und" TargetMode="External" Id="rId1519"/><Relationship Type="http://schemas.openxmlformats.org/officeDocument/2006/relationships/hyperlink" Target="https://scryfall.com/sets/tund" TargetMode="External" Id="rId1520"/><Relationship Type="http://schemas.openxmlformats.org/officeDocument/2006/relationships/hyperlink" Target="https://scryfall.com/sets/tund" TargetMode="External" Id="rId1521"/><Relationship Type="http://schemas.openxmlformats.org/officeDocument/2006/relationships/hyperlink" Target="https://scryfall.com/sets/tund" TargetMode="External" Id="rId1522"/><Relationship Type="http://schemas.openxmlformats.org/officeDocument/2006/relationships/hyperlink" Target="https://scryfall.com/sets/tund" TargetMode="External" Id="rId1523"/><Relationship Type="http://schemas.openxmlformats.org/officeDocument/2006/relationships/hyperlink" Target="https://scryfall.com/sets/thb" TargetMode="External" Id="rId1524"/><Relationship Type="http://schemas.openxmlformats.org/officeDocument/2006/relationships/hyperlink" Target="https://scryfall.com/sets/thb" TargetMode="External" Id="rId1525"/><Relationship Type="http://schemas.openxmlformats.org/officeDocument/2006/relationships/hyperlink" Target="https://scryfall.com/sets/thb" TargetMode="External" Id="rId1526"/><Relationship Type="http://schemas.openxmlformats.org/officeDocument/2006/relationships/hyperlink" Target="https://scryfall.com/sets/pthb" TargetMode="External" Id="rId1527"/><Relationship Type="http://schemas.openxmlformats.org/officeDocument/2006/relationships/hyperlink" Target="https://scryfall.com/sets/pthb" TargetMode="External" Id="rId1528"/><Relationship Type="http://schemas.openxmlformats.org/officeDocument/2006/relationships/hyperlink" Target="https://scryfall.com/sets/pthb" TargetMode="External" Id="rId1529"/><Relationship Type="http://schemas.openxmlformats.org/officeDocument/2006/relationships/hyperlink" Target="https://scryfall.com/sets/pthb" TargetMode="External" Id="rId1530"/><Relationship Type="http://schemas.openxmlformats.org/officeDocument/2006/relationships/hyperlink" Target="https://scryfall.com/sets/tthb" TargetMode="External" Id="rId1531"/><Relationship Type="http://schemas.openxmlformats.org/officeDocument/2006/relationships/hyperlink" Target="https://scryfall.com/sets/tthb" TargetMode="External" Id="rId1532"/><Relationship Type="http://schemas.openxmlformats.org/officeDocument/2006/relationships/hyperlink" Target="https://scryfall.com/sets/tthb" TargetMode="External" Id="rId1533"/><Relationship Type="http://schemas.openxmlformats.org/officeDocument/2006/relationships/hyperlink" Target="https://scryfall.com/sets/tthb" TargetMode="External" Id="rId1534"/><Relationship Type="http://schemas.openxmlformats.org/officeDocument/2006/relationships/hyperlink" Target="https://scryfall.com/sets/pf20" TargetMode="External" Id="rId1535"/><Relationship Type="http://schemas.openxmlformats.org/officeDocument/2006/relationships/hyperlink" Target="https://scryfall.com/sets/pf20" TargetMode="External" Id="rId1536"/><Relationship Type="http://schemas.openxmlformats.org/officeDocument/2006/relationships/hyperlink" Target="https://scryfall.com/sets/pf20" TargetMode="External" Id="rId1537"/><Relationship Type="http://schemas.openxmlformats.org/officeDocument/2006/relationships/hyperlink" Target="https://scryfall.com/sets/pf20" TargetMode="External" Id="rId1538"/><Relationship Type="http://schemas.openxmlformats.org/officeDocument/2006/relationships/hyperlink" Target="https://scryfall.com/sets/j20" TargetMode="External" Id="rId1539"/><Relationship Type="http://schemas.openxmlformats.org/officeDocument/2006/relationships/hyperlink" Target="https://scryfall.com/sets/j20" TargetMode="External" Id="rId1540"/><Relationship Type="http://schemas.openxmlformats.org/officeDocument/2006/relationships/hyperlink" Target="https://scryfall.com/sets/j20" TargetMode="External" Id="rId1541"/><Relationship Type="http://schemas.openxmlformats.org/officeDocument/2006/relationships/hyperlink" Target="https://scryfall.com/sets/j20" TargetMode="External" Id="rId1542"/><Relationship Type="http://schemas.openxmlformats.org/officeDocument/2006/relationships/hyperlink" Target="https://scryfall.com/sets/sld" TargetMode="External" Id="rId1543"/><Relationship Type="http://schemas.openxmlformats.org/officeDocument/2006/relationships/hyperlink" Target="https://scryfall.com/sets/sld" TargetMode="External" Id="rId1544"/><Relationship Type="http://schemas.openxmlformats.org/officeDocument/2006/relationships/hyperlink" Target="https://scryfall.com/sets/sld" TargetMode="External" Id="rId1545"/><Relationship Type="http://schemas.openxmlformats.org/officeDocument/2006/relationships/hyperlink" Target="https://scryfall.com/sets/pssc" TargetMode="External" Id="rId1546"/><Relationship Type="http://schemas.openxmlformats.org/officeDocument/2006/relationships/hyperlink" Target="https://scryfall.com/sets/pssc" TargetMode="External" Id="rId1547"/><Relationship Type="http://schemas.openxmlformats.org/officeDocument/2006/relationships/hyperlink" Target="https://scryfall.com/sets/pssc" TargetMode="External" Id="rId1548"/><Relationship Type="http://schemas.openxmlformats.org/officeDocument/2006/relationships/hyperlink" Target="https://scryfall.com/sets/pssc" TargetMode="External" Id="rId1549"/><Relationship Type="http://schemas.openxmlformats.org/officeDocument/2006/relationships/hyperlink" Target="https://scryfall.com/sets/slp" TargetMode="External" Id="rId1550"/><Relationship Type="http://schemas.openxmlformats.org/officeDocument/2006/relationships/hyperlink" Target="https://scryfall.com/sets/slp" TargetMode="External" Id="rId1551"/><Relationship Type="http://schemas.openxmlformats.org/officeDocument/2006/relationships/hyperlink" Target="https://scryfall.com/sets/slp" TargetMode="External" Id="rId1552"/><Relationship Type="http://schemas.openxmlformats.org/officeDocument/2006/relationships/hyperlink" Target="https://scryfall.com/sets/slp" TargetMode="External" Id="rId1553"/><Relationship Type="http://schemas.openxmlformats.org/officeDocument/2006/relationships/hyperlink" Target="https://scryfall.com/sets/slc" TargetMode="External" Id="rId1554"/><Relationship Type="http://schemas.openxmlformats.org/officeDocument/2006/relationships/hyperlink" Target="https://scryfall.com/sets/slc" TargetMode="External" Id="rId1555"/><Relationship Type="http://schemas.openxmlformats.org/officeDocument/2006/relationships/hyperlink" Target="https://scryfall.com/sets/slc" TargetMode="External" Id="rId1556"/><Relationship Type="http://schemas.openxmlformats.org/officeDocument/2006/relationships/hyperlink" Target="https://scryfall.com/sets/slc" TargetMode="External" Id="rId1557"/><Relationship Type="http://schemas.openxmlformats.org/officeDocument/2006/relationships/hyperlink" Target="https://scryfall.com/sets/slx" TargetMode="External" Id="rId1558"/><Relationship Type="http://schemas.openxmlformats.org/officeDocument/2006/relationships/hyperlink" Target="https://scryfall.com/sets/slx" TargetMode="External" Id="rId1559"/><Relationship Type="http://schemas.openxmlformats.org/officeDocument/2006/relationships/hyperlink" Target="https://scryfall.com/sets/slx" TargetMode="External" Id="rId1560"/><Relationship Type="http://schemas.openxmlformats.org/officeDocument/2006/relationships/hyperlink" Target="https://scryfall.com/sets/slx" TargetMode="External" Id="rId1561"/><Relationship Type="http://schemas.openxmlformats.org/officeDocument/2006/relationships/hyperlink" Target="https://scryfall.com/sets/slu" TargetMode="External" Id="rId1562"/><Relationship Type="http://schemas.openxmlformats.org/officeDocument/2006/relationships/hyperlink" Target="https://scryfall.com/sets/slu" TargetMode="External" Id="rId1563"/><Relationship Type="http://schemas.openxmlformats.org/officeDocument/2006/relationships/hyperlink" Target="https://scryfall.com/sets/slu" TargetMode="External" Id="rId1564"/><Relationship Type="http://schemas.openxmlformats.org/officeDocument/2006/relationships/hyperlink" Target="https://scryfall.com/sets/slu" TargetMode="External" Id="rId1565"/><Relationship Type="http://schemas.openxmlformats.org/officeDocument/2006/relationships/hyperlink" Target="https://scryfall.com/sets/ha1" TargetMode="External" Id="rId1566"/><Relationship Type="http://schemas.openxmlformats.org/officeDocument/2006/relationships/hyperlink" Target="https://scryfall.com/sets/ha1" TargetMode="External" Id="rId1567"/><Relationship Type="http://schemas.openxmlformats.org/officeDocument/2006/relationships/hyperlink" Target="https://scryfall.com/sets/ha1" TargetMode="External" Id="rId1568"/><Relationship Type="http://schemas.openxmlformats.org/officeDocument/2006/relationships/hyperlink" Target="https://scryfall.com/sets/ha1" TargetMode="External" Id="rId1569"/><Relationship Type="http://schemas.openxmlformats.org/officeDocument/2006/relationships/hyperlink" Target="https://scryfall.com/sets/gn2" TargetMode="External" Id="rId1570"/><Relationship Type="http://schemas.openxmlformats.org/officeDocument/2006/relationships/hyperlink" Target="https://scryfall.com/sets/gn2" TargetMode="External" Id="rId1571"/><Relationship Type="http://schemas.openxmlformats.org/officeDocument/2006/relationships/hyperlink" Target="https://scryfall.com/sets/gn2" TargetMode="External" Id="rId1572"/><Relationship Type="http://schemas.openxmlformats.org/officeDocument/2006/relationships/hyperlink" Target="https://scryfall.com/sets/gn2" TargetMode="External" Id="rId1573"/><Relationship Type="http://schemas.openxmlformats.org/officeDocument/2006/relationships/hyperlink" Target="https://scryfall.com/sets/tgn2" TargetMode="External" Id="rId1574"/><Relationship Type="http://schemas.openxmlformats.org/officeDocument/2006/relationships/hyperlink" Target="https://scryfall.com/sets/tgn2" TargetMode="External" Id="rId1575"/><Relationship Type="http://schemas.openxmlformats.org/officeDocument/2006/relationships/hyperlink" Target="https://scryfall.com/sets/tgn2" TargetMode="External" Id="rId1576"/><Relationship Type="http://schemas.openxmlformats.org/officeDocument/2006/relationships/hyperlink" Target="https://scryfall.com/sets/tgn2" TargetMode="External" Id="rId1577"/><Relationship Type="http://schemas.openxmlformats.org/officeDocument/2006/relationships/hyperlink" Target="https://scryfall.com/sets/cmb1" TargetMode="External" Id="rId1578"/><Relationship Type="http://schemas.openxmlformats.org/officeDocument/2006/relationships/hyperlink" Target="https://scryfall.com/sets/cmb1" TargetMode="External" Id="rId1579"/><Relationship Type="http://schemas.openxmlformats.org/officeDocument/2006/relationships/hyperlink" Target="https://scryfall.com/sets/cmb1" TargetMode="External" Id="rId1580"/><Relationship Type="http://schemas.openxmlformats.org/officeDocument/2006/relationships/hyperlink" Target="https://scryfall.com/sets/cmb1" TargetMode="External" Id="rId1581"/><Relationship Type="http://schemas.openxmlformats.org/officeDocument/2006/relationships/hyperlink" Target="https://scryfall.com/sets/ptg" TargetMode="External" Id="rId1582"/><Relationship Type="http://schemas.openxmlformats.org/officeDocument/2006/relationships/hyperlink" Target="https://scryfall.com/sets/ptg" TargetMode="External" Id="rId1583"/><Relationship Type="http://schemas.openxmlformats.org/officeDocument/2006/relationships/hyperlink" Target="https://scryfall.com/sets/ptg" TargetMode="External" Id="rId1584"/><Relationship Type="http://schemas.openxmlformats.org/officeDocument/2006/relationships/hyperlink" Target="https://scryfall.com/sets/ptg" TargetMode="External" Id="rId1585"/><Relationship Type="http://schemas.openxmlformats.org/officeDocument/2006/relationships/hyperlink" Target="https://scryfall.com/sets/eld" TargetMode="External" Id="rId1586"/><Relationship Type="http://schemas.openxmlformats.org/officeDocument/2006/relationships/hyperlink" Target="https://scryfall.com/sets/eld" TargetMode="External" Id="rId1587"/><Relationship Type="http://schemas.openxmlformats.org/officeDocument/2006/relationships/hyperlink" Target="https://scryfall.com/sets/eld" TargetMode="External" Id="rId1588"/><Relationship Type="http://schemas.openxmlformats.org/officeDocument/2006/relationships/hyperlink" Target="https://scryfall.com/sets/peld" TargetMode="External" Id="rId1589"/><Relationship Type="http://schemas.openxmlformats.org/officeDocument/2006/relationships/hyperlink" Target="https://scryfall.com/sets/peld" TargetMode="External" Id="rId1590"/><Relationship Type="http://schemas.openxmlformats.org/officeDocument/2006/relationships/hyperlink" Target="https://scryfall.com/sets/peld" TargetMode="External" Id="rId1591"/><Relationship Type="http://schemas.openxmlformats.org/officeDocument/2006/relationships/hyperlink" Target="https://scryfall.com/sets/peld" TargetMode="External" Id="rId1592"/><Relationship Type="http://schemas.openxmlformats.org/officeDocument/2006/relationships/hyperlink" Target="https://scryfall.com/sets/teld" TargetMode="External" Id="rId1593"/><Relationship Type="http://schemas.openxmlformats.org/officeDocument/2006/relationships/hyperlink" Target="https://scryfall.com/sets/teld" TargetMode="External" Id="rId1594"/><Relationship Type="http://schemas.openxmlformats.org/officeDocument/2006/relationships/hyperlink" Target="https://scryfall.com/sets/teld" TargetMode="External" Id="rId1595"/><Relationship Type="http://schemas.openxmlformats.org/officeDocument/2006/relationships/hyperlink" Target="https://scryfall.com/sets/teld" TargetMode="External" Id="rId1596"/><Relationship Type="http://schemas.openxmlformats.org/officeDocument/2006/relationships/hyperlink" Target="https://scryfall.com/sets/pwcs" TargetMode="External" Id="rId1597"/><Relationship Type="http://schemas.openxmlformats.org/officeDocument/2006/relationships/hyperlink" Target="https://scryfall.com/sets/pwcs" TargetMode="External" Id="rId1598"/><Relationship Type="http://schemas.openxmlformats.org/officeDocument/2006/relationships/hyperlink" Target="https://scryfall.com/sets/pwcs" TargetMode="External" Id="rId1599"/><Relationship Type="http://schemas.openxmlformats.org/officeDocument/2006/relationships/hyperlink" Target="https://scryfall.com/sets/pwcs/ja" TargetMode="External" Id="rId1600"/><Relationship Type="http://schemas.openxmlformats.org/officeDocument/2006/relationships/hyperlink" Target="https://scryfall.com/cubes/grixis" TargetMode="External" Id="rId1601"/><Relationship Type="http://schemas.openxmlformats.org/officeDocument/2006/relationships/hyperlink" Target="https://scryfall.com/cubes/grixis" TargetMode="External" Id="rId1602"/><Relationship Type="http://schemas.openxmlformats.org/officeDocument/2006/relationships/hyperlink" Target="https://scryfall.com/cubes/grixis" TargetMode="External" Id="rId1603"/><Relationship Type="http://schemas.openxmlformats.org/officeDocument/2006/relationships/hyperlink" Target="https://scryfall.com/sets/c19" TargetMode="External" Id="rId1604"/><Relationship Type="http://schemas.openxmlformats.org/officeDocument/2006/relationships/hyperlink" Target="https://scryfall.com/sets/c19" TargetMode="External" Id="rId1605"/><Relationship Type="http://schemas.openxmlformats.org/officeDocument/2006/relationships/hyperlink" Target="https://scryfall.com/sets/c19" TargetMode="External" Id="rId1606"/><Relationship Type="http://schemas.openxmlformats.org/officeDocument/2006/relationships/hyperlink" Target="https://scryfall.com/sets/tc19" TargetMode="External" Id="rId1607"/><Relationship Type="http://schemas.openxmlformats.org/officeDocument/2006/relationships/hyperlink" Target="https://scryfall.com/sets/tc19" TargetMode="External" Id="rId1608"/><Relationship Type="http://schemas.openxmlformats.org/officeDocument/2006/relationships/hyperlink" Target="https://scryfall.com/sets/tc19" TargetMode="External" Id="rId1609"/><Relationship Type="http://schemas.openxmlformats.org/officeDocument/2006/relationships/hyperlink" Target="https://scryfall.com/sets/tc19" TargetMode="External" Id="rId1610"/><Relationship Type="http://schemas.openxmlformats.org/officeDocument/2006/relationships/hyperlink" Target="https://scryfall.com/sets/oc19" TargetMode="External" Id="rId1611"/><Relationship Type="http://schemas.openxmlformats.org/officeDocument/2006/relationships/hyperlink" Target="https://scryfall.com/sets/oc19" TargetMode="External" Id="rId1612"/><Relationship Type="http://schemas.openxmlformats.org/officeDocument/2006/relationships/hyperlink" Target="https://scryfall.com/sets/oc19" TargetMode="External" Id="rId1613"/><Relationship Type="http://schemas.openxmlformats.org/officeDocument/2006/relationships/hyperlink" Target="https://scryfall.com/sets/oc19" TargetMode="External" Id="rId1614"/><Relationship Type="http://schemas.openxmlformats.org/officeDocument/2006/relationships/hyperlink" Target="https://scryfall.com/sets/ph18" TargetMode="External" Id="rId1615"/><Relationship Type="http://schemas.openxmlformats.org/officeDocument/2006/relationships/hyperlink" Target="https://scryfall.com/sets/ph18" TargetMode="External" Id="rId1616"/><Relationship Type="http://schemas.openxmlformats.org/officeDocument/2006/relationships/hyperlink" Target="https://scryfall.com/sets/ph18" TargetMode="External" Id="rId1617"/><Relationship Type="http://schemas.openxmlformats.org/officeDocument/2006/relationships/hyperlink" Target="https://scryfall.com/sets/ph18" TargetMode="External" Id="rId1618"/><Relationship Type="http://schemas.openxmlformats.org/officeDocument/2006/relationships/hyperlink" Target="https://scryfall.com/sets/ps19" TargetMode="External" Id="rId1619"/><Relationship Type="http://schemas.openxmlformats.org/officeDocument/2006/relationships/hyperlink" Target="https://scryfall.com/sets/ps19" TargetMode="External" Id="rId1620"/><Relationship Type="http://schemas.openxmlformats.org/officeDocument/2006/relationships/hyperlink" Target="https://scryfall.com/sets/ps19" TargetMode="External" Id="rId1621"/><Relationship Type="http://schemas.openxmlformats.org/officeDocument/2006/relationships/hyperlink" Target="https://scryfall.com/sets/ps19" TargetMode="External" Id="rId1622"/><Relationship Type="http://schemas.openxmlformats.org/officeDocument/2006/relationships/hyperlink" Target="https://scryfall.com/sets/m20" TargetMode="External" Id="rId1623"/><Relationship Type="http://schemas.openxmlformats.org/officeDocument/2006/relationships/hyperlink" Target="https://scryfall.com/sets/m20" TargetMode="External" Id="rId1624"/><Relationship Type="http://schemas.openxmlformats.org/officeDocument/2006/relationships/hyperlink" Target="https://scryfall.com/sets/m20" TargetMode="External" Id="rId1625"/><Relationship Type="http://schemas.openxmlformats.org/officeDocument/2006/relationships/hyperlink" Target="https://scryfall.com/sets/pm20" TargetMode="External" Id="rId1626"/><Relationship Type="http://schemas.openxmlformats.org/officeDocument/2006/relationships/hyperlink" Target="https://scryfall.com/sets/pm20" TargetMode="External" Id="rId1627"/><Relationship Type="http://schemas.openxmlformats.org/officeDocument/2006/relationships/hyperlink" Target="https://scryfall.com/sets/pm20" TargetMode="External" Id="rId1628"/><Relationship Type="http://schemas.openxmlformats.org/officeDocument/2006/relationships/hyperlink" Target="https://scryfall.com/sets/pm20" TargetMode="External" Id="rId1629"/><Relationship Type="http://schemas.openxmlformats.org/officeDocument/2006/relationships/hyperlink" Target="https://scryfall.com/sets/tm20" TargetMode="External" Id="rId1630"/><Relationship Type="http://schemas.openxmlformats.org/officeDocument/2006/relationships/hyperlink" Target="https://scryfall.com/sets/tm20" TargetMode="External" Id="rId1631"/><Relationship Type="http://schemas.openxmlformats.org/officeDocument/2006/relationships/hyperlink" Target="https://scryfall.com/sets/tm20" TargetMode="External" Id="rId1632"/><Relationship Type="http://schemas.openxmlformats.org/officeDocument/2006/relationships/hyperlink" Target="https://scryfall.com/sets/tm20" TargetMode="External" Id="rId1633"/><Relationship Type="http://schemas.openxmlformats.org/officeDocument/2006/relationships/hyperlink" Target="https://scryfall.com/sets/ppp1" TargetMode="External" Id="rId1634"/><Relationship Type="http://schemas.openxmlformats.org/officeDocument/2006/relationships/hyperlink" Target="https://scryfall.com/sets/ppp1" TargetMode="External" Id="rId1635"/><Relationship Type="http://schemas.openxmlformats.org/officeDocument/2006/relationships/hyperlink" Target="https://scryfall.com/sets/ppp1" TargetMode="External" Id="rId1636"/><Relationship Type="http://schemas.openxmlformats.org/officeDocument/2006/relationships/hyperlink" Target="https://scryfall.com/sets/ppp1" TargetMode="External" Id="rId1637"/><Relationship Type="http://schemas.openxmlformats.org/officeDocument/2006/relationships/hyperlink" Target="https://scryfall.com/sets/ss2" TargetMode="External" Id="rId1638"/><Relationship Type="http://schemas.openxmlformats.org/officeDocument/2006/relationships/hyperlink" Target="https://scryfall.com/sets/ss2" TargetMode="External" Id="rId1639"/><Relationship Type="http://schemas.openxmlformats.org/officeDocument/2006/relationships/hyperlink" Target="https://scryfall.com/sets/ss2" TargetMode="External" Id="rId1640"/><Relationship Type="http://schemas.openxmlformats.org/officeDocument/2006/relationships/hyperlink" Target="https://scryfall.com/sets/ss2" TargetMode="External" Id="rId1641"/><Relationship Type="http://schemas.openxmlformats.org/officeDocument/2006/relationships/hyperlink" Target="https://scryfall.com/sets/mh1" TargetMode="External" Id="rId1642"/><Relationship Type="http://schemas.openxmlformats.org/officeDocument/2006/relationships/hyperlink" Target="https://scryfall.com/sets/mh1" TargetMode="External" Id="rId1643"/><Relationship Type="http://schemas.openxmlformats.org/officeDocument/2006/relationships/hyperlink" Target="https://scryfall.com/sets/mh1" TargetMode="External" Id="rId1644"/><Relationship Type="http://schemas.openxmlformats.org/officeDocument/2006/relationships/hyperlink" Target="https://scryfall.com/sets/pmh1" TargetMode="External" Id="rId1645"/><Relationship Type="http://schemas.openxmlformats.org/officeDocument/2006/relationships/hyperlink" Target="https://scryfall.com/sets/pmh1" TargetMode="External" Id="rId1646"/><Relationship Type="http://schemas.openxmlformats.org/officeDocument/2006/relationships/hyperlink" Target="https://scryfall.com/sets/pmh1" TargetMode="External" Id="rId1647"/><Relationship Type="http://schemas.openxmlformats.org/officeDocument/2006/relationships/hyperlink" Target="https://scryfall.com/sets/pmh1" TargetMode="External" Id="rId1648"/><Relationship Type="http://schemas.openxmlformats.org/officeDocument/2006/relationships/hyperlink" Target="https://scryfall.com/sets/tmh1" TargetMode="External" Id="rId1649"/><Relationship Type="http://schemas.openxmlformats.org/officeDocument/2006/relationships/hyperlink" Target="https://scryfall.com/sets/tmh1" TargetMode="External" Id="rId1650"/><Relationship Type="http://schemas.openxmlformats.org/officeDocument/2006/relationships/hyperlink" Target="https://scryfall.com/sets/tmh1" TargetMode="External" Id="rId1651"/><Relationship Type="http://schemas.openxmlformats.org/officeDocument/2006/relationships/hyperlink" Target="https://scryfall.com/sets/tmh1" TargetMode="External" Id="rId1652"/><Relationship Type="http://schemas.openxmlformats.org/officeDocument/2006/relationships/hyperlink" Target="https://scryfall.com/sets/amh1" TargetMode="External" Id="rId1653"/><Relationship Type="http://schemas.openxmlformats.org/officeDocument/2006/relationships/hyperlink" Target="https://scryfall.com/sets/amh1" TargetMode="External" Id="rId1654"/><Relationship Type="http://schemas.openxmlformats.org/officeDocument/2006/relationships/hyperlink" Target="https://scryfall.com/sets/amh1" TargetMode="External" Id="rId1655"/><Relationship Type="http://schemas.openxmlformats.org/officeDocument/2006/relationships/hyperlink" Target="https://scryfall.com/sets/amh1" TargetMode="External" Id="rId1656"/><Relationship Type="http://schemas.openxmlformats.org/officeDocument/2006/relationships/hyperlink" Target="https://scryfall.com/sets/war" TargetMode="External" Id="rId1657"/><Relationship Type="http://schemas.openxmlformats.org/officeDocument/2006/relationships/hyperlink" Target="https://scryfall.com/sets/war" TargetMode="External" Id="rId1658"/><Relationship Type="http://schemas.openxmlformats.org/officeDocument/2006/relationships/hyperlink" Target="https://scryfall.com/sets/war" TargetMode="External" Id="rId1659"/><Relationship Type="http://schemas.openxmlformats.org/officeDocument/2006/relationships/hyperlink" Target="https://scryfall.com/sets/pwar" TargetMode="External" Id="rId1660"/><Relationship Type="http://schemas.openxmlformats.org/officeDocument/2006/relationships/hyperlink" Target="https://scryfall.com/sets/pwar" TargetMode="External" Id="rId1661"/><Relationship Type="http://schemas.openxmlformats.org/officeDocument/2006/relationships/hyperlink" Target="https://scryfall.com/sets/pwar" TargetMode="External" Id="rId1662"/><Relationship Type="http://schemas.openxmlformats.org/officeDocument/2006/relationships/hyperlink" Target="https://scryfall.com/sets/twar" TargetMode="External" Id="rId1663"/><Relationship Type="http://schemas.openxmlformats.org/officeDocument/2006/relationships/hyperlink" Target="https://scryfall.com/sets/twar" TargetMode="External" Id="rId1664"/><Relationship Type="http://schemas.openxmlformats.org/officeDocument/2006/relationships/hyperlink" Target="https://scryfall.com/sets/twar" TargetMode="External" Id="rId1665"/><Relationship Type="http://schemas.openxmlformats.org/officeDocument/2006/relationships/hyperlink" Target="https://scryfall.com/sets/twar" TargetMode="External" Id="rId1666"/><Relationship Type="http://schemas.openxmlformats.org/officeDocument/2006/relationships/hyperlink" Target="https://scryfall.com/sets/j19" TargetMode="External" Id="rId1667"/><Relationship Type="http://schemas.openxmlformats.org/officeDocument/2006/relationships/hyperlink" Target="https://scryfall.com/sets/j19" TargetMode="External" Id="rId1668"/><Relationship Type="http://schemas.openxmlformats.org/officeDocument/2006/relationships/hyperlink" Target="https://scryfall.com/sets/j19" TargetMode="External" Id="rId1669"/><Relationship Type="http://schemas.openxmlformats.org/officeDocument/2006/relationships/hyperlink" Target="https://scryfall.com/sets/j19" TargetMode="External" Id="rId1670"/><Relationship Type="http://schemas.openxmlformats.org/officeDocument/2006/relationships/hyperlink" Target="https://scryfall.com/sets/gk2" TargetMode="External" Id="rId1671"/><Relationship Type="http://schemas.openxmlformats.org/officeDocument/2006/relationships/hyperlink" Target="https://scryfall.com/sets/gk2" TargetMode="External" Id="rId1672"/><Relationship Type="http://schemas.openxmlformats.org/officeDocument/2006/relationships/hyperlink" Target="https://scryfall.com/sets/gk2" TargetMode="External" Id="rId1673"/><Relationship Type="http://schemas.openxmlformats.org/officeDocument/2006/relationships/hyperlink" Target="https://scryfall.com/sets/tgk2" TargetMode="External" Id="rId1674"/><Relationship Type="http://schemas.openxmlformats.org/officeDocument/2006/relationships/hyperlink" Target="https://scryfall.com/sets/tgk2" TargetMode="External" Id="rId1675"/><Relationship Type="http://schemas.openxmlformats.org/officeDocument/2006/relationships/hyperlink" Target="https://scryfall.com/sets/tgk2" TargetMode="External" Id="rId1676"/><Relationship Type="http://schemas.openxmlformats.org/officeDocument/2006/relationships/hyperlink" Target="https://scryfall.com/sets/tgk2" TargetMode="External" Id="rId1677"/><Relationship Type="http://schemas.openxmlformats.org/officeDocument/2006/relationships/hyperlink" Target="https://scryfall.com/sets/rna" TargetMode="External" Id="rId1678"/><Relationship Type="http://schemas.openxmlformats.org/officeDocument/2006/relationships/hyperlink" Target="https://scryfall.com/sets/rna" TargetMode="External" Id="rId1679"/><Relationship Type="http://schemas.openxmlformats.org/officeDocument/2006/relationships/hyperlink" Target="https://scryfall.com/sets/rna" TargetMode="External" Id="rId1680"/><Relationship Type="http://schemas.openxmlformats.org/officeDocument/2006/relationships/hyperlink" Target="https://scryfall.com/sets/prna" TargetMode="External" Id="rId1681"/><Relationship Type="http://schemas.openxmlformats.org/officeDocument/2006/relationships/hyperlink" Target="https://scryfall.com/sets/prna" TargetMode="External" Id="rId1682"/><Relationship Type="http://schemas.openxmlformats.org/officeDocument/2006/relationships/hyperlink" Target="https://scryfall.com/sets/prna" TargetMode="External" Id="rId1683"/><Relationship Type="http://schemas.openxmlformats.org/officeDocument/2006/relationships/hyperlink" Target="https://scryfall.com/sets/prna" TargetMode="External" Id="rId1684"/><Relationship Type="http://schemas.openxmlformats.org/officeDocument/2006/relationships/hyperlink" Target="https://scryfall.com/sets/trna" TargetMode="External" Id="rId1685"/><Relationship Type="http://schemas.openxmlformats.org/officeDocument/2006/relationships/hyperlink" Target="https://scryfall.com/sets/trna" TargetMode="External" Id="rId1686"/><Relationship Type="http://schemas.openxmlformats.org/officeDocument/2006/relationships/hyperlink" Target="https://scryfall.com/sets/trna" TargetMode="External" Id="rId1687"/><Relationship Type="http://schemas.openxmlformats.org/officeDocument/2006/relationships/hyperlink" Target="https://scryfall.com/sets/trna" TargetMode="External" Id="rId1688"/><Relationship Type="http://schemas.openxmlformats.org/officeDocument/2006/relationships/hyperlink" Target="https://scryfall.com/sets/prw2" TargetMode="External" Id="rId1689"/><Relationship Type="http://schemas.openxmlformats.org/officeDocument/2006/relationships/hyperlink" Target="https://scryfall.com/sets/prw2" TargetMode="External" Id="rId1690"/><Relationship Type="http://schemas.openxmlformats.org/officeDocument/2006/relationships/hyperlink" Target="https://scryfall.com/sets/prw2" TargetMode="External" Id="rId1691"/><Relationship Type="http://schemas.openxmlformats.org/officeDocument/2006/relationships/hyperlink" Target="https://scryfall.com/sets/prw2" TargetMode="External" Id="rId1692"/><Relationship Type="http://schemas.openxmlformats.org/officeDocument/2006/relationships/hyperlink" Target="https://scryfall.com/sets/pf19" TargetMode="External" Id="rId1693"/><Relationship Type="http://schemas.openxmlformats.org/officeDocument/2006/relationships/hyperlink" Target="https://scryfall.com/sets/pf19" TargetMode="External" Id="rId1694"/><Relationship Type="http://schemas.openxmlformats.org/officeDocument/2006/relationships/hyperlink" Target="https://scryfall.com/sets/pf19" TargetMode="External" Id="rId1695"/><Relationship Type="http://schemas.openxmlformats.org/officeDocument/2006/relationships/hyperlink" Target="https://scryfall.com/sets/pf19" TargetMode="External" Id="rId1696"/><Relationship Type="http://schemas.openxmlformats.org/officeDocument/2006/relationships/hyperlink" Target="https://scryfall.com/sets/uma" TargetMode="External" Id="rId1697"/><Relationship Type="http://schemas.openxmlformats.org/officeDocument/2006/relationships/hyperlink" Target="https://scryfall.com/sets/uma" TargetMode="External" Id="rId1698"/><Relationship Type="http://schemas.openxmlformats.org/officeDocument/2006/relationships/hyperlink" Target="https://scryfall.com/sets/uma" TargetMode="External" Id="rId1699"/><Relationship Type="http://schemas.openxmlformats.org/officeDocument/2006/relationships/hyperlink" Target="https://scryfall.com/sets/puma" TargetMode="External" Id="rId1700"/><Relationship Type="http://schemas.openxmlformats.org/officeDocument/2006/relationships/hyperlink" Target="https://scryfall.com/sets/puma" TargetMode="External" Id="rId1701"/><Relationship Type="http://schemas.openxmlformats.org/officeDocument/2006/relationships/hyperlink" Target="https://scryfall.com/sets/puma" TargetMode="External" Id="rId1702"/><Relationship Type="http://schemas.openxmlformats.org/officeDocument/2006/relationships/hyperlink" Target="https://scryfall.com/sets/puma" TargetMode="External" Id="rId1703"/><Relationship Type="http://schemas.openxmlformats.org/officeDocument/2006/relationships/hyperlink" Target="https://scryfall.com/sets/tuma" TargetMode="External" Id="rId1704"/><Relationship Type="http://schemas.openxmlformats.org/officeDocument/2006/relationships/hyperlink" Target="https://scryfall.com/sets/tuma" TargetMode="External" Id="rId1705"/><Relationship Type="http://schemas.openxmlformats.org/officeDocument/2006/relationships/hyperlink" Target="https://scryfall.com/sets/tuma" TargetMode="External" Id="rId1706"/><Relationship Type="http://schemas.openxmlformats.org/officeDocument/2006/relationships/hyperlink" Target="https://scryfall.com/sets/tuma" TargetMode="External" Id="rId1707"/><Relationship Type="http://schemas.openxmlformats.org/officeDocument/2006/relationships/hyperlink" Target="https://scryfall.com/sets/gnt" TargetMode="External" Id="rId1708"/><Relationship Type="http://schemas.openxmlformats.org/officeDocument/2006/relationships/hyperlink" Target="https://scryfall.com/sets/gnt" TargetMode="External" Id="rId1709"/><Relationship Type="http://schemas.openxmlformats.org/officeDocument/2006/relationships/hyperlink" Target="https://scryfall.com/sets/gnt" TargetMode="External" Id="rId1710"/><Relationship Type="http://schemas.openxmlformats.org/officeDocument/2006/relationships/hyperlink" Target="https://scryfall.com/sets/gnt" TargetMode="External" Id="rId1711"/><Relationship Type="http://schemas.openxmlformats.org/officeDocument/2006/relationships/hyperlink" Target="https://scryfall.com/sets/gk1" TargetMode="External" Id="rId1712"/><Relationship Type="http://schemas.openxmlformats.org/officeDocument/2006/relationships/hyperlink" Target="https://scryfall.com/sets/gk1" TargetMode="External" Id="rId1713"/><Relationship Type="http://schemas.openxmlformats.org/officeDocument/2006/relationships/hyperlink" Target="https://scryfall.com/sets/gk1" TargetMode="External" Id="rId1714"/><Relationship Type="http://schemas.openxmlformats.org/officeDocument/2006/relationships/hyperlink" Target="https://scryfall.com/sets/tgk1" TargetMode="External" Id="rId1715"/><Relationship Type="http://schemas.openxmlformats.org/officeDocument/2006/relationships/hyperlink" Target="https://scryfall.com/sets/tgk1" TargetMode="External" Id="rId1716"/><Relationship Type="http://schemas.openxmlformats.org/officeDocument/2006/relationships/hyperlink" Target="https://scryfall.com/sets/tgk1" TargetMode="External" Id="rId1717"/><Relationship Type="http://schemas.openxmlformats.org/officeDocument/2006/relationships/hyperlink" Target="https://scryfall.com/sets/tgk1" TargetMode="External" Id="rId1718"/><Relationship Type="http://schemas.openxmlformats.org/officeDocument/2006/relationships/hyperlink" Target="https://scryfall.com/sets/grn" TargetMode="External" Id="rId1719"/><Relationship Type="http://schemas.openxmlformats.org/officeDocument/2006/relationships/hyperlink" Target="https://scryfall.com/sets/grn" TargetMode="External" Id="rId1720"/><Relationship Type="http://schemas.openxmlformats.org/officeDocument/2006/relationships/hyperlink" Target="https://scryfall.com/sets/grn" TargetMode="External" Id="rId1721"/><Relationship Type="http://schemas.openxmlformats.org/officeDocument/2006/relationships/hyperlink" Target="https://scryfall.com/sets/pgrn" TargetMode="External" Id="rId1722"/><Relationship Type="http://schemas.openxmlformats.org/officeDocument/2006/relationships/hyperlink" Target="https://scryfall.com/sets/pgrn" TargetMode="External" Id="rId1723"/><Relationship Type="http://schemas.openxmlformats.org/officeDocument/2006/relationships/hyperlink" Target="https://scryfall.com/sets/pgrn" TargetMode="External" Id="rId1724"/><Relationship Type="http://schemas.openxmlformats.org/officeDocument/2006/relationships/hyperlink" Target="https://scryfall.com/sets/tgrn" TargetMode="External" Id="rId1725"/><Relationship Type="http://schemas.openxmlformats.org/officeDocument/2006/relationships/hyperlink" Target="https://scryfall.com/sets/tgrn" TargetMode="External" Id="rId1726"/><Relationship Type="http://schemas.openxmlformats.org/officeDocument/2006/relationships/hyperlink" Target="https://scryfall.com/sets/tgrn" TargetMode="External" Id="rId1727"/><Relationship Type="http://schemas.openxmlformats.org/officeDocument/2006/relationships/hyperlink" Target="https://scryfall.com/sets/tgrn" TargetMode="External" Id="rId1728"/><Relationship Type="http://schemas.openxmlformats.org/officeDocument/2006/relationships/hyperlink" Target="https://scryfall.com/sets/prwk" TargetMode="External" Id="rId1729"/><Relationship Type="http://schemas.openxmlformats.org/officeDocument/2006/relationships/hyperlink" Target="https://scryfall.com/sets/prwk" TargetMode="External" Id="rId1730"/><Relationship Type="http://schemas.openxmlformats.org/officeDocument/2006/relationships/hyperlink" Target="https://scryfall.com/sets/prwk" TargetMode="External" Id="rId1731"/><Relationship Type="http://schemas.openxmlformats.org/officeDocument/2006/relationships/hyperlink" Target="https://scryfall.com/sets/prwk" TargetMode="External" Id="rId1732"/><Relationship Type="http://schemas.openxmlformats.org/officeDocument/2006/relationships/hyperlink" Target="https://scryfall.com/sets/med" TargetMode="External" Id="rId1733"/><Relationship Type="http://schemas.openxmlformats.org/officeDocument/2006/relationships/hyperlink" Target="https://scryfall.com/sets/med" TargetMode="External" Id="rId1734"/><Relationship Type="http://schemas.openxmlformats.org/officeDocument/2006/relationships/hyperlink" Target="https://scryfall.com/sets/med" TargetMode="External" Id="rId1735"/><Relationship Type="http://schemas.openxmlformats.org/officeDocument/2006/relationships/hyperlink" Target="https://scryfall.com/sets/med" TargetMode="External" Id="rId1736"/><Relationship Type="http://schemas.openxmlformats.org/officeDocument/2006/relationships/hyperlink" Target="https://scryfall.com/sets/tmed" TargetMode="External" Id="rId1737"/><Relationship Type="http://schemas.openxmlformats.org/officeDocument/2006/relationships/hyperlink" Target="https://scryfall.com/sets/tmed" TargetMode="External" Id="rId1738"/><Relationship Type="http://schemas.openxmlformats.org/officeDocument/2006/relationships/hyperlink" Target="https://scryfall.com/sets/tmed" TargetMode="External" Id="rId1739"/><Relationship Type="http://schemas.openxmlformats.org/officeDocument/2006/relationships/hyperlink" Target="https://scryfall.com/sets/tmed" TargetMode="External" Id="rId1740"/><Relationship Type="http://schemas.openxmlformats.org/officeDocument/2006/relationships/hyperlink" Target="https://scryfall.com/sets/c18" TargetMode="External" Id="rId1741"/><Relationship Type="http://schemas.openxmlformats.org/officeDocument/2006/relationships/hyperlink" Target="https://scryfall.com/sets/c18" TargetMode="External" Id="rId1742"/><Relationship Type="http://schemas.openxmlformats.org/officeDocument/2006/relationships/hyperlink" Target="https://scryfall.com/sets/c18" TargetMode="External" Id="rId1743"/><Relationship Type="http://schemas.openxmlformats.org/officeDocument/2006/relationships/hyperlink" Target="https://scryfall.com/sets/tc18" TargetMode="External" Id="rId1744"/><Relationship Type="http://schemas.openxmlformats.org/officeDocument/2006/relationships/hyperlink" Target="https://scryfall.com/sets/tc18" TargetMode="External" Id="rId1745"/><Relationship Type="http://schemas.openxmlformats.org/officeDocument/2006/relationships/hyperlink" Target="https://scryfall.com/sets/tc18" TargetMode="External" Id="rId1746"/><Relationship Type="http://schemas.openxmlformats.org/officeDocument/2006/relationships/hyperlink" Target="https://scryfall.com/sets/tc18" TargetMode="External" Id="rId1747"/><Relationship Type="http://schemas.openxmlformats.org/officeDocument/2006/relationships/hyperlink" Target="https://scryfall.com/sets/oc18" TargetMode="External" Id="rId1748"/><Relationship Type="http://schemas.openxmlformats.org/officeDocument/2006/relationships/hyperlink" Target="https://scryfall.com/sets/oc18" TargetMode="External" Id="rId1749"/><Relationship Type="http://schemas.openxmlformats.org/officeDocument/2006/relationships/hyperlink" Target="https://scryfall.com/sets/oc18" TargetMode="External" Id="rId1750"/><Relationship Type="http://schemas.openxmlformats.org/officeDocument/2006/relationships/hyperlink" Target="https://scryfall.com/sets/oc18" TargetMode="External" Id="rId1751"/><Relationship Type="http://schemas.openxmlformats.org/officeDocument/2006/relationships/hyperlink" Target="https://scryfall.com/cubes/protour" TargetMode="External" Id="rId1752"/><Relationship Type="http://schemas.openxmlformats.org/officeDocument/2006/relationships/hyperlink" Target="https://scryfall.com/cubes/protour" TargetMode="External" Id="rId1753"/><Relationship Type="http://schemas.openxmlformats.org/officeDocument/2006/relationships/hyperlink" Target="https://scryfall.com/cubes/protour" TargetMode="External" Id="rId1754"/><Relationship Type="http://schemas.openxmlformats.org/officeDocument/2006/relationships/hyperlink" Target="https://scryfall.com/sets/ph17" TargetMode="External" Id="rId1755"/><Relationship Type="http://schemas.openxmlformats.org/officeDocument/2006/relationships/hyperlink" Target="https://scryfall.com/sets/ph17" TargetMode="External" Id="rId1756"/><Relationship Type="http://schemas.openxmlformats.org/officeDocument/2006/relationships/hyperlink" Target="https://scryfall.com/sets/ph17" TargetMode="External" Id="rId1757"/><Relationship Type="http://schemas.openxmlformats.org/officeDocument/2006/relationships/hyperlink" Target="https://scryfall.com/sets/ph17" TargetMode="External" Id="rId1758"/><Relationship Type="http://schemas.openxmlformats.org/officeDocument/2006/relationships/hyperlink" Target="https://scryfall.com/sets/ps18" TargetMode="External" Id="rId1759"/><Relationship Type="http://schemas.openxmlformats.org/officeDocument/2006/relationships/hyperlink" Target="https://scryfall.com/sets/ps18" TargetMode="External" Id="rId1760"/><Relationship Type="http://schemas.openxmlformats.org/officeDocument/2006/relationships/hyperlink" Target="https://scryfall.com/sets/ps18" TargetMode="External" Id="rId1761"/><Relationship Type="http://schemas.openxmlformats.org/officeDocument/2006/relationships/hyperlink" Target="https://scryfall.com/sets/ps18" TargetMode="External" Id="rId1762"/><Relationship Type="http://schemas.openxmlformats.org/officeDocument/2006/relationships/hyperlink" Target="https://scryfall.com/sets/ana" TargetMode="External" Id="rId1763"/><Relationship Type="http://schemas.openxmlformats.org/officeDocument/2006/relationships/hyperlink" Target="https://scryfall.com/sets/ana" TargetMode="External" Id="rId1764"/><Relationship Type="http://schemas.openxmlformats.org/officeDocument/2006/relationships/hyperlink" Target="https://scryfall.com/sets/ana" TargetMode="External" Id="rId1765"/><Relationship Type="http://schemas.openxmlformats.org/officeDocument/2006/relationships/hyperlink" Target="https://scryfall.com/sets/ana" TargetMode="External" Id="rId1766"/><Relationship Type="http://schemas.openxmlformats.org/officeDocument/2006/relationships/hyperlink" Target="https://scryfall.com/sets/xana" TargetMode="External" Id="rId1767"/><Relationship Type="http://schemas.openxmlformats.org/officeDocument/2006/relationships/hyperlink" Target="https://scryfall.com/sets/xana" TargetMode="External" Id="rId1768"/><Relationship Type="http://schemas.openxmlformats.org/officeDocument/2006/relationships/hyperlink" Target="https://scryfall.com/sets/xana" TargetMode="External" Id="rId1769"/><Relationship Type="http://schemas.openxmlformats.org/officeDocument/2006/relationships/hyperlink" Target="https://scryfall.com/sets/xana" TargetMode="External" Id="rId1770"/><Relationship Type="http://schemas.openxmlformats.org/officeDocument/2006/relationships/hyperlink" Target="https://scryfall.com/sets/oana" TargetMode="External" Id="rId1771"/><Relationship Type="http://schemas.openxmlformats.org/officeDocument/2006/relationships/hyperlink" Target="https://scryfall.com/sets/oana" TargetMode="External" Id="rId1772"/><Relationship Type="http://schemas.openxmlformats.org/officeDocument/2006/relationships/hyperlink" Target="https://scryfall.com/sets/oana" TargetMode="External" Id="rId1773"/><Relationship Type="http://schemas.openxmlformats.org/officeDocument/2006/relationships/hyperlink" Target="https://scryfall.com/sets/oana" TargetMode="External" Id="rId1774"/><Relationship Type="http://schemas.openxmlformats.org/officeDocument/2006/relationships/hyperlink" Target="https://scryfall.com/sets/pana" TargetMode="External" Id="rId1775"/><Relationship Type="http://schemas.openxmlformats.org/officeDocument/2006/relationships/hyperlink" Target="https://scryfall.com/sets/pana" TargetMode="External" Id="rId1776"/><Relationship Type="http://schemas.openxmlformats.org/officeDocument/2006/relationships/hyperlink" Target="https://scryfall.com/sets/pana" TargetMode="External" Id="rId1777"/><Relationship Type="http://schemas.openxmlformats.org/officeDocument/2006/relationships/hyperlink" Target="https://scryfall.com/sets/pana" TargetMode="External" Id="rId1778"/><Relationship Type="http://schemas.openxmlformats.org/officeDocument/2006/relationships/hyperlink" Target="https://scryfall.com/sets/m19" TargetMode="External" Id="rId1779"/><Relationship Type="http://schemas.openxmlformats.org/officeDocument/2006/relationships/hyperlink" Target="https://scryfall.com/sets/m19" TargetMode="External" Id="rId1780"/><Relationship Type="http://schemas.openxmlformats.org/officeDocument/2006/relationships/hyperlink" Target="https://scryfall.com/sets/m19" TargetMode="External" Id="rId1781"/><Relationship Type="http://schemas.openxmlformats.org/officeDocument/2006/relationships/hyperlink" Target="https://scryfall.com/sets/pm19" TargetMode="External" Id="rId1782"/><Relationship Type="http://schemas.openxmlformats.org/officeDocument/2006/relationships/hyperlink" Target="https://scryfall.com/sets/pm19" TargetMode="External" Id="rId1783"/><Relationship Type="http://schemas.openxmlformats.org/officeDocument/2006/relationships/hyperlink" Target="https://scryfall.com/sets/pm19" TargetMode="External" Id="rId1784"/><Relationship Type="http://schemas.openxmlformats.org/officeDocument/2006/relationships/hyperlink" Target="https://scryfall.com/sets/pm19" TargetMode="External" Id="rId1785"/><Relationship Type="http://schemas.openxmlformats.org/officeDocument/2006/relationships/hyperlink" Target="https://scryfall.com/sets/tm19" TargetMode="External" Id="rId1786"/><Relationship Type="http://schemas.openxmlformats.org/officeDocument/2006/relationships/hyperlink" Target="https://scryfall.com/sets/tm19" TargetMode="External" Id="rId1787"/><Relationship Type="http://schemas.openxmlformats.org/officeDocument/2006/relationships/hyperlink" Target="https://scryfall.com/sets/tm19" TargetMode="External" Id="rId1788"/><Relationship Type="http://schemas.openxmlformats.org/officeDocument/2006/relationships/hyperlink" Target="https://scryfall.com/sets/tm19" TargetMode="External" Id="rId1789"/><Relationship Type="http://schemas.openxmlformats.org/officeDocument/2006/relationships/hyperlink" Target="https://scryfall.com/sets/g18" TargetMode="External" Id="rId1790"/><Relationship Type="http://schemas.openxmlformats.org/officeDocument/2006/relationships/hyperlink" Target="https://scryfall.com/sets/g18" TargetMode="External" Id="rId1791"/><Relationship Type="http://schemas.openxmlformats.org/officeDocument/2006/relationships/hyperlink" Target="https://scryfall.com/sets/g18" TargetMode="External" Id="rId1792"/><Relationship Type="http://schemas.openxmlformats.org/officeDocument/2006/relationships/hyperlink" Target="https://scryfall.com/sets/g18" TargetMode="External" Id="rId1793"/><Relationship Type="http://schemas.openxmlformats.org/officeDocument/2006/relationships/hyperlink" Target="https://scryfall.com/sets/pss3" TargetMode="External" Id="rId1794"/><Relationship Type="http://schemas.openxmlformats.org/officeDocument/2006/relationships/hyperlink" Target="https://scryfall.com/sets/pss3" TargetMode="External" Id="rId1795"/><Relationship Type="http://schemas.openxmlformats.org/officeDocument/2006/relationships/hyperlink" Target="https://scryfall.com/sets/pss3" TargetMode="External" Id="rId1796"/><Relationship Type="http://schemas.openxmlformats.org/officeDocument/2006/relationships/hyperlink" Target="https://scryfall.com/sets/pss3" TargetMode="External" Id="rId1797"/><Relationship Type="http://schemas.openxmlformats.org/officeDocument/2006/relationships/hyperlink" Target="https://scryfall.com/sets/gs1" TargetMode="External" Id="rId1798"/><Relationship Type="http://schemas.openxmlformats.org/officeDocument/2006/relationships/hyperlink" Target="https://scryfall.com/sets/gs1" TargetMode="External" Id="rId1799"/><Relationship Type="http://schemas.openxmlformats.org/officeDocument/2006/relationships/hyperlink" Target="https://scryfall.com/sets/gs1" TargetMode="External" Id="rId1800"/><Relationship Type="http://schemas.openxmlformats.org/officeDocument/2006/relationships/hyperlink" Target="https://scryfall.com/sets/ss1" TargetMode="External" Id="rId1801"/><Relationship Type="http://schemas.openxmlformats.org/officeDocument/2006/relationships/hyperlink" Target="https://scryfall.com/sets/ss1" TargetMode="External" Id="rId1802"/><Relationship Type="http://schemas.openxmlformats.org/officeDocument/2006/relationships/hyperlink" Target="https://scryfall.com/sets/ss1" TargetMode="External" Id="rId1803"/><Relationship Type="http://schemas.openxmlformats.org/officeDocument/2006/relationships/hyperlink" Target="https://scryfall.com/sets/ss1" TargetMode="External" Id="rId1804"/><Relationship Type="http://schemas.openxmlformats.org/officeDocument/2006/relationships/hyperlink" Target="https://scryfall.com/cubes/vintage" TargetMode="External" Id="rId1805"/><Relationship Type="http://schemas.openxmlformats.org/officeDocument/2006/relationships/hyperlink" Target="https://scryfall.com/cubes/vintage" TargetMode="External" Id="rId1806"/><Relationship Type="http://schemas.openxmlformats.org/officeDocument/2006/relationships/hyperlink" Target="https://scryfall.com/cubes/vintage" TargetMode="External" Id="rId1807"/><Relationship Type="http://schemas.openxmlformats.org/officeDocument/2006/relationships/hyperlink" Target="https://scryfall.com/sets/cm2" TargetMode="External" Id="rId1808"/><Relationship Type="http://schemas.openxmlformats.org/officeDocument/2006/relationships/hyperlink" Target="https://scryfall.com/sets/cm2" TargetMode="External" Id="rId1809"/><Relationship Type="http://schemas.openxmlformats.org/officeDocument/2006/relationships/hyperlink" Target="https://scryfall.com/sets/cm2" TargetMode="External" Id="rId1810"/><Relationship Type="http://schemas.openxmlformats.org/officeDocument/2006/relationships/hyperlink" Target="https://scryfall.com/sets/cm2" TargetMode="External" Id="rId1811"/><Relationship Type="http://schemas.openxmlformats.org/officeDocument/2006/relationships/hyperlink" Target="https://scryfall.com/sets/tcm2" TargetMode="External" Id="rId1812"/><Relationship Type="http://schemas.openxmlformats.org/officeDocument/2006/relationships/hyperlink" Target="https://scryfall.com/sets/tcm2" TargetMode="External" Id="rId1813"/><Relationship Type="http://schemas.openxmlformats.org/officeDocument/2006/relationships/hyperlink" Target="https://scryfall.com/sets/tcm2" TargetMode="External" Id="rId1814"/><Relationship Type="http://schemas.openxmlformats.org/officeDocument/2006/relationships/hyperlink" Target="https://scryfall.com/sets/tcm2" TargetMode="External" Id="rId1815"/><Relationship Type="http://schemas.openxmlformats.org/officeDocument/2006/relationships/hyperlink" Target="https://scryfall.com/sets/bbd" TargetMode="External" Id="rId1816"/><Relationship Type="http://schemas.openxmlformats.org/officeDocument/2006/relationships/hyperlink" Target="https://scryfall.com/sets/bbd" TargetMode="External" Id="rId1817"/><Relationship Type="http://schemas.openxmlformats.org/officeDocument/2006/relationships/hyperlink" Target="https://scryfall.com/sets/bbd" TargetMode="External" Id="rId1818"/><Relationship Type="http://schemas.openxmlformats.org/officeDocument/2006/relationships/hyperlink" Target="https://scryfall.com/sets/pbbd" TargetMode="External" Id="rId1819"/><Relationship Type="http://schemas.openxmlformats.org/officeDocument/2006/relationships/hyperlink" Target="https://scryfall.com/sets/pbbd" TargetMode="External" Id="rId1820"/><Relationship Type="http://schemas.openxmlformats.org/officeDocument/2006/relationships/hyperlink" Target="https://scryfall.com/sets/pbbd" TargetMode="External" Id="rId1821"/><Relationship Type="http://schemas.openxmlformats.org/officeDocument/2006/relationships/hyperlink" Target="https://scryfall.com/sets/pbbd" TargetMode="External" Id="rId1822"/><Relationship Type="http://schemas.openxmlformats.org/officeDocument/2006/relationships/hyperlink" Target="https://scryfall.com/sets/tbbd" TargetMode="External" Id="rId1823"/><Relationship Type="http://schemas.openxmlformats.org/officeDocument/2006/relationships/hyperlink" Target="https://scryfall.com/sets/tbbd" TargetMode="External" Id="rId1824"/><Relationship Type="http://schemas.openxmlformats.org/officeDocument/2006/relationships/hyperlink" Target="https://scryfall.com/sets/tbbd" TargetMode="External" Id="rId1825"/><Relationship Type="http://schemas.openxmlformats.org/officeDocument/2006/relationships/hyperlink" Target="https://scryfall.com/sets/tbbd" TargetMode="External" Id="rId1826"/><Relationship Type="http://schemas.openxmlformats.org/officeDocument/2006/relationships/hyperlink" Target="https://scryfall.com/cubes/uncommon" TargetMode="External" Id="rId1827"/><Relationship Type="http://schemas.openxmlformats.org/officeDocument/2006/relationships/hyperlink" Target="https://scryfall.com/cubes/uncommon" TargetMode="External" Id="rId1828"/><Relationship Type="http://schemas.openxmlformats.org/officeDocument/2006/relationships/hyperlink" Target="https://scryfall.com/cubes/uncommon" TargetMode="External" Id="rId1829"/><Relationship Type="http://schemas.openxmlformats.org/officeDocument/2006/relationships/hyperlink" Target="https://scryfall.com/sets/dom" TargetMode="External" Id="rId1830"/><Relationship Type="http://schemas.openxmlformats.org/officeDocument/2006/relationships/hyperlink" Target="https://scryfall.com/sets/dom" TargetMode="External" Id="rId1831"/><Relationship Type="http://schemas.openxmlformats.org/officeDocument/2006/relationships/hyperlink" Target="https://scryfall.com/sets/dom" TargetMode="External" Id="rId1832"/><Relationship Type="http://schemas.openxmlformats.org/officeDocument/2006/relationships/hyperlink" Target="https://scryfall.com/sets/pdom" TargetMode="External" Id="rId1833"/><Relationship Type="http://schemas.openxmlformats.org/officeDocument/2006/relationships/hyperlink" Target="https://scryfall.com/sets/pdom" TargetMode="External" Id="rId1834"/><Relationship Type="http://schemas.openxmlformats.org/officeDocument/2006/relationships/hyperlink" Target="https://scryfall.com/sets/pdom" TargetMode="External" Id="rId1835"/><Relationship Type="http://schemas.openxmlformats.org/officeDocument/2006/relationships/hyperlink" Target="https://scryfall.com/sets/tdom" TargetMode="External" Id="rId1836"/><Relationship Type="http://schemas.openxmlformats.org/officeDocument/2006/relationships/hyperlink" Target="https://scryfall.com/sets/tdom" TargetMode="External" Id="rId1837"/><Relationship Type="http://schemas.openxmlformats.org/officeDocument/2006/relationships/hyperlink" Target="https://scryfall.com/sets/tdom" TargetMode="External" Id="rId1838"/><Relationship Type="http://schemas.openxmlformats.org/officeDocument/2006/relationships/hyperlink" Target="https://scryfall.com/sets/tdom" TargetMode="External" Id="rId1839"/><Relationship Type="http://schemas.openxmlformats.org/officeDocument/2006/relationships/hyperlink" Target="https://scryfall.com/sets/ddu" TargetMode="External" Id="rId1840"/><Relationship Type="http://schemas.openxmlformats.org/officeDocument/2006/relationships/hyperlink" Target="https://scryfall.com/sets/ddu" TargetMode="External" Id="rId1841"/><Relationship Type="http://schemas.openxmlformats.org/officeDocument/2006/relationships/hyperlink" Target="https://scryfall.com/sets/ddu" TargetMode="External" Id="rId1842"/><Relationship Type="http://schemas.openxmlformats.org/officeDocument/2006/relationships/hyperlink" Target="https://scryfall.com/sets/tddu" TargetMode="External" Id="rId1843"/><Relationship Type="http://schemas.openxmlformats.org/officeDocument/2006/relationships/hyperlink" Target="https://scryfall.com/sets/tddu" TargetMode="External" Id="rId1844"/><Relationship Type="http://schemas.openxmlformats.org/officeDocument/2006/relationships/hyperlink" Target="https://scryfall.com/sets/tddu" TargetMode="External" Id="rId1845"/><Relationship Type="http://schemas.openxmlformats.org/officeDocument/2006/relationships/hyperlink" Target="https://scryfall.com/sets/tddu" TargetMode="External" Id="rId1846"/><Relationship Type="http://schemas.openxmlformats.org/officeDocument/2006/relationships/hyperlink" Target="https://scryfall.com/sets/a25" TargetMode="External" Id="rId1847"/><Relationship Type="http://schemas.openxmlformats.org/officeDocument/2006/relationships/hyperlink" Target="https://scryfall.com/sets/a25" TargetMode="External" Id="rId1848"/><Relationship Type="http://schemas.openxmlformats.org/officeDocument/2006/relationships/hyperlink" Target="https://scryfall.com/sets/a25" TargetMode="External" Id="rId1849"/><Relationship Type="http://schemas.openxmlformats.org/officeDocument/2006/relationships/hyperlink" Target="https://scryfall.com/sets/ta25" TargetMode="External" Id="rId1850"/><Relationship Type="http://schemas.openxmlformats.org/officeDocument/2006/relationships/hyperlink" Target="https://scryfall.com/sets/ta25" TargetMode="External" Id="rId1851"/><Relationship Type="http://schemas.openxmlformats.org/officeDocument/2006/relationships/hyperlink" Target="https://scryfall.com/sets/ta25" TargetMode="External" Id="rId1852"/><Relationship Type="http://schemas.openxmlformats.org/officeDocument/2006/relationships/hyperlink" Target="https://scryfall.com/sets/ta25" TargetMode="External" Id="rId1853"/><Relationship Type="http://schemas.openxmlformats.org/officeDocument/2006/relationships/hyperlink" Target="https://scryfall.com/sets/plny" TargetMode="External" Id="rId1854"/><Relationship Type="http://schemas.openxmlformats.org/officeDocument/2006/relationships/hyperlink" Target="https://scryfall.com/sets/plny" TargetMode="External" Id="rId1855"/><Relationship Type="http://schemas.openxmlformats.org/officeDocument/2006/relationships/hyperlink" Target="https://scryfall.com/sets/plny" TargetMode="External" Id="rId1856"/><Relationship Type="http://schemas.openxmlformats.org/officeDocument/2006/relationships/hyperlink" Target="https://scryfall.com/sets/plny" TargetMode="External" Id="rId1857"/><Relationship Type="http://schemas.openxmlformats.org/officeDocument/2006/relationships/hyperlink" Target="https://scryfall.com/sets/pnat" TargetMode="External" Id="rId1858"/><Relationship Type="http://schemas.openxmlformats.org/officeDocument/2006/relationships/hyperlink" Target="https://scryfall.com/sets/pnat" TargetMode="External" Id="rId1859"/><Relationship Type="http://schemas.openxmlformats.org/officeDocument/2006/relationships/hyperlink" Target="https://scryfall.com/sets/pnat" TargetMode="External" Id="rId1860"/><Relationship Type="http://schemas.openxmlformats.org/officeDocument/2006/relationships/hyperlink" Target="https://scryfall.com/sets/pnat" TargetMode="External" Id="rId1861"/><Relationship Type="http://schemas.openxmlformats.org/officeDocument/2006/relationships/hyperlink" Target="https://scryfall.com/sets/rix" TargetMode="External" Id="rId1862"/><Relationship Type="http://schemas.openxmlformats.org/officeDocument/2006/relationships/hyperlink" Target="https://scryfall.com/sets/rix" TargetMode="External" Id="rId1863"/><Relationship Type="http://schemas.openxmlformats.org/officeDocument/2006/relationships/hyperlink" Target="https://scryfall.com/sets/rix" TargetMode="External" Id="rId1864"/><Relationship Type="http://schemas.openxmlformats.org/officeDocument/2006/relationships/hyperlink" Target="https://scryfall.com/sets/prix" TargetMode="External" Id="rId1865"/><Relationship Type="http://schemas.openxmlformats.org/officeDocument/2006/relationships/hyperlink" Target="https://scryfall.com/sets/prix" TargetMode="External" Id="rId1866"/><Relationship Type="http://schemas.openxmlformats.org/officeDocument/2006/relationships/hyperlink" Target="https://scryfall.com/sets/prix" TargetMode="External" Id="rId1867"/><Relationship Type="http://schemas.openxmlformats.org/officeDocument/2006/relationships/hyperlink" Target="https://scryfall.com/sets/prix" TargetMode="External" Id="rId1868"/><Relationship Type="http://schemas.openxmlformats.org/officeDocument/2006/relationships/hyperlink" Target="https://scryfall.com/sets/trix" TargetMode="External" Id="rId1869"/><Relationship Type="http://schemas.openxmlformats.org/officeDocument/2006/relationships/hyperlink" Target="https://scryfall.com/sets/trix" TargetMode="External" Id="rId1870"/><Relationship Type="http://schemas.openxmlformats.org/officeDocument/2006/relationships/hyperlink" Target="https://scryfall.com/sets/trix" TargetMode="External" Id="rId1871"/><Relationship Type="http://schemas.openxmlformats.org/officeDocument/2006/relationships/hyperlink" Target="https://scryfall.com/sets/trix" TargetMode="External" Id="rId1872"/><Relationship Type="http://schemas.openxmlformats.org/officeDocument/2006/relationships/hyperlink" Target="https://scryfall.com/sets/j18" TargetMode="External" Id="rId1873"/><Relationship Type="http://schemas.openxmlformats.org/officeDocument/2006/relationships/hyperlink" Target="https://scryfall.com/sets/j18" TargetMode="External" Id="rId1874"/><Relationship Type="http://schemas.openxmlformats.org/officeDocument/2006/relationships/hyperlink" Target="https://scryfall.com/sets/j18" TargetMode="External" Id="rId1875"/><Relationship Type="http://schemas.openxmlformats.org/officeDocument/2006/relationships/hyperlink" Target="https://scryfall.com/sets/j18" TargetMode="External" Id="rId1876"/><Relationship Type="http://schemas.openxmlformats.org/officeDocument/2006/relationships/hyperlink" Target="https://scryfall.com/sets/f18" TargetMode="External" Id="rId1877"/><Relationship Type="http://schemas.openxmlformats.org/officeDocument/2006/relationships/hyperlink" Target="https://scryfall.com/sets/f18" TargetMode="External" Id="rId1878"/><Relationship Type="http://schemas.openxmlformats.org/officeDocument/2006/relationships/hyperlink" Target="https://scryfall.com/sets/f18" TargetMode="External" Id="rId1879"/><Relationship Type="http://schemas.openxmlformats.org/officeDocument/2006/relationships/hyperlink" Target="https://scryfall.com/sets/f18" TargetMode="External" Id="rId1880"/><Relationship Type="http://schemas.openxmlformats.org/officeDocument/2006/relationships/hyperlink" Target="https://scryfall.com/sets/ust" TargetMode="External" Id="rId1881"/><Relationship Type="http://schemas.openxmlformats.org/officeDocument/2006/relationships/hyperlink" Target="https://scryfall.com/sets/ust" TargetMode="External" Id="rId1882"/><Relationship Type="http://schemas.openxmlformats.org/officeDocument/2006/relationships/hyperlink" Target="https://scryfall.com/sets/ust" TargetMode="External" Id="rId1883"/><Relationship Type="http://schemas.openxmlformats.org/officeDocument/2006/relationships/hyperlink" Target="https://scryfall.com/sets/ust" TargetMode="External" Id="rId1884"/><Relationship Type="http://schemas.openxmlformats.org/officeDocument/2006/relationships/hyperlink" Target="https://scryfall.com/sets/pust" TargetMode="External" Id="rId1885"/><Relationship Type="http://schemas.openxmlformats.org/officeDocument/2006/relationships/hyperlink" Target="https://scryfall.com/sets/pust" TargetMode="External" Id="rId1886"/><Relationship Type="http://schemas.openxmlformats.org/officeDocument/2006/relationships/hyperlink" Target="https://scryfall.com/sets/pust" TargetMode="External" Id="rId1887"/><Relationship Type="http://schemas.openxmlformats.org/officeDocument/2006/relationships/hyperlink" Target="https://scryfall.com/sets/pust" TargetMode="External" Id="rId1888"/><Relationship Type="http://schemas.openxmlformats.org/officeDocument/2006/relationships/hyperlink" Target="https://scryfall.com/sets/tust" TargetMode="External" Id="rId1889"/><Relationship Type="http://schemas.openxmlformats.org/officeDocument/2006/relationships/hyperlink" Target="https://scryfall.com/sets/tust" TargetMode="External" Id="rId1890"/><Relationship Type="http://schemas.openxmlformats.org/officeDocument/2006/relationships/hyperlink" Target="https://scryfall.com/sets/tust" TargetMode="External" Id="rId1891"/><Relationship Type="http://schemas.openxmlformats.org/officeDocument/2006/relationships/hyperlink" Target="https://scryfall.com/sets/tust" TargetMode="External" Id="rId1892"/><Relationship Type="http://schemas.openxmlformats.org/officeDocument/2006/relationships/hyperlink" Target="https://scryfall.com/sets/v17" TargetMode="External" Id="rId1893"/><Relationship Type="http://schemas.openxmlformats.org/officeDocument/2006/relationships/hyperlink" Target="https://scryfall.com/sets/v17" TargetMode="External" Id="rId1894"/><Relationship Type="http://schemas.openxmlformats.org/officeDocument/2006/relationships/hyperlink" Target="https://scryfall.com/sets/v17" TargetMode="External" Id="rId1895"/><Relationship Type="http://schemas.openxmlformats.org/officeDocument/2006/relationships/hyperlink" Target="https://scryfall.com/sets/v17" TargetMode="External" Id="rId1896"/><Relationship Type="http://schemas.openxmlformats.org/officeDocument/2006/relationships/hyperlink" Target="https://scryfall.com/sets/e02" TargetMode="External" Id="rId1897"/><Relationship Type="http://schemas.openxmlformats.org/officeDocument/2006/relationships/hyperlink" Target="https://scryfall.com/sets/e02" TargetMode="External" Id="rId1898"/><Relationship Type="http://schemas.openxmlformats.org/officeDocument/2006/relationships/hyperlink" Target="https://scryfall.com/sets/e02" TargetMode="External" Id="rId1899"/><Relationship Type="http://schemas.openxmlformats.org/officeDocument/2006/relationships/hyperlink" Target="https://scryfall.com/sets/e02" TargetMode="External" Id="rId1900"/><Relationship Type="http://schemas.openxmlformats.org/officeDocument/2006/relationships/hyperlink" Target="https://scryfall.com/sets/ima" TargetMode="External" Id="rId1901"/><Relationship Type="http://schemas.openxmlformats.org/officeDocument/2006/relationships/hyperlink" Target="https://scryfall.com/sets/ima" TargetMode="External" Id="rId1902"/><Relationship Type="http://schemas.openxmlformats.org/officeDocument/2006/relationships/hyperlink" Target="https://scryfall.com/sets/ima" TargetMode="External" Id="rId1903"/><Relationship Type="http://schemas.openxmlformats.org/officeDocument/2006/relationships/hyperlink" Target="https://scryfall.com/sets/tima" TargetMode="External" Id="rId1904"/><Relationship Type="http://schemas.openxmlformats.org/officeDocument/2006/relationships/hyperlink" Target="https://scryfall.com/sets/tima" TargetMode="External" Id="rId1905"/><Relationship Type="http://schemas.openxmlformats.org/officeDocument/2006/relationships/hyperlink" Target="https://scryfall.com/sets/tima" TargetMode="External" Id="rId1906"/><Relationship Type="http://schemas.openxmlformats.org/officeDocument/2006/relationships/hyperlink" Target="https://scryfall.com/sets/tima" TargetMode="External" Id="rId1907"/><Relationship Type="http://schemas.openxmlformats.org/officeDocument/2006/relationships/hyperlink" Target="https://scryfall.com/sets/ddt" TargetMode="External" Id="rId1908"/><Relationship Type="http://schemas.openxmlformats.org/officeDocument/2006/relationships/hyperlink" Target="https://scryfall.com/sets/ddt" TargetMode="External" Id="rId1909"/><Relationship Type="http://schemas.openxmlformats.org/officeDocument/2006/relationships/hyperlink" Target="https://scryfall.com/sets/ddt" TargetMode="External" Id="rId1910"/><Relationship Type="http://schemas.openxmlformats.org/officeDocument/2006/relationships/hyperlink" Target="https://scryfall.com/sets/tddt" TargetMode="External" Id="rId1911"/><Relationship Type="http://schemas.openxmlformats.org/officeDocument/2006/relationships/hyperlink" Target="https://scryfall.com/sets/tddt" TargetMode="External" Id="rId1912"/><Relationship Type="http://schemas.openxmlformats.org/officeDocument/2006/relationships/hyperlink" Target="https://scryfall.com/sets/tddt" TargetMode="External" Id="rId1913"/><Relationship Type="http://schemas.openxmlformats.org/officeDocument/2006/relationships/hyperlink" Target="https://scryfall.com/sets/tddt" TargetMode="External" Id="rId1914"/><Relationship Type="http://schemas.openxmlformats.org/officeDocument/2006/relationships/hyperlink" Target="https://scryfall.com/sets/g17" TargetMode="External" Id="rId1915"/><Relationship Type="http://schemas.openxmlformats.org/officeDocument/2006/relationships/hyperlink" Target="https://scryfall.com/sets/g17" TargetMode="External" Id="rId1916"/><Relationship Type="http://schemas.openxmlformats.org/officeDocument/2006/relationships/hyperlink" Target="https://scryfall.com/sets/g17" TargetMode="External" Id="rId1917"/><Relationship Type="http://schemas.openxmlformats.org/officeDocument/2006/relationships/hyperlink" Target="https://scryfall.com/sets/g17" TargetMode="External" Id="rId1918"/><Relationship Type="http://schemas.openxmlformats.org/officeDocument/2006/relationships/hyperlink" Target="https://scryfall.com/sets/xln" TargetMode="External" Id="rId1919"/><Relationship Type="http://schemas.openxmlformats.org/officeDocument/2006/relationships/hyperlink" Target="https://scryfall.com/sets/xln" TargetMode="External" Id="rId1920"/><Relationship Type="http://schemas.openxmlformats.org/officeDocument/2006/relationships/hyperlink" Target="https://scryfall.com/sets/xln" TargetMode="External" Id="rId1921"/><Relationship Type="http://schemas.openxmlformats.org/officeDocument/2006/relationships/hyperlink" Target="https://scryfall.com/sets/pxln" TargetMode="External" Id="rId1922"/><Relationship Type="http://schemas.openxmlformats.org/officeDocument/2006/relationships/hyperlink" Target="https://scryfall.com/sets/pxln" TargetMode="External" Id="rId1923"/><Relationship Type="http://schemas.openxmlformats.org/officeDocument/2006/relationships/hyperlink" Target="https://scryfall.com/sets/pxln" TargetMode="External" Id="rId1924"/><Relationship Type="http://schemas.openxmlformats.org/officeDocument/2006/relationships/hyperlink" Target="https://scryfall.com/sets/pxln" TargetMode="External" Id="rId1925"/><Relationship Type="http://schemas.openxmlformats.org/officeDocument/2006/relationships/hyperlink" Target="https://scryfall.com/sets/txln" TargetMode="External" Id="rId1926"/><Relationship Type="http://schemas.openxmlformats.org/officeDocument/2006/relationships/hyperlink" Target="https://scryfall.com/sets/txln" TargetMode="External" Id="rId1927"/><Relationship Type="http://schemas.openxmlformats.org/officeDocument/2006/relationships/hyperlink" Target="https://scryfall.com/sets/txln" TargetMode="External" Id="rId1928"/><Relationship Type="http://schemas.openxmlformats.org/officeDocument/2006/relationships/hyperlink" Target="https://scryfall.com/sets/txln" TargetMode="External" Id="rId1929"/><Relationship Type="http://schemas.openxmlformats.org/officeDocument/2006/relationships/hyperlink" Target="https://scryfall.com/sets/pxtc" TargetMode="External" Id="rId1930"/><Relationship Type="http://schemas.openxmlformats.org/officeDocument/2006/relationships/hyperlink" Target="https://scryfall.com/sets/pxtc" TargetMode="External" Id="rId1931"/><Relationship Type="http://schemas.openxmlformats.org/officeDocument/2006/relationships/hyperlink" Target="https://scryfall.com/sets/pxtc" TargetMode="External" Id="rId1932"/><Relationship Type="http://schemas.openxmlformats.org/officeDocument/2006/relationships/hyperlink" Target="https://scryfall.com/sets/pxtc" TargetMode="External" Id="rId1933"/><Relationship Type="http://schemas.openxmlformats.org/officeDocument/2006/relationships/hyperlink" Target="https://scryfall.com/sets/pss2" TargetMode="External" Id="rId1934"/><Relationship Type="http://schemas.openxmlformats.org/officeDocument/2006/relationships/hyperlink" Target="https://scryfall.com/sets/pss2" TargetMode="External" Id="rId1935"/><Relationship Type="http://schemas.openxmlformats.org/officeDocument/2006/relationships/hyperlink" Target="https://scryfall.com/sets/pss2" TargetMode="External" Id="rId1936"/><Relationship Type="http://schemas.openxmlformats.org/officeDocument/2006/relationships/hyperlink" Target="https://scryfall.com/sets/pss2" TargetMode="External" Id="rId1937"/><Relationship Type="http://schemas.openxmlformats.org/officeDocument/2006/relationships/hyperlink" Target="https://scryfall.com/sets/h17" TargetMode="External" Id="rId1938"/><Relationship Type="http://schemas.openxmlformats.org/officeDocument/2006/relationships/hyperlink" Target="https://scryfall.com/sets/h17" TargetMode="External" Id="rId1939"/><Relationship Type="http://schemas.openxmlformats.org/officeDocument/2006/relationships/hyperlink" Target="https://scryfall.com/sets/h17" TargetMode="External" Id="rId1940"/><Relationship Type="http://schemas.openxmlformats.org/officeDocument/2006/relationships/hyperlink" Target="https://scryfall.com/sets/h17" TargetMode="External" Id="rId1941"/><Relationship Type="http://schemas.openxmlformats.org/officeDocument/2006/relationships/hyperlink" Target="https://scryfall.com/sets/phtr" TargetMode="External" Id="rId1942"/><Relationship Type="http://schemas.openxmlformats.org/officeDocument/2006/relationships/hyperlink" Target="https://scryfall.com/sets/phtr" TargetMode="External" Id="rId1943"/><Relationship Type="http://schemas.openxmlformats.org/officeDocument/2006/relationships/hyperlink" Target="https://scryfall.com/sets/phtr" TargetMode="External" Id="rId1944"/><Relationship Type="http://schemas.openxmlformats.org/officeDocument/2006/relationships/hyperlink" Target="https://scryfall.com/sets/phtr" TargetMode="External" Id="rId1945"/><Relationship Type="http://schemas.openxmlformats.org/officeDocument/2006/relationships/hyperlink" Target="https://scryfall.com/cubes/modern" TargetMode="External" Id="rId1946"/><Relationship Type="http://schemas.openxmlformats.org/officeDocument/2006/relationships/hyperlink" Target="https://scryfall.com/cubes/modern" TargetMode="External" Id="rId1947"/><Relationship Type="http://schemas.openxmlformats.org/officeDocument/2006/relationships/hyperlink" Target="https://scryfall.com/cubes/modern" TargetMode="External" Id="rId1948"/><Relationship Type="http://schemas.openxmlformats.org/officeDocument/2006/relationships/hyperlink" Target="https://scryfall.com/sets/c17" TargetMode="External" Id="rId1949"/><Relationship Type="http://schemas.openxmlformats.org/officeDocument/2006/relationships/hyperlink" Target="https://scryfall.com/sets/c17" TargetMode="External" Id="rId1950"/><Relationship Type="http://schemas.openxmlformats.org/officeDocument/2006/relationships/hyperlink" Target="https://scryfall.com/sets/c17" TargetMode="External" Id="rId1951"/><Relationship Type="http://schemas.openxmlformats.org/officeDocument/2006/relationships/hyperlink" Target="https://scryfall.com/sets/tc17" TargetMode="External" Id="rId1952"/><Relationship Type="http://schemas.openxmlformats.org/officeDocument/2006/relationships/hyperlink" Target="https://scryfall.com/sets/tc17" TargetMode="External" Id="rId1953"/><Relationship Type="http://schemas.openxmlformats.org/officeDocument/2006/relationships/hyperlink" Target="https://scryfall.com/sets/tc17" TargetMode="External" Id="rId1954"/><Relationship Type="http://schemas.openxmlformats.org/officeDocument/2006/relationships/hyperlink" Target="https://scryfall.com/sets/tc17" TargetMode="External" Id="rId1955"/><Relationship Type="http://schemas.openxmlformats.org/officeDocument/2006/relationships/hyperlink" Target="https://scryfall.com/sets/oc17" TargetMode="External" Id="rId1956"/><Relationship Type="http://schemas.openxmlformats.org/officeDocument/2006/relationships/hyperlink" Target="https://scryfall.com/sets/oc17" TargetMode="External" Id="rId1957"/><Relationship Type="http://schemas.openxmlformats.org/officeDocument/2006/relationships/hyperlink" Target="https://scryfall.com/sets/oc17" TargetMode="External" Id="rId1958"/><Relationship Type="http://schemas.openxmlformats.org/officeDocument/2006/relationships/hyperlink" Target="https://scryfall.com/sets/oc17" TargetMode="External" Id="rId1959"/><Relationship Type="http://schemas.openxmlformats.org/officeDocument/2006/relationships/hyperlink" Target="https://scryfall.com/sets/ps17" TargetMode="External" Id="rId1960"/><Relationship Type="http://schemas.openxmlformats.org/officeDocument/2006/relationships/hyperlink" Target="https://scryfall.com/sets/ps17" TargetMode="External" Id="rId1961"/><Relationship Type="http://schemas.openxmlformats.org/officeDocument/2006/relationships/hyperlink" Target="https://scryfall.com/sets/ps17" TargetMode="External" Id="rId1962"/><Relationship Type="http://schemas.openxmlformats.org/officeDocument/2006/relationships/hyperlink" Target="https://scryfall.com/sets/ps17" TargetMode="External" Id="rId1963"/><Relationship Type="http://schemas.openxmlformats.org/officeDocument/2006/relationships/hyperlink" Target="https://scryfall.com/sets/hou" TargetMode="External" Id="rId1964"/><Relationship Type="http://schemas.openxmlformats.org/officeDocument/2006/relationships/hyperlink" Target="https://scryfall.com/sets/hou" TargetMode="External" Id="rId1965"/><Relationship Type="http://schemas.openxmlformats.org/officeDocument/2006/relationships/hyperlink" Target="https://scryfall.com/sets/hou" TargetMode="External" Id="rId1966"/><Relationship Type="http://schemas.openxmlformats.org/officeDocument/2006/relationships/hyperlink" Target="https://scryfall.com/sets/phou" TargetMode="External" Id="rId1967"/><Relationship Type="http://schemas.openxmlformats.org/officeDocument/2006/relationships/hyperlink" Target="https://scryfall.com/sets/phou" TargetMode="External" Id="rId1968"/><Relationship Type="http://schemas.openxmlformats.org/officeDocument/2006/relationships/hyperlink" Target="https://scryfall.com/sets/phou" TargetMode="External" Id="rId1969"/><Relationship Type="http://schemas.openxmlformats.org/officeDocument/2006/relationships/hyperlink" Target="https://scryfall.com/sets/phou" TargetMode="External" Id="rId1970"/><Relationship Type="http://schemas.openxmlformats.org/officeDocument/2006/relationships/hyperlink" Target="https://scryfall.com/sets/thou" TargetMode="External" Id="rId1971"/><Relationship Type="http://schemas.openxmlformats.org/officeDocument/2006/relationships/hyperlink" Target="https://scryfall.com/sets/thou" TargetMode="External" Id="rId1972"/><Relationship Type="http://schemas.openxmlformats.org/officeDocument/2006/relationships/hyperlink" Target="https://scryfall.com/sets/thou" TargetMode="External" Id="rId1973"/><Relationship Type="http://schemas.openxmlformats.org/officeDocument/2006/relationships/hyperlink" Target="https://scryfall.com/sets/thou" TargetMode="External" Id="rId1974"/><Relationship Type="http://schemas.openxmlformats.org/officeDocument/2006/relationships/hyperlink" Target="https://scryfall.com/sets/e01" TargetMode="External" Id="rId1975"/><Relationship Type="http://schemas.openxmlformats.org/officeDocument/2006/relationships/hyperlink" Target="https://scryfall.com/sets/e01" TargetMode="External" Id="rId1976"/><Relationship Type="http://schemas.openxmlformats.org/officeDocument/2006/relationships/hyperlink" Target="https://scryfall.com/sets/e01" TargetMode="External" Id="rId1977"/><Relationship Type="http://schemas.openxmlformats.org/officeDocument/2006/relationships/hyperlink" Target="https://scryfall.com/sets/e01" TargetMode="External" Id="rId1978"/><Relationship Type="http://schemas.openxmlformats.org/officeDocument/2006/relationships/hyperlink" Target="https://scryfall.com/sets/te01" TargetMode="External" Id="rId1979"/><Relationship Type="http://schemas.openxmlformats.org/officeDocument/2006/relationships/hyperlink" Target="https://scryfall.com/sets/te01" TargetMode="External" Id="rId1980"/><Relationship Type="http://schemas.openxmlformats.org/officeDocument/2006/relationships/hyperlink" Target="https://scryfall.com/sets/te01" TargetMode="External" Id="rId1981"/><Relationship Type="http://schemas.openxmlformats.org/officeDocument/2006/relationships/hyperlink" Target="https://scryfall.com/sets/te01" TargetMode="External" Id="rId1982"/><Relationship Type="http://schemas.openxmlformats.org/officeDocument/2006/relationships/hyperlink" Target="https://scryfall.com/sets/oe01" TargetMode="External" Id="rId1983"/><Relationship Type="http://schemas.openxmlformats.org/officeDocument/2006/relationships/hyperlink" Target="https://scryfall.com/sets/oe01" TargetMode="External" Id="rId1984"/><Relationship Type="http://schemas.openxmlformats.org/officeDocument/2006/relationships/hyperlink" Target="https://scryfall.com/sets/oe01" TargetMode="External" Id="rId1985"/><Relationship Type="http://schemas.openxmlformats.org/officeDocument/2006/relationships/hyperlink" Target="https://scryfall.com/sets/oe01" TargetMode="External" Id="rId1986"/><Relationship Type="http://schemas.openxmlformats.org/officeDocument/2006/relationships/hyperlink" Target="https://scryfall.com/sets/cma" TargetMode="External" Id="rId1987"/><Relationship Type="http://schemas.openxmlformats.org/officeDocument/2006/relationships/hyperlink" Target="https://scryfall.com/sets/cma" TargetMode="External" Id="rId1988"/><Relationship Type="http://schemas.openxmlformats.org/officeDocument/2006/relationships/hyperlink" Target="https://scryfall.com/sets/cma" TargetMode="External" Id="rId1989"/><Relationship Type="http://schemas.openxmlformats.org/officeDocument/2006/relationships/hyperlink" Target="https://scryfall.com/sets/cma" TargetMode="External" Id="rId1990"/><Relationship Type="http://schemas.openxmlformats.org/officeDocument/2006/relationships/hyperlink" Target="https://scryfall.com/sets/tcma" TargetMode="External" Id="rId1991"/><Relationship Type="http://schemas.openxmlformats.org/officeDocument/2006/relationships/hyperlink" Target="https://scryfall.com/sets/tcma" TargetMode="External" Id="rId1992"/><Relationship Type="http://schemas.openxmlformats.org/officeDocument/2006/relationships/hyperlink" Target="https://scryfall.com/sets/tcma" TargetMode="External" Id="rId1993"/><Relationship Type="http://schemas.openxmlformats.org/officeDocument/2006/relationships/hyperlink" Target="https://scryfall.com/sets/tcma" TargetMode="External" Id="rId1994"/><Relationship Type="http://schemas.openxmlformats.org/officeDocument/2006/relationships/hyperlink" Target="https://scryfall.com/sets/akh" TargetMode="External" Id="rId1995"/><Relationship Type="http://schemas.openxmlformats.org/officeDocument/2006/relationships/hyperlink" Target="https://scryfall.com/sets/akh" TargetMode="External" Id="rId1996"/><Relationship Type="http://schemas.openxmlformats.org/officeDocument/2006/relationships/hyperlink" Target="https://scryfall.com/sets/akh" TargetMode="External" Id="rId1997"/><Relationship Type="http://schemas.openxmlformats.org/officeDocument/2006/relationships/hyperlink" Target="https://scryfall.com/sets/mp2" TargetMode="External" Id="rId1998"/><Relationship Type="http://schemas.openxmlformats.org/officeDocument/2006/relationships/hyperlink" Target="https://scryfall.com/sets/mp2" TargetMode="External" Id="rId1999"/><Relationship Type="http://schemas.openxmlformats.org/officeDocument/2006/relationships/hyperlink" Target="https://scryfall.com/sets/mp2" TargetMode="External" Id="rId2000"/><Relationship Type="http://schemas.openxmlformats.org/officeDocument/2006/relationships/hyperlink" Target="https://scryfall.com/sets/mp2" TargetMode="External" Id="rId2001"/><Relationship Type="http://schemas.openxmlformats.org/officeDocument/2006/relationships/hyperlink" Target="https://scryfall.com/sets/pakh" TargetMode="External" Id="rId2002"/><Relationship Type="http://schemas.openxmlformats.org/officeDocument/2006/relationships/hyperlink" Target="https://scryfall.com/sets/pakh" TargetMode="External" Id="rId2003"/><Relationship Type="http://schemas.openxmlformats.org/officeDocument/2006/relationships/hyperlink" Target="https://scryfall.com/sets/pakh" TargetMode="External" Id="rId2004"/><Relationship Type="http://schemas.openxmlformats.org/officeDocument/2006/relationships/hyperlink" Target="https://scryfall.com/sets/pakh" TargetMode="External" Id="rId2005"/><Relationship Type="http://schemas.openxmlformats.org/officeDocument/2006/relationships/hyperlink" Target="https://scryfall.com/sets/takh" TargetMode="External" Id="rId2006"/><Relationship Type="http://schemas.openxmlformats.org/officeDocument/2006/relationships/hyperlink" Target="https://scryfall.com/sets/takh" TargetMode="External" Id="rId2007"/><Relationship Type="http://schemas.openxmlformats.org/officeDocument/2006/relationships/hyperlink" Target="https://scryfall.com/sets/takh" TargetMode="External" Id="rId2008"/><Relationship Type="http://schemas.openxmlformats.org/officeDocument/2006/relationships/hyperlink" Target="https://scryfall.com/sets/takh" TargetMode="External" Id="rId2009"/><Relationship Type="http://schemas.openxmlformats.org/officeDocument/2006/relationships/hyperlink" Target="https://scryfall.com/sets/w17" TargetMode="External" Id="rId2010"/><Relationship Type="http://schemas.openxmlformats.org/officeDocument/2006/relationships/hyperlink" Target="https://scryfall.com/sets/w17" TargetMode="External" Id="rId2011"/><Relationship Type="http://schemas.openxmlformats.org/officeDocument/2006/relationships/hyperlink" Target="https://scryfall.com/sets/w17" TargetMode="External" Id="rId2012"/><Relationship Type="http://schemas.openxmlformats.org/officeDocument/2006/relationships/hyperlink" Target="https://scryfall.com/cubes/legacy" TargetMode="External" Id="rId2013"/><Relationship Type="http://schemas.openxmlformats.org/officeDocument/2006/relationships/hyperlink" Target="https://scryfall.com/cubes/legacy" TargetMode="External" Id="rId2014"/><Relationship Type="http://schemas.openxmlformats.org/officeDocument/2006/relationships/hyperlink" Target="https://scryfall.com/cubes/legacy" TargetMode="External" Id="rId2015"/><Relationship Type="http://schemas.openxmlformats.org/officeDocument/2006/relationships/hyperlink" Target="https://scryfall.com/sets/dds" TargetMode="External" Id="rId2016"/><Relationship Type="http://schemas.openxmlformats.org/officeDocument/2006/relationships/hyperlink" Target="https://scryfall.com/sets/dds" TargetMode="External" Id="rId2017"/><Relationship Type="http://schemas.openxmlformats.org/officeDocument/2006/relationships/hyperlink" Target="https://scryfall.com/sets/dds" TargetMode="External" Id="rId2018"/><Relationship Type="http://schemas.openxmlformats.org/officeDocument/2006/relationships/hyperlink" Target="https://scryfall.com/sets/tdds" TargetMode="External" Id="rId2019"/><Relationship Type="http://schemas.openxmlformats.org/officeDocument/2006/relationships/hyperlink" Target="https://scryfall.com/sets/tdds" TargetMode="External" Id="rId2020"/><Relationship Type="http://schemas.openxmlformats.org/officeDocument/2006/relationships/hyperlink" Target="https://scryfall.com/sets/tdds" TargetMode="External" Id="rId2021"/><Relationship Type="http://schemas.openxmlformats.org/officeDocument/2006/relationships/hyperlink" Target="https://scryfall.com/sets/tdds" TargetMode="External" Id="rId2022"/><Relationship Type="http://schemas.openxmlformats.org/officeDocument/2006/relationships/hyperlink" Target="https://scryfall.com/sets/mm3" TargetMode="External" Id="rId2023"/><Relationship Type="http://schemas.openxmlformats.org/officeDocument/2006/relationships/hyperlink" Target="https://scryfall.com/sets/mm3" TargetMode="External" Id="rId2024"/><Relationship Type="http://schemas.openxmlformats.org/officeDocument/2006/relationships/hyperlink" Target="https://scryfall.com/sets/mm3" TargetMode="External" Id="rId2025"/><Relationship Type="http://schemas.openxmlformats.org/officeDocument/2006/relationships/hyperlink" Target="https://scryfall.com/sets/tmm3" TargetMode="External" Id="rId2026"/><Relationship Type="http://schemas.openxmlformats.org/officeDocument/2006/relationships/hyperlink" Target="https://scryfall.com/sets/tmm3" TargetMode="External" Id="rId2027"/><Relationship Type="http://schemas.openxmlformats.org/officeDocument/2006/relationships/hyperlink" Target="https://scryfall.com/sets/tmm3" TargetMode="External" Id="rId2028"/><Relationship Type="http://schemas.openxmlformats.org/officeDocument/2006/relationships/hyperlink" Target="https://scryfall.com/sets/tmm3" TargetMode="External" Id="rId2029"/><Relationship Type="http://schemas.openxmlformats.org/officeDocument/2006/relationships/hyperlink" Target="https://scryfall.com/sets/aer" TargetMode="External" Id="rId2030"/><Relationship Type="http://schemas.openxmlformats.org/officeDocument/2006/relationships/hyperlink" Target="https://scryfall.com/sets/aer" TargetMode="External" Id="rId2031"/><Relationship Type="http://schemas.openxmlformats.org/officeDocument/2006/relationships/hyperlink" Target="https://scryfall.com/sets/aer" TargetMode="External" Id="rId2032"/><Relationship Type="http://schemas.openxmlformats.org/officeDocument/2006/relationships/hyperlink" Target="https://scryfall.com/sets/paer" TargetMode="External" Id="rId2033"/><Relationship Type="http://schemas.openxmlformats.org/officeDocument/2006/relationships/hyperlink" Target="https://scryfall.com/sets/paer" TargetMode="External" Id="rId2034"/><Relationship Type="http://schemas.openxmlformats.org/officeDocument/2006/relationships/hyperlink" Target="https://scryfall.com/sets/paer" TargetMode="External" Id="rId2035"/><Relationship Type="http://schemas.openxmlformats.org/officeDocument/2006/relationships/hyperlink" Target="https://scryfall.com/sets/paer" TargetMode="External" Id="rId2036"/><Relationship Type="http://schemas.openxmlformats.org/officeDocument/2006/relationships/hyperlink" Target="https://scryfall.com/sets/taer" TargetMode="External" Id="rId2037"/><Relationship Type="http://schemas.openxmlformats.org/officeDocument/2006/relationships/hyperlink" Target="https://scryfall.com/sets/taer" TargetMode="External" Id="rId2038"/><Relationship Type="http://schemas.openxmlformats.org/officeDocument/2006/relationships/hyperlink" Target="https://scryfall.com/sets/taer" TargetMode="External" Id="rId2039"/><Relationship Type="http://schemas.openxmlformats.org/officeDocument/2006/relationships/hyperlink" Target="https://scryfall.com/sets/taer" TargetMode="External" Id="rId2040"/><Relationship Type="http://schemas.openxmlformats.org/officeDocument/2006/relationships/hyperlink" Target="https://scryfall.com/sets/l17" TargetMode="External" Id="rId2041"/><Relationship Type="http://schemas.openxmlformats.org/officeDocument/2006/relationships/hyperlink" Target="https://scryfall.com/sets/l17" TargetMode="External" Id="rId2042"/><Relationship Type="http://schemas.openxmlformats.org/officeDocument/2006/relationships/hyperlink" Target="https://scryfall.com/sets/l17" TargetMode="External" Id="rId2043"/><Relationship Type="http://schemas.openxmlformats.org/officeDocument/2006/relationships/hyperlink" Target="https://scryfall.com/sets/l17" TargetMode="External" Id="rId2044"/><Relationship Type="http://schemas.openxmlformats.org/officeDocument/2006/relationships/hyperlink" Target="https://scryfall.com/sets/f17" TargetMode="External" Id="rId2045"/><Relationship Type="http://schemas.openxmlformats.org/officeDocument/2006/relationships/hyperlink" Target="https://scryfall.com/sets/f17" TargetMode="External" Id="rId2046"/><Relationship Type="http://schemas.openxmlformats.org/officeDocument/2006/relationships/hyperlink" Target="https://scryfall.com/sets/f17" TargetMode="External" Id="rId2047"/><Relationship Type="http://schemas.openxmlformats.org/officeDocument/2006/relationships/hyperlink" Target="https://scryfall.com/sets/f17" TargetMode="External" Id="rId2048"/><Relationship Type="http://schemas.openxmlformats.org/officeDocument/2006/relationships/hyperlink" Target="https://scryfall.com/sets/j17" TargetMode="External" Id="rId2049"/><Relationship Type="http://schemas.openxmlformats.org/officeDocument/2006/relationships/hyperlink" Target="https://scryfall.com/sets/j17" TargetMode="External" Id="rId2050"/><Relationship Type="http://schemas.openxmlformats.org/officeDocument/2006/relationships/hyperlink" Target="https://scryfall.com/sets/j17" TargetMode="External" Id="rId2051"/><Relationship Type="http://schemas.openxmlformats.org/officeDocument/2006/relationships/hyperlink" Target="https://scryfall.com/sets/j17" TargetMode="External" Id="rId2052"/><Relationship Type="http://schemas.openxmlformats.org/officeDocument/2006/relationships/hyperlink" Target="https://scryfall.com/sets/pca" TargetMode="External" Id="rId2053"/><Relationship Type="http://schemas.openxmlformats.org/officeDocument/2006/relationships/hyperlink" Target="https://scryfall.com/sets/pca" TargetMode="External" Id="rId2054"/><Relationship Type="http://schemas.openxmlformats.org/officeDocument/2006/relationships/hyperlink" Target="https://scryfall.com/sets/pca" TargetMode="External" Id="rId2055"/><Relationship Type="http://schemas.openxmlformats.org/officeDocument/2006/relationships/hyperlink" Target="https://scryfall.com/sets/pca" TargetMode="External" Id="rId2056"/><Relationship Type="http://schemas.openxmlformats.org/officeDocument/2006/relationships/hyperlink" Target="https://scryfall.com/sets/tpca" TargetMode="External" Id="rId2057"/><Relationship Type="http://schemas.openxmlformats.org/officeDocument/2006/relationships/hyperlink" Target="https://scryfall.com/sets/tpca" TargetMode="External" Id="rId2058"/><Relationship Type="http://schemas.openxmlformats.org/officeDocument/2006/relationships/hyperlink" Target="https://scryfall.com/sets/tpca" TargetMode="External" Id="rId2059"/><Relationship Type="http://schemas.openxmlformats.org/officeDocument/2006/relationships/hyperlink" Target="https://scryfall.com/sets/tpca" TargetMode="External" Id="rId2060"/><Relationship Type="http://schemas.openxmlformats.org/officeDocument/2006/relationships/hyperlink" Target="https://scryfall.com/sets/opca" TargetMode="External" Id="rId2061"/><Relationship Type="http://schemas.openxmlformats.org/officeDocument/2006/relationships/hyperlink" Target="https://scryfall.com/sets/opca" TargetMode="External" Id="rId2062"/><Relationship Type="http://schemas.openxmlformats.org/officeDocument/2006/relationships/hyperlink" Target="https://scryfall.com/sets/opca" TargetMode="External" Id="rId2063"/><Relationship Type="http://schemas.openxmlformats.org/officeDocument/2006/relationships/hyperlink" Target="https://scryfall.com/sets/opca" TargetMode="External" Id="rId2064"/><Relationship Type="http://schemas.openxmlformats.org/officeDocument/2006/relationships/hyperlink" Target="https://scryfall.com/sets/pz2" TargetMode="External" Id="rId2065"/><Relationship Type="http://schemas.openxmlformats.org/officeDocument/2006/relationships/hyperlink" Target="https://scryfall.com/sets/pz2" TargetMode="External" Id="rId2066"/><Relationship Type="http://schemas.openxmlformats.org/officeDocument/2006/relationships/hyperlink" Target="https://scryfall.com/sets/pz2" TargetMode="External" Id="rId2067"/><Relationship Type="http://schemas.openxmlformats.org/officeDocument/2006/relationships/hyperlink" Target="https://scryfall.com/sets/pz2" TargetMode="External" Id="rId2068"/><Relationship Type="http://schemas.openxmlformats.org/officeDocument/2006/relationships/hyperlink" Target="https://scryfall.com/cubes/twisted" TargetMode="External" Id="rId2069"/><Relationship Type="http://schemas.openxmlformats.org/officeDocument/2006/relationships/hyperlink" Target="https://scryfall.com/cubes/twisted" TargetMode="External" Id="rId2070"/><Relationship Type="http://schemas.openxmlformats.org/officeDocument/2006/relationships/hyperlink" Target="https://scryfall.com/cubes/twisted" TargetMode="External" Id="rId2071"/><Relationship Type="http://schemas.openxmlformats.org/officeDocument/2006/relationships/hyperlink" Target="https://scryfall.com/sets/c16" TargetMode="External" Id="rId2072"/><Relationship Type="http://schemas.openxmlformats.org/officeDocument/2006/relationships/hyperlink" Target="https://scryfall.com/sets/c16" TargetMode="External" Id="rId2073"/><Relationship Type="http://schemas.openxmlformats.org/officeDocument/2006/relationships/hyperlink" Target="https://scryfall.com/sets/c16" TargetMode="External" Id="rId2074"/><Relationship Type="http://schemas.openxmlformats.org/officeDocument/2006/relationships/hyperlink" Target="https://scryfall.com/sets/tc16" TargetMode="External" Id="rId2075"/><Relationship Type="http://schemas.openxmlformats.org/officeDocument/2006/relationships/hyperlink" Target="https://scryfall.com/sets/tc16" TargetMode="External" Id="rId2076"/><Relationship Type="http://schemas.openxmlformats.org/officeDocument/2006/relationships/hyperlink" Target="https://scryfall.com/sets/tc16" TargetMode="External" Id="rId2077"/><Relationship Type="http://schemas.openxmlformats.org/officeDocument/2006/relationships/hyperlink" Target="https://scryfall.com/sets/tc16" TargetMode="External" Id="rId2078"/><Relationship Type="http://schemas.openxmlformats.org/officeDocument/2006/relationships/hyperlink" Target="https://scryfall.com/sets/oc16" TargetMode="External" Id="rId2079"/><Relationship Type="http://schemas.openxmlformats.org/officeDocument/2006/relationships/hyperlink" Target="https://scryfall.com/sets/oc16" TargetMode="External" Id="rId2080"/><Relationship Type="http://schemas.openxmlformats.org/officeDocument/2006/relationships/hyperlink" Target="https://scryfall.com/sets/oc16" TargetMode="External" Id="rId2081"/><Relationship Type="http://schemas.openxmlformats.org/officeDocument/2006/relationships/hyperlink" Target="https://scryfall.com/sets/oc16" TargetMode="External" Id="rId2082"/><Relationship Type="http://schemas.openxmlformats.org/officeDocument/2006/relationships/hyperlink" Target="https://scryfall.com/sets/ps16" TargetMode="External" Id="rId2083"/><Relationship Type="http://schemas.openxmlformats.org/officeDocument/2006/relationships/hyperlink" Target="https://scryfall.com/sets/ps16" TargetMode="External" Id="rId2084"/><Relationship Type="http://schemas.openxmlformats.org/officeDocument/2006/relationships/hyperlink" Target="https://scryfall.com/sets/ps16" TargetMode="External" Id="rId2085"/><Relationship Type="http://schemas.openxmlformats.org/officeDocument/2006/relationships/hyperlink" Target="https://scryfall.com/sets/ps16" TargetMode="External" Id="rId2086"/><Relationship Type="http://schemas.openxmlformats.org/officeDocument/2006/relationships/hyperlink" Target="https://scryfall.com/sets/kld" TargetMode="External" Id="rId2087"/><Relationship Type="http://schemas.openxmlformats.org/officeDocument/2006/relationships/hyperlink" Target="https://scryfall.com/sets/kld" TargetMode="External" Id="rId2088"/><Relationship Type="http://schemas.openxmlformats.org/officeDocument/2006/relationships/hyperlink" Target="https://scryfall.com/sets/kld" TargetMode="External" Id="rId2089"/><Relationship Type="http://schemas.openxmlformats.org/officeDocument/2006/relationships/hyperlink" Target="https://scryfall.com/sets/mps" TargetMode="External" Id="rId2090"/><Relationship Type="http://schemas.openxmlformats.org/officeDocument/2006/relationships/hyperlink" Target="https://scryfall.com/sets/mps" TargetMode="External" Id="rId2091"/><Relationship Type="http://schemas.openxmlformats.org/officeDocument/2006/relationships/hyperlink" Target="https://scryfall.com/sets/mps" TargetMode="External" Id="rId2092"/><Relationship Type="http://schemas.openxmlformats.org/officeDocument/2006/relationships/hyperlink" Target="https://scryfall.com/sets/mps" TargetMode="External" Id="rId2093"/><Relationship Type="http://schemas.openxmlformats.org/officeDocument/2006/relationships/hyperlink" Target="https://scryfall.com/sets/pkld" TargetMode="External" Id="rId2094"/><Relationship Type="http://schemas.openxmlformats.org/officeDocument/2006/relationships/hyperlink" Target="https://scryfall.com/sets/pkld" TargetMode="External" Id="rId2095"/><Relationship Type="http://schemas.openxmlformats.org/officeDocument/2006/relationships/hyperlink" Target="https://scryfall.com/sets/pkld" TargetMode="External" Id="rId2096"/><Relationship Type="http://schemas.openxmlformats.org/officeDocument/2006/relationships/hyperlink" Target="https://scryfall.com/sets/pkld" TargetMode="External" Id="rId2097"/><Relationship Type="http://schemas.openxmlformats.org/officeDocument/2006/relationships/hyperlink" Target="https://scryfall.com/sets/tkld" TargetMode="External" Id="rId2098"/><Relationship Type="http://schemas.openxmlformats.org/officeDocument/2006/relationships/hyperlink" Target="https://scryfall.com/sets/tkld" TargetMode="External" Id="rId2099"/><Relationship Type="http://schemas.openxmlformats.org/officeDocument/2006/relationships/hyperlink" Target="https://scryfall.com/sets/tkld" TargetMode="External" Id="rId2100"/><Relationship Type="http://schemas.openxmlformats.org/officeDocument/2006/relationships/hyperlink" Target="https://scryfall.com/sets/tkld" TargetMode="External" Id="rId2101"/><Relationship Type="http://schemas.openxmlformats.org/officeDocument/2006/relationships/hyperlink" Target="https://scryfall.com/sets/ddr" TargetMode="External" Id="rId2102"/><Relationship Type="http://schemas.openxmlformats.org/officeDocument/2006/relationships/hyperlink" Target="https://scryfall.com/sets/ddr" TargetMode="External" Id="rId2103"/><Relationship Type="http://schemas.openxmlformats.org/officeDocument/2006/relationships/hyperlink" Target="https://scryfall.com/sets/ddr" TargetMode="External" Id="rId2104"/><Relationship Type="http://schemas.openxmlformats.org/officeDocument/2006/relationships/hyperlink" Target="https://scryfall.com/sets/cn2" TargetMode="External" Id="rId2105"/><Relationship Type="http://schemas.openxmlformats.org/officeDocument/2006/relationships/hyperlink" Target="https://scryfall.com/sets/cn2" TargetMode="External" Id="rId2106"/><Relationship Type="http://schemas.openxmlformats.org/officeDocument/2006/relationships/hyperlink" Target="https://scryfall.com/sets/cn2" TargetMode="External" Id="rId2107"/><Relationship Type="http://schemas.openxmlformats.org/officeDocument/2006/relationships/hyperlink" Target="https://scryfall.com/sets/tcn2" TargetMode="External" Id="rId2108"/><Relationship Type="http://schemas.openxmlformats.org/officeDocument/2006/relationships/hyperlink" Target="https://scryfall.com/sets/tcn2" TargetMode="External" Id="rId2109"/><Relationship Type="http://schemas.openxmlformats.org/officeDocument/2006/relationships/hyperlink" Target="https://scryfall.com/sets/tcn2" TargetMode="External" Id="rId2110"/><Relationship Type="http://schemas.openxmlformats.org/officeDocument/2006/relationships/hyperlink" Target="https://scryfall.com/sets/tcn2" TargetMode="External" Id="rId2111"/><Relationship Type="http://schemas.openxmlformats.org/officeDocument/2006/relationships/hyperlink" Target="https://scryfall.com/sets/v16" TargetMode="External" Id="rId2112"/><Relationship Type="http://schemas.openxmlformats.org/officeDocument/2006/relationships/hyperlink" Target="https://scryfall.com/sets/v16" TargetMode="External" Id="rId2113"/><Relationship Type="http://schemas.openxmlformats.org/officeDocument/2006/relationships/hyperlink" Target="https://scryfall.com/sets/v16" TargetMode="External" Id="rId2114"/><Relationship Type="http://schemas.openxmlformats.org/officeDocument/2006/relationships/hyperlink" Target="https://scryfall.com/sets/v16" TargetMode="External" Id="rId2115"/><Relationship Type="http://schemas.openxmlformats.org/officeDocument/2006/relationships/hyperlink" Target="https://scryfall.com/sets/emn" TargetMode="External" Id="rId2116"/><Relationship Type="http://schemas.openxmlformats.org/officeDocument/2006/relationships/hyperlink" Target="https://scryfall.com/sets/emn" TargetMode="External" Id="rId2117"/><Relationship Type="http://schemas.openxmlformats.org/officeDocument/2006/relationships/hyperlink" Target="https://scryfall.com/sets/emn" TargetMode="External" Id="rId2118"/><Relationship Type="http://schemas.openxmlformats.org/officeDocument/2006/relationships/hyperlink" Target="https://scryfall.com/sets/pemn" TargetMode="External" Id="rId2119"/><Relationship Type="http://schemas.openxmlformats.org/officeDocument/2006/relationships/hyperlink" Target="https://scryfall.com/sets/pemn" TargetMode="External" Id="rId2120"/><Relationship Type="http://schemas.openxmlformats.org/officeDocument/2006/relationships/hyperlink" Target="https://scryfall.com/sets/pemn" TargetMode="External" Id="rId2121"/><Relationship Type="http://schemas.openxmlformats.org/officeDocument/2006/relationships/hyperlink" Target="https://scryfall.com/sets/pemn" TargetMode="External" Id="rId2122"/><Relationship Type="http://schemas.openxmlformats.org/officeDocument/2006/relationships/hyperlink" Target="https://scryfall.com/sets/temn" TargetMode="External" Id="rId2123"/><Relationship Type="http://schemas.openxmlformats.org/officeDocument/2006/relationships/hyperlink" Target="https://scryfall.com/sets/temn" TargetMode="External" Id="rId2124"/><Relationship Type="http://schemas.openxmlformats.org/officeDocument/2006/relationships/hyperlink" Target="https://scryfall.com/sets/temn" TargetMode="External" Id="rId2125"/><Relationship Type="http://schemas.openxmlformats.org/officeDocument/2006/relationships/hyperlink" Target="https://scryfall.com/sets/temn" TargetMode="External" Id="rId2126"/><Relationship Type="http://schemas.openxmlformats.org/officeDocument/2006/relationships/hyperlink" Target="https://scryfall.com/sets/ema" TargetMode="External" Id="rId2127"/><Relationship Type="http://schemas.openxmlformats.org/officeDocument/2006/relationships/hyperlink" Target="https://scryfall.com/sets/ema" TargetMode="External" Id="rId2128"/><Relationship Type="http://schemas.openxmlformats.org/officeDocument/2006/relationships/hyperlink" Target="https://scryfall.com/sets/ema" TargetMode="External" Id="rId2129"/><Relationship Type="http://schemas.openxmlformats.org/officeDocument/2006/relationships/hyperlink" Target="https://scryfall.com/sets/tema" TargetMode="External" Id="rId2130"/><Relationship Type="http://schemas.openxmlformats.org/officeDocument/2006/relationships/hyperlink" Target="https://scryfall.com/sets/tema" TargetMode="External" Id="rId2131"/><Relationship Type="http://schemas.openxmlformats.org/officeDocument/2006/relationships/hyperlink" Target="https://scryfall.com/sets/tema" TargetMode="External" Id="rId2132"/><Relationship Type="http://schemas.openxmlformats.org/officeDocument/2006/relationships/hyperlink" Target="https://scryfall.com/sets/tema" TargetMode="External" Id="rId2133"/><Relationship Type="http://schemas.openxmlformats.org/officeDocument/2006/relationships/hyperlink" Target="https://scryfall.com/sets/soi" TargetMode="External" Id="rId2134"/><Relationship Type="http://schemas.openxmlformats.org/officeDocument/2006/relationships/hyperlink" Target="https://scryfall.com/sets/soi" TargetMode="External" Id="rId2135"/><Relationship Type="http://schemas.openxmlformats.org/officeDocument/2006/relationships/hyperlink" Target="https://scryfall.com/sets/soi" TargetMode="External" Id="rId2136"/><Relationship Type="http://schemas.openxmlformats.org/officeDocument/2006/relationships/hyperlink" Target="https://scryfall.com/sets/psoi" TargetMode="External" Id="rId2137"/><Relationship Type="http://schemas.openxmlformats.org/officeDocument/2006/relationships/hyperlink" Target="https://scryfall.com/sets/psoi" TargetMode="External" Id="rId2138"/><Relationship Type="http://schemas.openxmlformats.org/officeDocument/2006/relationships/hyperlink" Target="https://scryfall.com/sets/psoi" TargetMode="External" Id="rId2139"/><Relationship Type="http://schemas.openxmlformats.org/officeDocument/2006/relationships/hyperlink" Target="https://scryfall.com/sets/psoi" TargetMode="External" Id="rId2140"/><Relationship Type="http://schemas.openxmlformats.org/officeDocument/2006/relationships/hyperlink" Target="https://scryfall.com/sets/tsoi" TargetMode="External" Id="rId2141"/><Relationship Type="http://schemas.openxmlformats.org/officeDocument/2006/relationships/hyperlink" Target="https://scryfall.com/sets/tsoi" TargetMode="External" Id="rId2142"/><Relationship Type="http://schemas.openxmlformats.org/officeDocument/2006/relationships/hyperlink" Target="https://scryfall.com/sets/tsoi" TargetMode="External" Id="rId2143"/><Relationship Type="http://schemas.openxmlformats.org/officeDocument/2006/relationships/hyperlink" Target="https://scryfall.com/sets/tsoi" TargetMode="External" Id="rId2144"/><Relationship Type="http://schemas.openxmlformats.org/officeDocument/2006/relationships/hyperlink" Target="https://scryfall.com/sets/w16" TargetMode="External" Id="rId2145"/><Relationship Type="http://schemas.openxmlformats.org/officeDocument/2006/relationships/hyperlink" Target="https://scryfall.com/sets/w16" TargetMode="External" Id="rId2146"/><Relationship Type="http://schemas.openxmlformats.org/officeDocument/2006/relationships/hyperlink" Target="https://scryfall.com/sets/w16" TargetMode="External" Id="rId2147"/><Relationship Type="http://schemas.openxmlformats.org/officeDocument/2006/relationships/hyperlink" Target="https://scryfall.com/sets/ddq" TargetMode="External" Id="rId2148"/><Relationship Type="http://schemas.openxmlformats.org/officeDocument/2006/relationships/hyperlink" Target="https://scryfall.com/sets/ddq" TargetMode="External" Id="rId2149"/><Relationship Type="http://schemas.openxmlformats.org/officeDocument/2006/relationships/hyperlink" Target="https://scryfall.com/sets/ddq" TargetMode="External" Id="rId2150"/><Relationship Type="http://schemas.openxmlformats.org/officeDocument/2006/relationships/hyperlink" Target="https://scryfall.com/sets/ogw" TargetMode="External" Id="rId2151"/><Relationship Type="http://schemas.openxmlformats.org/officeDocument/2006/relationships/hyperlink" Target="https://scryfall.com/sets/ogw" TargetMode="External" Id="rId2152"/><Relationship Type="http://schemas.openxmlformats.org/officeDocument/2006/relationships/hyperlink" Target="https://scryfall.com/sets/ogw" TargetMode="External" Id="rId2153"/><Relationship Type="http://schemas.openxmlformats.org/officeDocument/2006/relationships/hyperlink" Target="https://scryfall.com/sets/pogw" TargetMode="External" Id="rId2154"/><Relationship Type="http://schemas.openxmlformats.org/officeDocument/2006/relationships/hyperlink" Target="https://scryfall.com/sets/pogw" TargetMode="External" Id="rId2155"/><Relationship Type="http://schemas.openxmlformats.org/officeDocument/2006/relationships/hyperlink" Target="https://scryfall.com/sets/pogw" TargetMode="External" Id="rId2156"/><Relationship Type="http://schemas.openxmlformats.org/officeDocument/2006/relationships/hyperlink" Target="https://scryfall.com/sets/pogw" TargetMode="External" Id="rId2157"/><Relationship Type="http://schemas.openxmlformats.org/officeDocument/2006/relationships/hyperlink" Target="https://scryfall.com/sets/togw" TargetMode="External" Id="rId2158"/><Relationship Type="http://schemas.openxmlformats.org/officeDocument/2006/relationships/hyperlink" Target="https://scryfall.com/sets/togw" TargetMode="External" Id="rId2159"/><Relationship Type="http://schemas.openxmlformats.org/officeDocument/2006/relationships/hyperlink" Target="https://scryfall.com/sets/togw" TargetMode="External" Id="rId2160"/><Relationship Type="http://schemas.openxmlformats.org/officeDocument/2006/relationships/hyperlink" Target="https://scryfall.com/sets/togw" TargetMode="External" Id="rId2161"/><Relationship Type="http://schemas.openxmlformats.org/officeDocument/2006/relationships/hyperlink" Target="https://scryfall.com/sets/l16" TargetMode="External" Id="rId2162"/><Relationship Type="http://schemas.openxmlformats.org/officeDocument/2006/relationships/hyperlink" Target="https://scryfall.com/sets/l16" TargetMode="External" Id="rId2163"/><Relationship Type="http://schemas.openxmlformats.org/officeDocument/2006/relationships/hyperlink" Target="https://scryfall.com/sets/l16" TargetMode="External" Id="rId2164"/><Relationship Type="http://schemas.openxmlformats.org/officeDocument/2006/relationships/hyperlink" Target="https://scryfall.com/sets/l16" TargetMode="External" Id="rId2165"/><Relationship Type="http://schemas.openxmlformats.org/officeDocument/2006/relationships/hyperlink" Target="https://scryfall.com/sets/j16" TargetMode="External" Id="rId2166"/><Relationship Type="http://schemas.openxmlformats.org/officeDocument/2006/relationships/hyperlink" Target="https://scryfall.com/sets/j16" TargetMode="External" Id="rId2167"/><Relationship Type="http://schemas.openxmlformats.org/officeDocument/2006/relationships/hyperlink" Target="https://scryfall.com/sets/j16" TargetMode="External" Id="rId2168"/><Relationship Type="http://schemas.openxmlformats.org/officeDocument/2006/relationships/hyperlink" Target="https://scryfall.com/sets/j16" TargetMode="External" Id="rId2169"/><Relationship Type="http://schemas.openxmlformats.org/officeDocument/2006/relationships/hyperlink" Target="https://scryfall.com/sets/f16" TargetMode="External" Id="rId2170"/><Relationship Type="http://schemas.openxmlformats.org/officeDocument/2006/relationships/hyperlink" Target="https://scryfall.com/sets/f16" TargetMode="External" Id="rId2171"/><Relationship Type="http://schemas.openxmlformats.org/officeDocument/2006/relationships/hyperlink" Target="https://scryfall.com/sets/f16" TargetMode="External" Id="rId2172"/><Relationship Type="http://schemas.openxmlformats.org/officeDocument/2006/relationships/hyperlink" Target="https://scryfall.com/sets/f16" TargetMode="External" Id="rId2173"/><Relationship Type="http://schemas.openxmlformats.org/officeDocument/2006/relationships/hyperlink" Target="https://scryfall.com/sets/pz1" TargetMode="External" Id="rId2174"/><Relationship Type="http://schemas.openxmlformats.org/officeDocument/2006/relationships/hyperlink" Target="https://scryfall.com/sets/pz1" TargetMode="External" Id="rId2175"/><Relationship Type="http://schemas.openxmlformats.org/officeDocument/2006/relationships/hyperlink" Target="https://scryfall.com/sets/pz1" TargetMode="External" Id="rId2176"/><Relationship Type="http://schemas.openxmlformats.org/officeDocument/2006/relationships/hyperlink" Target="https://scryfall.com/sets/pz1" TargetMode="External" Id="rId2177"/><Relationship Type="http://schemas.openxmlformats.org/officeDocument/2006/relationships/hyperlink" Target="https://scryfall.com/sets/c15" TargetMode="External" Id="rId2178"/><Relationship Type="http://schemas.openxmlformats.org/officeDocument/2006/relationships/hyperlink" Target="https://scryfall.com/sets/c15" TargetMode="External" Id="rId2179"/><Relationship Type="http://schemas.openxmlformats.org/officeDocument/2006/relationships/hyperlink" Target="https://scryfall.com/sets/c15" TargetMode="External" Id="rId2180"/><Relationship Type="http://schemas.openxmlformats.org/officeDocument/2006/relationships/hyperlink" Target="https://scryfall.com/sets/tc15" TargetMode="External" Id="rId2181"/><Relationship Type="http://schemas.openxmlformats.org/officeDocument/2006/relationships/hyperlink" Target="https://scryfall.com/sets/tc15" TargetMode="External" Id="rId2182"/><Relationship Type="http://schemas.openxmlformats.org/officeDocument/2006/relationships/hyperlink" Target="https://scryfall.com/sets/tc15" TargetMode="External" Id="rId2183"/><Relationship Type="http://schemas.openxmlformats.org/officeDocument/2006/relationships/hyperlink" Target="https://scryfall.com/sets/tc15" TargetMode="External" Id="rId2184"/><Relationship Type="http://schemas.openxmlformats.org/officeDocument/2006/relationships/hyperlink" Target="https://scryfall.com/sets/oc15" TargetMode="External" Id="rId2185"/><Relationship Type="http://schemas.openxmlformats.org/officeDocument/2006/relationships/hyperlink" Target="https://scryfall.com/sets/oc15" TargetMode="External" Id="rId2186"/><Relationship Type="http://schemas.openxmlformats.org/officeDocument/2006/relationships/hyperlink" Target="https://scryfall.com/sets/oc15" TargetMode="External" Id="rId2187"/><Relationship Type="http://schemas.openxmlformats.org/officeDocument/2006/relationships/hyperlink" Target="https://scryfall.com/sets/oc15" TargetMode="External" Id="rId2188"/><Relationship Type="http://schemas.openxmlformats.org/officeDocument/2006/relationships/hyperlink" Target="https://scryfall.com/sets/bfz" TargetMode="External" Id="rId2189"/><Relationship Type="http://schemas.openxmlformats.org/officeDocument/2006/relationships/hyperlink" Target="https://scryfall.com/sets/bfz" TargetMode="External" Id="rId2190"/><Relationship Type="http://schemas.openxmlformats.org/officeDocument/2006/relationships/hyperlink" Target="https://scryfall.com/sets/bfz" TargetMode="External" Id="rId2191"/><Relationship Type="http://schemas.openxmlformats.org/officeDocument/2006/relationships/hyperlink" Target="https://scryfall.com/sets/exp" TargetMode="External" Id="rId2192"/><Relationship Type="http://schemas.openxmlformats.org/officeDocument/2006/relationships/hyperlink" Target="https://scryfall.com/sets/exp" TargetMode="External" Id="rId2193"/><Relationship Type="http://schemas.openxmlformats.org/officeDocument/2006/relationships/hyperlink" Target="https://scryfall.com/sets/exp" TargetMode="External" Id="rId2194"/><Relationship Type="http://schemas.openxmlformats.org/officeDocument/2006/relationships/hyperlink" Target="https://scryfall.com/sets/exp" TargetMode="External" Id="rId2195"/><Relationship Type="http://schemas.openxmlformats.org/officeDocument/2006/relationships/hyperlink" Target="https://scryfall.com/sets/pbfz" TargetMode="External" Id="rId2196"/><Relationship Type="http://schemas.openxmlformats.org/officeDocument/2006/relationships/hyperlink" Target="https://scryfall.com/sets/pbfz" TargetMode="External" Id="rId2197"/><Relationship Type="http://schemas.openxmlformats.org/officeDocument/2006/relationships/hyperlink" Target="https://scryfall.com/sets/pbfz" TargetMode="External" Id="rId2198"/><Relationship Type="http://schemas.openxmlformats.org/officeDocument/2006/relationships/hyperlink" Target="https://scryfall.com/sets/pbfz" TargetMode="External" Id="rId2199"/><Relationship Type="http://schemas.openxmlformats.org/officeDocument/2006/relationships/hyperlink" Target="https://scryfall.com/sets/tbfz" TargetMode="External" Id="rId2200"/><Relationship Type="http://schemas.openxmlformats.org/officeDocument/2006/relationships/hyperlink" Target="https://scryfall.com/sets/tbfz" TargetMode="External" Id="rId2201"/><Relationship Type="http://schemas.openxmlformats.org/officeDocument/2006/relationships/hyperlink" Target="https://scryfall.com/sets/tbfz" TargetMode="External" Id="rId2202"/><Relationship Type="http://schemas.openxmlformats.org/officeDocument/2006/relationships/hyperlink" Target="https://scryfall.com/sets/tbfz" TargetMode="External" Id="rId2203"/><Relationship Type="http://schemas.openxmlformats.org/officeDocument/2006/relationships/hyperlink" Target="https://scryfall.com/sets/pss1" TargetMode="External" Id="rId2204"/><Relationship Type="http://schemas.openxmlformats.org/officeDocument/2006/relationships/hyperlink" Target="https://scryfall.com/sets/pss1" TargetMode="External" Id="rId2205"/><Relationship Type="http://schemas.openxmlformats.org/officeDocument/2006/relationships/hyperlink" Target="https://scryfall.com/sets/pss1" TargetMode="External" Id="rId2206"/><Relationship Type="http://schemas.openxmlformats.org/officeDocument/2006/relationships/hyperlink" Target="https://scryfall.com/sets/pss1" TargetMode="External" Id="rId2207"/><Relationship Type="http://schemas.openxmlformats.org/officeDocument/2006/relationships/hyperlink" Target="https://scryfall.com/sets/ddp" TargetMode="External" Id="rId2208"/><Relationship Type="http://schemas.openxmlformats.org/officeDocument/2006/relationships/hyperlink" Target="https://scryfall.com/sets/ddp" TargetMode="External" Id="rId2209"/><Relationship Type="http://schemas.openxmlformats.org/officeDocument/2006/relationships/hyperlink" Target="https://scryfall.com/sets/ddp" TargetMode="External" Id="rId2210"/><Relationship Type="http://schemas.openxmlformats.org/officeDocument/2006/relationships/hyperlink" Target="https://scryfall.com/sets/v15" TargetMode="External" Id="rId2211"/><Relationship Type="http://schemas.openxmlformats.org/officeDocument/2006/relationships/hyperlink" Target="https://scryfall.com/sets/v15" TargetMode="External" Id="rId2212"/><Relationship Type="http://schemas.openxmlformats.org/officeDocument/2006/relationships/hyperlink" Target="https://scryfall.com/sets/v15" TargetMode="External" Id="rId2213"/><Relationship Type="http://schemas.openxmlformats.org/officeDocument/2006/relationships/hyperlink" Target="https://scryfall.com/sets/v15" TargetMode="External" Id="rId2214"/><Relationship Type="http://schemas.openxmlformats.org/officeDocument/2006/relationships/hyperlink" Target="https://scryfall.com/sets/ori" TargetMode="External" Id="rId2215"/><Relationship Type="http://schemas.openxmlformats.org/officeDocument/2006/relationships/hyperlink" Target="https://scryfall.com/sets/ori" TargetMode="External" Id="rId2216"/><Relationship Type="http://schemas.openxmlformats.org/officeDocument/2006/relationships/hyperlink" Target="https://scryfall.com/sets/ori" TargetMode="External" Id="rId2217"/><Relationship Type="http://schemas.openxmlformats.org/officeDocument/2006/relationships/hyperlink" Target="https://scryfall.com/sets/pori" TargetMode="External" Id="rId2218"/><Relationship Type="http://schemas.openxmlformats.org/officeDocument/2006/relationships/hyperlink" Target="https://scryfall.com/sets/pori" TargetMode="External" Id="rId2219"/><Relationship Type="http://schemas.openxmlformats.org/officeDocument/2006/relationships/hyperlink" Target="https://scryfall.com/sets/pori" TargetMode="External" Id="rId2220"/><Relationship Type="http://schemas.openxmlformats.org/officeDocument/2006/relationships/hyperlink" Target="https://scryfall.com/sets/pori" TargetMode="External" Id="rId2221"/><Relationship Type="http://schemas.openxmlformats.org/officeDocument/2006/relationships/hyperlink" Target="https://scryfall.com/sets/tori" TargetMode="External" Id="rId2222"/><Relationship Type="http://schemas.openxmlformats.org/officeDocument/2006/relationships/hyperlink" Target="https://scryfall.com/sets/tori" TargetMode="External" Id="rId2223"/><Relationship Type="http://schemas.openxmlformats.org/officeDocument/2006/relationships/hyperlink" Target="https://scryfall.com/sets/tori" TargetMode="External" Id="rId2224"/><Relationship Type="http://schemas.openxmlformats.org/officeDocument/2006/relationships/hyperlink" Target="https://scryfall.com/sets/tori" TargetMode="External" Id="rId2225"/><Relationship Type="http://schemas.openxmlformats.org/officeDocument/2006/relationships/hyperlink" Target="https://scryfall.com/sets/cp3" TargetMode="External" Id="rId2226"/><Relationship Type="http://schemas.openxmlformats.org/officeDocument/2006/relationships/hyperlink" Target="https://scryfall.com/sets/cp3" TargetMode="External" Id="rId2227"/><Relationship Type="http://schemas.openxmlformats.org/officeDocument/2006/relationships/hyperlink" Target="https://scryfall.com/sets/cp3" TargetMode="External" Id="rId2228"/><Relationship Type="http://schemas.openxmlformats.org/officeDocument/2006/relationships/hyperlink" Target="https://scryfall.com/sets/cp3" TargetMode="External" Id="rId2229"/><Relationship Type="http://schemas.openxmlformats.org/officeDocument/2006/relationships/hyperlink" Target="https://scryfall.com/sets/ps15" TargetMode="External" Id="rId2230"/><Relationship Type="http://schemas.openxmlformats.org/officeDocument/2006/relationships/hyperlink" Target="https://scryfall.com/sets/ps15" TargetMode="External" Id="rId2231"/><Relationship Type="http://schemas.openxmlformats.org/officeDocument/2006/relationships/hyperlink" Target="https://scryfall.com/sets/ps15" TargetMode="External" Id="rId2232"/><Relationship Type="http://schemas.openxmlformats.org/officeDocument/2006/relationships/hyperlink" Target="https://scryfall.com/sets/ps15" TargetMode="External" Id="rId2233"/><Relationship Type="http://schemas.openxmlformats.org/officeDocument/2006/relationships/hyperlink" Target="https://scryfall.com/sets/mm2" TargetMode="External" Id="rId2234"/><Relationship Type="http://schemas.openxmlformats.org/officeDocument/2006/relationships/hyperlink" Target="https://scryfall.com/sets/mm2" TargetMode="External" Id="rId2235"/><Relationship Type="http://schemas.openxmlformats.org/officeDocument/2006/relationships/hyperlink" Target="https://scryfall.com/sets/mm2" TargetMode="External" Id="rId2236"/><Relationship Type="http://schemas.openxmlformats.org/officeDocument/2006/relationships/hyperlink" Target="https://scryfall.com/sets/tmm2" TargetMode="External" Id="rId2237"/><Relationship Type="http://schemas.openxmlformats.org/officeDocument/2006/relationships/hyperlink" Target="https://scryfall.com/sets/tmm2" TargetMode="External" Id="rId2238"/><Relationship Type="http://schemas.openxmlformats.org/officeDocument/2006/relationships/hyperlink" Target="https://scryfall.com/sets/tmm2" TargetMode="External" Id="rId2239"/><Relationship Type="http://schemas.openxmlformats.org/officeDocument/2006/relationships/hyperlink" Target="https://scryfall.com/sets/tmm2" TargetMode="External" Id="rId2240"/><Relationship Type="http://schemas.openxmlformats.org/officeDocument/2006/relationships/hyperlink" Target="https://scryfall.com/sets/tpr" TargetMode="External" Id="rId2241"/><Relationship Type="http://schemas.openxmlformats.org/officeDocument/2006/relationships/hyperlink" Target="https://scryfall.com/sets/tpr" TargetMode="External" Id="rId2242"/><Relationship Type="http://schemas.openxmlformats.org/officeDocument/2006/relationships/hyperlink" Target="https://scryfall.com/sets/tpr" TargetMode="External" Id="rId2243"/><Relationship Type="http://schemas.openxmlformats.org/officeDocument/2006/relationships/hyperlink" Target="https://scryfall.com/sets/tpr" TargetMode="External" Id="rId2244"/><Relationship Type="http://schemas.openxmlformats.org/officeDocument/2006/relationships/hyperlink" Target="https://scryfall.com/sets/dtk" TargetMode="External" Id="rId2245"/><Relationship Type="http://schemas.openxmlformats.org/officeDocument/2006/relationships/hyperlink" Target="https://scryfall.com/sets/dtk" TargetMode="External" Id="rId2246"/><Relationship Type="http://schemas.openxmlformats.org/officeDocument/2006/relationships/hyperlink" Target="https://scryfall.com/sets/dtk" TargetMode="External" Id="rId2247"/><Relationship Type="http://schemas.openxmlformats.org/officeDocument/2006/relationships/hyperlink" Target="https://scryfall.com/sets/pdtk" TargetMode="External" Id="rId2248"/><Relationship Type="http://schemas.openxmlformats.org/officeDocument/2006/relationships/hyperlink" Target="https://scryfall.com/sets/pdtk" TargetMode="External" Id="rId2249"/><Relationship Type="http://schemas.openxmlformats.org/officeDocument/2006/relationships/hyperlink" Target="https://scryfall.com/sets/pdtk" TargetMode="External" Id="rId2250"/><Relationship Type="http://schemas.openxmlformats.org/officeDocument/2006/relationships/hyperlink" Target="https://scryfall.com/sets/pdtk" TargetMode="External" Id="rId2251"/><Relationship Type="http://schemas.openxmlformats.org/officeDocument/2006/relationships/hyperlink" Target="https://scryfall.com/sets/tdtk" TargetMode="External" Id="rId2252"/><Relationship Type="http://schemas.openxmlformats.org/officeDocument/2006/relationships/hyperlink" Target="https://scryfall.com/sets/tdtk" TargetMode="External" Id="rId2253"/><Relationship Type="http://schemas.openxmlformats.org/officeDocument/2006/relationships/hyperlink" Target="https://scryfall.com/sets/tdtk" TargetMode="External" Id="rId2254"/><Relationship Type="http://schemas.openxmlformats.org/officeDocument/2006/relationships/hyperlink" Target="https://scryfall.com/sets/tdtk" TargetMode="External" Id="rId2255"/><Relationship Type="http://schemas.openxmlformats.org/officeDocument/2006/relationships/hyperlink" Target="https://scryfall.com/sets/ptkdf" TargetMode="External" Id="rId2256"/><Relationship Type="http://schemas.openxmlformats.org/officeDocument/2006/relationships/hyperlink" Target="https://scryfall.com/sets/ptkdf" TargetMode="External" Id="rId2257"/><Relationship Type="http://schemas.openxmlformats.org/officeDocument/2006/relationships/hyperlink" Target="https://scryfall.com/sets/ptkdf" TargetMode="External" Id="rId2258"/><Relationship Type="http://schemas.openxmlformats.org/officeDocument/2006/relationships/hyperlink" Target="https://scryfall.com/sets/ptkdf" TargetMode="External" Id="rId2259"/><Relationship Type="http://schemas.openxmlformats.org/officeDocument/2006/relationships/hyperlink" Target="https://scryfall.com/sets/ddo" TargetMode="External" Id="rId2260"/><Relationship Type="http://schemas.openxmlformats.org/officeDocument/2006/relationships/hyperlink" Target="https://scryfall.com/sets/ddo" TargetMode="External" Id="rId2261"/><Relationship Type="http://schemas.openxmlformats.org/officeDocument/2006/relationships/hyperlink" Target="https://scryfall.com/sets/ddo" TargetMode="External" Id="rId2262"/><Relationship Type="http://schemas.openxmlformats.org/officeDocument/2006/relationships/hyperlink" Target="https://scryfall.com/sets/frf" TargetMode="External" Id="rId2263"/><Relationship Type="http://schemas.openxmlformats.org/officeDocument/2006/relationships/hyperlink" Target="https://scryfall.com/sets/frf" TargetMode="External" Id="rId2264"/><Relationship Type="http://schemas.openxmlformats.org/officeDocument/2006/relationships/hyperlink" Target="https://scryfall.com/sets/frf" TargetMode="External" Id="rId2265"/><Relationship Type="http://schemas.openxmlformats.org/officeDocument/2006/relationships/hyperlink" Target="https://scryfall.com/sets/pfrf" TargetMode="External" Id="rId2266"/><Relationship Type="http://schemas.openxmlformats.org/officeDocument/2006/relationships/hyperlink" Target="https://scryfall.com/sets/pfrf" TargetMode="External" Id="rId2267"/><Relationship Type="http://schemas.openxmlformats.org/officeDocument/2006/relationships/hyperlink" Target="https://scryfall.com/sets/pfrf" TargetMode="External" Id="rId2268"/><Relationship Type="http://schemas.openxmlformats.org/officeDocument/2006/relationships/hyperlink" Target="https://scryfall.com/sets/pfrf" TargetMode="External" Id="rId2269"/><Relationship Type="http://schemas.openxmlformats.org/officeDocument/2006/relationships/hyperlink" Target="https://scryfall.com/sets/tfrf" TargetMode="External" Id="rId2270"/><Relationship Type="http://schemas.openxmlformats.org/officeDocument/2006/relationships/hyperlink" Target="https://scryfall.com/sets/tfrf" TargetMode="External" Id="rId2271"/><Relationship Type="http://schemas.openxmlformats.org/officeDocument/2006/relationships/hyperlink" Target="https://scryfall.com/sets/tfrf" TargetMode="External" Id="rId2272"/><Relationship Type="http://schemas.openxmlformats.org/officeDocument/2006/relationships/hyperlink" Target="https://scryfall.com/sets/tfrf" TargetMode="External" Id="rId2273"/><Relationship Type="http://schemas.openxmlformats.org/officeDocument/2006/relationships/hyperlink" Target="https://scryfall.com/sets/cp2" TargetMode="External" Id="rId2274"/><Relationship Type="http://schemas.openxmlformats.org/officeDocument/2006/relationships/hyperlink" Target="https://scryfall.com/sets/cp2" TargetMode="External" Id="rId2275"/><Relationship Type="http://schemas.openxmlformats.org/officeDocument/2006/relationships/hyperlink" Target="https://scryfall.com/sets/cp2" TargetMode="External" Id="rId2276"/><Relationship Type="http://schemas.openxmlformats.org/officeDocument/2006/relationships/hyperlink" Target="https://scryfall.com/sets/cp2" TargetMode="External" Id="rId2277"/><Relationship Type="http://schemas.openxmlformats.org/officeDocument/2006/relationships/hyperlink" Target="https://scryfall.com/sets/ugin" TargetMode="External" Id="rId2278"/><Relationship Type="http://schemas.openxmlformats.org/officeDocument/2006/relationships/hyperlink" Target="https://scryfall.com/sets/ugin" TargetMode="External" Id="rId2279"/><Relationship Type="http://schemas.openxmlformats.org/officeDocument/2006/relationships/hyperlink" Target="https://scryfall.com/sets/ugin" TargetMode="External" Id="rId2280"/><Relationship Type="http://schemas.openxmlformats.org/officeDocument/2006/relationships/hyperlink" Target="https://scryfall.com/sets/l15" TargetMode="External" Id="rId2281"/><Relationship Type="http://schemas.openxmlformats.org/officeDocument/2006/relationships/hyperlink" Target="https://scryfall.com/sets/l15" TargetMode="External" Id="rId2282"/><Relationship Type="http://schemas.openxmlformats.org/officeDocument/2006/relationships/hyperlink" Target="https://scryfall.com/sets/l15" TargetMode="External" Id="rId2283"/><Relationship Type="http://schemas.openxmlformats.org/officeDocument/2006/relationships/hyperlink" Target="https://scryfall.com/sets/l15" TargetMode="External" Id="rId2284"/><Relationship Type="http://schemas.openxmlformats.org/officeDocument/2006/relationships/hyperlink" Target="https://scryfall.com/sets/f15" TargetMode="External" Id="rId2285"/><Relationship Type="http://schemas.openxmlformats.org/officeDocument/2006/relationships/hyperlink" Target="https://scryfall.com/sets/f15" TargetMode="External" Id="rId2286"/><Relationship Type="http://schemas.openxmlformats.org/officeDocument/2006/relationships/hyperlink" Target="https://scryfall.com/sets/f15" TargetMode="External" Id="rId2287"/><Relationship Type="http://schemas.openxmlformats.org/officeDocument/2006/relationships/hyperlink" Target="https://scryfall.com/sets/f15" TargetMode="External" Id="rId2288"/><Relationship Type="http://schemas.openxmlformats.org/officeDocument/2006/relationships/hyperlink" Target="https://scryfall.com/sets/j15" TargetMode="External" Id="rId2289"/><Relationship Type="http://schemas.openxmlformats.org/officeDocument/2006/relationships/hyperlink" Target="https://scryfall.com/sets/j15" TargetMode="External" Id="rId2290"/><Relationship Type="http://schemas.openxmlformats.org/officeDocument/2006/relationships/hyperlink" Target="https://scryfall.com/sets/j15" TargetMode="External" Id="rId2291"/><Relationship Type="http://schemas.openxmlformats.org/officeDocument/2006/relationships/hyperlink" Target="https://scryfall.com/sets/j15" TargetMode="External" Id="rId2292"/><Relationship Type="http://schemas.openxmlformats.org/officeDocument/2006/relationships/hyperlink" Target="https://scryfall.com/sets/evg" TargetMode="External" Id="rId2293"/><Relationship Type="http://schemas.openxmlformats.org/officeDocument/2006/relationships/hyperlink" Target="https://scryfall.com/sets/evg" TargetMode="External" Id="rId2294"/><Relationship Type="http://schemas.openxmlformats.org/officeDocument/2006/relationships/hyperlink" Target="https://scryfall.com/sets/evg" TargetMode="External" Id="rId2295"/><Relationship Type="http://schemas.openxmlformats.org/officeDocument/2006/relationships/hyperlink" Target="https://scryfall.com/sets/evg" TargetMode="External" Id="rId2296"/><Relationship Type="http://schemas.openxmlformats.org/officeDocument/2006/relationships/hyperlink" Target="https://scryfall.com/sets/tevg" TargetMode="External" Id="rId2297"/><Relationship Type="http://schemas.openxmlformats.org/officeDocument/2006/relationships/hyperlink" Target="https://scryfall.com/sets/tevg" TargetMode="External" Id="rId2298"/><Relationship Type="http://schemas.openxmlformats.org/officeDocument/2006/relationships/hyperlink" Target="https://scryfall.com/sets/tevg" TargetMode="External" Id="rId2299"/><Relationship Type="http://schemas.openxmlformats.org/officeDocument/2006/relationships/hyperlink" Target="https://scryfall.com/sets/tevg" TargetMode="External" Id="rId2300"/><Relationship Type="http://schemas.openxmlformats.org/officeDocument/2006/relationships/hyperlink" Target="https://scryfall.com/sets/gvl" TargetMode="External" Id="rId2301"/><Relationship Type="http://schemas.openxmlformats.org/officeDocument/2006/relationships/hyperlink" Target="https://scryfall.com/sets/gvl" TargetMode="External" Id="rId2302"/><Relationship Type="http://schemas.openxmlformats.org/officeDocument/2006/relationships/hyperlink" Target="https://scryfall.com/sets/gvl" TargetMode="External" Id="rId2303"/><Relationship Type="http://schemas.openxmlformats.org/officeDocument/2006/relationships/hyperlink" Target="https://scryfall.com/sets/gvl" TargetMode="External" Id="rId2304"/><Relationship Type="http://schemas.openxmlformats.org/officeDocument/2006/relationships/hyperlink" Target="https://scryfall.com/sets/tgvl" TargetMode="External" Id="rId2305"/><Relationship Type="http://schemas.openxmlformats.org/officeDocument/2006/relationships/hyperlink" Target="https://scryfall.com/sets/tgvl" TargetMode="External" Id="rId2306"/><Relationship Type="http://schemas.openxmlformats.org/officeDocument/2006/relationships/hyperlink" Target="https://scryfall.com/sets/tgvl" TargetMode="External" Id="rId2307"/><Relationship Type="http://schemas.openxmlformats.org/officeDocument/2006/relationships/hyperlink" Target="https://scryfall.com/sets/tgvl" TargetMode="External" Id="rId2308"/><Relationship Type="http://schemas.openxmlformats.org/officeDocument/2006/relationships/hyperlink" Target="https://scryfall.com/sets/jvc" TargetMode="External" Id="rId2309"/><Relationship Type="http://schemas.openxmlformats.org/officeDocument/2006/relationships/hyperlink" Target="https://scryfall.com/sets/jvc" TargetMode="External" Id="rId2310"/><Relationship Type="http://schemas.openxmlformats.org/officeDocument/2006/relationships/hyperlink" Target="https://scryfall.com/sets/jvc" TargetMode="External" Id="rId2311"/><Relationship Type="http://schemas.openxmlformats.org/officeDocument/2006/relationships/hyperlink" Target="https://scryfall.com/sets/jvc" TargetMode="External" Id="rId2312"/><Relationship Type="http://schemas.openxmlformats.org/officeDocument/2006/relationships/hyperlink" Target="https://scryfall.com/sets/tjvc" TargetMode="External" Id="rId2313"/><Relationship Type="http://schemas.openxmlformats.org/officeDocument/2006/relationships/hyperlink" Target="https://scryfall.com/sets/tjvc" TargetMode="External" Id="rId2314"/><Relationship Type="http://schemas.openxmlformats.org/officeDocument/2006/relationships/hyperlink" Target="https://scryfall.com/sets/tjvc" TargetMode="External" Id="rId2315"/><Relationship Type="http://schemas.openxmlformats.org/officeDocument/2006/relationships/hyperlink" Target="https://scryfall.com/sets/tjvc" TargetMode="External" Id="rId2316"/><Relationship Type="http://schemas.openxmlformats.org/officeDocument/2006/relationships/hyperlink" Target="https://scryfall.com/sets/dvd" TargetMode="External" Id="rId2317"/><Relationship Type="http://schemas.openxmlformats.org/officeDocument/2006/relationships/hyperlink" Target="https://scryfall.com/sets/dvd" TargetMode="External" Id="rId2318"/><Relationship Type="http://schemas.openxmlformats.org/officeDocument/2006/relationships/hyperlink" Target="https://scryfall.com/sets/dvd" TargetMode="External" Id="rId2319"/><Relationship Type="http://schemas.openxmlformats.org/officeDocument/2006/relationships/hyperlink" Target="https://scryfall.com/sets/dvd" TargetMode="External" Id="rId2320"/><Relationship Type="http://schemas.openxmlformats.org/officeDocument/2006/relationships/hyperlink" Target="https://scryfall.com/sets/tdvd" TargetMode="External" Id="rId2321"/><Relationship Type="http://schemas.openxmlformats.org/officeDocument/2006/relationships/hyperlink" Target="https://scryfall.com/sets/tdvd" TargetMode="External" Id="rId2322"/><Relationship Type="http://schemas.openxmlformats.org/officeDocument/2006/relationships/hyperlink" Target="https://scryfall.com/sets/tdvd" TargetMode="External" Id="rId2323"/><Relationship Type="http://schemas.openxmlformats.org/officeDocument/2006/relationships/hyperlink" Target="https://scryfall.com/sets/tdvd" TargetMode="External" Id="rId2324"/><Relationship Type="http://schemas.openxmlformats.org/officeDocument/2006/relationships/hyperlink" Target="https://scryfall.com/sets/c14" TargetMode="External" Id="rId2325"/><Relationship Type="http://schemas.openxmlformats.org/officeDocument/2006/relationships/hyperlink" Target="https://scryfall.com/sets/c14" TargetMode="External" Id="rId2326"/><Relationship Type="http://schemas.openxmlformats.org/officeDocument/2006/relationships/hyperlink" Target="https://scryfall.com/sets/c14" TargetMode="External" Id="rId2327"/><Relationship Type="http://schemas.openxmlformats.org/officeDocument/2006/relationships/hyperlink" Target="https://scryfall.com/sets/tc14" TargetMode="External" Id="rId2328"/><Relationship Type="http://schemas.openxmlformats.org/officeDocument/2006/relationships/hyperlink" Target="https://scryfall.com/sets/tc14" TargetMode="External" Id="rId2329"/><Relationship Type="http://schemas.openxmlformats.org/officeDocument/2006/relationships/hyperlink" Target="https://scryfall.com/sets/tc14" TargetMode="External" Id="rId2330"/><Relationship Type="http://schemas.openxmlformats.org/officeDocument/2006/relationships/hyperlink" Target="https://scryfall.com/sets/tc14" TargetMode="External" Id="rId2331"/><Relationship Type="http://schemas.openxmlformats.org/officeDocument/2006/relationships/hyperlink" Target="https://scryfall.com/sets/oc14" TargetMode="External" Id="rId2332"/><Relationship Type="http://schemas.openxmlformats.org/officeDocument/2006/relationships/hyperlink" Target="https://scryfall.com/sets/oc14" TargetMode="External" Id="rId2333"/><Relationship Type="http://schemas.openxmlformats.org/officeDocument/2006/relationships/hyperlink" Target="https://scryfall.com/sets/oc14" TargetMode="External" Id="rId2334"/><Relationship Type="http://schemas.openxmlformats.org/officeDocument/2006/relationships/hyperlink" Target="https://scryfall.com/sets/oc14" TargetMode="External" Id="rId2335"/><Relationship Type="http://schemas.openxmlformats.org/officeDocument/2006/relationships/hyperlink" Target="https://scryfall.com/sets/ktk" TargetMode="External" Id="rId2336"/><Relationship Type="http://schemas.openxmlformats.org/officeDocument/2006/relationships/hyperlink" Target="https://scryfall.com/sets/ktk" TargetMode="External" Id="rId2337"/><Relationship Type="http://schemas.openxmlformats.org/officeDocument/2006/relationships/hyperlink" Target="https://scryfall.com/sets/ktk" TargetMode="External" Id="rId2338"/><Relationship Type="http://schemas.openxmlformats.org/officeDocument/2006/relationships/hyperlink" Target="https://scryfall.com/sets/pktk" TargetMode="External" Id="rId2339"/><Relationship Type="http://schemas.openxmlformats.org/officeDocument/2006/relationships/hyperlink" Target="https://scryfall.com/sets/pktk" TargetMode="External" Id="rId2340"/><Relationship Type="http://schemas.openxmlformats.org/officeDocument/2006/relationships/hyperlink" Target="https://scryfall.com/sets/pktk" TargetMode="External" Id="rId2341"/><Relationship Type="http://schemas.openxmlformats.org/officeDocument/2006/relationships/hyperlink" Target="https://scryfall.com/sets/pktk" TargetMode="External" Id="rId2342"/><Relationship Type="http://schemas.openxmlformats.org/officeDocument/2006/relationships/hyperlink" Target="https://scryfall.com/sets/tktk" TargetMode="External" Id="rId2343"/><Relationship Type="http://schemas.openxmlformats.org/officeDocument/2006/relationships/hyperlink" Target="https://scryfall.com/sets/tktk" TargetMode="External" Id="rId2344"/><Relationship Type="http://schemas.openxmlformats.org/officeDocument/2006/relationships/hyperlink" Target="https://scryfall.com/sets/tktk" TargetMode="External" Id="rId2345"/><Relationship Type="http://schemas.openxmlformats.org/officeDocument/2006/relationships/hyperlink" Target="https://scryfall.com/sets/tktk" TargetMode="External" Id="rId2346"/><Relationship Type="http://schemas.openxmlformats.org/officeDocument/2006/relationships/hyperlink" Target="https://scryfall.com/sets/ddn" TargetMode="External" Id="rId2347"/><Relationship Type="http://schemas.openxmlformats.org/officeDocument/2006/relationships/hyperlink" Target="https://scryfall.com/sets/ddn" TargetMode="External" Id="rId2348"/><Relationship Type="http://schemas.openxmlformats.org/officeDocument/2006/relationships/hyperlink" Target="https://scryfall.com/sets/ddn" TargetMode="External" Id="rId2349"/><Relationship Type="http://schemas.openxmlformats.org/officeDocument/2006/relationships/hyperlink" Target="https://scryfall.com/sets/v14" TargetMode="External" Id="rId2350"/><Relationship Type="http://schemas.openxmlformats.org/officeDocument/2006/relationships/hyperlink" Target="https://scryfall.com/sets/v14" TargetMode="External" Id="rId2351"/><Relationship Type="http://schemas.openxmlformats.org/officeDocument/2006/relationships/hyperlink" Target="https://scryfall.com/sets/v14" TargetMode="External" Id="rId2352"/><Relationship Type="http://schemas.openxmlformats.org/officeDocument/2006/relationships/hyperlink" Target="https://scryfall.com/sets/v14" TargetMode="External" Id="rId2353"/><Relationship Type="http://schemas.openxmlformats.org/officeDocument/2006/relationships/hyperlink" Target="https://scryfall.com/sets/m15" TargetMode="External" Id="rId2354"/><Relationship Type="http://schemas.openxmlformats.org/officeDocument/2006/relationships/hyperlink" Target="https://scryfall.com/sets/m15" TargetMode="External" Id="rId2355"/><Relationship Type="http://schemas.openxmlformats.org/officeDocument/2006/relationships/hyperlink" Target="https://scryfall.com/sets/m15" TargetMode="External" Id="rId2356"/><Relationship Type="http://schemas.openxmlformats.org/officeDocument/2006/relationships/hyperlink" Target="https://scryfall.com/sets/pm15" TargetMode="External" Id="rId2357"/><Relationship Type="http://schemas.openxmlformats.org/officeDocument/2006/relationships/hyperlink" Target="https://scryfall.com/sets/pm15" TargetMode="External" Id="rId2358"/><Relationship Type="http://schemas.openxmlformats.org/officeDocument/2006/relationships/hyperlink" Target="https://scryfall.com/sets/pm15" TargetMode="External" Id="rId2359"/><Relationship Type="http://schemas.openxmlformats.org/officeDocument/2006/relationships/hyperlink" Target="https://scryfall.com/sets/pm15" TargetMode="External" Id="rId2360"/><Relationship Type="http://schemas.openxmlformats.org/officeDocument/2006/relationships/hyperlink" Target="https://scryfall.com/sets/tm15" TargetMode="External" Id="rId2361"/><Relationship Type="http://schemas.openxmlformats.org/officeDocument/2006/relationships/hyperlink" Target="https://scryfall.com/sets/tm15" TargetMode="External" Id="rId2362"/><Relationship Type="http://schemas.openxmlformats.org/officeDocument/2006/relationships/hyperlink" Target="https://scryfall.com/sets/tm15" TargetMode="External" Id="rId2363"/><Relationship Type="http://schemas.openxmlformats.org/officeDocument/2006/relationships/hyperlink" Target="https://scryfall.com/sets/tm15" TargetMode="External" Id="rId2364"/><Relationship Type="http://schemas.openxmlformats.org/officeDocument/2006/relationships/hyperlink" Target="https://scryfall.com/sets/cp1" TargetMode="External" Id="rId2365"/><Relationship Type="http://schemas.openxmlformats.org/officeDocument/2006/relationships/hyperlink" Target="https://scryfall.com/sets/cp1" TargetMode="External" Id="rId2366"/><Relationship Type="http://schemas.openxmlformats.org/officeDocument/2006/relationships/hyperlink" Target="https://scryfall.com/sets/cp1" TargetMode="External" Id="rId2367"/><Relationship Type="http://schemas.openxmlformats.org/officeDocument/2006/relationships/hyperlink" Target="https://scryfall.com/sets/cp1" TargetMode="External" Id="rId2368"/><Relationship Type="http://schemas.openxmlformats.org/officeDocument/2006/relationships/hyperlink" Target="https://scryfall.com/sets/ppc1" TargetMode="External" Id="rId2369"/><Relationship Type="http://schemas.openxmlformats.org/officeDocument/2006/relationships/hyperlink" Target="https://scryfall.com/sets/ppc1" TargetMode="External" Id="rId2370"/><Relationship Type="http://schemas.openxmlformats.org/officeDocument/2006/relationships/hyperlink" Target="https://scryfall.com/sets/ppc1" TargetMode="External" Id="rId2371"/><Relationship Type="http://schemas.openxmlformats.org/officeDocument/2006/relationships/hyperlink" Target="https://scryfall.com/sets/ppc1" TargetMode="External" Id="rId2372"/><Relationship Type="http://schemas.openxmlformats.org/officeDocument/2006/relationships/hyperlink" Target="https://scryfall.com/sets/pdp15" TargetMode="External" Id="rId2373"/><Relationship Type="http://schemas.openxmlformats.org/officeDocument/2006/relationships/hyperlink" Target="https://scryfall.com/sets/pdp15" TargetMode="External" Id="rId2374"/><Relationship Type="http://schemas.openxmlformats.org/officeDocument/2006/relationships/hyperlink" Target="https://scryfall.com/sets/pdp15" TargetMode="External" Id="rId2375"/><Relationship Type="http://schemas.openxmlformats.org/officeDocument/2006/relationships/hyperlink" Target="https://scryfall.com/sets/pdp15" TargetMode="External" Id="rId2376"/><Relationship Type="http://schemas.openxmlformats.org/officeDocument/2006/relationships/hyperlink" Target="https://scryfall.com/sets/ps14" TargetMode="External" Id="rId2377"/><Relationship Type="http://schemas.openxmlformats.org/officeDocument/2006/relationships/hyperlink" Target="https://scryfall.com/sets/ps14" TargetMode="External" Id="rId2378"/><Relationship Type="http://schemas.openxmlformats.org/officeDocument/2006/relationships/hyperlink" Target="https://scryfall.com/sets/ps14" TargetMode="External" Id="rId2379"/><Relationship Type="http://schemas.openxmlformats.org/officeDocument/2006/relationships/hyperlink" Target="https://scryfall.com/sets/ps14" TargetMode="External" Id="rId2380"/><Relationship Type="http://schemas.openxmlformats.org/officeDocument/2006/relationships/hyperlink" Target="https://scryfall.com/sets/vma" TargetMode="External" Id="rId2381"/><Relationship Type="http://schemas.openxmlformats.org/officeDocument/2006/relationships/hyperlink" Target="https://scryfall.com/sets/vma" TargetMode="External" Id="rId2382"/><Relationship Type="http://schemas.openxmlformats.org/officeDocument/2006/relationships/hyperlink" Target="https://scryfall.com/sets/vma" TargetMode="External" Id="rId2383"/><Relationship Type="http://schemas.openxmlformats.org/officeDocument/2006/relationships/hyperlink" Target="https://scryfall.com/sets/vma" TargetMode="External" Id="rId2384"/><Relationship Type="http://schemas.openxmlformats.org/officeDocument/2006/relationships/hyperlink" Target="https://scryfall.com/sets/cns" TargetMode="External" Id="rId2385"/><Relationship Type="http://schemas.openxmlformats.org/officeDocument/2006/relationships/hyperlink" Target="https://scryfall.com/sets/cns" TargetMode="External" Id="rId2386"/><Relationship Type="http://schemas.openxmlformats.org/officeDocument/2006/relationships/hyperlink" Target="https://scryfall.com/sets/cns" TargetMode="External" Id="rId2387"/><Relationship Type="http://schemas.openxmlformats.org/officeDocument/2006/relationships/hyperlink" Target="https://scryfall.com/sets/pcns" TargetMode="External" Id="rId2388"/><Relationship Type="http://schemas.openxmlformats.org/officeDocument/2006/relationships/hyperlink" Target="https://scryfall.com/sets/pcns" TargetMode="External" Id="rId2389"/><Relationship Type="http://schemas.openxmlformats.org/officeDocument/2006/relationships/hyperlink" Target="https://scryfall.com/sets/pcns" TargetMode="External" Id="rId2390"/><Relationship Type="http://schemas.openxmlformats.org/officeDocument/2006/relationships/hyperlink" Target="https://scryfall.com/sets/pcns" TargetMode="External" Id="rId2391"/><Relationship Type="http://schemas.openxmlformats.org/officeDocument/2006/relationships/hyperlink" Target="https://scryfall.com/sets/tcns" TargetMode="External" Id="rId2392"/><Relationship Type="http://schemas.openxmlformats.org/officeDocument/2006/relationships/hyperlink" Target="https://scryfall.com/sets/tcns" TargetMode="External" Id="rId2393"/><Relationship Type="http://schemas.openxmlformats.org/officeDocument/2006/relationships/hyperlink" Target="https://scryfall.com/sets/tcns" TargetMode="External" Id="rId2394"/><Relationship Type="http://schemas.openxmlformats.org/officeDocument/2006/relationships/hyperlink" Target="https://scryfall.com/sets/tcns" TargetMode="External" Id="rId2395"/><Relationship Type="http://schemas.openxmlformats.org/officeDocument/2006/relationships/hyperlink" Target="https://scryfall.com/sets/md1" TargetMode="External" Id="rId2396"/><Relationship Type="http://schemas.openxmlformats.org/officeDocument/2006/relationships/hyperlink" Target="https://scryfall.com/sets/md1" TargetMode="External" Id="rId2397"/><Relationship Type="http://schemas.openxmlformats.org/officeDocument/2006/relationships/hyperlink" Target="https://scryfall.com/sets/md1" TargetMode="External" Id="rId2398"/><Relationship Type="http://schemas.openxmlformats.org/officeDocument/2006/relationships/hyperlink" Target="https://scryfall.com/sets/md1" TargetMode="External" Id="rId2399"/><Relationship Type="http://schemas.openxmlformats.org/officeDocument/2006/relationships/hyperlink" Target="https://scryfall.com/sets/tmd1" TargetMode="External" Id="rId2400"/><Relationship Type="http://schemas.openxmlformats.org/officeDocument/2006/relationships/hyperlink" Target="https://scryfall.com/sets/tmd1" TargetMode="External" Id="rId2401"/><Relationship Type="http://schemas.openxmlformats.org/officeDocument/2006/relationships/hyperlink" Target="https://scryfall.com/sets/tmd1" TargetMode="External" Id="rId2402"/><Relationship Type="http://schemas.openxmlformats.org/officeDocument/2006/relationships/hyperlink" Target="https://scryfall.com/sets/tmd1" TargetMode="External" Id="rId2403"/><Relationship Type="http://schemas.openxmlformats.org/officeDocument/2006/relationships/hyperlink" Target="https://scryfall.com/sets/jou" TargetMode="External" Id="rId2404"/><Relationship Type="http://schemas.openxmlformats.org/officeDocument/2006/relationships/hyperlink" Target="https://scryfall.com/sets/jou" TargetMode="External" Id="rId2405"/><Relationship Type="http://schemas.openxmlformats.org/officeDocument/2006/relationships/hyperlink" Target="https://scryfall.com/sets/jou" TargetMode="External" Id="rId2406"/><Relationship Type="http://schemas.openxmlformats.org/officeDocument/2006/relationships/hyperlink" Target="https://scryfall.com/sets/pjou" TargetMode="External" Id="rId2407"/><Relationship Type="http://schemas.openxmlformats.org/officeDocument/2006/relationships/hyperlink" Target="https://scryfall.com/sets/pjou" TargetMode="External" Id="rId2408"/><Relationship Type="http://schemas.openxmlformats.org/officeDocument/2006/relationships/hyperlink" Target="https://scryfall.com/sets/pjou" TargetMode="External" Id="rId2409"/><Relationship Type="http://schemas.openxmlformats.org/officeDocument/2006/relationships/hyperlink" Target="https://scryfall.com/sets/pjou" TargetMode="External" Id="rId2410"/><Relationship Type="http://schemas.openxmlformats.org/officeDocument/2006/relationships/hyperlink" Target="https://scryfall.com/sets/tjou" TargetMode="External" Id="rId2411"/><Relationship Type="http://schemas.openxmlformats.org/officeDocument/2006/relationships/hyperlink" Target="https://scryfall.com/sets/tjou" TargetMode="External" Id="rId2412"/><Relationship Type="http://schemas.openxmlformats.org/officeDocument/2006/relationships/hyperlink" Target="https://scryfall.com/sets/tjou" TargetMode="External" Id="rId2413"/><Relationship Type="http://schemas.openxmlformats.org/officeDocument/2006/relationships/hyperlink" Target="https://scryfall.com/sets/tjou" TargetMode="External" Id="rId2414"/><Relationship Type="http://schemas.openxmlformats.org/officeDocument/2006/relationships/hyperlink" Target="https://scryfall.com/sets/tdag" TargetMode="External" Id="rId2415"/><Relationship Type="http://schemas.openxmlformats.org/officeDocument/2006/relationships/hyperlink" Target="https://scryfall.com/sets/tdag" TargetMode="External" Id="rId2416"/><Relationship Type="http://schemas.openxmlformats.org/officeDocument/2006/relationships/hyperlink" Target="https://scryfall.com/sets/tdag" TargetMode="External" Id="rId2417"/><Relationship Type="http://schemas.openxmlformats.org/officeDocument/2006/relationships/hyperlink" Target="https://scryfall.com/sets/tdag" TargetMode="External" Id="rId2418"/><Relationship Type="http://schemas.openxmlformats.org/officeDocument/2006/relationships/hyperlink" Target="https://scryfall.com/sets/thp3" TargetMode="External" Id="rId2419"/><Relationship Type="http://schemas.openxmlformats.org/officeDocument/2006/relationships/hyperlink" Target="https://scryfall.com/sets/thp3" TargetMode="External" Id="rId2420"/><Relationship Type="http://schemas.openxmlformats.org/officeDocument/2006/relationships/hyperlink" Target="https://scryfall.com/sets/thp3" TargetMode="External" Id="rId2421"/><Relationship Type="http://schemas.openxmlformats.org/officeDocument/2006/relationships/hyperlink" Target="https://scryfall.com/sets/thp3" TargetMode="External" Id="rId2422"/><Relationship Type="http://schemas.openxmlformats.org/officeDocument/2006/relationships/hyperlink" Target="https://scryfall.com/sets/ddm" TargetMode="External" Id="rId2423"/><Relationship Type="http://schemas.openxmlformats.org/officeDocument/2006/relationships/hyperlink" Target="https://scryfall.com/sets/ddm" TargetMode="External" Id="rId2424"/><Relationship Type="http://schemas.openxmlformats.org/officeDocument/2006/relationships/hyperlink" Target="https://scryfall.com/sets/ddm" TargetMode="External" Id="rId2425"/><Relationship Type="http://schemas.openxmlformats.org/officeDocument/2006/relationships/hyperlink" Target="https://scryfall.com/sets/tddm" TargetMode="External" Id="rId2426"/><Relationship Type="http://schemas.openxmlformats.org/officeDocument/2006/relationships/hyperlink" Target="https://scryfall.com/sets/tddm" TargetMode="External" Id="rId2427"/><Relationship Type="http://schemas.openxmlformats.org/officeDocument/2006/relationships/hyperlink" Target="https://scryfall.com/sets/tddm" TargetMode="External" Id="rId2428"/><Relationship Type="http://schemas.openxmlformats.org/officeDocument/2006/relationships/hyperlink" Target="https://scryfall.com/sets/tddm" TargetMode="External" Id="rId2429"/><Relationship Type="http://schemas.openxmlformats.org/officeDocument/2006/relationships/hyperlink" Target="https://scryfall.com/sets/bng" TargetMode="External" Id="rId2430"/><Relationship Type="http://schemas.openxmlformats.org/officeDocument/2006/relationships/hyperlink" Target="https://scryfall.com/sets/bng" TargetMode="External" Id="rId2431"/><Relationship Type="http://schemas.openxmlformats.org/officeDocument/2006/relationships/hyperlink" Target="https://scryfall.com/sets/bng" TargetMode="External" Id="rId2432"/><Relationship Type="http://schemas.openxmlformats.org/officeDocument/2006/relationships/hyperlink" Target="https://scryfall.com/sets/pbng" TargetMode="External" Id="rId2433"/><Relationship Type="http://schemas.openxmlformats.org/officeDocument/2006/relationships/hyperlink" Target="https://scryfall.com/sets/pbng" TargetMode="External" Id="rId2434"/><Relationship Type="http://schemas.openxmlformats.org/officeDocument/2006/relationships/hyperlink" Target="https://scryfall.com/sets/pbng" TargetMode="External" Id="rId2435"/><Relationship Type="http://schemas.openxmlformats.org/officeDocument/2006/relationships/hyperlink" Target="https://scryfall.com/sets/pbng" TargetMode="External" Id="rId2436"/><Relationship Type="http://schemas.openxmlformats.org/officeDocument/2006/relationships/hyperlink" Target="https://scryfall.com/sets/tbng" TargetMode="External" Id="rId2437"/><Relationship Type="http://schemas.openxmlformats.org/officeDocument/2006/relationships/hyperlink" Target="https://scryfall.com/sets/tbng" TargetMode="External" Id="rId2438"/><Relationship Type="http://schemas.openxmlformats.org/officeDocument/2006/relationships/hyperlink" Target="https://scryfall.com/sets/tbng" TargetMode="External" Id="rId2439"/><Relationship Type="http://schemas.openxmlformats.org/officeDocument/2006/relationships/hyperlink" Target="https://scryfall.com/sets/tbng" TargetMode="External" Id="rId2440"/><Relationship Type="http://schemas.openxmlformats.org/officeDocument/2006/relationships/hyperlink" Target="https://scryfall.com/sets/tbth" TargetMode="External" Id="rId2441"/><Relationship Type="http://schemas.openxmlformats.org/officeDocument/2006/relationships/hyperlink" Target="https://scryfall.com/sets/tbth" TargetMode="External" Id="rId2442"/><Relationship Type="http://schemas.openxmlformats.org/officeDocument/2006/relationships/hyperlink" Target="https://scryfall.com/sets/tbth" TargetMode="External" Id="rId2443"/><Relationship Type="http://schemas.openxmlformats.org/officeDocument/2006/relationships/hyperlink" Target="https://scryfall.com/sets/tbth" TargetMode="External" Id="rId2444"/><Relationship Type="http://schemas.openxmlformats.org/officeDocument/2006/relationships/hyperlink" Target="https://scryfall.com/sets/thp2" TargetMode="External" Id="rId2445"/><Relationship Type="http://schemas.openxmlformats.org/officeDocument/2006/relationships/hyperlink" Target="https://scryfall.com/sets/thp2" TargetMode="External" Id="rId2446"/><Relationship Type="http://schemas.openxmlformats.org/officeDocument/2006/relationships/hyperlink" Target="https://scryfall.com/sets/thp2" TargetMode="External" Id="rId2447"/><Relationship Type="http://schemas.openxmlformats.org/officeDocument/2006/relationships/hyperlink" Target="https://scryfall.com/sets/thp2" TargetMode="External" Id="rId2448"/><Relationship Type="http://schemas.openxmlformats.org/officeDocument/2006/relationships/hyperlink" Target="https://scryfall.com/sets/l14" TargetMode="External" Id="rId2449"/><Relationship Type="http://schemas.openxmlformats.org/officeDocument/2006/relationships/hyperlink" Target="https://scryfall.com/sets/l14" TargetMode="External" Id="rId2450"/><Relationship Type="http://schemas.openxmlformats.org/officeDocument/2006/relationships/hyperlink" Target="https://scryfall.com/sets/l14" TargetMode="External" Id="rId2451"/><Relationship Type="http://schemas.openxmlformats.org/officeDocument/2006/relationships/hyperlink" Target="https://scryfall.com/sets/l14" TargetMode="External" Id="rId2452"/><Relationship Type="http://schemas.openxmlformats.org/officeDocument/2006/relationships/hyperlink" Target="https://scryfall.com/sets/j14" TargetMode="External" Id="rId2453"/><Relationship Type="http://schemas.openxmlformats.org/officeDocument/2006/relationships/hyperlink" Target="https://scryfall.com/sets/j14" TargetMode="External" Id="rId2454"/><Relationship Type="http://schemas.openxmlformats.org/officeDocument/2006/relationships/hyperlink" Target="https://scryfall.com/sets/j14" TargetMode="External" Id="rId2455"/><Relationship Type="http://schemas.openxmlformats.org/officeDocument/2006/relationships/hyperlink" Target="https://scryfall.com/sets/j14" TargetMode="External" Id="rId2456"/><Relationship Type="http://schemas.openxmlformats.org/officeDocument/2006/relationships/hyperlink" Target="https://scryfall.com/sets/f14" TargetMode="External" Id="rId2457"/><Relationship Type="http://schemas.openxmlformats.org/officeDocument/2006/relationships/hyperlink" Target="https://scryfall.com/sets/f14" TargetMode="External" Id="rId2458"/><Relationship Type="http://schemas.openxmlformats.org/officeDocument/2006/relationships/hyperlink" Target="https://scryfall.com/sets/f14" TargetMode="External" Id="rId2459"/><Relationship Type="http://schemas.openxmlformats.org/officeDocument/2006/relationships/hyperlink" Target="https://scryfall.com/sets/f14" TargetMode="External" Id="rId2460"/><Relationship Type="http://schemas.openxmlformats.org/officeDocument/2006/relationships/hyperlink" Target="https://scryfall.com/sets/c13" TargetMode="External" Id="rId2461"/><Relationship Type="http://schemas.openxmlformats.org/officeDocument/2006/relationships/hyperlink" Target="https://scryfall.com/sets/c13" TargetMode="External" Id="rId2462"/><Relationship Type="http://schemas.openxmlformats.org/officeDocument/2006/relationships/hyperlink" Target="https://scryfall.com/sets/c13" TargetMode="External" Id="rId2463"/><Relationship Type="http://schemas.openxmlformats.org/officeDocument/2006/relationships/hyperlink" Target="https://scryfall.com/sets/oc13" TargetMode="External" Id="rId2464"/><Relationship Type="http://schemas.openxmlformats.org/officeDocument/2006/relationships/hyperlink" Target="https://scryfall.com/sets/oc13" TargetMode="External" Id="rId2465"/><Relationship Type="http://schemas.openxmlformats.org/officeDocument/2006/relationships/hyperlink" Target="https://scryfall.com/sets/oc13" TargetMode="External" Id="rId2466"/><Relationship Type="http://schemas.openxmlformats.org/officeDocument/2006/relationships/hyperlink" Target="https://scryfall.com/sets/oc13" TargetMode="External" Id="rId2467"/><Relationship Type="http://schemas.openxmlformats.org/officeDocument/2006/relationships/hyperlink" Target="https://scryfall.com/sets/ths" TargetMode="External" Id="rId2468"/><Relationship Type="http://schemas.openxmlformats.org/officeDocument/2006/relationships/hyperlink" Target="https://scryfall.com/sets/ths" TargetMode="External" Id="rId2469"/><Relationship Type="http://schemas.openxmlformats.org/officeDocument/2006/relationships/hyperlink" Target="https://scryfall.com/sets/ths" TargetMode="External" Id="rId2470"/><Relationship Type="http://schemas.openxmlformats.org/officeDocument/2006/relationships/hyperlink" Target="https://scryfall.com/sets/pths" TargetMode="External" Id="rId2471"/><Relationship Type="http://schemas.openxmlformats.org/officeDocument/2006/relationships/hyperlink" Target="https://scryfall.com/sets/pths" TargetMode="External" Id="rId2472"/><Relationship Type="http://schemas.openxmlformats.org/officeDocument/2006/relationships/hyperlink" Target="https://scryfall.com/sets/pths" TargetMode="External" Id="rId2473"/><Relationship Type="http://schemas.openxmlformats.org/officeDocument/2006/relationships/hyperlink" Target="https://scryfall.com/sets/pths" TargetMode="External" Id="rId2474"/><Relationship Type="http://schemas.openxmlformats.org/officeDocument/2006/relationships/hyperlink" Target="https://scryfall.com/sets/tths" TargetMode="External" Id="rId2475"/><Relationship Type="http://schemas.openxmlformats.org/officeDocument/2006/relationships/hyperlink" Target="https://scryfall.com/sets/tths" TargetMode="External" Id="rId2476"/><Relationship Type="http://schemas.openxmlformats.org/officeDocument/2006/relationships/hyperlink" Target="https://scryfall.com/sets/tths" TargetMode="External" Id="rId2477"/><Relationship Type="http://schemas.openxmlformats.org/officeDocument/2006/relationships/hyperlink" Target="https://scryfall.com/sets/tths" TargetMode="External" Id="rId2478"/><Relationship Type="http://schemas.openxmlformats.org/officeDocument/2006/relationships/hyperlink" Target="https://scryfall.com/sets/tfth" TargetMode="External" Id="rId2479"/><Relationship Type="http://schemas.openxmlformats.org/officeDocument/2006/relationships/hyperlink" Target="https://scryfall.com/sets/tfth" TargetMode="External" Id="rId2480"/><Relationship Type="http://schemas.openxmlformats.org/officeDocument/2006/relationships/hyperlink" Target="https://scryfall.com/sets/tfth" TargetMode="External" Id="rId2481"/><Relationship Type="http://schemas.openxmlformats.org/officeDocument/2006/relationships/hyperlink" Target="https://scryfall.com/sets/tfth" TargetMode="External" Id="rId2482"/><Relationship Type="http://schemas.openxmlformats.org/officeDocument/2006/relationships/hyperlink" Target="https://scryfall.com/sets/thp1" TargetMode="External" Id="rId2483"/><Relationship Type="http://schemas.openxmlformats.org/officeDocument/2006/relationships/hyperlink" Target="https://scryfall.com/sets/thp1" TargetMode="External" Id="rId2484"/><Relationship Type="http://schemas.openxmlformats.org/officeDocument/2006/relationships/hyperlink" Target="https://scryfall.com/sets/thp1" TargetMode="External" Id="rId2485"/><Relationship Type="http://schemas.openxmlformats.org/officeDocument/2006/relationships/hyperlink" Target="https://scryfall.com/sets/thp1" TargetMode="External" Id="rId2486"/><Relationship Type="http://schemas.openxmlformats.org/officeDocument/2006/relationships/hyperlink" Target="https://scryfall.com/sets/ddl" TargetMode="External" Id="rId2487"/><Relationship Type="http://schemas.openxmlformats.org/officeDocument/2006/relationships/hyperlink" Target="https://scryfall.com/sets/ddl" TargetMode="External" Id="rId2488"/><Relationship Type="http://schemas.openxmlformats.org/officeDocument/2006/relationships/hyperlink" Target="https://scryfall.com/sets/ddl" TargetMode="External" Id="rId2489"/><Relationship Type="http://schemas.openxmlformats.org/officeDocument/2006/relationships/hyperlink" Target="https://scryfall.com/sets/tddl" TargetMode="External" Id="rId2490"/><Relationship Type="http://schemas.openxmlformats.org/officeDocument/2006/relationships/hyperlink" Target="https://scryfall.com/sets/tddl" TargetMode="External" Id="rId2491"/><Relationship Type="http://schemas.openxmlformats.org/officeDocument/2006/relationships/hyperlink" Target="https://scryfall.com/sets/tddl" TargetMode="External" Id="rId2492"/><Relationship Type="http://schemas.openxmlformats.org/officeDocument/2006/relationships/hyperlink" Target="https://scryfall.com/sets/tddl" TargetMode="External" Id="rId2493"/><Relationship Type="http://schemas.openxmlformats.org/officeDocument/2006/relationships/hyperlink" Target="https://scryfall.com/sets/v13" TargetMode="External" Id="rId2494"/><Relationship Type="http://schemas.openxmlformats.org/officeDocument/2006/relationships/hyperlink" Target="https://scryfall.com/sets/v13" TargetMode="External" Id="rId2495"/><Relationship Type="http://schemas.openxmlformats.org/officeDocument/2006/relationships/hyperlink" Target="https://scryfall.com/sets/v13" TargetMode="External" Id="rId2496"/><Relationship Type="http://schemas.openxmlformats.org/officeDocument/2006/relationships/hyperlink" Target="https://scryfall.com/sets/v13" TargetMode="External" Id="rId2497"/><Relationship Type="http://schemas.openxmlformats.org/officeDocument/2006/relationships/hyperlink" Target="https://scryfall.com/sets/m14" TargetMode="External" Id="rId2498"/><Relationship Type="http://schemas.openxmlformats.org/officeDocument/2006/relationships/hyperlink" Target="https://scryfall.com/sets/m14" TargetMode="External" Id="rId2499"/><Relationship Type="http://schemas.openxmlformats.org/officeDocument/2006/relationships/hyperlink" Target="https://scryfall.com/sets/m14" TargetMode="External" Id="rId2500"/><Relationship Type="http://schemas.openxmlformats.org/officeDocument/2006/relationships/hyperlink" Target="https://scryfall.com/sets/pm14" TargetMode="External" Id="rId2501"/><Relationship Type="http://schemas.openxmlformats.org/officeDocument/2006/relationships/hyperlink" Target="https://scryfall.com/sets/pm14" TargetMode="External" Id="rId2502"/><Relationship Type="http://schemas.openxmlformats.org/officeDocument/2006/relationships/hyperlink" Target="https://scryfall.com/sets/pm14" TargetMode="External" Id="rId2503"/><Relationship Type="http://schemas.openxmlformats.org/officeDocument/2006/relationships/hyperlink" Target="https://scryfall.com/sets/pm14" TargetMode="External" Id="rId2504"/><Relationship Type="http://schemas.openxmlformats.org/officeDocument/2006/relationships/hyperlink" Target="https://scryfall.com/sets/tm14" TargetMode="External" Id="rId2505"/><Relationship Type="http://schemas.openxmlformats.org/officeDocument/2006/relationships/hyperlink" Target="https://scryfall.com/sets/tm14" TargetMode="External" Id="rId2506"/><Relationship Type="http://schemas.openxmlformats.org/officeDocument/2006/relationships/hyperlink" Target="https://scryfall.com/sets/tm14" TargetMode="External" Id="rId2507"/><Relationship Type="http://schemas.openxmlformats.org/officeDocument/2006/relationships/hyperlink" Target="https://scryfall.com/sets/tm14" TargetMode="External" Id="rId2508"/><Relationship Type="http://schemas.openxmlformats.org/officeDocument/2006/relationships/hyperlink" Target="https://scryfall.com/sets/psdc" TargetMode="External" Id="rId2509"/><Relationship Type="http://schemas.openxmlformats.org/officeDocument/2006/relationships/hyperlink" Target="https://scryfall.com/sets/psdc" TargetMode="External" Id="rId2510"/><Relationship Type="http://schemas.openxmlformats.org/officeDocument/2006/relationships/hyperlink" Target="https://scryfall.com/sets/psdc" TargetMode="External" Id="rId2511"/><Relationship Type="http://schemas.openxmlformats.org/officeDocument/2006/relationships/hyperlink" Target="https://scryfall.com/sets/psdc" TargetMode="External" Id="rId2512"/><Relationship Type="http://schemas.openxmlformats.org/officeDocument/2006/relationships/hyperlink" Target="https://scryfall.com/sets/mma" TargetMode="External" Id="rId2513"/><Relationship Type="http://schemas.openxmlformats.org/officeDocument/2006/relationships/hyperlink" Target="https://scryfall.com/sets/mma" TargetMode="External" Id="rId2514"/><Relationship Type="http://schemas.openxmlformats.org/officeDocument/2006/relationships/hyperlink" Target="https://scryfall.com/sets/mma" TargetMode="External" Id="rId2515"/><Relationship Type="http://schemas.openxmlformats.org/officeDocument/2006/relationships/hyperlink" Target="https://scryfall.com/sets/mma" TargetMode="External" Id="rId2516"/><Relationship Type="http://schemas.openxmlformats.org/officeDocument/2006/relationships/hyperlink" Target="https://scryfall.com/sets/tmma" TargetMode="External" Id="rId2517"/><Relationship Type="http://schemas.openxmlformats.org/officeDocument/2006/relationships/hyperlink" Target="https://scryfall.com/sets/tmma" TargetMode="External" Id="rId2518"/><Relationship Type="http://schemas.openxmlformats.org/officeDocument/2006/relationships/hyperlink" Target="https://scryfall.com/sets/tmma" TargetMode="External" Id="rId2519"/><Relationship Type="http://schemas.openxmlformats.org/officeDocument/2006/relationships/hyperlink" Target="https://scryfall.com/sets/tmma" TargetMode="External" Id="rId2520"/><Relationship Type="http://schemas.openxmlformats.org/officeDocument/2006/relationships/hyperlink" Target="https://scryfall.com/sets/dgm" TargetMode="External" Id="rId2521"/><Relationship Type="http://schemas.openxmlformats.org/officeDocument/2006/relationships/hyperlink" Target="https://scryfall.com/sets/dgm" TargetMode="External" Id="rId2522"/><Relationship Type="http://schemas.openxmlformats.org/officeDocument/2006/relationships/hyperlink" Target="https://scryfall.com/sets/dgm" TargetMode="External" Id="rId2523"/><Relationship Type="http://schemas.openxmlformats.org/officeDocument/2006/relationships/hyperlink" Target="https://scryfall.com/sets/pdgm" TargetMode="External" Id="rId2524"/><Relationship Type="http://schemas.openxmlformats.org/officeDocument/2006/relationships/hyperlink" Target="https://scryfall.com/sets/pdgm" TargetMode="External" Id="rId2525"/><Relationship Type="http://schemas.openxmlformats.org/officeDocument/2006/relationships/hyperlink" Target="https://scryfall.com/sets/pdgm" TargetMode="External" Id="rId2526"/><Relationship Type="http://schemas.openxmlformats.org/officeDocument/2006/relationships/hyperlink" Target="https://scryfall.com/sets/pdgm" TargetMode="External" Id="rId2527"/><Relationship Type="http://schemas.openxmlformats.org/officeDocument/2006/relationships/hyperlink" Target="https://scryfall.com/sets/tdgm" TargetMode="External" Id="rId2528"/><Relationship Type="http://schemas.openxmlformats.org/officeDocument/2006/relationships/hyperlink" Target="https://scryfall.com/sets/tdgm" TargetMode="External" Id="rId2529"/><Relationship Type="http://schemas.openxmlformats.org/officeDocument/2006/relationships/hyperlink" Target="https://scryfall.com/sets/tdgm" TargetMode="External" Id="rId2530"/><Relationship Type="http://schemas.openxmlformats.org/officeDocument/2006/relationships/hyperlink" Target="https://scryfall.com/sets/tdgm" TargetMode="External" Id="rId2531"/><Relationship Type="http://schemas.openxmlformats.org/officeDocument/2006/relationships/hyperlink" Target="https://scryfall.com/sets/wmc" TargetMode="External" Id="rId2532"/><Relationship Type="http://schemas.openxmlformats.org/officeDocument/2006/relationships/hyperlink" Target="https://scryfall.com/sets/wmc" TargetMode="External" Id="rId2533"/><Relationship Type="http://schemas.openxmlformats.org/officeDocument/2006/relationships/hyperlink" Target="https://scryfall.com/sets/wmc" TargetMode="External" Id="rId2534"/><Relationship Type="http://schemas.openxmlformats.org/officeDocument/2006/relationships/hyperlink" Target="https://scryfall.com/sets/wmc" TargetMode="External" Id="rId2535"/><Relationship Type="http://schemas.openxmlformats.org/officeDocument/2006/relationships/hyperlink" Target="https://scryfall.com/sets/ddk" TargetMode="External" Id="rId2536"/><Relationship Type="http://schemas.openxmlformats.org/officeDocument/2006/relationships/hyperlink" Target="https://scryfall.com/sets/ddk" TargetMode="External" Id="rId2537"/><Relationship Type="http://schemas.openxmlformats.org/officeDocument/2006/relationships/hyperlink" Target="https://scryfall.com/sets/ddk" TargetMode="External" Id="rId2538"/><Relationship Type="http://schemas.openxmlformats.org/officeDocument/2006/relationships/hyperlink" Target="https://scryfall.com/sets/tddk" TargetMode="External" Id="rId2539"/><Relationship Type="http://schemas.openxmlformats.org/officeDocument/2006/relationships/hyperlink" Target="https://scryfall.com/sets/tddk" TargetMode="External" Id="rId2540"/><Relationship Type="http://schemas.openxmlformats.org/officeDocument/2006/relationships/hyperlink" Target="https://scryfall.com/sets/tddk" TargetMode="External" Id="rId2541"/><Relationship Type="http://schemas.openxmlformats.org/officeDocument/2006/relationships/hyperlink" Target="https://scryfall.com/sets/tddk" TargetMode="External" Id="rId2542"/><Relationship Type="http://schemas.openxmlformats.org/officeDocument/2006/relationships/hyperlink" Target="https://scryfall.com/sets/gtc" TargetMode="External" Id="rId2543"/><Relationship Type="http://schemas.openxmlformats.org/officeDocument/2006/relationships/hyperlink" Target="https://scryfall.com/sets/gtc" TargetMode="External" Id="rId2544"/><Relationship Type="http://schemas.openxmlformats.org/officeDocument/2006/relationships/hyperlink" Target="https://scryfall.com/sets/gtc" TargetMode="External" Id="rId2545"/><Relationship Type="http://schemas.openxmlformats.org/officeDocument/2006/relationships/hyperlink" Target="https://scryfall.com/sets/pgtc" TargetMode="External" Id="rId2546"/><Relationship Type="http://schemas.openxmlformats.org/officeDocument/2006/relationships/hyperlink" Target="https://scryfall.com/sets/pgtc" TargetMode="External" Id="rId2547"/><Relationship Type="http://schemas.openxmlformats.org/officeDocument/2006/relationships/hyperlink" Target="https://scryfall.com/sets/pgtc" TargetMode="External" Id="rId2548"/><Relationship Type="http://schemas.openxmlformats.org/officeDocument/2006/relationships/hyperlink" Target="https://scryfall.com/sets/pgtc" TargetMode="External" Id="rId2549"/><Relationship Type="http://schemas.openxmlformats.org/officeDocument/2006/relationships/hyperlink" Target="https://scryfall.com/sets/tgtc" TargetMode="External" Id="rId2550"/><Relationship Type="http://schemas.openxmlformats.org/officeDocument/2006/relationships/hyperlink" Target="https://scryfall.com/sets/tgtc" TargetMode="External" Id="rId2551"/><Relationship Type="http://schemas.openxmlformats.org/officeDocument/2006/relationships/hyperlink" Target="https://scryfall.com/sets/tgtc" TargetMode="External" Id="rId2552"/><Relationship Type="http://schemas.openxmlformats.org/officeDocument/2006/relationships/hyperlink" Target="https://scryfall.com/sets/tgtc" TargetMode="External" Id="rId2553"/><Relationship Type="http://schemas.openxmlformats.org/officeDocument/2006/relationships/hyperlink" Target="https://scryfall.com/sets/pdp14" TargetMode="External" Id="rId2554"/><Relationship Type="http://schemas.openxmlformats.org/officeDocument/2006/relationships/hyperlink" Target="https://scryfall.com/sets/pdp14" TargetMode="External" Id="rId2555"/><Relationship Type="http://schemas.openxmlformats.org/officeDocument/2006/relationships/hyperlink" Target="https://scryfall.com/sets/pdp14" TargetMode="External" Id="rId2556"/><Relationship Type="http://schemas.openxmlformats.org/officeDocument/2006/relationships/hyperlink" Target="https://scryfall.com/sets/pdp14" TargetMode="External" Id="rId2557"/><Relationship Type="http://schemas.openxmlformats.org/officeDocument/2006/relationships/hyperlink" Target="https://scryfall.com/sets/l13" TargetMode="External" Id="rId2558"/><Relationship Type="http://schemas.openxmlformats.org/officeDocument/2006/relationships/hyperlink" Target="https://scryfall.com/sets/l13" TargetMode="External" Id="rId2559"/><Relationship Type="http://schemas.openxmlformats.org/officeDocument/2006/relationships/hyperlink" Target="https://scryfall.com/sets/l13" TargetMode="External" Id="rId2560"/><Relationship Type="http://schemas.openxmlformats.org/officeDocument/2006/relationships/hyperlink" Target="https://scryfall.com/sets/l13" TargetMode="External" Id="rId2561"/><Relationship Type="http://schemas.openxmlformats.org/officeDocument/2006/relationships/hyperlink" Target="https://scryfall.com/sets/j13" TargetMode="External" Id="rId2562"/><Relationship Type="http://schemas.openxmlformats.org/officeDocument/2006/relationships/hyperlink" Target="https://scryfall.com/sets/j13" TargetMode="External" Id="rId2563"/><Relationship Type="http://schemas.openxmlformats.org/officeDocument/2006/relationships/hyperlink" Target="https://scryfall.com/sets/j13" TargetMode="External" Id="rId2564"/><Relationship Type="http://schemas.openxmlformats.org/officeDocument/2006/relationships/hyperlink" Target="https://scryfall.com/sets/j13" TargetMode="External" Id="rId2565"/><Relationship Type="http://schemas.openxmlformats.org/officeDocument/2006/relationships/hyperlink" Target="https://scryfall.com/sets/f13" TargetMode="External" Id="rId2566"/><Relationship Type="http://schemas.openxmlformats.org/officeDocument/2006/relationships/hyperlink" Target="https://scryfall.com/sets/f13" TargetMode="External" Id="rId2567"/><Relationship Type="http://schemas.openxmlformats.org/officeDocument/2006/relationships/hyperlink" Target="https://scryfall.com/sets/f13" TargetMode="External" Id="rId2568"/><Relationship Type="http://schemas.openxmlformats.org/officeDocument/2006/relationships/hyperlink" Target="https://scryfall.com/sets/f13" TargetMode="External" Id="rId2569"/><Relationship Type="http://schemas.openxmlformats.org/officeDocument/2006/relationships/hyperlink" Target="https://scryfall.com/sets/cm1" TargetMode="External" Id="rId2570"/><Relationship Type="http://schemas.openxmlformats.org/officeDocument/2006/relationships/hyperlink" Target="https://scryfall.com/sets/cm1" TargetMode="External" Id="rId2571"/><Relationship Type="http://schemas.openxmlformats.org/officeDocument/2006/relationships/hyperlink" Target="https://scryfall.com/sets/cm1" TargetMode="External" Id="rId2572"/><Relationship Type="http://schemas.openxmlformats.org/officeDocument/2006/relationships/hyperlink" Target="https://scryfall.com/sets/cm1" TargetMode="External" Id="rId2573"/><Relationship Type="http://schemas.openxmlformats.org/officeDocument/2006/relationships/hyperlink" Target="https://scryfall.com/sets/ocm1" TargetMode="External" Id="rId2574"/><Relationship Type="http://schemas.openxmlformats.org/officeDocument/2006/relationships/hyperlink" Target="https://scryfall.com/sets/ocm1" TargetMode="External" Id="rId2575"/><Relationship Type="http://schemas.openxmlformats.org/officeDocument/2006/relationships/hyperlink" Target="https://scryfall.com/sets/ocm1" TargetMode="External" Id="rId2576"/><Relationship Type="http://schemas.openxmlformats.org/officeDocument/2006/relationships/hyperlink" Target="https://scryfall.com/sets/ocm1" TargetMode="External" Id="rId2577"/><Relationship Type="http://schemas.openxmlformats.org/officeDocument/2006/relationships/hyperlink" Target="https://scryfall.com/sets/rtr" TargetMode="External" Id="rId2578"/><Relationship Type="http://schemas.openxmlformats.org/officeDocument/2006/relationships/hyperlink" Target="https://scryfall.com/sets/rtr" TargetMode="External" Id="rId2579"/><Relationship Type="http://schemas.openxmlformats.org/officeDocument/2006/relationships/hyperlink" Target="https://scryfall.com/sets/rtr" TargetMode="External" Id="rId2580"/><Relationship Type="http://schemas.openxmlformats.org/officeDocument/2006/relationships/hyperlink" Target="https://scryfall.com/sets/prtr" TargetMode="External" Id="rId2581"/><Relationship Type="http://schemas.openxmlformats.org/officeDocument/2006/relationships/hyperlink" Target="https://scryfall.com/sets/prtr" TargetMode="External" Id="rId2582"/><Relationship Type="http://schemas.openxmlformats.org/officeDocument/2006/relationships/hyperlink" Target="https://scryfall.com/sets/prtr" TargetMode="External" Id="rId2583"/><Relationship Type="http://schemas.openxmlformats.org/officeDocument/2006/relationships/hyperlink" Target="https://scryfall.com/sets/prtr" TargetMode="External" Id="rId2584"/><Relationship Type="http://schemas.openxmlformats.org/officeDocument/2006/relationships/hyperlink" Target="https://scryfall.com/sets/trtr" TargetMode="External" Id="rId2585"/><Relationship Type="http://schemas.openxmlformats.org/officeDocument/2006/relationships/hyperlink" Target="https://scryfall.com/sets/trtr" TargetMode="External" Id="rId2586"/><Relationship Type="http://schemas.openxmlformats.org/officeDocument/2006/relationships/hyperlink" Target="https://scryfall.com/sets/trtr" TargetMode="External" Id="rId2587"/><Relationship Type="http://schemas.openxmlformats.org/officeDocument/2006/relationships/hyperlink" Target="https://scryfall.com/sets/trtr" TargetMode="External" Id="rId2588"/><Relationship Type="http://schemas.openxmlformats.org/officeDocument/2006/relationships/hyperlink" Target="https://scryfall.com/sets/ddj" TargetMode="External" Id="rId2589"/><Relationship Type="http://schemas.openxmlformats.org/officeDocument/2006/relationships/hyperlink" Target="https://scryfall.com/sets/ddj" TargetMode="External" Id="rId2590"/><Relationship Type="http://schemas.openxmlformats.org/officeDocument/2006/relationships/hyperlink" Target="https://scryfall.com/sets/ddj" TargetMode="External" Id="rId2591"/><Relationship Type="http://schemas.openxmlformats.org/officeDocument/2006/relationships/hyperlink" Target="https://scryfall.com/sets/tddj" TargetMode="External" Id="rId2592"/><Relationship Type="http://schemas.openxmlformats.org/officeDocument/2006/relationships/hyperlink" Target="https://scryfall.com/sets/tddj" TargetMode="External" Id="rId2593"/><Relationship Type="http://schemas.openxmlformats.org/officeDocument/2006/relationships/hyperlink" Target="https://scryfall.com/sets/tddj" TargetMode="External" Id="rId2594"/><Relationship Type="http://schemas.openxmlformats.org/officeDocument/2006/relationships/hyperlink" Target="https://scryfall.com/sets/tddj" TargetMode="External" Id="rId2595"/><Relationship Type="http://schemas.openxmlformats.org/officeDocument/2006/relationships/hyperlink" Target="https://scryfall.com/sets/v12" TargetMode="External" Id="rId2596"/><Relationship Type="http://schemas.openxmlformats.org/officeDocument/2006/relationships/hyperlink" Target="https://scryfall.com/sets/v12" TargetMode="External" Id="rId2597"/><Relationship Type="http://schemas.openxmlformats.org/officeDocument/2006/relationships/hyperlink" Target="https://scryfall.com/sets/v12" TargetMode="External" Id="rId2598"/><Relationship Type="http://schemas.openxmlformats.org/officeDocument/2006/relationships/hyperlink" Target="https://scryfall.com/sets/v12" TargetMode="External" Id="rId2599"/><Relationship Type="http://schemas.openxmlformats.org/officeDocument/2006/relationships/hyperlink" Target="https://scryfall.com/sets/m13" TargetMode="External" Id="rId2600"/><Relationship Type="http://schemas.openxmlformats.org/officeDocument/2006/relationships/hyperlink" Target="https://scryfall.com/sets/m13" TargetMode="External" Id="rId2601"/><Relationship Type="http://schemas.openxmlformats.org/officeDocument/2006/relationships/hyperlink" Target="https://scryfall.com/sets/m13" TargetMode="External" Id="rId2602"/><Relationship Type="http://schemas.openxmlformats.org/officeDocument/2006/relationships/hyperlink" Target="https://scryfall.com/sets/pm13" TargetMode="External" Id="rId2603"/><Relationship Type="http://schemas.openxmlformats.org/officeDocument/2006/relationships/hyperlink" Target="https://scryfall.com/sets/pm13" TargetMode="External" Id="rId2604"/><Relationship Type="http://schemas.openxmlformats.org/officeDocument/2006/relationships/hyperlink" Target="https://scryfall.com/sets/pm13" TargetMode="External" Id="rId2605"/><Relationship Type="http://schemas.openxmlformats.org/officeDocument/2006/relationships/hyperlink" Target="https://scryfall.com/sets/pm13" TargetMode="External" Id="rId2606"/><Relationship Type="http://schemas.openxmlformats.org/officeDocument/2006/relationships/hyperlink" Target="https://scryfall.com/sets/tm13" TargetMode="External" Id="rId2607"/><Relationship Type="http://schemas.openxmlformats.org/officeDocument/2006/relationships/hyperlink" Target="https://scryfall.com/sets/tm13" TargetMode="External" Id="rId2608"/><Relationship Type="http://schemas.openxmlformats.org/officeDocument/2006/relationships/hyperlink" Target="https://scryfall.com/sets/tm13" TargetMode="External" Id="rId2609"/><Relationship Type="http://schemas.openxmlformats.org/officeDocument/2006/relationships/hyperlink" Target="https://scryfall.com/sets/tm13" TargetMode="External" Id="rId2610"/><Relationship Type="http://schemas.openxmlformats.org/officeDocument/2006/relationships/hyperlink" Target="https://scryfall.com/sets/pc2" TargetMode="External" Id="rId2611"/><Relationship Type="http://schemas.openxmlformats.org/officeDocument/2006/relationships/hyperlink" Target="https://scryfall.com/sets/pc2" TargetMode="External" Id="rId2612"/><Relationship Type="http://schemas.openxmlformats.org/officeDocument/2006/relationships/hyperlink" Target="https://scryfall.com/sets/pc2" TargetMode="External" Id="rId2613"/><Relationship Type="http://schemas.openxmlformats.org/officeDocument/2006/relationships/hyperlink" Target="https://scryfall.com/sets/opc2" TargetMode="External" Id="rId2614"/><Relationship Type="http://schemas.openxmlformats.org/officeDocument/2006/relationships/hyperlink" Target="https://scryfall.com/sets/opc2" TargetMode="External" Id="rId2615"/><Relationship Type="http://schemas.openxmlformats.org/officeDocument/2006/relationships/hyperlink" Target="https://scryfall.com/sets/opc2" TargetMode="External" Id="rId2616"/><Relationship Type="http://schemas.openxmlformats.org/officeDocument/2006/relationships/hyperlink" Target="https://scryfall.com/sets/avr" TargetMode="External" Id="rId2617"/><Relationship Type="http://schemas.openxmlformats.org/officeDocument/2006/relationships/hyperlink" Target="https://scryfall.com/sets/avr" TargetMode="External" Id="rId2618"/><Relationship Type="http://schemas.openxmlformats.org/officeDocument/2006/relationships/hyperlink" Target="https://scryfall.com/sets/avr" TargetMode="External" Id="rId2619"/><Relationship Type="http://schemas.openxmlformats.org/officeDocument/2006/relationships/hyperlink" Target="https://scryfall.com/sets/pavr" TargetMode="External" Id="rId2620"/><Relationship Type="http://schemas.openxmlformats.org/officeDocument/2006/relationships/hyperlink" Target="https://scryfall.com/sets/pavr" TargetMode="External" Id="rId2621"/><Relationship Type="http://schemas.openxmlformats.org/officeDocument/2006/relationships/hyperlink" Target="https://scryfall.com/sets/pavr" TargetMode="External" Id="rId2622"/><Relationship Type="http://schemas.openxmlformats.org/officeDocument/2006/relationships/hyperlink" Target="https://scryfall.com/sets/pavr" TargetMode="External" Id="rId2623"/><Relationship Type="http://schemas.openxmlformats.org/officeDocument/2006/relationships/hyperlink" Target="https://scryfall.com/sets/tavr" TargetMode="External" Id="rId2624"/><Relationship Type="http://schemas.openxmlformats.org/officeDocument/2006/relationships/hyperlink" Target="https://scryfall.com/sets/tavr" TargetMode="External" Id="rId2625"/><Relationship Type="http://schemas.openxmlformats.org/officeDocument/2006/relationships/hyperlink" Target="https://scryfall.com/sets/tavr" TargetMode="External" Id="rId2626"/><Relationship Type="http://schemas.openxmlformats.org/officeDocument/2006/relationships/hyperlink" Target="https://scryfall.com/sets/tavr" TargetMode="External" Id="rId2627"/><Relationship Type="http://schemas.openxmlformats.org/officeDocument/2006/relationships/hyperlink" Target="https://scryfall.com/sets/phel" TargetMode="External" Id="rId2628"/><Relationship Type="http://schemas.openxmlformats.org/officeDocument/2006/relationships/hyperlink" Target="https://scryfall.com/sets/phel" TargetMode="External" Id="rId2629"/><Relationship Type="http://schemas.openxmlformats.org/officeDocument/2006/relationships/hyperlink" Target="https://scryfall.com/sets/phel" TargetMode="External" Id="rId2630"/><Relationship Type="http://schemas.openxmlformats.org/officeDocument/2006/relationships/hyperlink" Target="https://scryfall.com/sets/phel" TargetMode="External" Id="rId2631"/><Relationship Type="http://schemas.openxmlformats.org/officeDocument/2006/relationships/hyperlink" Target="https://scryfall.com/sets/ddi" TargetMode="External" Id="rId2632"/><Relationship Type="http://schemas.openxmlformats.org/officeDocument/2006/relationships/hyperlink" Target="https://scryfall.com/sets/ddi" TargetMode="External" Id="rId2633"/><Relationship Type="http://schemas.openxmlformats.org/officeDocument/2006/relationships/hyperlink" Target="https://scryfall.com/sets/ddi" TargetMode="External" Id="rId2634"/><Relationship Type="http://schemas.openxmlformats.org/officeDocument/2006/relationships/hyperlink" Target="https://scryfall.com/sets/tddi" TargetMode="External" Id="rId2635"/><Relationship Type="http://schemas.openxmlformats.org/officeDocument/2006/relationships/hyperlink" Target="https://scryfall.com/sets/tddi" TargetMode="External" Id="rId2636"/><Relationship Type="http://schemas.openxmlformats.org/officeDocument/2006/relationships/hyperlink" Target="https://scryfall.com/sets/tddi" TargetMode="External" Id="rId2637"/><Relationship Type="http://schemas.openxmlformats.org/officeDocument/2006/relationships/hyperlink" Target="https://scryfall.com/sets/tddi" TargetMode="External" Id="rId2638"/><Relationship Type="http://schemas.openxmlformats.org/officeDocument/2006/relationships/hyperlink" Target="https://scryfall.com/sets/dka" TargetMode="External" Id="rId2639"/><Relationship Type="http://schemas.openxmlformats.org/officeDocument/2006/relationships/hyperlink" Target="https://scryfall.com/sets/dka" TargetMode="External" Id="rId2640"/><Relationship Type="http://schemas.openxmlformats.org/officeDocument/2006/relationships/hyperlink" Target="https://scryfall.com/sets/dka" TargetMode="External" Id="rId2641"/><Relationship Type="http://schemas.openxmlformats.org/officeDocument/2006/relationships/hyperlink" Target="https://scryfall.com/sets/pdka" TargetMode="External" Id="rId2642"/><Relationship Type="http://schemas.openxmlformats.org/officeDocument/2006/relationships/hyperlink" Target="https://scryfall.com/sets/pdka" TargetMode="External" Id="rId2643"/><Relationship Type="http://schemas.openxmlformats.org/officeDocument/2006/relationships/hyperlink" Target="https://scryfall.com/sets/pdka" TargetMode="External" Id="rId2644"/><Relationship Type="http://schemas.openxmlformats.org/officeDocument/2006/relationships/hyperlink" Target="https://scryfall.com/sets/pdka" TargetMode="External" Id="rId2645"/><Relationship Type="http://schemas.openxmlformats.org/officeDocument/2006/relationships/hyperlink" Target="https://scryfall.com/sets/tdka" TargetMode="External" Id="rId2646"/><Relationship Type="http://schemas.openxmlformats.org/officeDocument/2006/relationships/hyperlink" Target="https://scryfall.com/sets/tdka" TargetMode="External" Id="rId2647"/><Relationship Type="http://schemas.openxmlformats.org/officeDocument/2006/relationships/hyperlink" Target="https://scryfall.com/sets/tdka" TargetMode="External" Id="rId2648"/><Relationship Type="http://schemas.openxmlformats.org/officeDocument/2006/relationships/hyperlink" Target="https://scryfall.com/sets/tdka" TargetMode="External" Id="rId2649"/><Relationship Type="http://schemas.openxmlformats.org/officeDocument/2006/relationships/hyperlink" Target="https://scryfall.com/sets/pw12" TargetMode="External" Id="rId2650"/><Relationship Type="http://schemas.openxmlformats.org/officeDocument/2006/relationships/hyperlink" Target="https://scryfall.com/sets/pw12" TargetMode="External" Id="rId2651"/><Relationship Type="http://schemas.openxmlformats.org/officeDocument/2006/relationships/hyperlink" Target="https://scryfall.com/sets/pw12" TargetMode="External" Id="rId2652"/><Relationship Type="http://schemas.openxmlformats.org/officeDocument/2006/relationships/hyperlink" Target="https://scryfall.com/sets/pw12" TargetMode="External" Id="rId2653"/><Relationship Type="http://schemas.openxmlformats.org/officeDocument/2006/relationships/hyperlink" Target="https://scryfall.com/sets/pdp13" TargetMode="External" Id="rId2654"/><Relationship Type="http://schemas.openxmlformats.org/officeDocument/2006/relationships/hyperlink" Target="https://scryfall.com/sets/pdp13" TargetMode="External" Id="rId2655"/><Relationship Type="http://schemas.openxmlformats.org/officeDocument/2006/relationships/hyperlink" Target="https://scryfall.com/sets/pdp13" TargetMode="External" Id="rId2656"/><Relationship Type="http://schemas.openxmlformats.org/officeDocument/2006/relationships/hyperlink" Target="https://scryfall.com/sets/pdp13" TargetMode="External" Id="rId2657"/><Relationship Type="http://schemas.openxmlformats.org/officeDocument/2006/relationships/hyperlink" Target="https://scryfall.com/sets/pidw" TargetMode="External" Id="rId2658"/><Relationship Type="http://schemas.openxmlformats.org/officeDocument/2006/relationships/hyperlink" Target="https://scryfall.com/sets/pidw" TargetMode="External" Id="rId2659"/><Relationship Type="http://schemas.openxmlformats.org/officeDocument/2006/relationships/hyperlink" Target="https://scryfall.com/sets/pidw" TargetMode="External" Id="rId2660"/><Relationship Type="http://schemas.openxmlformats.org/officeDocument/2006/relationships/hyperlink" Target="https://scryfall.com/sets/pidw" TargetMode="External" Id="rId2661"/><Relationship Type="http://schemas.openxmlformats.org/officeDocument/2006/relationships/hyperlink" Target="https://scryfall.com/sets/l12" TargetMode="External" Id="rId2662"/><Relationship Type="http://schemas.openxmlformats.org/officeDocument/2006/relationships/hyperlink" Target="https://scryfall.com/sets/l12" TargetMode="External" Id="rId2663"/><Relationship Type="http://schemas.openxmlformats.org/officeDocument/2006/relationships/hyperlink" Target="https://scryfall.com/sets/l12" TargetMode="External" Id="rId2664"/><Relationship Type="http://schemas.openxmlformats.org/officeDocument/2006/relationships/hyperlink" Target="https://scryfall.com/sets/l12" TargetMode="External" Id="rId2665"/><Relationship Type="http://schemas.openxmlformats.org/officeDocument/2006/relationships/hyperlink" Target="https://scryfall.com/sets/j12" TargetMode="External" Id="rId2666"/><Relationship Type="http://schemas.openxmlformats.org/officeDocument/2006/relationships/hyperlink" Target="https://scryfall.com/sets/j12" TargetMode="External" Id="rId2667"/><Relationship Type="http://schemas.openxmlformats.org/officeDocument/2006/relationships/hyperlink" Target="https://scryfall.com/sets/j12" TargetMode="External" Id="rId2668"/><Relationship Type="http://schemas.openxmlformats.org/officeDocument/2006/relationships/hyperlink" Target="https://scryfall.com/sets/j12" TargetMode="External" Id="rId2669"/><Relationship Type="http://schemas.openxmlformats.org/officeDocument/2006/relationships/hyperlink" Target="https://scryfall.com/sets/f12" TargetMode="External" Id="rId2670"/><Relationship Type="http://schemas.openxmlformats.org/officeDocument/2006/relationships/hyperlink" Target="https://scryfall.com/sets/f12" TargetMode="External" Id="rId2671"/><Relationship Type="http://schemas.openxmlformats.org/officeDocument/2006/relationships/hyperlink" Target="https://scryfall.com/sets/f12" TargetMode="External" Id="rId2672"/><Relationship Type="http://schemas.openxmlformats.org/officeDocument/2006/relationships/hyperlink" Target="https://scryfall.com/sets/f12" TargetMode="External" Id="rId2673"/><Relationship Type="http://schemas.openxmlformats.org/officeDocument/2006/relationships/hyperlink" Target="https://scryfall.com/sets/pd3" TargetMode="External" Id="rId2674"/><Relationship Type="http://schemas.openxmlformats.org/officeDocument/2006/relationships/hyperlink" Target="https://scryfall.com/sets/pd3" TargetMode="External" Id="rId2675"/><Relationship Type="http://schemas.openxmlformats.org/officeDocument/2006/relationships/hyperlink" Target="https://scryfall.com/sets/pd3" TargetMode="External" Id="rId2676"/><Relationship Type="http://schemas.openxmlformats.org/officeDocument/2006/relationships/hyperlink" Target="https://scryfall.com/sets/pd3" TargetMode="External" Id="rId2677"/><Relationship Type="http://schemas.openxmlformats.org/officeDocument/2006/relationships/hyperlink" Target="https://scryfall.com/sets/isd" TargetMode="External" Id="rId2678"/><Relationship Type="http://schemas.openxmlformats.org/officeDocument/2006/relationships/hyperlink" Target="https://scryfall.com/sets/isd" TargetMode="External" Id="rId2679"/><Relationship Type="http://schemas.openxmlformats.org/officeDocument/2006/relationships/hyperlink" Target="https://scryfall.com/sets/isd" TargetMode="External" Id="rId2680"/><Relationship Type="http://schemas.openxmlformats.org/officeDocument/2006/relationships/hyperlink" Target="https://scryfall.com/sets/pisd" TargetMode="External" Id="rId2681"/><Relationship Type="http://schemas.openxmlformats.org/officeDocument/2006/relationships/hyperlink" Target="https://scryfall.com/sets/pisd" TargetMode="External" Id="rId2682"/><Relationship Type="http://schemas.openxmlformats.org/officeDocument/2006/relationships/hyperlink" Target="https://scryfall.com/sets/pisd" TargetMode="External" Id="rId2683"/><Relationship Type="http://schemas.openxmlformats.org/officeDocument/2006/relationships/hyperlink" Target="https://scryfall.com/sets/pisd" TargetMode="External" Id="rId2684"/><Relationship Type="http://schemas.openxmlformats.org/officeDocument/2006/relationships/hyperlink" Target="https://scryfall.com/sets/tisd" TargetMode="External" Id="rId2685"/><Relationship Type="http://schemas.openxmlformats.org/officeDocument/2006/relationships/hyperlink" Target="https://scryfall.com/sets/tisd" TargetMode="External" Id="rId2686"/><Relationship Type="http://schemas.openxmlformats.org/officeDocument/2006/relationships/hyperlink" Target="https://scryfall.com/sets/tisd" TargetMode="External" Id="rId2687"/><Relationship Type="http://schemas.openxmlformats.org/officeDocument/2006/relationships/hyperlink" Target="https://scryfall.com/sets/tisd" TargetMode="External" Id="rId2688"/><Relationship Type="http://schemas.openxmlformats.org/officeDocument/2006/relationships/hyperlink" Target="https://scryfall.com/sets/ddh" TargetMode="External" Id="rId2689"/><Relationship Type="http://schemas.openxmlformats.org/officeDocument/2006/relationships/hyperlink" Target="https://scryfall.com/sets/ddh" TargetMode="External" Id="rId2690"/><Relationship Type="http://schemas.openxmlformats.org/officeDocument/2006/relationships/hyperlink" Target="https://scryfall.com/sets/ddh" TargetMode="External" Id="rId2691"/><Relationship Type="http://schemas.openxmlformats.org/officeDocument/2006/relationships/hyperlink" Target="https://scryfall.com/sets/tddh" TargetMode="External" Id="rId2692"/><Relationship Type="http://schemas.openxmlformats.org/officeDocument/2006/relationships/hyperlink" Target="https://scryfall.com/sets/tddh" TargetMode="External" Id="rId2693"/><Relationship Type="http://schemas.openxmlformats.org/officeDocument/2006/relationships/hyperlink" Target="https://scryfall.com/sets/tddh" TargetMode="External" Id="rId2694"/><Relationship Type="http://schemas.openxmlformats.org/officeDocument/2006/relationships/hyperlink" Target="https://scryfall.com/sets/tddh" TargetMode="External" Id="rId2695"/><Relationship Type="http://schemas.openxmlformats.org/officeDocument/2006/relationships/hyperlink" Target="https://scryfall.com/sets/v11" TargetMode="External" Id="rId2696"/><Relationship Type="http://schemas.openxmlformats.org/officeDocument/2006/relationships/hyperlink" Target="https://scryfall.com/sets/v11" TargetMode="External" Id="rId2697"/><Relationship Type="http://schemas.openxmlformats.org/officeDocument/2006/relationships/hyperlink" Target="https://scryfall.com/sets/v11" TargetMode="External" Id="rId2698"/><Relationship Type="http://schemas.openxmlformats.org/officeDocument/2006/relationships/hyperlink" Target="https://scryfall.com/sets/v11" TargetMode="External" Id="rId2699"/><Relationship Type="http://schemas.openxmlformats.org/officeDocument/2006/relationships/hyperlink" Target="https://scryfall.com/sets/m12" TargetMode="External" Id="rId2700"/><Relationship Type="http://schemas.openxmlformats.org/officeDocument/2006/relationships/hyperlink" Target="https://scryfall.com/sets/m12" TargetMode="External" Id="rId2701"/><Relationship Type="http://schemas.openxmlformats.org/officeDocument/2006/relationships/hyperlink" Target="https://scryfall.com/sets/m12" TargetMode="External" Id="rId2702"/><Relationship Type="http://schemas.openxmlformats.org/officeDocument/2006/relationships/hyperlink" Target="https://scryfall.com/sets/pm12" TargetMode="External" Id="rId2703"/><Relationship Type="http://schemas.openxmlformats.org/officeDocument/2006/relationships/hyperlink" Target="https://scryfall.com/sets/pm12" TargetMode="External" Id="rId2704"/><Relationship Type="http://schemas.openxmlformats.org/officeDocument/2006/relationships/hyperlink" Target="https://scryfall.com/sets/pm12" TargetMode="External" Id="rId2705"/><Relationship Type="http://schemas.openxmlformats.org/officeDocument/2006/relationships/hyperlink" Target="https://scryfall.com/sets/pm12" TargetMode="External" Id="rId2706"/><Relationship Type="http://schemas.openxmlformats.org/officeDocument/2006/relationships/hyperlink" Target="https://scryfall.com/sets/tm12" TargetMode="External" Id="rId2707"/><Relationship Type="http://schemas.openxmlformats.org/officeDocument/2006/relationships/hyperlink" Target="https://scryfall.com/sets/tm12" TargetMode="External" Id="rId2708"/><Relationship Type="http://schemas.openxmlformats.org/officeDocument/2006/relationships/hyperlink" Target="https://scryfall.com/sets/tm12" TargetMode="External" Id="rId2709"/><Relationship Type="http://schemas.openxmlformats.org/officeDocument/2006/relationships/hyperlink" Target="https://scryfall.com/sets/tm12" TargetMode="External" Id="rId2710"/><Relationship Type="http://schemas.openxmlformats.org/officeDocument/2006/relationships/hyperlink" Target="https://scryfall.com/sets/cmd" TargetMode="External" Id="rId2711"/><Relationship Type="http://schemas.openxmlformats.org/officeDocument/2006/relationships/hyperlink" Target="https://scryfall.com/sets/cmd" TargetMode="External" Id="rId2712"/><Relationship Type="http://schemas.openxmlformats.org/officeDocument/2006/relationships/hyperlink" Target="https://scryfall.com/sets/cmd" TargetMode="External" Id="rId2713"/><Relationship Type="http://schemas.openxmlformats.org/officeDocument/2006/relationships/hyperlink" Target="https://scryfall.com/sets/pcmd" TargetMode="External" Id="rId2714"/><Relationship Type="http://schemas.openxmlformats.org/officeDocument/2006/relationships/hyperlink" Target="https://scryfall.com/sets/pcmd" TargetMode="External" Id="rId2715"/><Relationship Type="http://schemas.openxmlformats.org/officeDocument/2006/relationships/hyperlink" Target="https://scryfall.com/sets/pcmd" TargetMode="External" Id="rId2716"/><Relationship Type="http://schemas.openxmlformats.org/officeDocument/2006/relationships/hyperlink" Target="https://scryfall.com/sets/pcmd" TargetMode="External" Id="rId2717"/><Relationship Type="http://schemas.openxmlformats.org/officeDocument/2006/relationships/hyperlink" Target="https://scryfall.com/sets/ocmd" TargetMode="External" Id="rId2718"/><Relationship Type="http://schemas.openxmlformats.org/officeDocument/2006/relationships/hyperlink" Target="https://scryfall.com/sets/ocmd" TargetMode="External" Id="rId2719"/><Relationship Type="http://schemas.openxmlformats.org/officeDocument/2006/relationships/hyperlink" Target="https://scryfall.com/sets/ocmd" TargetMode="External" Id="rId2720"/><Relationship Type="http://schemas.openxmlformats.org/officeDocument/2006/relationships/hyperlink" Target="https://scryfall.com/sets/ocmd" TargetMode="External" Id="rId2721"/><Relationship Type="http://schemas.openxmlformats.org/officeDocument/2006/relationships/hyperlink" Target="https://scryfall.com/sets/td2" TargetMode="External" Id="rId2722"/><Relationship Type="http://schemas.openxmlformats.org/officeDocument/2006/relationships/hyperlink" Target="https://scryfall.com/sets/td2" TargetMode="External" Id="rId2723"/><Relationship Type="http://schemas.openxmlformats.org/officeDocument/2006/relationships/hyperlink" Target="https://scryfall.com/sets/td2" TargetMode="External" Id="rId2724"/><Relationship Type="http://schemas.openxmlformats.org/officeDocument/2006/relationships/hyperlink" Target="https://scryfall.com/sets/td2" TargetMode="External" Id="rId2725"/><Relationship Type="http://schemas.openxmlformats.org/officeDocument/2006/relationships/hyperlink" Target="https://scryfall.com/sets/nph" TargetMode="External" Id="rId2726"/><Relationship Type="http://schemas.openxmlformats.org/officeDocument/2006/relationships/hyperlink" Target="https://scryfall.com/sets/nph" TargetMode="External" Id="rId2727"/><Relationship Type="http://schemas.openxmlformats.org/officeDocument/2006/relationships/hyperlink" Target="https://scryfall.com/sets/nph" TargetMode="External" Id="rId2728"/><Relationship Type="http://schemas.openxmlformats.org/officeDocument/2006/relationships/hyperlink" Target="https://scryfall.com/sets/pnph" TargetMode="External" Id="rId2729"/><Relationship Type="http://schemas.openxmlformats.org/officeDocument/2006/relationships/hyperlink" Target="https://scryfall.com/sets/pnph" TargetMode="External" Id="rId2730"/><Relationship Type="http://schemas.openxmlformats.org/officeDocument/2006/relationships/hyperlink" Target="https://scryfall.com/sets/pnph" TargetMode="External" Id="rId2731"/><Relationship Type="http://schemas.openxmlformats.org/officeDocument/2006/relationships/hyperlink" Target="https://scryfall.com/sets/pnph" TargetMode="External" Id="rId2732"/><Relationship Type="http://schemas.openxmlformats.org/officeDocument/2006/relationships/hyperlink" Target="https://scryfall.com/sets/tnph" TargetMode="External" Id="rId2733"/><Relationship Type="http://schemas.openxmlformats.org/officeDocument/2006/relationships/hyperlink" Target="https://scryfall.com/sets/tnph" TargetMode="External" Id="rId2734"/><Relationship Type="http://schemas.openxmlformats.org/officeDocument/2006/relationships/hyperlink" Target="https://scryfall.com/sets/tnph" TargetMode="External" Id="rId2735"/><Relationship Type="http://schemas.openxmlformats.org/officeDocument/2006/relationships/hyperlink" Target="https://scryfall.com/sets/tnph" TargetMode="External" Id="rId2736"/><Relationship Type="http://schemas.openxmlformats.org/officeDocument/2006/relationships/hyperlink" Target="https://scryfall.com/sets/ddg" TargetMode="External" Id="rId2737"/><Relationship Type="http://schemas.openxmlformats.org/officeDocument/2006/relationships/hyperlink" Target="https://scryfall.com/sets/ddg" TargetMode="External" Id="rId2738"/><Relationship Type="http://schemas.openxmlformats.org/officeDocument/2006/relationships/hyperlink" Target="https://scryfall.com/sets/ddg" TargetMode="External" Id="rId2739"/><Relationship Type="http://schemas.openxmlformats.org/officeDocument/2006/relationships/hyperlink" Target="https://scryfall.com/sets/tddg" TargetMode="External" Id="rId2740"/><Relationship Type="http://schemas.openxmlformats.org/officeDocument/2006/relationships/hyperlink" Target="https://scryfall.com/sets/tddg" TargetMode="External" Id="rId2741"/><Relationship Type="http://schemas.openxmlformats.org/officeDocument/2006/relationships/hyperlink" Target="https://scryfall.com/sets/tddg" TargetMode="External" Id="rId2742"/><Relationship Type="http://schemas.openxmlformats.org/officeDocument/2006/relationships/hyperlink" Target="https://scryfall.com/sets/tddg" TargetMode="External" Id="rId2743"/><Relationship Type="http://schemas.openxmlformats.org/officeDocument/2006/relationships/hyperlink" Target="https://scryfall.com/sets/mbs" TargetMode="External" Id="rId2744"/><Relationship Type="http://schemas.openxmlformats.org/officeDocument/2006/relationships/hyperlink" Target="https://scryfall.com/sets/mbs" TargetMode="External" Id="rId2745"/><Relationship Type="http://schemas.openxmlformats.org/officeDocument/2006/relationships/hyperlink" Target="https://scryfall.com/sets/mbs" TargetMode="External" Id="rId2746"/><Relationship Type="http://schemas.openxmlformats.org/officeDocument/2006/relationships/hyperlink" Target="https://scryfall.com/sets/pmbs" TargetMode="External" Id="rId2747"/><Relationship Type="http://schemas.openxmlformats.org/officeDocument/2006/relationships/hyperlink" Target="https://scryfall.com/sets/pmbs" TargetMode="External" Id="rId2748"/><Relationship Type="http://schemas.openxmlformats.org/officeDocument/2006/relationships/hyperlink" Target="https://scryfall.com/sets/pmbs" TargetMode="External" Id="rId2749"/><Relationship Type="http://schemas.openxmlformats.org/officeDocument/2006/relationships/hyperlink" Target="https://scryfall.com/sets/pmbs" TargetMode="External" Id="rId2750"/><Relationship Type="http://schemas.openxmlformats.org/officeDocument/2006/relationships/hyperlink" Target="https://scryfall.com/sets/tmbs" TargetMode="External" Id="rId2751"/><Relationship Type="http://schemas.openxmlformats.org/officeDocument/2006/relationships/hyperlink" Target="https://scryfall.com/sets/tmbs" TargetMode="External" Id="rId2752"/><Relationship Type="http://schemas.openxmlformats.org/officeDocument/2006/relationships/hyperlink" Target="https://scryfall.com/sets/tmbs" TargetMode="External" Id="rId2753"/><Relationship Type="http://schemas.openxmlformats.org/officeDocument/2006/relationships/hyperlink" Target="https://scryfall.com/sets/tmbs" TargetMode="External" Id="rId2754"/><Relationship Type="http://schemas.openxmlformats.org/officeDocument/2006/relationships/hyperlink" Target="https://scryfall.com/sets/me4" TargetMode="External" Id="rId2755"/><Relationship Type="http://schemas.openxmlformats.org/officeDocument/2006/relationships/hyperlink" Target="https://scryfall.com/sets/me4" TargetMode="External" Id="rId2756"/><Relationship Type="http://schemas.openxmlformats.org/officeDocument/2006/relationships/hyperlink" Target="https://scryfall.com/sets/me4" TargetMode="External" Id="rId2757"/><Relationship Type="http://schemas.openxmlformats.org/officeDocument/2006/relationships/hyperlink" Target="https://scryfall.com/sets/me4" TargetMode="External" Id="rId2758"/><Relationship Type="http://schemas.openxmlformats.org/officeDocument/2006/relationships/hyperlink" Target="https://scryfall.com/sets/pmps11" TargetMode="External" Id="rId2759"/><Relationship Type="http://schemas.openxmlformats.org/officeDocument/2006/relationships/hyperlink" Target="https://scryfall.com/sets/pmps11" TargetMode="External" Id="rId2760"/><Relationship Type="http://schemas.openxmlformats.org/officeDocument/2006/relationships/hyperlink" Target="https://scryfall.com/sets/pmps11" TargetMode="External" Id="rId2761"/><Relationship Type="http://schemas.openxmlformats.org/officeDocument/2006/relationships/hyperlink" Target="https://scryfall.com/sets/pmps11/ja" TargetMode="External" Id="rId2762"/><Relationship Type="http://schemas.openxmlformats.org/officeDocument/2006/relationships/hyperlink" Target="https://scryfall.com/sets/pw11" TargetMode="External" Id="rId2763"/><Relationship Type="http://schemas.openxmlformats.org/officeDocument/2006/relationships/hyperlink" Target="https://scryfall.com/sets/pw11" TargetMode="External" Id="rId2764"/><Relationship Type="http://schemas.openxmlformats.org/officeDocument/2006/relationships/hyperlink" Target="https://scryfall.com/sets/pw11" TargetMode="External" Id="rId2765"/><Relationship Type="http://schemas.openxmlformats.org/officeDocument/2006/relationships/hyperlink" Target="https://scryfall.com/sets/pw11" TargetMode="External" Id="rId2766"/><Relationship Type="http://schemas.openxmlformats.org/officeDocument/2006/relationships/hyperlink" Target="https://scryfall.com/sets/pdp12" TargetMode="External" Id="rId2767"/><Relationship Type="http://schemas.openxmlformats.org/officeDocument/2006/relationships/hyperlink" Target="https://scryfall.com/sets/pdp12" TargetMode="External" Id="rId2768"/><Relationship Type="http://schemas.openxmlformats.org/officeDocument/2006/relationships/hyperlink" Target="https://scryfall.com/sets/pdp12" TargetMode="External" Id="rId2769"/><Relationship Type="http://schemas.openxmlformats.org/officeDocument/2006/relationships/hyperlink" Target="https://scryfall.com/sets/pdp12" TargetMode="External" Id="rId2770"/><Relationship Type="http://schemas.openxmlformats.org/officeDocument/2006/relationships/hyperlink" Target="https://scryfall.com/sets/ps11" TargetMode="External" Id="rId2771"/><Relationship Type="http://schemas.openxmlformats.org/officeDocument/2006/relationships/hyperlink" Target="https://scryfall.com/sets/ps11" TargetMode="External" Id="rId2772"/><Relationship Type="http://schemas.openxmlformats.org/officeDocument/2006/relationships/hyperlink" Target="https://scryfall.com/sets/ps11" TargetMode="External" Id="rId2773"/><Relationship Type="http://schemas.openxmlformats.org/officeDocument/2006/relationships/hyperlink" Target="https://scryfall.com/sets/ps11/es" TargetMode="External" Id="rId2774"/><Relationship Type="http://schemas.openxmlformats.org/officeDocument/2006/relationships/hyperlink" Target="https://scryfall.com/sets/olgc" TargetMode="External" Id="rId2775"/><Relationship Type="http://schemas.openxmlformats.org/officeDocument/2006/relationships/hyperlink" Target="https://scryfall.com/sets/olgc" TargetMode="External" Id="rId2776"/><Relationship Type="http://schemas.openxmlformats.org/officeDocument/2006/relationships/hyperlink" Target="https://scryfall.com/sets/olgc" TargetMode="External" Id="rId2777"/><Relationship Type="http://schemas.openxmlformats.org/officeDocument/2006/relationships/hyperlink" Target="https://scryfall.com/sets/olgc" TargetMode="External" Id="rId2778"/><Relationship Type="http://schemas.openxmlformats.org/officeDocument/2006/relationships/hyperlink" Target="https://scryfall.com/sets/g11" TargetMode="External" Id="rId2779"/><Relationship Type="http://schemas.openxmlformats.org/officeDocument/2006/relationships/hyperlink" Target="https://scryfall.com/sets/g11" TargetMode="External" Id="rId2780"/><Relationship Type="http://schemas.openxmlformats.org/officeDocument/2006/relationships/hyperlink" Target="https://scryfall.com/sets/g11" TargetMode="External" Id="rId2781"/><Relationship Type="http://schemas.openxmlformats.org/officeDocument/2006/relationships/hyperlink" Target="https://scryfall.com/sets/g11" TargetMode="External" Id="rId2782"/><Relationship Type="http://schemas.openxmlformats.org/officeDocument/2006/relationships/hyperlink" Target="https://scryfall.com/sets/p11" TargetMode="External" Id="rId2783"/><Relationship Type="http://schemas.openxmlformats.org/officeDocument/2006/relationships/hyperlink" Target="https://scryfall.com/sets/p11" TargetMode="External" Id="rId2784"/><Relationship Type="http://schemas.openxmlformats.org/officeDocument/2006/relationships/hyperlink" Target="https://scryfall.com/sets/p11" TargetMode="External" Id="rId2785"/><Relationship Type="http://schemas.openxmlformats.org/officeDocument/2006/relationships/hyperlink" Target="https://scryfall.com/sets/p11" TargetMode="External" Id="rId2786"/><Relationship Type="http://schemas.openxmlformats.org/officeDocument/2006/relationships/hyperlink" Target="https://scryfall.com/sets/f11" TargetMode="External" Id="rId2787"/><Relationship Type="http://schemas.openxmlformats.org/officeDocument/2006/relationships/hyperlink" Target="https://scryfall.com/sets/f11" TargetMode="External" Id="rId2788"/><Relationship Type="http://schemas.openxmlformats.org/officeDocument/2006/relationships/hyperlink" Target="https://scryfall.com/sets/f11" TargetMode="External" Id="rId2789"/><Relationship Type="http://schemas.openxmlformats.org/officeDocument/2006/relationships/hyperlink" Target="https://scryfall.com/sets/f11" TargetMode="External" Id="rId2790"/><Relationship Type="http://schemas.openxmlformats.org/officeDocument/2006/relationships/hyperlink" Target="https://scryfall.com/sets/pd2" TargetMode="External" Id="rId2791"/><Relationship Type="http://schemas.openxmlformats.org/officeDocument/2006/relationships/hyperlink" Target="https://scryfall.com/sets/pd2" TargetMode="External" Id="rId2792"/><Relationship Type="http://schemas.openxmlformats.org/officeDocument/2006/relationships/hyperlink" Target="https://scryfall.com/sets/pd2" TargetMode="External" Id="rId2793"/><Relationship Type="http://schemas.openxmlformats.org/officeDocument/2006/relationships/hyperlink" Target="https://scryfall.com/sets/pd2" TargetMode="External" Id="rId2794"/><Relationship Type="http://schemas.openxmlformats.org/officeDocument/2006/relationships/hyperlink" Target="https://scryfall.com/sets/td0" TargetMode="External" Id="rId2795"/><Relationship Type="http://schemas.openxmlformats.org/officeDocument/2006/relationships/hyperlink" Target="https://scryfall.com/sets/td0" TargetMode="External" Id="rId2796"/><Relationship Type="http://schemas.openxmlformats.org/officeDocument/2006/relationships/hyperlink" Target="https://scryfall.com/sets/td0" TargetMode="External" Id="rId2797"/><Relationship Type="http://schemas.openxmlformats.org/officeDocument/2006/relationships/hyperlink" Target="https://scryfall.com/sets/td0" TargetMode="External" Id="rId2798"/><Relationship Type="http://schemas.openxmlformats.org/officeDocument/2006/relationships/hyperlink" Target="https://scryfall.com/sets/som" TargetMode="External" Id="rId2799"/><Relationship Type="http://schemas.openxmlformats.org/officeDocument/2006/relationships/hyperlink" Target="https://scryfall.com/sets/som" TargetMode="External" Id="rId2800"/><Relationship Type="http://schemas.openxmlformats.org/officeDocument/2006/relationships/hyperlink" Target="https://scryfall.com/sets/som" TargetMode="External" Id="rId2801"/><Relationship Type="http://schemas.openxmlformats.org/officeDocument/2006/relationships/hyperlink" Target="https://scryfall.com/sets/psom" TargetMode="External" Id="rId2802"/><Relationship Type="http://schemas.openxmlformats.org/officeDocument/2006/relationships/hyperlink" Target="https://scryfall.com/sets/psom" TargetMode="External" Id="rId2803"/><Relationship Type="http://schemas.openxmlformats.org/officeDocument/2006/relationships/hyperlink" Target="https://scryfall.com/sets/psom" TargetMode="External" Id="rId2804"/><Relationship Type="http://schemas.openxmlformats.org/officeDocument/2006/relationships/hyperlink" Target="https://scryfall.com/sets/psom" TargetMode="External" Id="rId2805"/><Relationship Type="http://schemas.openxmlformats.org/officeDocument/2006/relationships/hyperlink" Target="https://scryfall.com/sets/tsom" TargetMode="External" Id="rId2806"/><Relationship Type="http://schemas.openxmlformats.org/officeDocument/2006/relationships/hyperlink" Target="https://scryfall.com/sets/tsom" TargetMode="External" Id="rId2807"/><Relationship Type="http://schemas.openxmlformats.org/officeDocument/2006/relationships/hyperlink" Target="https://scryfall.com/sets/tsom" TargetMode="External" Id="rId2808"/><Relationship Type="http://schemas.openxmlformats.org/officeDocument/2006/relationships/hyperlink" Target="https://scryfall.com/sets/tsom" TargetMode="External" Id="rId2809"/><Relationship Type="http://schemas.openxmlformats.org/officeDocument/2006/relationships/hyperlink" Target="https://scryfall.com/sets/ddf" TargetMode="External" Id="rId2810"/><Relationship Type="http://schemas.openxmlformats.org/officeDocument/2006/relationships/hyperlink" Target="https://scryfall.com/sets/ddf" TargetMode="External" Id="rId2811"/><Relationship Type="http://schemas.openxmlformats.org/officeDocument/2006/relationships/hyperlink" Target="https://scryfall.com/sets/ddf" TargetMode="External" Id="rId2812"/><Relationship Type="http://schemas.openxmlformats.org/officeDocument/2006/relationships/hyperlink" Target="https://scryfall.com/sets/tddf" TargetMode="External" Id="rId2813"/><Relationship Type="http://schemas.openxmlformats.org/officeDocument/2006/relationships/hyperlink" Target="https://scryfall.com/sets/tddf" TargetMode="External" Id="rId2814"/><Relationship Type="http://schemas.openxmlformats.org/officeDocument/2006/relationships/hyperlink" Target="https://scryfall.com/sets/tddf" TargetMode="External" Id="rId2815"/><Relationship Type="http://schemas.openxmlformats.org/officeDocument/2006/relationships/hyperlink" Target="https://scryfall.com/sets/tddf" TargetMode="External" Id="rId2816"/><Relationship Type="http://schemas.openxmlformats.org/officeDocument/2006/relationships/hyperlink" Target="https://scryfall.com/sets/v10" TargetMode="External" Id="rId2817"/><Relationship Type="http://schemas.openxmlformats.org/officeDocument/2006/relationships/hyperlink" Target="https://scryfall.com/sets/v10" TargetMode="External" Id="rId2818"/><Relationship Type="http://schemas.openxmlformats.org/officeDocument/2006/relationships/hyperlink" Target="https://scryfall.com/sets/v10" TargetMode="External" Id="rId2819"/><Relationship Type="http://schemas.openxmlformats.org/officeDocument/2006/relationships/hyperlink" Target="https://scryfall.com/sets/v10" TargetMode="External" Id="rId2820"/><Relationship Type="http://schemas.openxmlformats.org/officeDocument/2006/relationships/hyperlink" Target="https://scryfall.com/sets/m11" TargetMode="External" Id="rId2821"/><Relationship Type="http://schemas.openxmlformats.org/officeDocument/2006/relationships/hyperlink" Target="https://scryfall.com/sets/m11" TargetMode="External" Id="rId2822"/><Relationship Type="http://schemas.openxmlformats.org/officeDocument/2006/relationships/hyperlink" Target="https://scryfall.com/sets/m11" TargetMode="External" Id="rId2823"/><Relationship Type="http://schemas.openxmlformats.org/officeDocument/2006/relationships/hyperlink" Target="https://scryfall.com/sets/pm11" TargetMode="External" Id="rId2824"/><Relationship Type="http://schemas.openxmlformats.org/officeDocument/2006/relationships/hyperlink" Target="https://scryfall.com/sets/pm11" TargetMode="External" Id="rId2825"/><Relationship Type="http://schemas.openxmlformats.org/officeDocument/2006/relationships/hyperlink" Target="https://scryfall.com/sets/pm11" TargetMode="External" Id="rId2826"/><Relationship Type="http://schemas.openxmlformats.org/officeDocument/2006/relationships/hyperlink" Target="https://scryfall.com/sets/tm11" TargetMode="External" Id="rId2827"/><Relationship Type="http://schemas.openxmlformats.org/officeDocument/2006/relationships/hyperlink" Target="https://scryfall.com/sets/tm11" TargetMode="External" Id="rId2828"/><Relationship Type="http://schemas.openxmlformats.org/officeDocument/2006/relationships/hyperlink" Target="https://scryfall.com/sets/tm11" TargetMode="External" Id="rId2829"/><Relationship Type="http://schemas.openxmlformats.org/officeDocument/2006/relationships/hyperlink" Target="https://scryfall.com/sets/tm11" TargetMode="External" Id="rId2830"/><Relationship Type="http://schemas.openxmlformats.org/officeDocument/2006/relationships/hyperlink" Target="https://scryfall.com/sets/arc" TargetMode="External" Id="rId2831"/><Relationship Type="http://schemas.openxmlformats.org/officeDocument/2006/relationships/hyperlink" Target="https://scryfall.com/sets/arc" TargetMode="External" Id="rId2832"/><Relationship Type="http://schemas.openxmlformats.org/officeDocument/2006/relationships/hyperlink" Target="https://scryfall.com/sets/arc" TargetMode="External" Id="rId2833"/><Relationship Type="http://schemas.openxmlformats.org/officeDocument/2006/relationships/hyperlink" Target="https://scryfall.com/sets/arc" TargetMode="External" Id="rId2834"/><Relationship Type="http://schemas.openxmlformats.org/officeDocument/2006/relationships/hyperlink" Target="https://scryfall.com/sets/oarc" TargetMode="External" Id="rId2835"/><Relationship Type="http://schemas.openxmlformats.org/officeDocument/2006/relationships/hyperlink" Target="https://scryfall.com/sets/oarc" TargetMode="External" Id="rId2836"/><Relationship Type="http://schemas.openxmlformats.org/officeDocument/2006/relationships/hyperlink" Target="https://scryfall.com/sets/oarc" TargetMode="External" Id="rId2837"/><Relationship Type="http://schemas.openxmlformats.org/officeDocument/2006/relationships/hyperlink" Target="https://scryfall.com/sets/oarc" TargetMode="External" Id="rId2838"/><Relationship Type="http://schemas.openxmlformats.org/officeDocument/2006/relationships/hyperlink" Target="https://scryfall.com/sets/dpa" TargetMode="External" Id="rId2839"/><Relationship Type="http://schemas.openxmlformats.org/officeDocument/2006/relationships/hyperlink" Target="https://scryfall.com/sets/dpa" TargetMode="External" Id="rId2840"/><Relationship Type="http://schemas.openxmlformats.org/officeDocument/2006/relationships/hyperlink" Target="https://scryfall.com/sets/dpa" TargetMode="External" Id="rId2841"/><Relationship Type="http://schemas.openxmlformats.org/officeDocument/2006/relationships/hyperlink" Target="https://scryfall.com/sets/dpa" TargetMode="External" Id="rId2842"/><Relationship Type="http://schemas.openxmlformats.org/officeDocument/2006/relationships/hyperlink" Target="https://scryfall.com/sets/roe" TargetMode="External" Id="rId2843"/><Relationship Type="http://schemas.openxmlformats.org/officeDocument/2006/relationships/hyperlink" Target="https://scryfall.com/sets/roe" TargetMode="External" Id="rId2844"/><Relationship Type="http://schemas.openxmlformats.org/officeDocument/2006/relationships/hyperlink" Target="https://scryfall.com/sets/roe" TargetMode="External" Id="rId2845"/><Relationship Type="http://schemas.openxmlformats.org/officeDocument/2006/relationships/hyperlink" Target="https://scryfall.com/sets/proe" TargetMode="External" Id="rId2846"/><Relationship Type="http://schemas.openxmlformats.org/officeDocument/2006/relationships/hyperlink" Target="https://scryfall.com/sets/proe" TargetMode="External" Id="rId2847"/><Relationship Type="http://schemas.openxmlformats.org/officeDocument/2006/relationships/hyperlink" Target="https://scryfall.com/sets/proe" TargetMode="External" Id="rId2848"/><Relationship Type="http://schemas.openxmlformats.org/officeDocument/2006/relationships/hyperlink" Target="https://scryfall.com/sets/troe" TargetMode="External" Id="rId2849"/><Relationship Type="http://schemas.openxmlformats.org/officeDocument/2006/relationships/hyperlink" Target="https://scryfall.com/sets/troe" TargetMode="External" Id="rId2850"/><Relationship Type="http://schemas.openxmlformats.org/officeDocument/2006/relationships/hyperlink" Target="https://scryfall.com/sets/troe" TargetMode="External" Id="rId2851"/><Relationship Type="http://schemas.openxmlformats.org/officeDocument/2006/relationships/hyperlink" Target="https://scryfall.com/sets/troe" TargetMode="External" Id="rId2852"/><Relationship Type="http://schemas.openxmlformats.org/officeDocument/2006/relationships/hyperlink" Target="https://scryfall.com/sets/dde" TargetMode="External" Id="rId2853"/><Relationship Type="http://schemas.openxmlformats.org/officeDocument/2006/relationships/hyperlink" Target="https://scryfall.com/sets/dde" TargetMode="External" Id="rId2854"/><Relationship Type="http://schemas.openxmlformats.org/officeDocument/2006/relationships/hyperlink" Target="https://scryfall.com/sets/dde" TargetMode="External" Id="rId2855"/><Relationship Type="http://schemas.openxmlformats.org/officeDocument/2006/relationships/hyperlink" Target="https://scryfall.com/sets/tdde" TargetMode="External" Id="rId2856"/><Relationship Type="http://schemas.openxmlformats.org/officeDocument/2006/relationships/hyperlink" Target="https://scryfall.com/sets/tdde" TargetMode="External" Id="rId2857"/><Relationship Type="http://schemas.openxmlformats.org/officeDocument/2006/relationships/hyperlink" Target="https://scryfall.com/sets/tdde" TargetMode="External" Id="rId2858"/><Relationship Type="http://schemas.openxmlformats.org/officeDocument/2006/relationships/hyperlink" Target="https://scryfall.com/sets/tdde" TargetMode="External" Id="rId2859"/><Relationship Type="http://schemas.openxmlformats.org/officeDocument/2006/relationships/hyperlink" Target="https://scryfall.com/sets/wwk" TargetMode="External" Id="rId2860"/><Relationship Type="http://schemas.openxmlformats.org/officeDocument/2006/relationships/hyperlink" Target="https://scryfall.com/sets/wwk" TargetMode="External" Id="rId2861"/><Relationship Type="http://schemas.openxmlformats.org/officeDocument/2006/relationships/hyperlink" Target="https://scryfall.com/sets/wwk" TargetMode="External" Id="rId2862"/><Relationship Type="http://schemas.openxmlformats.org/officeDocument/2006/relationships/hyperlink" Target="https://scryfall.com/sets/pwwk" TargetMode="External" Id="rId2863"/><Relationship Type="http://schemas.openxmlformats.org/officeDocument/2006/relationships/hyperlink" Target="https://scryfall.com/sets/pwwk" TargetMode="External" Id="rId2864"/><Relationship Type="http://schemas.openxmlformats.org/officeDocument/2006/relationships/hyperlink" Target="https://scryfall.com/sets/pwwk" TargetMode="External" Id="rId2865"/><Relationship Type="http://schemas.openxmlformats.org/officeDocument/2006/relationships/hyperlink" Target="https://scryfall.com/sets/twwk" TargetMode="External" Id="rId2866"/><Relationship Type="http://schemas.openxmlformats.org/officeDocument/2006/relationships/hyperlink" Target="https://scryfall.com/sets/twwk" TargetMode="External" Id="rId2867"/><Relationship Type="http://schemas.openxmlformats.org/officeDocument/2006/relationships/hyperlink" Target="https://scryfall.com/sets/twwk" TargetMode="External" Id="rId2868"/><Relationship Type="http://schemas.openxmlformats.org/officeDocument/2006/relationships/hyperlink" Target="https://scryfall.com/sets/twwk" TargetMode="External" Id="rId2869"/><Relationship Type="http://schemas.openxmlformats.org/officeDocument/2006/relationships/hyperlink" Target="https://scryfall.com/sets/pdp10" TargetMode="External" Id="rId2870"/><Relationship Type="http://schemas.openxmlformats.org/officeDocument/2006/relationships/hyperlink" Target="https://scryfall.com/sets/pdp10" TargetMode="External" Id="rId2871"/><Relationship Type="http://schemas.openxmlformats.org/officeDocument/2006/relationships/hyperlink" Target="https://scryfall.com/sets/pdp10" TargetMode="External" Id="rId2872"/><Relationship Type="http://schemas.openxmlformats.org/officeDocument/2006/relationships/hyperlink" Target="https://scryfall.com/sets/pdp10" TargetMode="External" Id="rId2873"/><Relationship Type="http://schemas.openxmlformats.org/officeDocument/2006/relationships/hyperlink" Target="https://scryfall.com/sets/pmps10" TargetMode="External" Id="rId2874"/><Relationship Type="http://schemas.openxmlformats.org/officeDocument/2006/relationships/hyperlink" Target="https://scryfall.com/sets/pmps10" TargetMode="External" Id="rId2875"/><Relationship Type="http://schemas.openxmlformats.org/officeDocument/2006/relationships/hyperlink" Target="https://scryfall.com/sets/pmps10" TargetMode="External" Id="rId2876"/><Relationship Type="http://schemas.openxmlformats.org/officeDocument/2006/relationships/hyperlink" Target="https://scryfall.com/sets/pmps10/ja" TargetMode="External" Id="rId2877"/><Relationship Type="http://schemas.openxmlformats.org/officeDocument/2006/relationships/hyperlink" Target="https://scryfall.com/sets/p10" TargetMode="External" Id="rId2878"/><Relationship Type="http://schemas.openxmlformats.org/officeDocument/2006/relationships/hyperlink" Target="https://scryfall.com/sets/p10" TargetMode="External" Id="rId2879"/><Relationship Type="http://schemas.openxmlformats.org/officeDocument/2006/relationships/hyperlink" Target="https://scryfall.com/sets/p10" TargetMode="External" Id="rId2880"/><Relationship Type="http://schemas.openxmlformats.org/officeDocument/2006/relationships/hyperlink" Target="https://scryfall.com/sets/p10" TargetMode="External" Id="rId2881"/><Relationship Type="http://schemas.openxmlformats.org/officeDocument/2006/relationships/hyperlink" Target="https://scryfall.com/sets/g10" TargetMode="External" Id="rId2882"/><Relationship Type="http://schemas.openxmlformats.org/officeDocument/2006/relationships/hyperlink" Target="https://scryfall.com/sets/g10" TargetMode="External" Id="rId2883"/><Relationship Type="http://schemas.openxmlformats.org/officeDocument/2006/relationships/hyperlink" Target="https://scryfall.com/sets/g10" TargetMode="External" Id="rId2884"/><Relationship Type="http://schemas.openxmlformats.org/officeDocument/2006/relationships/hyperlink" Target="https://scryfall.com/sets/g10" TargetMode="External" Id="rId2885"/><Relationship Type="http://schemas.openxmlformats.org/officeDocument/2006/relationships/hyperlink" Target="https://scryfall.com/sets/f10" TargetMode="External" Id="rId2886"/><Relationship Type="http://schemas.openxmlformats.org/officeDocument/2006/relationships/hyperlink" Target="https://scryfall.com/sets/f10" TargetMode="External" Id="rId2887"/><Relationship Type="http://schemas.openxmlformats.org/officeDocument/2006/relationships/hyperlink" Target="https://scryfall.com/sets/f10" TargetMode="External" Id="rId2888"/><Relationship Type="http://schemas.openxmlformats.org/officeDocument/2006/relationships/hyperlink" Target="https://scryfall.com/sets/f10" TargetMode="External" Id="rId2889"/><Relationship Type="http://schemas.openxmlformats.org/officeDocument/2006/relationships/hyperlink" Target="https://scryfall.com/sets/h09" TargetMode="External" Id="rId2890"/><Relationship Type="http://schemas.openxmlformats.org/officeDocument/2006/relationships/hyperlink" Target="https://scryfall.com/sets/h09" TargetMode="External" Id="rId2891"/><Relationship Type="http://schemas.openxmlformats.org/officeDocument/2006/relationships/hyperlink" Target="https://scryfall.com/sets/h09" TargetMode="External" Id="rId2892"/><Relationship Type="http://schemas.openxmlformats.org/officeDocument/2006/relationships/hyperlink" Target="https://scryfall.com/sets/h09" TargetMode="External" Id="rId2893"/><Relationship Type="http://schemas.openxmlformats.org/officeDocument/2006/relationships/hyperlink" Target="https://scryfall.com/sets/ddd" TargetMode="External" Id="rId2894"/><Relationship Type="http://schemas.openxmlformats.org/officeDocument/2006/relationships/hyperlink" Target="https://scryfall.com/sets/ddd" TargetMode="External" Id="rId2895"/><Relationship Type="http://schemas.openxmlformats.org/officeDocument/2006/relationships/hyperlink" Target="https://scryfall.com/sets/ddd" TargetMode="External" Id="rId2896"/><Relationship Type="http://schemas.openxmlformats.org/officeDocument/2006/relationships/hyperlink" Target="https://scryfall.com/sets/ddd" TargetMode="External" Id="rId2897"/><Relationship Type="http://schemas.openxmlformats.org/officeDocument/2006/relationships/hyperlink" Target="https://scryfall.com/sets/tddd" TargetMode="External" Id="rId2898"/><Relationship Type="http://schemas.openxmlformats.org/officeDocument/2006/relationships/hyperlink" Target="https://scryfall.com/sets/tddd" TargetMode="External" Id="rId2899"/><Relationship Type="http://schemas.openxmlformats.org/officeDocument/2006/relationships/hyperlink" Target="https://scryfall.com/sets/tddd" TargetMode="External" Id="rId2900"/><Relationship Type="http://schemas.openxmlformats.org/officeDocument/2006/relationships/hyperlink" Target="https://scryfall.com/sets/tddd" TargetMode="External" Id="rId2901"/><Relationship Type="http://schemas.openxmlformats.org/officeDocument/2006/relationships/hyperlink" Target="https://scryfall.com/sets/zen" TargetMode="External" Id="rId2902"/><Relationship Type="http://schemas.openxmlformats.org/officeDocument/2006/relationships/hyperlink" Target="https://scryfall.com/sets/zen" TargetMode="External" Id="rId2903"/><Relationship Type="http://schemas.openxmlformats.org/officeDocument/2006/relationships/hyperlink" Target="https://scryfall.com/sets/zen" TargetMode="External" Id="rId2904"/><Relationship Type="http://schemas.openxmlformats.org/officeDocument/2006/relationships/hyperlink" Target="https://scryfall.com/sets/pzen" TargetMode="External" Id="rId2905"/><Relationship Type="http://schemas.openxmlformats.org/officeDocument/2006/relationships/hyperlink" Target="https://scryfall.com/sets/pzen" TargetMode="External" Id="rId2906"/><Relationship Type="http://schemas.openxmlformats.org/officeDocument/2006/relationships/hyperlink" Target="https://scryfall.com/sets/pzen" TargetMode="External" Id="rId2907"/><Relationship Type="http://schemas.openxmlformats.org/officeDocument/2006/relationships/hyperlink" Target="https://scryfall.com/sets/tzen" TargetMode="External" Id="rId2908"/><Relationship Type="http://schemas.openxmlformats.org/officeDocument/2006/relationships/hyperlink" Target="https://scryfall.com/sets/tzen" TargetMode="External" Id="rId2909"/><Relationship Type="http://schemas.openxmlformats.org/officeDocument/2006/relationships/hyperlink" Target="https://scryfall.com/sets/tzen" TargetMode="External" Id="rId2910"/><Relationship Type="http://schemas.openxmlformats.org/officeDocument/2006/relationships/hyperlink" Target="https://scryfall.com/sets/tzen" TargetMode="External" Id="rId2911"/><Relationship Type="http://schemas.openxmlformats.org/officeDocument/2006/relationships/hyperlink" Target="https://scryfall.com/sets/me3" TargetMode="External" Id="rId2912"/><Relationship Type="http://schemas.openxmlformats.org/officeDocument/2006/relationships/hyperlink" Target="https://scryfall.com/sets/me3" TargetMode="External" Id="rId2913"/><Relationship Type="http://schemas.openxmlformats.org/officeDocument/2006/relationships/hyperlink" Target="https://scryfall.com/sets/me3" TargetMode="External" Id="rId2914"/><Relationship Type="http://schemas.openxmlformats.org/officeDocument/2006/relationships/hyperlink" Target="https://scryfall.com/sets/me3" TargetMode="External" Id="rId2915"/><Relationship Type="http://schemas.openxmlformats.org/officeDocument/2006/relationships/hyperlink" Target="https://scryfall.com/sets/hop" TargetMode="External" Id="rId2916"/><Relationship Type="http://schemas.openxmlformats.org/officeDocument/2006/relationships/hyperlink" Target="https://scryfall.com/sets/hop" TargetMode="External" Id="rId2917"/><Relationship Type="http://schemas.openxmlformats.org/officeDocument/2006/relationships/hyperlink" Target="https://scryfall.com/sets/hop" TargetMode="External" Id="rId2918"/><Relationship Type="http://schemas.openxmlformats.org/officeDocument/2006/relationships/hyperlink" Target="https://scryfall.com/sets/hop" TargetMode="External" Id="rId2919"/><Relationship Type="http://schemas.openxmlformats.org/officeDocument/2006/relationships/hyperlink" Target="https://scryfall.com/sets/phop" TargetMode="External" Id="rId2920"/><Relationship Type="http://schemas.openxmlformats.org/officeDocument/2006/relationships/hyperlink" Target="https://scryfall.com/sets/phop" TargetMode="External" Id="rId2921"/><Relationship Type="http://schemas.openxmlformats.org/officeDocument/2006/relationships/hyperlink" Target="https://scryfall.com/sets/phop" TargetMode="External" Id="rId2922"/><Relationship Type="http://schemas.openxmlformats.org/officeDocument/2006/relationships/hyperlink" Target="https://scryfall.com/sets/phop" TargetMode="External" Id="rId2923"/><Relationship Type="http://schemas.openxmlformats.org/officeDocument/2006/relationships/hyperlink" Target="https://scryfall.com/sets/ohop" TargetMode="External" Id="rId2924"/><Relationship Type="http://schemas.openxmlformats.org/officeDocument/2006/relationships/hyperlink" Target="https://scryfall.com/sets/ohop" TargetMode="External" Id="rId2925"/><Relationship Type="http://schemas.openxmlformats.org/officeDocument/2006/relationships/hyperlink" Target="https://scryfall.com/sets/ohop" TargetMode="External" Id="rId2926"/><Relationship Type="http://schemas.openxmlformats.org/officeDocument/2006/relationships/hyperlink" Target="https://scryfall.com/sets/v09" TargetMode="External" Id="rId2927"/><Relationship Type="http://schemas.openxmlformats.org/officeDocument/2006/relationships/hyperlink" Target="https://scryfall.com/sets/v09" TargetMode="External" Id="rId2928"/><Relationship Type="http://schemas.openxmlformats.org/officeDocument/2006/relationships/hyperlink" Target="https://scryfall.com/sets/v09" TargetMode="External" Id="rId2929"/><Relationship Type="http://schemas.openxmlformats.org/officeDocument/2006/relationships/hyperlink" Target="https://scryfall.com/sets/v09" TargetMode="External" Id="rId2930"/><Relationship Type="http://schemas.openxmlformats.org/officeDocument/2006/relationships/hyperlink" Target="https://scryfall.com/sets/m10" TargetMode="External" Id="rId2931"/><Relationship Type="http://schemas.openxmlformats.org/officeDocument/2006/relationships/hyperlink" Target="https://scryfall.com/sets/m10" TargetMode="External" Id="rId2932"/><Relationship Type="http://schemas.openxmlformats.org/officeDocument/2006/relationships/hyperlink" Target="https://scryfall.com/sets/m10" TargetMode="External" Id="rId2933"/><Relationship Type="http://schemas.openxmlformats.org/officeDocument/2006/relationships/hyperlink" Target="https://scryfall.com/sets/pm10" TargetMode="External" Id="rId2934"/><Relationship Type="http://schemas.openxmlformats.org/officeDocument/2006/relationships/hyperlink" Target="https://scryfall.com/sets/pm10" TargetMode="External" Id="rId2935"/><Relationship Type="http://schemas.openxmlformats.org/officeDocument/2006/relationships/hyperlink" Target="https://scryfall.com/sets/pm10" TargetMode="External" Id="rId2936"/><Relationship Type="http://schemas.openxmlformats.org/officeDocument/2006/relationships/hyperlink" Target="https://scryfall.com/sets/pm10" TargetMode="External" Id="rId2937"/><Relationship Type="http://schemas.openxmlformats.org/officeDocument/2006/relationships/hyperlink" Target="https://scryfall.com/sets/tm10" TargetMode="External" Id="rId2938"/><Relationship Type="http://schemas.openxmlformats.org/officeDocument/2006/relationships/hyperlink" Target="https://scryfall.com/sets/tm10" TargetMode="External" Id="rId2939"/><Relationship Type="http://schemas.openxmlformats.org/officeDocument/2006/relationships/hyperlink" Target="https://scryfall.com/sets/tm10" TargetMode="External" Id="rId2940"/><Relationship Type="http://schemas.openxmlformats.org/officeDocument/2006/relationships/hyperlink" Target="https://scryfall.com/sets/tm10" TargetMode="External" Id="rId2941"/><Relationship Type="http://schemas.openxmlformats.org/officeDocument/2006/relationships/hyperlink" Target="https://scryfall.com/sets/arb" TargetMode="External" Id="rId2942"/><Relationship Type="http://schemas.openxmlformats.org/officeDocument/2006/relationships/hyperlink" Target="https://scryfall.com/sets/arb" TargetMode="External" Id="rId2943"/><Relationship Type="http://schemas.openxmlformats.org/officeDocument/2006/relationships/hyperlink" Target="https://scryfall.com/sets/arb" TargetMode="External" Id="rId2944"/><Relationship Type="http://schemas.openxmlformats.org/officeDocument/2006/relationships/hyperlink" Target="https://scryfall.com/sets/parb" TargetMode="External" Id="rId2945"/><Relationship Type="http://schemas.openxmlformats.org/officeDocument/2006/relationships/hyperlink" Target="https://scryfall.com/sets/parb" TargetMode="External" Id="rId2946"/><Relationship Type="http://schemas.openxmlformats.org/officeDocument/2006/relationships/hyperlink" Target="https://scryfall.com/sets/parb" TargetMode="External" Id="rId2947"/><Relationship Type="http://schemas.openxmlformats.org/officeDocument/2006/relationships/hyperlink" Target="https://scryfall.com/sets/parb" TargetMode="External" Id="rId2948"/><Relationship Type="http://schemas.openxmlformats.org/officeDocument/2006/relationships/hyperlink" Target="https://scryfall.com/sets/tarb" TargetMode="External" Id="rId2949"/><Relationship Type="http://schemas.openxmlformats.org/officeDocument/2006/relationships/hyperlink" Target="https://scryfall.com/sets/tarb" TargetMode="External" Id="rId2950"/><Relationship Type="http://schemas.openxmlformats.org/officeDocument/2006/relationships/hyperlink" Target="https://scryfall.com/sets/tarb" TargetMode="External" Id="rId2951"/><Relationship Type="http://schemas.openxmlformats.org/officeDocument/2006/relationships/hyperlink" Target="https://scryfall.com/sets/tarb" TargetMode="External" Id="rId2952"/><Relationship Type="http://schemas.openxmlformats.org/officeDocument/2006/relationships/hyperlink" Target="https://scryfall.com/sets/ddc" TargetMode="External" Id="rId2953"/><Relationship Type="http://schemas.openxmlformats.org/officeDocument/2006/relationships/hyperlink" Target="https://scryfall.com/sets/ddc" TargetMode="External" Id="rId2954"/><Relationship Type="http://schemas.openxmlformats.org/officeDocument/2006/relationships/hyperlink" Target="https://scryfall.com/sets/ddc" TargetMode="External" Id="rId2955"/><Relationship Type="http://schemas.openxmlformats.org/officeDocument/2006/relationships/hyperlink" Target="https://scryfall.com/sets/ddc" TargetMode="External" Id="rId2956"/><Relationship Type="http://schemas.openxmlformats.org/officeDocument/2006/relationships/hyperlink" Target="https://scryfall.com/sets/tddc" TargetMode="External" Id="rId2957"/><Relationship Type="http://schemas.openxmlformats.org/officeDocument/2006/relationships/hyperlink" Target="https://scryfall.com/sets/tddc" TargetMode="External" Id="rId2958"/><Relationship Type="http://schemas.openxmlformats.org/officeDocument/2006/relationships/hyperlink" Target="https://scryfall.com/sets/tddc" TargetMode="External" Id="rId2959"/><Relationship Type="http://schemas.openxmlformats.org/officeDocument/2006/relationships/hyperlink" Target="https://scryfall.com/sets/tddc" TargetMode="External" Id="rId2960"/><Relationship Type="http://schemas.openxmlformats.org/officeDocument/2006/relationships/hyperlink" Target="https://scryfall.com/sets/purl" TargetMode="External" Id="rId2961"/><Relationship Type="http://schemas.openxmlformats.org/officeDocument/2006/relationships/hyperlink" Target="https://scryfall.com/sets/purl" TargetMode="External" Id="rId2962"/><Relationship Type="http://schemas.openxmlformats.org/officeDocument/2006/relationships/hyperlink" Target="https://scryfall.com/sets/purl" TargetMode="External" Id="rId2963"/><Relationship Type="http://schemas.openxmlformats.org/officeDocument/2006/relationships/hyperlink" Target="https://scryfall.com/sets/con" TargetMode="External" Id="rId2964"/><Relationship Type="http://schemas.openxmlformats.org/officeDocument/2006/relationships/hyperlink" Target="https://scryfall.com/sets/con" TargetMode="External" Id="rId2965"/><Relationship Type="http://schemas.openxmlformats.org/officeDocument/2006/relationships/hyperlink" Target="https://scryfall.com/sets/con" TargetMode="External" Id="rId2966"/><Relationship Type="http://schemas.openxmlformats.org/officeDocument/2006/relationships/hyperlink" Target="https://scryfall.com/sets/pcon" TargetMode="External" Id="rId2967"/><Relationship Type="http://schemas.openxmlformats.org/officeDocument/2006/relationships/hyperlink" Target="https://scryfall.com/sets/pcon" TargetMode="External" Id="rId2968"/><Relationship Type="http://schemas.openxmlformats.org/officeDocument/2006/relationships/hyperlink" Target="https://scryfall.com/sets/pcon" TargetMode="External" Id="rId2969"/><Relationship Type="http://schemas.openxmlformats.org/officeDocument/2006/relationships/hyperlink" Target="https://scryfall.com/sets/pcon" TargetMode="External" Id="rId2970"/><Relationship Type="http://schemas.openxmlformats.org/officeDocument/2006/relationships/hyperlink" Target="https://scryfall.com/sets/tcon" TargetMode="External" Id="rId2971"/><Relationship Type="http://schemas.openxmlformats.org/officeDocument/2006/relationships/hyperlink" Target="https://scryfall.com/sets/tcon" TargetMode="External" Id="rId2972"/><Relationship Type="http://schemas.openxmlformats.org/officeDocument/2006/relationships/hyperlink" Target="https://scryfall.com/sets/tcon" TargetMode="External" Id="rId2973"/><Relationship Type="http://schemas.openxmlformats.org/officeDocument/2006/relationships/hyperlink" Target="https://scryfall.com/sets/tcon" TargetMode="External" Id="rId2974"/><Relationship Type="http://schemas.openxmlformats.org/officeDocument/2006/relationships/hyperlink" Target="https://scryfall.com/sets/pdtp" TargetMode="External" Id="rId2975"/><Relationship Type="http://schemas.openxmlformats.org/officeDocument/2006/relationships/hyperlink" Target="https://scryfall.com/sets/pdtp" TargetMode="External" Id="rId2976"/><Relationship Type="http://schemas.openxmlformats.org/officeDocument/2006/relationships/hyperlink" Target="https://scryfall.com/sets/pdtp" TargetMode="External" Id="rId2977"/><Relationship Type="http://schemas.openxmlformats.org/officeDocument/2006/relationships/hyperlink" Target="https://scryfall.com/sets/pdtp" TargetMode="External" Id="rId2978"/><Relationship Type="http://schemas.openxmlformats.org/officeDocument/2006/relationships/hyperlink" Target="https://scryfall.com/sets/pmps09" TargetMode="External" Id="rId2979"/><Relationship Type="http://schemas.openxmlformats.org/officeDocument/2006/relationships/hyperlink" Target="https://scryfall.com/sets/pmps09" TargetMode="External" Id="rId2980"/><Relationship Type="http://schemas.openxmlformats.org/officeDocument/2006/relationships/hyperlink" Target="https://scryfall.com/sets/pmps09" TargetMode="External" Id="rId2981"/><Relationship Type="http://schemas.openxmlformats.org/officeDocument/2006/relationships/hyperlink" Target="https://scryfall.com/sets/pmps09/ja" TargetMode="External" Id="rId2982"/><Relationship Type="http://schemas.openxmlformats.org/officeDocument/2006/relationships/hyperlink" Target="https://scryfall.com/sets/f09" TargetMode="External" Id="rId2983"/><Relationship Type="http://schemas.openxmlformats.org/officeDocument/2006/relationships/hyperlink" Target="https://scryfall.com/sets/f09" TargetMode="External" Id="rId2984"/><Relationship Type="http://schemas.openxmlformats.org/officeDocument/2006/relationships/hyperlink" Target="https://scryfall.com/sets/f09" TargetMode="External" Id="rId2985"/><Relationship Type="http://schemas.openxmlformats.org/officeDocument/2006/relationships/hyperlink" Target="https://scryfall.com/sets/f09" TargetMode="External" Id="rId2986"/><Relationship Type="http://schemas.openxmlformats.org/officeDocument/2006/relationships/hyperlink" Target="https://scryfall.com/sets/p09" TargetMode="External" Id="rId2987"/><Relationship Type="http://schemas.openxmlformats.org/officeDocument/2006/relationships/hyperlink" Target="https://scryfall.com/sets/p09" TargetMode="External" Id="rId2988"/><Relationship Type="http://schemas.openxmlformats.org/officeDocument/2006/relationships/hyperlink" Target="https://scryfall.com/sets/p09" TargetMode="External" Id="rId2989"/><Relationship Type="http://schemas.openxmlformats.org/officeDocument/2006/relationships/hyperlink" Target="https://scryfall.com/sets/p09" TargetMode="External" Id="rId2990"/><Relationship Type="http://schemas.openxmlformats.org/officeDocument/2006/relationships/hyperlink" Target="https://scryfall.com/sets/g09" TargetMode="External" Id="rId2991"/><Relationship Type="http://schemas.openxmlformats.org/officeDocument/2006/relationships/hyperlink" Target="https://scryfall.com/sets/g09" TargetMode="External" Id="rId2992"/><Relationship Type="http://schemas.openxmlformats.org/officeDocument/2006/relationships/hyperlink" Target="https://scryfall.com/sets/g09" TargetMode="External" Id="rId2993"/><Relationship Type="http://schemas.openxmlformats.org/officeDocument/2006/relationships/hyperlink" Target="https://scryfall.com/sets/g09" TargetMode="External" Id="rId2994"/><Relationship Type="http://schemas.openxmlformats.org/officeDocument/2006/relationships/hyperlink" Target="https://scryfall.com/sets/dd2" TargetMode="External" Id="rId2995"/><Relationship Type="http://schemas.openxmlformats.org/officeDocument/2006/relationships/hyperlink" Target="https://scryfall.com/sets/dd2" TargetMode="External" Id="rId2996"/><Relationship Type="http://schemas.openxmlformats.org/officeDocument/2006/relationships/hyperlink" Target="https://scryfall.com/sets/dd2" TargetMode="External" Id="rId2997"/><Relationship Type="http://schemas.openxmlformats.org/officeDocument/2006/relationships/hyperlink" Target="https://scryfall.com/sets/tdd2" TargetMode="External" Id="rId2998"/><Relationship Type="http://schemas.openxmlformats.org/officeDocument/2006/relationships/hyperlink" Target="https://scryfall.com/sets/tdd2" TargetMode="External" Id="rId2999"/><Relationship Type="http://schemas.openxmlformats.org/officeDocument/2006/relationships/hyperlink" Target="https://scryfall.com/sets/tdd2" TargetMode="External" Id="rId3000"/><Relationship Type="http://schemas.openxmlformats.org/officeDocument/2006/relationships/hyperlink" Target="https://scryfall.com/sets/tdd2" TargetMode="External" Id="rId3001"/><Relationship Type="http://schemas.openxmlformats.org/officeDocument/2006/relationships/hyperlink" Target="https://scryfall.com/sets/ala" TargetMode="External" Id="rId3002"/><Relationship Type="http://schemas.openxmlformats.org/officeDocument/2006/relationships/hyperlink" Target="https://scryfall.com/sets/ala" TargetMode="External" Id="rId3003"/><Relationship Type="http://schemas.openxmlformats.org/officeDocument/2006/relationships/hyperlink" Target="https://scryfall.com/sets/ala" TargetMode="External" Id="rId3004"/><Relationship Type="http://schemas.openxmlformats.org/officeDocument/2006/relationships/hyperlink" Target="https://scryfall.com/sets/pala" TargetMode="External" Id="rId3005"/><Relationship Type="http://schemas.openxmlformats.org/officeDocument/2006/relationships/hyperlink" Target="https://scryfall.com/sets/pala" TargetMode="External" Id="rId3006"/><Relationship Type="http://schemas.openxmlformats.org/officeDocument/2006/relationships/hyperlink" Target="https://scryfall.com/sets/pala" TargetMode="External" Id="rId3007"/><Relationship Type="http://schemas.openxmlformats.org/officeDocument/2006/relationships/hyperlink" Target="https://scryfall.com/sets/pala" TargetMode="External" Id="rId3008"/><Relationship Type="http://schemas.openxmlformats.org/officeDocument/2006/relationships/hyperlink" Target="https://scryfall.com/sets/tala" TargetMode="External" Id="rId3009"/><Relationship Type="http://schemas.openxmlformats.org/officeDocument/2006/relationships/hyperlink" Target="https://scryfall.com/sets/tala" TargetMode="External" Id="rId3010"/><Relationship Type="http://schemas.openxmlformats.org/officeDocument/2006/relationships/hyperlink" Target="https://scryfall.com/sets/tala" TargetMode="External" Id="rId3011"/><Relationship Type="http://schemas.openxmlformats.org/officeDocument/2006/relationships/hyperlink" Target="https://scryfall.com/sets/tala" TargetMode="External" Id="rId3012"/><Relationship Type="http://schemas.openxmlformats.org/officeDocument/2006/relationships/hyperlink" Target="https://scryfall.com/sets/me2" TargetMode="External" Id="rId3013"/><Relationship Type="http://schemas.openxmlformats.org/officeDocument/2006/relationships/hyperlink" Target="https://scryfall.com/sets/me2" TargetMode="External" Id="rId3014"/><Relationship Type="http://schemas.openxmlformats.org/officeDocument/2006/relationships/hyperlink" Target="https://scryfall.com/sets/me2" TargetMode="External" Id="rId3015"/><Relationship Type="http://schemas.openxmlformats.org/officeDocument/2006/relationships/hyperlink" Target="https://scryfall.com/sets/me2" TargetMode="External" Id="rId3016"/><Relationship Type="http://schemas.openxmlformats.org/officeDocument/2006/relationships/hyperlink" Target="https://scryfall.com/sets/drb" TargetMode="External" Id="rId3017"/><Relationship Type="http://schemas.openxmlformats.org/officeDocument/2006/relationships/hyperlink" Target="https://scryfall.com/sets/drb" TargetMode="External" Id="rId3018"/><Relationship Type="http://schemas.openxmlformats.org/officeDocument/2006/relationships/hyperlink" Target="https://scryfall.com/sets/drb" TargetMode="External" Id="rId3019"/><Relationship Type="http://schemas.openxmlformats.org/officeDocument/2006/relationships/hyperlink" Target="https://scryfall.com/sets/drb" TargetMode="External" Id="rId3020"/><Relationship Type="http://schemas.openxmlformats.org/officeDocument/2006/relationships/hyperlink" Target="https://scryfall.com/sets/eve" TargetMode="External" Id="rId3021"/><Relationship Type="http://schemas.openxmlformats.org/officeDocument/2006/relationships/hyperlink" Target="https://scryfall.com/sets/eve" TargetMode="External" Id="rId3022"/><Relationship Type="http://schemas.openxmlformats.org/officeDocument/2006/relationships/hyperlink" Target="https://scryfall.com/sets/eve" TargetMode="External" Id="rId3023"/><Relationship Type="http://schemas.openxmlformats.org/officeDocument/2006/relationships/hyperlink" Target="https://scryfall.com/sets/peve" TargetMode="External" Id="rId3024"/><Relationship Type="http://schemas.openxmlformats.org/officeDocument/2006/relationships/hyperlink" Target="https://scryfall.com/sets/peve" TargetMode="External" Id="rId3025"/><Relationship Type="http://schemas.openxmlformats.org/officeDocument/2006/relationships/hyperlink" Target="https://scryfall.com/sets/peve" TargetMode="External" Id="rId3026"/><Relationship Type="http://schemas.openxmlformats.org/officeDocument/2006/relationships/hyperlink" Target="https://scryfall.com/sets/peve" TargetMode="External" Id="rId3027"/><Relationship Type="http://schemas.openxmlformats.org/officeDocument/2006/relationships/hyperlink" Target="https://scryfall.com/sets/teve" TargetMode="External" Id="rId3028"/><Relationship Type="http://schemas.openxmlformats.org/officeDocument/2006/relationships/hyperlink" Target="https://scryfall.com/sets/teve" TargetMode="External" Id="rId3029"/><Relationship Type="http://schemas.openxmlformats.org/officeDocument/2006/relationships/hyperlink" Target="https://scryfall.com/sets/teve" TargetMode="External" Id="rId3030"/><Relationship Type="http://schemas.openxmlformats.org/officeDocument/2006/relationships/hyperlink" Target="https://scryfall.com/sets/teve" TargetMode="External" Id="rId3031"/><Relationship Type="http://schemas.openxmlformats.org/officeDocument/2006/relationships/hyperlink" Target="https://scryfall.com/sets/shm" TargetMode="External" Id="rId3032"/><Relationship Type="http://schemas.openxmlformats.org/officeDocument/2006/relationships/hyperlink" Target="https://scryfall.com/sets/shm" TargetMode="External" Id="rId3033"/><Relationship Type="http://schemas.openxmlformats.org/officeDocument/2006/relationships/hyperlink" Target="https://scryfall.com/sets/shm" TargetMode="External" Id="rId3034"/><Relationship Type="http://schemas.openxmlformats.org/officeDocument/2006/relationships/hyperlink" Target="https://scryfall.com/sets/pshm" TargetMode="External" Id="rId3035"/><Relationship Type="http://schemas.openxmlformats.org/officeDocument/2006/relationships/hyperlink" Target="https://scryfall.com/sets/pshm" TargetMode="External" Id="rId3036"/><Relationship Type="http://schemas.openxmlformats.org/officeDocument/2006/relationships/hyperlink" Target="https://scryfall.com/sets/pshm" TargetMode="External" Id="rId3037"/><Relationship Type="http://schemas.openxmlformats.org/officeDocument/2006/relationships/hyperlink" Target="https://scryfall.com/sets/pshm" TargetMode="External" Id="rId3038"/><Relationship Type="http://schemas.openxmlformats.org/officeDocument/2006/relationships/hyperlink" Target="https://scryfall.com/sets/tshm" TargetMode="External" Id="rId3039"/><Relationship Type="http://schemas.openxmlformats.org/officeDocument/2006/relationships/hyperlink" Target="https://scryfall.com/sets/tshm" TargetMode="External" Id="rId3040"/><Relationship Type="http://schemas.openxmlformats.org/officeDocument/2006/relationships/hyperlink" Target="https://scryfall.com/sets/tshm" TargetMode="External" Id="rId3041"/><Relationship Type="http://schemas.openxmlformats.org/officeDocument/2006/relationships/hyperlink" Target="https://scryfall.com/sets/tshm" TargetMode="External" Id="rId3042"/><Relationship Type="http://schemas.openxmlformats.org/officeDocument/2006/relationships/hyperlink" Target="https://scryfall.com/sets/p15a" TargetMode="External" Id="rId3043"/><Relationship Type="http://schemas.openxmlformats.org/officeDocument/2006/relationships/hyperlink" Target="https://scryfall.com/sets/p15a" TargetMode="External" Id="rId3044"/><Relationship Type="http://schemas.openxmlformats.org/officeDocument/2006/relationships/hyperlink" Target="https://scryfall.com/sets/p15a" TargetMode="External" Id="rId3045"/><Relationship Type="http://schemas.openxmlformats.org/officeDocument/2006/relationships/hyperlink" Target="https://scryfall.com/sets/p15a" TargetMode="External" Id="rId3046"/><Relationship Type="http://schemas.openxmlformats.org/officeDocument/2006/relationships/hyperlink" Target="https://scryfall.com/sets/mor" TargetMode="External" Id="rId3047"/><Relationship Type="http://schemas.openxmlformats.org/officeDocument/2006/relationships/hyperlink" Target="https://scryfall.com/sets/mor" TargetMode="External" Id="rId3048"/><Relationship Type="http://schemas.openxmlformats.org/officeDocument/2006/relationships/hyperlink" Target="https://scryfall.com/sets/mor" TargetMode="External" Id="rId3049"/><Relationship Type="http://schemas.openxmlformats.org/officeDocument/2006/relationships/hyperlink" Target="https://scryfall.com/sets/pmor" TargetMode="External" Id="rId3050"/><Relationship Type="http://schemas.openxmlformats.org/officeDocument/2006/relationships/hyperlink" Target="https://scryfall.com/sets/pmor" TargetMode="External" Id="rId3051"/><Relationship Type="http://schemas.openxmlformats.org/officeDocument/2006/relationships/hyperlink" Target="https://scryfall.com/sets/pmor" TargetMode="External" Id="rId3052"/><Relationship Type="http://schemas.openxmlformats.org/officeDocument/2006/relationships/hyperlink" Target="https://scryfall.com/sets/pmor" TargetMode="External" Id="rId3053"/><Relationship Type="http://schemas.openxmlformats.org/officeDocument/2006/relationships/hyperlink" Target="https://scryfall.com/sets/tmor" TargetMode="External" Id="rId3054"/><Relationship Type="http://schemas.openxmlformats.org/officeDocument/2006/relationships/hyperlink" Target="https://scryfall.com/sets/tmor" TargetMode="External" Id="rId3055"/><Relationship Type="http://schemas.openxmlformats.org/officeDocument/2006/relationships/hyperlink" Target="https://scryfall.com/sets/tmor" TargetMode="External" Id="rId3056"/><Relationship Type="http://schemas.openxmlformats.org/officeDocument/2006/relationships/hyperlink" Target="https://scryfall.com/sets/tmor" TargetMode="External" Id="rId3057"/><Relationship Type="http://schemas.openxmlformats.org/officeDocument/2006/relationships/hyperlink" Target="https://scryfall.com/sets/pmps08" TargetMode="External" Id="rId3058"/><Relationship Type="http://schemas.openxmlformats.org/officeDocument/2006/relationships/hyperlink" Target="https://scryfall.com/sets/pmps08" TargetMode="External" Id="rId3059"/><Relationship Type="http://schemas.openxmlformats.org/officeDocument/2006/relationships/hyperlink" Target="https://scryfall.com/sets/pmps08" TargetMode="External" Id="rId3060"/><Relationship Type="http://schemas.openxmlformats.org/officeDocument/2006/relationships/hyperlink" Target="https://scryfall.com/sets/pmps08/ja" TargetMode="External" Id="rId3061"/><Relationship Type="http://schemas.openxmlformats.org/officeDocument/2006/relationships/hyperlink" Target="https://scryfall.com/sets/p08" TargetMode="External" Id="rId3062"/><Relationship Type="http://schemas.openxmlformats.org/officeDocument/2006/relationships/hyperlink" Target="https://scryfall.com/sets/p08" TargetMode="External" Id="rId3063"/><Relationship Type="http://schemas.openxmlformats.org/officeDocument/2006/relationships/hyperlink" Target="https://scryfall.com/sets/p08" TargetMode="External" Id="rId3064"/><Relationship Type="http://schemas.openxmlformats.org/officeDocument/2006/relationships/hyperlink" Target="https://scryfall.com/sets/p08" TargetMode="External" Id="rId3065"/><Relationship Type="http://schemas.openxmlformats.org/officeDocument/2006/relationships/hyperlink" Target="https://scryfall.com/sets/f08" TargetMode="External" Id="rId3066"/><Relationship Type="http://schemas.openxmlformats.org/officeDocument/2006/relationships/hyperlink" Target="https://scryfall.com/sets/f08" TargetMode="External" Id="rId3067"/><Relationship Type="http://schemas.openxmlformats.org/officeDocument/2006/relationships/hyperlink" Target="https://scryfall.com/sets/f08" TargetMode="External" Id="rId3068"/><Relationship Type="http://schemas.openxmlformats.org/officeDocument/2006/relationships/hyperlink" Target="https://scryfall.com/sets/f08" TargetMode="External" Id="rId3069"/><Relationship Type="http://schemas.openxmlformats.org/officeDocument/2006/relationships/hyperlink" Target="https://scryfall.com/sets/g08" TargetMode="External" Id="rId3070"/><Relationship Type="http://schemas.openxmlformats.org/officeDocument/2006/relationships/hyperlink" Target="https://scryfall.com/sets/g08" TargetMode="External" Id="rId3071"/><Relationship Type="http://schemas.openxmlformats.org/officeDocument/2006/relationships/hyperlink" Target="https://scryfall.com/sets/g08" TargetMode="External" Id="rId3072"/><Relationship Type="http://schemas.openxmlformats.org/officeDocument/2006/relationships/hyperlink" Target="https://scryfall.com/sets/g08" TargetMode="External" Id="rId3073"/><Relationship Type="http://schemas.openxmlformats.org/officeDocument/2006/relationships/hyperlink" Target="https://scryfall.com/sets/dd1" TargetMode="External" Id="rId3074"/><Relationship Type="http://schemas.openxmlformats.org/officeDocument/2006/relationships/hyperlink" Target="https://scryfall.com/sets/dd1" TargetMode="External" Id="rId3075"/><Relationship Type="http://schemas.openxmlformats.org/officeDocument/2006/relationships/hyperlink" Target="https://scryfall.com/sets/dd1" TargetMode="External" Id="rId3076"/><Relationship Type="http://schemas.openxmlformats.org/officeDocument/2006/relationships/hyperlink" Target="https://scryfall.com/sets/dd1" TargetMode="External" Id="rId3077"/><Relationship Type="http://schemas.openxmlformats.org/officeDocument/2006/relationships/hyperlink" Target="https://scryfall.com/sets/tdd1" TargetMode="External" Id="rId3078"/><Relationship Type="http://schemas.openxmlformats.org/officeDocument/2006/relationships/hyperlink" Target="https://scryfall.com/sets/tdd1" TargetMode="External" Id="rId3079"/><Relationship Type="http://schemas.openxmlformats.org/officeDocument/2006/relationships/hyperlink" Target="https://scryfall.com/sets/tdd1" TargetMode="External" Id="rId3080"/><Relationship Type="http://schemas.openxmlformats.org/officeDocument/2006/relationships/hyperlink" Target="https://scryfall.com/sets/tdd1" TargetMode="External" Id="rId3081"/><Relationship Type="http://schemas.openxmlformats.org/officeDocument/2006/relationships/hyperlink" Target="https://scryfall.com/sets/lrw" TargetMode="External" Id="rId3082"/><Relationship Type="http://schemas.openxmlformats.org/officeDocument/2006/relationships/hyperlink" Target="https://scryfall.com/sets/lrw" TargetMode="External" Id="rId3083"/><Relationship Type="http://schemas.openxmlformats.org/officeDocument/2006/relationships/hyperlink" Target="https://scryfall.com/sets/lrw" TargetMode="External" Id="rId3084"/><Relationship Type="http://schemas.openxmlformats.org/officeDocument/2006/relationships/hyperlink" Target="https://scryfall.com/sets/plrw" TargetMode="External" Id="rId3085"/><Relationship Type="http://schemas.openxmlformats.org/officeDocument/2006/relationships/hyperlink" Target="https://scryfall.com/sets/plrw" TargetMode="External" Id="rId3086"/><Relationship Type="http://schemas.openxmlformats.org/officeDocument/2006/relationships/hyperlink" Target="https://scryfall.com/sets/plrw" TargetMode="External" Id="rId3087"/><Relationship Type="http://schemas.openxmlformats.org/officeDocument/2006/relationships/hyperlink" Target="https://scryfall.com/sets/plrw" TargetMode="External" Id="rId3088"/><Relationship Type="http://schemas.openxmlformats.org/officeDocument/2006/relationships/hyperlink" Target="https://scryfall.com/sets/tlrw" TargetMode="External" Id="rId3089"/><Relationship Type="http://schemas.openxmlformats.org/officeDocument/2006/relationships/hyperlink" Target="https://scryfall.com/sets/tlrw" TargetMode="External" Id="rId3090"/><Relationship Type="http://schemas.openxmlformats.org/officeDocument/2006/relationships/hyperlink" Target="https://scryfall.com/sets/tlrw" TargetMode="External" Id="rId3091"/><Relationship Type="http://schemas.openxmlformats.org/officeDocument/2006/relationships/hyperlink" Target="https://scryfall.com/sets/tlrw" TargetMode="External" Id="rId3092"/><Relationship Type="http://schemas.openxmlformats.org/officeDocument/2006/relationships/hyperlink" Target="https://scryfall.com/sets/me1" TargetMode="External" Id="rId3093"/><Relationship Type="http://schemas.openxmlformats.org/officeDocument/2006/relationships/hyperlink" Target="https://scryfall.com/sets/me1" TargetMode="External" Id="rId3094"/><Relationship Type="http://schemas.openxmlformats.org/officeDocument/2006/relationships/hyperlink" Target="https://scryfall.com/sets/me1" TargetMode="External" Id="rId3095"/><Relationship Type="http://schemas.openxmlformats.org/officeDocument/2006/relationships/hyperlink" Target="https://scryfall.com/sets/me1" TargetMode="External" Id="rId3096"/><Relationship Type="http://schemas.openxmlformats.org/officeDocument/2006/relationships/hyperlink" Target="https://scryfall.com/sets/10e" TargetMode="External" Id="rId3097"/><Relationship Type="http://schemas.openxmlformats.org/officeDocument/2006/relationships/hyperlink" Target="https://scryfall.com/sets/10e" TargetMode="External" Id="rId3098"/><Relationship Type="http://schemas.openxmlformats.org/officeDocument/2006/relationships/hyperlink" Target="https://scryfall.com/sets/10e" TargetMode="External" Id="rId3099"/><Relationship Type="http://schemas.openxmlformats.org/officeDocument/2006/relationships/hyperlink" Target="https://scryfall.com/sets/p10e" TargetMode="External" Id="rId3100"/><Relationship Type="http://schemas.openxmlformats.org/officeDocument/2006/relationships/hyperlink" Target="https://scryfall.com/sets/p10e" TargetMode="External" Id="rId3101"/><Relationship Type="http://schemas.openxmlformats.org/officeDocument/2006/relationships/hyperlink" Target="https://scryfall.com/sets/p10e" TargetMode="External" Id="rId3102"/><Relationship Type="http://schemas.openxmlformats.org/officeDocument/2006/relationships/hyperlink" Target="https://scryfall.com/sets/p10e" TargetMode="External" Id="rId3103"/><Relationship Type="http://schemas.openxmlformats.org/officeDocument/2006/relationships/hyperlink" Target="https://scryfall.com/sets/t10e" TargetMode="External" Id="rId3104"/><Relationship Type="http://schemas.openxmlformats.org/officeDocument/2006/relationships/hyperlink" Target="https://scryfall.com/sets/t10e" TargetMode="External" Id="rId3105"/><Relationship Type="http://schemas.openxmlformats.org/officeDocument/2006/relationships/hyperlink" Target="https://scryfall.com/sets/t10e" TargetMode="External" Id="rId3106"/><Relationship Type="http://schemas.openxmlformats.org/officeDocument/2006/relationships/hyperlink" Target="https://scryfall.com/sets/t10e" TargetMode="External" Id="rId3107"/><Relationship Type="http://schemas.openxmlformats.org/officeDocument/2006/relationships/hyperlink" Target="https://scryfall.com/sets/fut" TargetMode="External" Id="rId3108"/><Relationship Type="http://schemas.openxmlformats.org/officeDocument/2006/relationships/hyperlink" Target="https://scryfall.com/sets/fut" TargetMode="External" Id="rId3109"/><Relationship Type="http://schemas.openxmlformats.org/officeDocument/2006/relationships/hyperlink" Target="https://scryfall.com/sets/fut" TargetMode="External" Id="rId3110"/><Relationship Type="http://schemas.openxmlformats.org/officeDocument/2006/relationships/hyperlink" Target="https://scryfall.com/sets/pfut" TargetMode="External" Id="rId3111"/><Relationship Type="http://schemas.openxmlformats.org/officeDocument/2006/relationships/hyperlink" Target="https://scryfall.com/sets/pfut" TargetMode="External" Id="rId3112"/><Relationship Type="http://schemas.openxmlformats.org/officeDocument/2006/relationships/hyperlink" Target="https://scryfall.com/sets/pfut" TargetMode="External" Id="rId3113"/><Relationship Type="http://schemas.openxmlformats.org/officeDocument/2006/relationships/hyperlink" Target="https://scryfall.com/sets/pfut" TargetMode="External" Id="rId3114"/><Relationship Type="http://schemas.openxmlformats.org/officeDocument/2006/relationships/hyperlink" Target="https://scryfall.com/sets/pgpx" TargetMode="External" Id="rId3115"/><Relationship Type="http://schemas.openxmlformats.org/officeDocument/2006/relationships/hyperlink" Target="https://scryfall.com/sets/pgpx" TargetMode="External" Id="rId3116"/><Relationship Type="http://schemas.openxmlformats.org/officeDocument/2006/relationships/hyperlink" Target="https://scryfall.com/sets/pgpx" TargetMode="External" Id="rId3117"/><Relationship Type="http://schemas.openxmlformats.org/officeDocument/2006/relationships/hyperlink" Target="https://scryfall.com/sets/pgpx" TargetMode="External" Id="rId3118"/><Relationship Type="http://schemas.openxmlformats.org/officeDocument/2006/relationships/hyperlink" Target="https://scryfall.com/sets/ppro" TargetMode="External" Id="rId3119"/><Relationship Type="http://schemas.openxmlformats.org/officeDocument/2006/relationships/hyperlink" Target="https://scryfall.com/sets/ppro" TargetMode="External" Id="rId3120"/><Relationship Type="http://schemas.openxmlformats.org/officeDocument/2006/relationships/hyperlink" Target="https://scryfall.com/sets/ppro" TargetMode="External" Id="rId3121"/><Relationship Type="http://schemas.openxmlformats.org/officeDocument/2006/relationships/hyperlink" Target="https://scryfall.com/sets/ppro" TargetMode="External" Id="rId3122"/><Relationship Type="http://schemas.openxmlformats.org/officeDocument/2006/relationships/hyperlink" Target="https://scryfall.com/sets/plc" TargetMode="External" Id="rId3123"/><Relationship Type="http://schemas.openxmlformats.org/officeDocument/2006/relationships/hyperlink" Target="https://scryfall.com/sets/plc" TargetMode="External" Id="rId3124"/><Relationship Type="http://schemas.openxmlformats.org/officeDocument/2006/relationships/hyperlink" Target="https://scryfall.com/sets/plc" TargetMode="External" Id="rId3125"/><Relationship Type="http://schemas.openxmlformats.org/officeDocument/2006/relationships/hyperlink" Target="https://scryfall.com/sets/pplc" TargetMode="External" Id="rId3126"/><Relationship Type="http://schemas.openxmlformats.org/officeDocument/2006/relationships/hyperlink" Target="https://scryfall.com/sets/pplc" TargetMode="External" Id="rId3127"/><Relationship Type="http://schemas.openxmlformats.org/officeDocument/2006/relationships/hyperlink" Target="https://scryfall.com/sets/pplc" TargetMode="External" Id="rId3128"/><Relationship Type="http://schemas.openxmlformats.org/officeDocument/2006/relationships/hyperlink" Target="https://scryfall.com/sets/pplc" TargetMode="External" Id="rId3129"/><Relationship Type="http://schemas.openxmlformats.org/officeDocument/2006/relationships/hyperlink" Target="https://scryfall.com/sets/pmps07" TargetMode="External" Id="rId3130"/><Relationship Type="http://schemas.openxmlformats.org/officeDocument/2006/relationships/hyperlink" Target="https://scryfall.com/sets/pmps07" TargetMode="External" Id="rId3131"/><Relationship Type="http://schemas.openxmlformats.org/officeDocument/2006/relationships/hyperlink" Target="https://scryfall.com/sets/pmps07" TargetMode="External" Id="rId3132"/><Relationship Type="http://schemas.openxmlformats.org/officeDocument/2006/relationships/hyperlink" Target="https://scryfall.com/sets/pmps07/ja" TargetMode="External" Id="rId3133"/><Relationship Type="http://schemas.openxmlformats.org/officeDocument/2006/relationships/hyperlink" Target="https://scryfall.com/sets/g07" TargetMode="External" Id="rId3134"/><Relationship Type="http://schemas.openxmlformats.org/officeDocument/2006/relationships/hyperlink" Target="https://scryfall.com/sets/g07" TargetMode="External" Id="rId3135"/><Relationship Type="http://schemas.openxmlformats.org/officeDocument/2006/relationships/hyperlink" Target="https://scryfall.com/sets/g07" TargetMode="External" Id="rId3136"/><Relationship Type="http://schemas.openxmlformats.org/officeDocument/2006/relationships/hyperlink" Target="https://scryfall.com/sets/g07" TargetMode="External" Id="rId3137"/><Relationship Type="http://schemas.openxmlformats.org/officeDocument/2006/relationships/hyperlink" Target="https://scryfall.com/sets/p07" TargetMode="External" Id="rId3138"/><Relationship Type="http://schemas.openxmlformats.org/officeDocument/2006/relationships/hyperlink" Target="https://scryfall.com/sets/p07" TargetMode="External" Id="rId3139"/><Relationship Type="http://schemas.openxmlformats.org/officeDocument/2006/relationships/hyperlink" Target="https://scryfall.com/sets/p07" TargetMode="External" Id="rId3140"/><Relationship Type="http://schemas.openxmlformats.org/officeDocument/2006/relationships/hyperlink" Target="https://scryfall.com/sets/p07" TargetMode="External" Id="rId3141"/><Relationship Type="http://schemas.openxmlformats.org/officeDocument/2006/relationships/hyperlink" Target="https://scryfall.com/sets/f07" TargetMode="External" Id="rId3142"/><Relationship Type="http://schemas.openxmlformats.org/officeDocument/2006/relationships/hyperlink" Target="https://scryfall.com/sets/f07" TargetMode="External" Id="rId3143"/><Relationship Type="http://schemas.openxmlformats.org/officeDocument/2006/relationships/hyperlink" Target="https://scryfall.com/sets/f07" TargetMode="External" Id="rId3144"/><Relationship Type="http://schemas.openxmlformats.org/officeDocument/2006/relationships/hyperlink" Target="https://scryfall.com/sets/f07" TargetMode="External" Id="rId3145"/><Relationship Type="http://schemas.openxmlformats.org/officeDocument/2006/relationships/hyperlink" Target="https://scryfall.com/sets/hho" TargetMode="External" Id="rId3146"/><Relationship Type="http://schemas.openxmlformats.org/officeDocument/2006/relationships/hyperlink" Target="https://scryfall.com/sets/hho" TargetMode="External" Id="rId3147"/><Relationship Type="http://schemas.openxmlformats.org/officeDocument/2006/relationships/hyperlink" Target="https://scryfall.com/sets/hho" TargetMode="External" Id="rId3148"/><Relationship Type="http://schemas.openxmlformats.org/officeDocument/2006/relationships/hyperlink" Target="https://scryfall.com/sets/hho" TargetMode="External" Id="rId3149"/><Relationship Type="http://schemas.openxmlformats.org/officeDocument/2006/relationships/hyperlink" Target="https://scryfall.com/sets/tsp" TargetMode="External" Id="rId3150"/><Relationship Type="http://schemas.openxmlformats.org/officeDocument/2006/relationships/hyperlink" Target="https://scryfall.com/sets/tsp" TargetMode="External" Id="rId3151"/><Relationship Type="http://schemas.openxmlformats.org/officeDocument/2006/relationships/hyperlink" Target="https://scryfall.com/sets/tsp" TargetMode="External" Id="rId3152"/><Relationship Type="http://schemas.openxmlformats.org/officeDocument/2006/relationships/hyperlink" Target="https://scryfall.com/sets/ptsp" TargetMode="External" Id="rId3153"/><Relationship Type="http://schemas.openxmlformats.org/officeDocument/2006/relationships/hyperlink" Target="https://scryfall.com/sets/ptsp" TargetMode="External" Id="rId3154"/><Relationship Type="http://schemas.openxmlformats.org/officeDocument/2006/relationships/hyperlink" Target="https://scryfall.com/sets/ptsp" TargetMode="External" Id="rId3155"/><Relationship Type="http://schemas.openxmlformats.org/officeDocument/2006/relationships/hyperlink" Target="https://scryfall.com/sets/ptsp" TargetMode="External" Id="rId3156"/><Relationship Type="http://schemas.openxmlformats.org/officeDocument/2006/relationships/hyperlink" Target="https://scryfall.com/sets/tsb" TargetMode="External" Id="rId3157"/><Relationship Type="http://schemas.openxmlformats.org/officeDocument/2006/relationships/hyperlink" Target="https://scryfall.com/sets/tsb" TargetMode="External" Id="rId3158"/><Relationship Type="http://schemas.openxmlformats.org/officeDocument/2006/relationships/hyperlink" Target="https://scryfall.com/sets/tsb" TargetMode="External" Id="rId3159"/><Relationship Type="http://schemas.openxmlformats.org/officeDocument/2006/relationships/hyperlink" Target="https://scryfall.com/sets/csp" TargetMode="External" Id="rId3160"/><Relationship Type="http://schemas.openxmlformats.org/officeDocument/2006/relationships/hyperlink" Target="https://scryfall.com/sets/csp" TargetMode="External" Id="rId3161"/><Relationship Type="http://schemas.openxmlformats.org/officeDocument/2006/relationships/hyperlink" Target="https://scryfall.com/sets/csp" TargetMode="External" Id="rId3162"/><Relationship Type="http://schemas.openxmlformats.org/officeDocument/2006/relationships/hyperlink" Target="https://scryfall.com/sets/pcsp" TargetMode="External" Id="rId3163"/><Relationship Type="http://schemas.openxmlformats.org/officeDocument/2006/relationships/hyperlink" Target="https://scryfall.com/sets/pcsp" TargetMode="External" Id="rId3164"/><Relationship Type="http://schemas.openxmlformats.org/officeDocument/2006/relationships/hyperlink" Target="https://scryfall.com/sets/pcsp" TargetMode="External" Id="rId3165"/><Relationship Type="http://schemas.openxmlformats.org/officeDocument/2006/relationships/hyperlink" Target="https://scryfall.com/sets/pcsp" TargetMode="External" Id="rId3166"/><Relationship Type="http://schemas.openxmlformats.org/officeDocument/2006/relationships/hyperlink" Target="https://scryfall.com/sets/cst" TargetMode="External" Id="rId3167"/><Relationship Type="http://schemas.openxmlformats.org/officeDocument/2006/relationships/hyperlink" Target="https://scryfall.com/sets/cst" TargetMode="External" Id="rId3168"/><Relationship Type="http://schemas.openxmlformats.org/officeDocument/2006/relationships/hyperlink" Target="https://scryfall.com/sets/cst" TargetMode="External" Id="rId3169"/><Relationship Type="http://schemas.openxmlformats.org/officeDocument/2006/relationships/hyperlink" Target="https://scryfall.com/sets/dis" TargetMode="External" Id="rId3170"/><Relationship Type="http://schemas.openxmlformats.org/officeDocument/2006/relationships/hyperlink" Target="https://scryfall.com/sets/dis" TargetMode="External" Id="rId3171"/><Relationship Type="http://schemas.openxmlformats.org/officeDocument/2006/relationships/hyperlink" Target="https://scryfall.com/sets/dis" TargetMode="External" Id="rId3172"/><Relationship Type="http://schemas.openxmlformats.org/officeDocument/2006/relationships/hyperlink" Target="https://scryfall.com/sets/pdis" TargetMode="External" Id="rId3173"/><Relationship Type="http://schemas.openxmlformats.org/officeDocument/2006/relationships/hyperlink" Target="https://scryfall.com/sets/pdis" TargetMode="External" Id="rId3174"/><Relationship Type="http://schemas.openxmlformats.org/officeDocument/2006/relationships/hyperlink" Target="https://scryfall.com/sets/pdis" TargetMode="External" Id="rId3175"/><Relationship Type="http://schemas.openxmlformats.org/officeDocument/2006/relationships/hyperlink" Target="https://scryfall.com/sets/pdis" TargetMode="External" Id="rId3176"/><Relationship Type="http://schemas.openxmlformats.org/officeDocument/2006/relationships/hyperlink" Target="https://scryfall.com/sets/pcmp" TargetMode="External" Id="rId3177"/><Relationship Type="http://schemas.openxmlformats.org/officeDocument/2006/relationships/hyperlink" Target="https://scryfall.com/sets/pcmp" TargetMode="External" Id="rId3178"/><Relationship Type="http://schemas.openxmlformats.org/officeDocument/2006/relationships/hyperlink" Target="https://scryfall.com/sets/pcmp" TargetMode="External" Id="rId3179"/><Relationship Type="http://schemas.openxmlformats.org/officeDocument/2006/relationships/hyperlink" Target="https://scryfall.com/sets/pcmp" TargetMode="External" Id="rId3180"/><Relationship Type="http://schemas.openxmlformats.org/officeDocument/2006/relationships/hyperlink" Target="https://scryfall.com/sets/gpt" TargetMode="External" Id="rId3181"/><Relationship Type="http://schemas.openxmlformats.org/officeDocument/2006/relationships/hyperlink" Target="https://scryfall.com/sets/gpt" TargetMode="External" Id="rId3182"/><Relationship Type="http://schemas.openxmlformats.org/officeDocument/2006/relationships/hyperlink" Target="https://scryfall.com/sets/gpt" TargetMode="External" Id="rId3183"/><Relationship Type="http://schemas.openxmlformats.org/officeDocument/2006/relationships/hyperlink" Target="https://scryfall.com/sets/pgpt" TargetMode="External" Id="rId3184"/><Relationship Type="http://schemas.openxmlformats.org/officeDocument/2006/relationships/hyperlink" Target="https://scryfall.com/sets/pgpt" TargetMode="External" Id="rId3185"/><Relationship Type="http://schemas.openxmlformats.org/officeDocument/2006/relationships/hyperlink" Target="https://scryfall.com/sets/pgpt" TargetMode="External" Id="rId3186"/><Relationship Type="http://schemas.openxmlformats.org/officeDocument/2006/relationships/hyperlink" Target="https://scryfall.com/sets/pgpt" TargetMode="External" Id="rId3187"/><Relationship Type="http://schemas.openxmlformats.org/officeDocument/2006/relationships/hyperlink" Target="https://scryfall.com/sets/pmps06" TargetMode="External" Id="rId3188"/><Relationship Type="http://schemas.openxmlformats.org/officeDocument/2006/relationships/hyperlink" Target="https://scryfall.com/sets/pmps06" TargetMode="External" Id="rId3189"/><Relationship Type="http://schemas.openxmlformats.org/officeDocument/2006/relationships/hyperlink" Target="https://scryfall.com/sets/pmps06" TargetMode="External" Id="rId3190"/><Relationship Type="http://schemas.openxmlformats.org/officeDocument/2006/relationships/hyperlink" Target="https://scryfall.com/sets/pmps06/ja" TargetMode="External" Id="rId3191"/><Relationship Type="http://schemas.openxmlformats.org/officeDocument/2006/relationships/hyperlink" Target="https://scryfall.com/sets/pal06" TargetMode="External" Id="rId3192"/><Relationship Type="http://schemas.openxmlformats.org/officeDocument/2006/relationships/hyperlink" Target="https://scryfall.com/sets/pal06" TargetMode="External" Id="rId3193"/><Relationship Type="http://schemas.openxmlformats.org/officeDocument/2006/relationships/hyperlink" Target="https://scryfall.com/sets/pal06" TargetMode="External" Id="rId3194"/><Relationship Type="http://schemas.openxmlformats.org/officeDocument/2006/relationships/hyperlink" Target="https://scryfall.com/sets/pal06" TargetMode="External" Id="rId3195"/><Relationship Type="http://schemas.openxmlformats.org/officeDocument/2006/relationships/hyperlink" Target="https://scryfall.com/sets/pjas" TargetMode="External" Id="rId3196"/><Relationship Type="http://schemas.openxmlformats.org/officeDocument/2006/relationships/hyperlink" Target="https://scryfall.com/sets/pjas" TargetMode="External" Id="rId3197"/><Relationship Type="http://schemas.openxmlformats.org/officeDocument/2006/relationships/hyperlink" Target="https://scryfall.com/sets/pjas" TargetMode="External" Id="rId3198"/><Relationship Type="http://schemas.openxmlformats.org/officeDocument/2006/relationships/hyperlink" Target="https://scryfall.com/sets/pjas" TargetMode="External" Id="rId3199"/><Relationship Type="http://schemas.openxmlformats.org/officeDocument/2006/relationships/hyperlink" Target="https://scryfall.com/sets/f06" TargetMode="External" Id="rId3200"/><Relationship Type="http://schemas.openxmlformats.org/officeDocument/2006/relationships/hyperlink" Target="https://scryfall.com/sets/f06" TargetMode="External" Id="rId3201"/><Relationship Type="http://schemas.openxmlformats.org/officeDocument/2006/relationships/hyperlink" Target="https://scryfall.com/sets/f06" TargetMode="External" Id="rId3202"/><Relationship Type="http://schemas.openxmlformats.org/officeDocument/2006/relationships/hyperlink" Target="https://scryfall.com/sets/f06" TargetMode="External" Id="rId3203"/><Relationship Type="http://schemas.openxmlformats.org/officeDocument/2006/relationships/hyperlink" Target="https://scryfall.com/sets/phuk" TargetMode="External" Id="rId3204"/><Relationship Type="http://schemas.openxmlformats.org/officeDocument/2006/relationships/hyperlink" Target="https://scryfall.com/sets/phuk" TargetMode="External" Id="rId3205"/><Relationship Type="http://schemas.openxmlformats.org/officeDocument/2006/relationships/hyperlink" Target="https://scryfall.com/sets/phuk" TargetMode="External" Id="rId3206"/><Relationship Type="http://schemas.openxmlformats.org/officeDocument/2006/relationships/hyperlink" Target="https://scryfall.com/sets/phuk" TargetMode="External" Id="rId3207"/><Relationship Type="http://schemas.openxmlformats.org/officeDocument/2006/relationships/hyperlink" Target="https://scryfall.com/sets/g06" TargetMode="External" Id="rId3208"/><Relationship Type="http://schemas.openxmlformats.org/officeDocument/2006/relationships/hyperlink" Target="https://scryfall.com/sets/g06" TargetMode="External" Id="rId3209"/><Relationship Type="http://schemas.openxmlformats.org/officeDocument/2006/relationships/hyperlink" Target="https://scryfall.com/sets/g06" TargetMode="External" Id="rId3210"/><Relationship Type="http://schemas.openxmlformats.org/officeDocument/2006/relationships/hyperlink" Target="https://scryfall.com/sets/g06" TargetMode="External" Id="rId3211"/><Relationship Type="http://schemas.openxmlformats.org/officeDocument/2006/relationships/hyperlink" Target="https://scryfall.com/sets/dci" TargetMode="External" Id="rId3212"/><Relationship Type="http://schemas.openxmlformats.org/officeDocument/2006/relationships/hyperlink" Target="https://scryfall.com/sets/dci" TargetMode="External" Id="rId3213"/><Relationship Type="http://schemas.openxmlformats.org/officeDocument/2006/relationships/hyperlink" Target="https://scryfall.com/sets/dci" TargetMode="External" Id="rId3214"/><Relationship Type="http://schemas.openxmlformats.org/officeDocument/2006/relationships/hyperlink" Target="https://scryfall.com/sets/p06" TargetMode="External" Id="rId3215"/><Relationship Type="http://schemas.openxmlformats.org/officeDocument/2006/relationships/hyperlink" Target="https://scryfall.com/sets/p06" TargetMode="External" Id="rId3216"/><Relationship Type="http://schemas.openxmlformats.org/officeDocument/2006/relationships/hyperlink" Target="https://scryfall.com/sets/p06" TargetMode="External" Id="rId3217"/><Relationship Type="http://schemas.openxmlformats.org/officeDocument/2006/relationships/hyperlink" Target="https://scryfall.com/sets/p06" TargetMode="External" Id="rId3218"/><Relationship Type="http://schemas.openxmlformats.org/officeDocument/2006/relationships/hyperlink" Target="https://scryfall.com/sets/p2hg" TargetMode="External" Id="rId3219"/><Relationship Type="http://schemas.openxmlformats.org/officeDocument/2006/relationships/hyperlink" Target="https://scryfall.com/sets/p2hg" TargetMode="External" Id="rId3220"/><Relationship Type="http://schemas.openxmlformats.org/officeDocument/2006/relationships/hyperlink" Target="https://scryfall.com/sets/p2hg" TargetMode="External" Id="rId3221"/><Relationship Type="http://schemas.openxmlformats.org/officeDocument/2006/relationships/hyperlink" Target="https://scryfall.com/sets/p2hg" TargetMode="External" Id="rId3222"/><Relationship Type="http://schemas.openxmlformats.org/officeDocument/2006/relationships/hyperlink" Target="https://scryfall.com/sets/pmps" TargetMode="External" Id="rId3223"/><Relationship Type="http://schemas.openxmlformats.org/officeDocument/2006/relationships/hyperlink" Target="https://scryfall.com/sets/pmps" TargetMode="External" Id="rId3224"/><Relationship Type="http://schemas.openxmlformats.org/officeDocument/2006/relationships/hyperlink" Target="https://scryfall.com/sets/pmps" TargetMode="External" Id="rId3225"/><Relationship Type="http://schemas.openxmlformats.org/officeDocument/2006/relationships/hyperlink" Target="https://scryfall.com/sets/pmps/ja" TargetMode="External" Id="rId3226"/><Relationship Type="http://schemas.openxmlformats.org/officeDocument/2006/relationships/hyperlink" Target="https://scryfall.com/sets/rav" TargetMode="External" Id="rId3227"/><Relationship Type="http://schemas.openxmlformats.org/officeDocument/2006/relationships/hyperlink" Target="https://scryfall.com/sets/rav" TargetMode="External" Id="rId3228"/><Relationship Type="http://schemas.openxmlformats.org/officeDocument/2006/relationships/hyperlink" Target="https://scryfall.com/sets/rav" TargetMode="External" Id="rId3229"/><Relationship Type="http://schemas.openxmlformats.org/officeDocument/2006/relationships/hyperlink" Target="https://scryfall.com/sets/prav" TargetMode="External" Id="rId3230"/><Relationship Type="http://schemas.openxmlformats.org/officeDocument/2006/relationships/hyperlink" Target="https://scryfall.com/sets/prav" TargetMode="External" Id="rId3231"/><Relationship Type="http://schemas.openxmlformats.org/officeDocument/2006/relationships/hyperlink" Target="https://scryfall.com/sets/prav" TargetMode="External" Id="rId3232"/><Relationship Type="http://schemas.openxmlformats.org/officeDocument/2006/relationships/hyperlink" Target="https://scryfall.com/sets/prav" TargetMode="External" Id="rId3233"/><Relationship Type="http://schemas.openxmlformats.org/officeDocument/2006/relationships/hyperlink" Target="https://scryfall.com/sets/psal" TargetMode="External" Id="rId3234"/><Relationship Type="http://schemas.openxmlformats.org/officeDocument/2006/relationships/hyperlink" Target="https://scryfall.com/sets/psal" TargetMode="External" Id="rId3235"/><Relationship Type="http://schemas.openxmlformats.org/officeDocument/2006/relationships/hyperlink" Target="https://scryfall.com/sets/psal" TargetMode="External" Id="rId3236"/><Relationship Type="http://schemas.openxmlformats.org/officeDocument/2006/relationships/hyperlink" Target="https://scryfall.com/sets/9ed" TargetMode="External" Id="rId3237"/><Relationship Type="http://schemas.openxmlformats.org/officeDocument/2006/relationships/hyperlink" Target="https://scryfall.com/sets/9ed" TargetMode="External" Id="rId3238"/><Relationship Type="http://schemas.openxmlformats.org/officeDocument/2006/relationships/hyperlink" Target="https://scryfall.com/sets/9ed" TargetMode="External" Id="rId3239"/><Relationship Type="http://schemas.openxmlformats.org/officeDocument/2006/relationships/hyperlink" Target="https://scryfall.com/sets/p9ed" TargetMode="External" Id="rId3240"/><Relationship Type="http://schemas.openxmlformats.org/officeDocument/2006/relationships/hyperlink" Target="https://scryfall.com/sets/p9ed" TargetMode="External" Id="rId3241"/><Relationship Type="http://schemas.openxmlformats.org/officeDocument/2006/relationships/hyperlink" Target="https://scryfall.com/sets/p9ed" TargetMode="External" Id="rId3242"/><Relationship Type="http://schemas.openxmlformats.org/officeDocument/2006/relationships/hyperlink" Target="https://scryfall.com/sets/sok" TargetMode="External" Id="rId3243"/><Relationship Type="http://schemas.openxmlformats.org/officeDocument/2006/relationships/hyperlink" Target="https://scryfall.com/sets/sok" TargetMode="External" Id="rId3244"/><Relationship Type="http://schemas.openxmlformats.org/officeDocument/2006/relationships/hyperlink" Target="https://scryfall.com/sets/sok" TargetMode="External" Id="rId3245"/><Relationship Type="http://schemas.openxmlformats.org/officeDocument/2006/relationships/hyperlink" Target="https://scryfall.com/sets/psok" TargetMode="External" Id="rId3246"/><Relationship Type="http://schemas.openxmlformats.org/officeDocument/2006/relationships/hyperlink" Target="https://scryfall.com/sets/psok" TargetMode="External" Id="rId3247"/><Relationship Type="http://schemas.openxmlformats.org/officeDocument/2006/relationships/hyperlink" Target="https://scryfall.com/sets/psok" TargetMode="External" Id="rId3248"/><Relationship Type="http://schemas.openxmlformats.org/officeDocument/2006/relationships/hyperlink" Target="https://scryfall.com/sets/psok" TargetMode="External" Id="rId3249"/><Relationship Type="http://schemas.openxmlformats.org/officeDocument/2006/relationships/hyperlink" Target="https://scryfall.com/sets/bok" TargetMode="External" Id="rId3250"/><Relationship Type="http://schemas.openxmlformats.org/officeDocument/2006/relationships/hyperlink" Target="https://scryfall.com/sets/bok" TargetMode="External" Id="rId3251"/><Relationship Type="http://schemas.openxmlformats.org/officeDocument/2006/relationships/hyperlink" Target="https://scryfall.com/sets/bok" TargetMode="External" Id="rId3252"/><Relationship Type="http://schemas.openxmlformats.org/officeDocument/2006/relationships/hyperlink" Target="https://scryfall.com/sets/pbok" TargetMode="External" Id="rId3253"/><Relationship Type="http://schemas.openxmlformats.org/officeDocument/2006/relationships/hyperlink" Target="https://scryfall.com/sets/pbok" TargetMode="External" Id="rId3254"/><Relationship Type="http://schemas.openxmlformats.org/officeDocument/2006/relationships/hyperlink" Target="https://scryfall.com/sets/pbok" TargetMode="External" Id="rId3255"/><Relationship Type="http://schemas.openxmlformats.org/officeDocument/2006/relationships/hyperlink" Target="https://scryfall.com/sets/pbok" TargetMode="External" Id="rId3256"/><Relationship Type="http://schemas.openxmlformats.org/officeDocument/2006/relationships/hyperlink" Target="https://scryfall.com/sets/pal05" TargetMode="External" Id="rId3257"/><Relationship Type="http://schemas.openxmlformats.org/officeDocument/2006/relationships/hyperlink" Target="https://scryfall.com/sets/pal05" TargetMode="External" Id="rId3258"/><Relationship Type="http://schemas.openxmlformats.org/officeDocument/2006/relationships/hyperlink" Target="https://scryfall.com/sets/pal05" TargetMode="External" Id="rId3259"/><Relationship Type="http://schemas.openxmlformats.org/officeDocument/2006/relationships/hyperlink" Target="https://scryfall.com/sets/pal05" TargetMode="External" Id="rId3260"/><Relationship Type="http://schemas.openxmlformats.org/officeDocument/2006/relationships/hyperlink" Target="https://scryfall.com/sets/pjse" TargetMode="External" Id="rId3261"/><Relationship Type="http://schemas.openxmlformats.org/officeDocument/2006/relationships/hyperlink" Target="https://scryfall.com/sets/pjse" TargetMode="External" Id="rId3262"/><Relationship Type="http://schemas.openxmlformats.org/officeDocument/2006/relationships/hyperlink" Target="https://scryfall.com/sets/pjse" TargetMode="External" Id="rId3263"/><Relationship Type="http://schemas.openxmlformats.org/officeDocument/2006/relationships/hyperlink" Target="https://scryfall.com/sets/pjse" TargetMode="External" Id="rId3264"/><Relationship Type="http://schemas.openxmlformats.org/officeDocument/2006/relationships/hyperlink" Target="https://scryfall.com/sets/f05" TargetMode="External" Id="rId3265"/><Relationship Type="http://schemas.openxmlformats.org/officeDocument/2006/relationships/hyperlink" Target="https://scryfall.com/sets/f05" TargetMode="External" Id="rId3266"/><Relationship Type="http://schemas.openxmlformats.org/officeDocument/2006/relationships/hyperlink" Target="https://scryfall.com/sets/f05" TargetMode="External" Id="rId3267"/><Relationship Type="http://schemas.openxmlformats.org/officeDocument/2006/relationships/hyperlink" Target="https://scryfall.com/sets/f05" TargetMode="External" Id="rId3268"/><Relationship Type="http://schemas.openxmlformats.org/officeDocument/2006/relationships/hyperlink" Target="https://scryfall.com/sets/p05" TargetMode="External" Id="rId3269"/><Relationship Type="http://schemas.openxmlformats.org/officeDocument/2006/relationships/hyperlink" Target="https://scryfall.com/sets/p05" TargetMode="External" Id="rId3270"/><Relationship Type="http://schemas.openxmlformats.org/officeDocument/2006/relationships/hyperlink" Target="https://scryfall.com/sets/p05" TargetMode="External" Id="rId3271"/><Relationship Type="http://schemas.openxmlformats.org/officeDocument/2006/relationships/hyperlink" Target="https://scryfall.com/sets/p05" TargetMode="External" Id="rId3272"/><Relationship Type="http://schemas.openxmlformats.org/officeDocument/2006/relationships/hyperlink" Target="https://scryfall.com/sets/g05" TargetMode="External" Id="rId3273"/><Relationship Type="http://schemas.openxmlformats.org/officeDocument/2006/relationships/hyperlink" Target="https://scryfall.com/sets/g05" TargetMode="External" Id="rId3274"/><Relationship Type="http://schemas.openxmlformats.org/officeDocument/2006/relationships/hyperlink" Target="https://scryfall.com/sets/g05" TargetMode="External" Id="rId3275"/><Relationship Type="http://schemas.openxmlformats.org/officeDocument/2006/relationships/hyperlink" Target="https://scryfall.com/sets/g05" TargetMode="External" Id="rId3276"/><Relationship Type="http://schemas.openxmlformats.org/officeDocument/2006/relationships/hyperlink" Target="https://scryfall.com/sets/unh" TargetMode="External" Id="rId3277"/><Relationship Type="http://schemas.openxmlformats.org/officeDocument/2006/relationships/hyperlink" Target="https://scryfall.com/sets/unh" TargetMode="External" Id="rId3278"/><Relationship Type="http://schemas.openxmlformats.org/officeDocument/2006/relationships/hyperlink" Target="https://scryfall.com/sets/unh" TargetMode="External" Id="rId3279"/><Relationship Type="http://schemas.openxmlformats.org/officeDocument/2006/relationships/hyperlink" Target="https://scryfall.com/sets/unh" TargetMode="External" Id="rId3280"/><Relationship Type="http://schemas.openxmlformats.org/officeDocument/2006/relationships/hyperlink" Target="https://scryfall.com/sets/punh" TargetMode="External" Id="rId3281"/><Relationship Type="http://schemas.openxmlformats.org/officeDocument/2006/relationships/hyperlink" Target="https://scryfall.com/sets/punh" TargetMode="External" Id="rId3282"/><Relationship Type="http://schemas.openxmlformats.org/officeDocument/2006/relationships/hyperlink" Target="https://scryfall.com/sets/punh" TargetMode="External" Id="rId3283"/><Relationship Type="http://schemas.openxmlformats.org/officeDocument/2006/relationships/hyperlink" Target="https://scryfall.com/sets/punh" TargetMode="External" Id="rId3284"/><Relationship Type="http://schemas.openxmlformats.org/officeDocument/2006/relationships/hyperlink" Target="https://scryfall.com/sets/chk" TargetMode="External" Id="rId3285"/><Relationship Type="http://schemas.openxmlformats.org/officeDocument/2006/relationships/hyperlink" Target="https://scryfall.com/sets/chk" TargetMode="External" Id="rId3286"/><Relationship Type="http://schemas.openxmlformats.org/officeDocument/2006/relationships/hyperlink" Target="https://scryfall.com/sets/chk" TargetMode="External" Id="rId3287"/><Relationship Type="http://schemas.openxmlformats.org/officeDocument/2006/relationships/hyperlink" Target="https://scryfall.com/sets/pchk" TargetMode="External" Id="rId3288"/><Relationship Type="http://schemas.openxmlformats.org/officeDocument/2006/relationships/hyperlink" Target="https://scryfall.com/sets/pchk" TargetMode="External" Id="rId3289"/><Relationship Type="http://schemas.openxmlformats.org/officeDocument/2006/relationships/hyperlink" Target="https://scryfall.com/sets/pchk" TargetMode="External" Id="rId3290"/><Relationship Type="http://schemas.openxmlformats.org/officeDocument/2006/relationships/hyperlink" Target="https://scryfall.com/sets/pchk" TargetMode="External" Id="rId3291"/><Relationship Type="http://schemas.openxmlformats.org/officeDocument/2006/relationships/hyperlink" Target="https://scryfall.com/sets/wc04" TargetMode="External" Id="rId3292"/><Relationship Type="http://schemas.openxmlformats.org/officeDocument/2006/relationships/hyperlink" Target="https://scryfall.com/sets/wc04" TargetMode="External" Id="rId3293"/><Relationship Type="http://schemas.openxmlformats.org/officeDocument/2006/relationships/hyperlink" Target="https://scryfall.com/sets/wc04" TargetMode="External" Id="rId3294"/><Relationship Type="http://schemas.openxmlformats.org/officeDocument/2006/relationships/hyperlink" Target="https://scryfall.com/sets/wc04" TargetMode="External" Id="rId3295"/><Relationship Type="http://schemas.openxmlformats.org/officeDocument/2006/relationships/hyperlink" Target="https://scryfall.com/sets/5dn" TargetMode="External" Id="rId3296"/><Relationship Type="http://schemas.openxmlformats.org/officeDocument/2006/relationships/hyperlink" Target="https://scryfall.com/sets/5dn" TargetMode="External" Id="rId3297"/><Relationship Type="http://schemas.openxmlformats.org/officeDocument/2006/relationships/hyperlink" Target="https://scryfall.com/sets/5dn" TargetMode="External" Id="rId3298"/><Relationship Type="http://schemas.openxmlformats.org/officeDocument/2006/relationships/hyperlink" Target="https://scryfall.com/sets/p5dn" TargetMode="External" Id="rId3299"/><Relationship Type="http://schemas.openxmlformats.org/officeDocument/2006/relationships/hyperlink" Target="https://scryfall.com/sets/p5dn" TargetMode="External" Id="rId3300"/><Relationship Type="http://schemas.openxmlformats.org/officeDocument/2006/relationships/hyperlink" Target="https://scryfall.com/sets/p5dn" TargetMode="External" Id="rId3301"/><Relationship Type="http://schemas.openxmlformats.org/officeDocument/2006/relationships/hyperlink" Target="https://scryfall.com/sets/p5dn" TargetMode="External" Id="rId3302"/><Relationship Type="http://schemas.openxmlformats.org/officeDocument/2006/relationships/hyperlink" Target="https://scryfall.com/sets/dst" TargetMode="External" Id="rId3303"/><Relationship Type="http://schemas.openxmlformats.org/officeDocument/2006/relationships/hyperlink" Target="https://scryfall.com/sets/dst" TargetMode="External" Id="rId3304"/><Relationship Type="http://schemas.openxmlformats.org/officeDocument/2006/relationships/hyperlink" Target="https://scryfall.com/sets/dst" TargetMode="External" Id="rId3305"/><Relationship Type="http://schemas.openxmlformats.org/officeDocument/2006/relationships/hyperlink" Target="https://scryfall.com/sets/pdst" TargetMode="External" Id="rId3306"/><Relationship Type="http://schemas.openxmlformats.org/officeDocument/2006/relationships/hyperlink" Target="https://scryfall.com/sets/pdst" TargetMode="External" Id="rId3307"/><Relationship Type="http://schemas.openxmlformats.org/officeDocument/2006/relationships/hyperlink" Target="https://scryfall.com/sets/pdst" TargetMode="External" Id="rId3308"/><Relationship Type="http://schemas.openxmlformats.org/officeDocument/2006/relationships/hyperlink" Target="https://scryfall.com/sets/pdst" TargetMode="External" Id="rId3309"/><Relationship Type="http://schemas.openxmlformats.org/officeDocument/2006/relationships/hyperlink" Target="https://scryfall.com/sets/pal04" TargetMode="External" Id="rId3310"/><Relationship Type="http://schemas.openxmlformats.org/officeDocument/2006/relationships/hyperlink" Target="https://scryfall.com/sets/pal04" TargetMode="External" Id="rId3311"/><Relationship Type="http://schemas.openxmlformats.org/officeDocument/2006/relationships/hyperlink" Target="https://scryfall.com/sets/pal04" TargetMode="External" Id="rId3312"/><Relationship Type="http://schemas.openxmlformats.org/officeDocument/2006/relationships/hyperlink" Target="https://scryfall.com/sets/pal04" TargetMode="External" Id="rId3313"/><Relationship Type="http://schemas.openxmlformats.org/officeDocument/2006/relationships/hyperlink" Target="https://scryfall.com/sets/g04" TargetMode="External" Id="rId3314"/><Relationship Type="http://schemas.openxmlformats.org/officeDocument/2006/relationships/hyperlink" Target="https://scryfall.com/sets/g04" TargetMode="External" Id="rId3315"/><Relationship Type="http://schemas.openxmlformats.org/officeDocument/2006/relationships/hyperlink" Target="https://scryfall.com/sets/g04" TargetMode="External" Id="rId3316"/><Relationship Type="http://schemas.openxmlformats.org/officeDocument/2006/relationships/hyperlink" Target="https://scryfall.com/sets/g04" TargetMode="External" Id="rId3317"/><Relationship Type="http://schemas.openxmlformats.org/officeDocument/2006/relationships/hyperlink" Target="https://scryfall.com/sets/p04" TargetMode="External" Id="rId3318"/><Relationship Type="http://schemas.openxmlformats.org/officeDocument/2006/relationships/hyperlink" Target="https://scryfall.com/sets/p04" TargetMode="External" Id="rId3319"/><Relationship Type="http://schemas.openxmlformats.org/officeDocument/2006/relationships/hyperlink" Target="https://scryfall.com/sets/p04" TargetMode="External" Id="rId3320"/><Relationship Type="http://schemas.openxmlformats.org/officeDocument/2006/relationships/hyperlink" Target="https://scryfall.com/sets/p04" TargetMode="External" Id="rId3321"/><Relationship Type="http://schemas.openxmlformats.org/officeDocument/2006/relationships/hyperlink" Target="https://scryfall.com/sets/f04" TargetMode="External" Id="rId3322"/><Relationship Type="http://schemas.openxmlformats.org/officeDocument/2006/relationships/hyperlink" Target="https://scryfall.com/sets/f04" TargetMode="External" Id="rId3323"/><Relationship Type="http://schemas.openxmlformats.org/officeDocument/2006/relationships/hyperlink" Target="https://scryfall.com/sets/f04" TargetMode="External" Id="rId3324"/><Relationship Type="http://schemas.openxmlformats.org/officeDocument/2006/relationships/hyperlink" Target="https://scryfall.com/sets/f04" TargetMode="External" Id="rId3325"/><Relationship Type="http://schemas.openxmlformats.org/officeDocument/2006/relationships/hyperlink" Target="https://scryfall.com/sets/mrd" TargetMode="External" Id="rId3326"/><Relationship Type="http://schemas.openxmlformats.org/officeDocument/2006/relationships/hyperlink" Target="https://scryfall.com/sets/mrd" TargetMode="External" Id="rId3327"/><Relationship Type="http://schemas.openxmlformats.org/officeDocument/2006/relationships/hyperlink" Target="https://scryfall.com/sets/mrd" TargetMode="External" Id="rId3328"/><Relationship Type="http://schemas.openxmlformats.org/officeDocument/2006/relationships/hyperlink" Target="https://scryfall.com/sets/pmrd" TargetMode="External" Id="rId3329"/><Relationship Type="http://schemas.openxmlformats.org/officeDocument/2006/relationships/hyperlink" Target="https://scryfall.com/sets/pmrd" TargetMode="External" Id="rId3330"/><Relationship Type="http://schemas.openxmlformats.org/officeDocument/2006/relationships/hyperlink" Target="https://scryfall.com/sets/pmrd" TargetMode="External" Id="rId3331"/><Relationship Type="http://schemas.openxmlformats.org/officeDocument/2006/relationships/hyperlink" Target="https://scryfall.com/sets/pmrd" TargetMode="External" Id="rId3332"/><Relationship Type="http://schemas.openxmlformats.org/officeDocument/2006/relationships/hyperlink" Target="https://scryfall.com/sets/wc03" TargetMode="External" Id="rId3333"/><Relationship Type="http://schemas.openxmlformats.org/officeDocument/2006/relationships/hyperlink" Target="https://scryfall.com/sets/wc03" TargetMode="External" Id="rId3334"/><Relationship Type="http://schemas.openxmlformats.org/officeDocument/2006/relationships/hyperlink" Target="https://scryfall.com/sets/wc03" TargetMode="External" Id="rId3335"/><Relationship Type="http://schemas.openxmlformats.org/officeDocument/2006/relationships/hyperlink" Target="https://scryfall.com/sets/wc03" TargetMode="External" Id="rId3336"/><Relationship Type="http://schemas.openxmlformats.org/officeDocument/2006/relationships/hyperlink" Target="https://scryfall.com/sets/8ed" TargetMode="External" Id="rId3337"/><Relationship Type="http://schemas.openxmlformats.org/officeDocument/2006/relationships/hyperlink" Target="https://scryfall.com/sets/8ed" TargetMode="External" Id="rId3338"/><Relationship Type="http://schemas.openxmlformats.org/officeDocument/2006/relationships/hyperlink" Target="https://scryfall.com/sets/8ed" TargetMode="External" Id="rId3339"/><Relationship Type="http://schemas.openxmlformats.org/officeDocument/2006/relationships/hyperlink" Target="https://scryfall.com/sets/p8ed" TargetMode="External" Id="rId3340"/><Relationship Type="http://schemas.openxmlformats.org/officeDocument/2006/relationships/hyperlink" Target="https://scryfall.com/sets/p8ed" TargetMode="External" Id="rId3341"/><Relationship Type="http://schemas.openxmlformats.org/officeDocument/2006/relationships/hyperlink" Target="https://scryfall.com/sets/p8ed" TargetMode="External" Id="rId3342"/><Relationship Type="http://schemas.openxmlformats.org/officeDocument/2006/relationships/hyperlink" Target="https://scryfall.com/sets/p8ed" TargetMode="External" Id="rId3343"/><Relationship Type="http://schemas.openxmlformats.org/officeDocument/2006/relationships/hyperlink" Target="https://scryfall.com/sets/scg" TargetMode="External" Id="rId3344"/><Relationship Type="http://schemas.openxmlformats.org/officeDocument/2006/relationships/hyperlink" Target="https://scryfall.com/sets/scg" TargetMode="External" Id="rId3345"/><Relationship Type="http://schemas.openxmlformats.org/officeDocument/2006/relationships/hyperlink" Target="https://scryfall.com/sets/scg" TargetMode="External" Id="rId3346"/><Relationship Type="http://schemas.openxmlformats.org/officeDocument/2006/relationships/hyperlink" Target="https://scryfall.com/sets/pscg" TargetMode="External" Id="rId3347"/><Relationship Type="http://schemas.openxmlformats.org/officeDocument/2006/relationships/hyperlink" Target="https://scryfall.com/sets/pscg" TargetMode="External" Id="rId3348"/><Relationship Type="http://schemas.openxmlformats.org/officeDocument/2006/relationships/hyperlink" Target="https://scryfall.com/sets/pscg" TargetMode="External" Id="rId3349"/><Relationship Type="http://schemas.openxmlformats.org/officeDocument/2006/relationships/hyperlink" Target="https://scryfall.com/sets/pscg" TargetMode="External" Id="rId3350"/><Relationship Type="http://schemas.openxmlformats.org/officeDocument/2006/relationships/hyperlink" Target="https://scryfall.com/sets/lgn" TargetMode="External" Id="rId3351"/><Relationship Type="http://schemas.openxmlformats.org/officeDocument/2006/relationships/hyperlink" Target="https://scryfall.com/sets/lgn" TargetMode="External" Id="rId3352"/><Relationship Type="http://schemas.openxmlformats.org/officeDocument/2006/relationships/hyperlink" Target="https://scryfall.com/sets/lgn" TargetMode="External" Id="rId3353"/><Relationship Type="http://schemas.openxmlformats.org/officeDocument/2006/relationships/hyperlink" Target="https://scryfall.com/sets/plgn" TargetMode="External" Id="rId3354"/><Relationship Type="http://schemas.openxmlformats.org/officeDocument/2006/relationships/hyperlink" Target="https://scryfall.com/sets/plgn" TargetMode="External" Id="rId3355"/><Relationship Type="http://schemas.openxmlformats.org/officeDocument/2006/relationships/hyperlink" Target="https://scryfall.com/sets/plgn" TargetMode="External" Id="rId3356"/><Relationship Type="http://schemas.openxmlformats.org/officeDocument/2006/relationships/hyperlink" Target="https://scryfall.com/sets/plgn" TargetMode="External" Id="rId3357"/><Relationship Type="http://schemas.openxmlformats.org/officeDocument/2006/relationships/hyperlink" Target="https://scryfall.com/sets/pmoa" TargetMode="External" Id="rId3358"/><Relationship Type="http://schemas.openxmlformats.org/officeDocument/2006/relationships/hyperlink" Target="https://scryfall.com/sets/pmoa" TargetMode="External" Id="rId3359"/><Relationship Type="http://schemas.openxmlformats.org/officeDocument/2006/relationships/hyperlink" Target="https://scryfall.com/sets/pmoa" TargetMode="External" Id="rId3360"/><Relationship Type="http://schemas.openxmlformats.org/officeDocument/2006/relationships/hyperlink" Target="https://scryfall.com/sets/pmoa" TargetMode="External" Id="rId3361"/><Relationship Type="http://schemas.openxmlformats.org/officeDocument/2006/relationships/hyperlink" Target="https://scryfall.com/sets/pjjt" TargetMode="External" Id="rId3362"/><Relationship Type="http://schemas.openxmlformats.org/officeDocument/2006/relationships/hyperlink" Target="https://scryfall.com/sets/pjjt" TargetMode="External" Id="rId3363"/><Relationship Type="http://schemas.openxmlformats.org/officeDocument/2006/relationships/hyperlink" Target="https://scryfall.com/sets/pjjt" TargetMode="External" Id="rId3364"/><Relationship Type="http://schemas.openxmlformats.org/officeDocument/2006/relationships/hyperlink" Target="https://scryfall.com/sets/pjjt/ja" TargetMode="External" Id="rId3365"/><Relationship Type="http://schemas.openxmlformats.org/officeDocument/2006/relationships/hyperlink" Target="https://scryfall.com/sets/pal03" TargetMode="External" Id="rId3366"/><Relationship Type="http://schemas.openxmlformats.org/officeDocument/2006/relationships/hyperlink" Target="https://scryfall.com/sets/pal03" TargetMode="External" Id="rId3367"/><Relationship Type="http://schemas.openxmlformats.org/officeDocument/2006/relationships/hyperlink" Target="https://scryfall.com/sets/pal03" TargetMode="External" Id="rId3368"/><Relationship Type="http://schemas.openxmlformats.org/officeDocument/2006/relationships/hyperlink" Target="https://scryfall.com/sets/pal03" TargetMode="External" Id="rId3369"/><Relationship Type="http://schemas.openxmlformats.org/officeDocument/2006/relationships/hyperlink" Target="https://scryfall.com/sets/g03" TargetMode="External" Id="rId3370"/><Relationship Type="http://schemas.openxmlformats.org/officeDocument/2006/relationships/hyperlink" Target="https://scryfall.com/sets/g03" TargetMode="External" Id="rId3371"/><Relationship Type="http://schemas.openxmlformats.org/officeDocument/2006/relationships/hyperlink" Target="https://scryfall.com/sets/g03" TargetMode="External" Id="rId3372"/><Relationship Type="http://schemas.openxmlformats.org/officeDocument/2006/relationships/hyperlink" Target="https://scryfall.com/sets/g03" TargetMode="External" Id="rId3373"/><Relationship Type="http://schemas.openxmlformats.org/officeDocument/2006/relationships/hyperlink" Target="https://scryfall.com/sets/p03" TargetMode="External" Id="rId3374"/><Relationship Type="http://schemas.openxmlformats.org/officeDocument/2006/relationships/hyperlink" Target="https://scryfall.com/sets/p03" TargetMode="External" Id="rId3375"/><Relationship Type="http://schemas.openxmlformats.org/officeDocument/2006/relationships/hyperlink" Target="https://scryfall.com/sets/p03" TargetMode="External" Id="rId3376"/><Relationship Type="http://schemas.openxmlformats.org/officeDocument/2006/relationships/hyperlink" Target="https://scryfall.com/sets/p03" TargetMode="External" Id="rId3377"/><Relationship Type="http://schemas.openxmlformats.org/officeDocument/2006/relationships/hyperlink" Target="https://scryfall.com/sets/f03" TargetMode="External" Id="rId3378"/><Relationship Type="http://schemas.openxmlformats.org/officeDocument/2006/relationships/hyperlink" Target="https://scryfall.com/sets/f03" TargetMode="External" Id="rId3379"/><Relationship Type="http://schemas.openxmlformats.org/officeDocument/2006/relationships/hyperlink" Target="https://scryfall.com/sets/f03" TargetMode="External" Id="rId3380"/><Relationship Type="http://schemas.openxmlformats.org/officeDocument/2006/relationships/hyperlink" Target="https://scryfall.com/sets/f03" TargetMode="External" Id="rId3381"/><Relationship Type="http://schemas.openxmlformats.org/officeDocument/2006/relationships/hyperlink" Target="https://scryfall.com/sets/ovnt" TargetMode="External" Id="rId3382"/><Relationship Type="http://schemas.openxmlformats.org/officeDocument/2006/relationships/hyperlink" Target="https://scryfall.com/sets/ovnt" TargetMode="External" Id="rId3383"/><Relationship Type="http://schemas.openxmlformats.org/officeDocument/2006/relationships/hyperlink" Target="https://scryfall.com/sets/ovnt" TargetMode="External" Id="rId3384"/><Relationship Type="http://schemas.openxmlformats.org/officeDocument/2006/relationships/hyperlink" Target="https://scryfall.com/sets/ovnt" TargetMode="External" Id="rId3385"/><Relationship Type="http://schemas.openxmlformats.org/officeDocument/2006/relationships/hyperlink" Target="https://scryfall.com/sets/wc02" TargetMode="External" Id="rId3386"/><Relationship Type="http://schemas.openxmlformats.org/officeDocument/2006/relationships/hyperlink" Target="https://scryfall.com/sets/wc02" TargetMode="External" Id="rId3387"/><Relationship Type="http://schemas.openxmlformats.org/officeDocument/2006/relationships/hyperlink" Target="https://scryfall.com/sets/wc02" TargetMode="External" Id="rId3388"/><Relationship Type="http://schemas.openxmlformats.org/officeDocument/2006/relationships/hyperlink" Target="https://scryfall.com/sets/wc02" TargetMode="External" Id="rId3389"/><Relationship Type="http://schemas.openxmlformats.org/officeDocument/2006/relationships/hyperlink" Target="https://scryfall.com/sets/ons" TargetMode="External" Id="rId3390"/><Relationship Type="http://schemas.openxmlformats.org/officeDocument/2006/relationships/hyperlink" Target="https://scryfall.com/sets/ons" TargetMode="External" Id="rId3391"/><Relationship Type="http://schemas.openxmlformats.org/officeDocument/2006/relationships/hyperlink" Target="https://scryfall.com/sets/ons" TargetMode="External" Id="rId3392"/><Relationship Type="http://schemas.openxmlformats.org/officeDocument/2006/relationships/hyperlink" Target="https://scryfall.com/sets/pons" TargetMode="External" Id="rId3393"/><Relationship Type="http://schemas.openxmlformats.org/officeDocument/2006/relationships/hyperlink" Target="https://scryfall.com/sets/pons" TargetMode="External" Id="rId3394"/><Relationship Type="http://schemas.openxmlformats.org/officeDocument/2006/relationships/hyperlink" Target="https://scryfall.com/sets/pons" TargetMode="External" Id="rId3395"/><Relationship Type="http://schemas.openxmlformats.org/officeDocument/2006/relationships/hyperlink" Target="https://scryfall.com/sets/pons" TargetMode="External" Id="rId3396"/><Relationship Type="http://schemas.openxmlformats.org/officeDocument/2006/relationships/hyperlink" Target="https://scryfall.com/sets/jp1" TargetMode="External" Id="rId3397"/><Relationship Type="http://schemas.openxmlformats.org/officeDocument/2006/relationships/hyperlink" Target="https://scryfall.com/sets/jp1" TargetMode="External" Id="rId3398"/><Relationship Type="http://schemas.openxmlformats.org/officeDocument/2006/relationships/hyperlink" Target="https://scryfall.com/sets/jp1" TargetMode="External" Id="rId3399"/><Relationship Type="http://schemas.openxmlformats.org/officeDocument/2006/relationships/hyperlink" Target="https://scryfall.com/sets/jp1/ja" TargetMode="External" Id="rId3400"/><Relationship Type="http://schemas.openxmlformats.org/officeDocument/2006/relationships/hyperlink" Target="https://scryfall.com/sets/prm" TargetMode="External" Id="rId3401"/><Relationship Type="http://schemas.openxmlformats.org/officeDocument/2006/relationships/hyperlink" Target="https://scryfall.com/sets/prm" TargetMode="External" Id="rId3402"/><Relationship Type="http://schemas.openxmlformats.org/officeDocument/2006/relationships/hyperlink" Target="https://scryfall.com/sets/prm" TargetMode="External" Id="rId3403"/><Relationship Type="http://schemas.openxmlformats.org/officeDocument/2006/relationships/hyperlink" Target="https://scryfall.com/sets/prm" TargetMode="External" Id="rId3404"/><Relationship Type="http://schemas.openxmlformats.org/officeDocument/2006/relationships/hyperlink" Target="https://scryfall.com/sets/jud" TargetMode="External" Id="rId3405"/><Relationship Type="http://schemas.openxmlformats.org/officeDocument/2006/relationships/hyperlink" Target="https://scryfall.com/sets/jud" TargetMode="External" Id="rId3406"/><Relationship Type="http://schemas.openxmlformats.org/officeDocument/2006/relationships/hyperlink" Target="https://scryfall.com/sets/jud" TargetMode="External" Id="rId3407"/><Relationship Type="http://schemas.openxmlformats.org/officeDocument/2006/relationships/hyperlink" Target="https://scryfall.com/sets/pjud" TargetMode="External" Id="rId3408"/><Relationship Type="http://schemas.openxmlformats.org/officeDocument/2006/relationships/hyperlink" Target="https://scryfall.com/sets/pjud" TargetMode="External" Id="rId3409"/><Relationship Type="http://schemas.openxmlformats.org/officeDocument/2006/relationships/hyperlink" Target="https://scryfall.com/sets/pjud" TargetMode="External" Id="rId3410"/><Relationship Type="http://schemas.openxmlformats.org/officeDocument/2006/relationships/hyperlink" Target="https://scryfall.com/sets/tor" TargetMode="External" Id="rId3411"/><Relationship Type="http://schemas.openxmlformats.org/officeDocument/2006/relationships/hyperlink" Target="https://scryfall.com/sets/tor" TargetMode="External" Id="rId3412"/><Relationship Type="http://schemas.openxmlformats.org/officeDocument/2006/relationships/hyperlink" Target="https://scryfall.com/sets/tor" TargetMode="External" Id="rId3413"/><Relationship Type="http://schemas.openxmlformats.org/officeDocument/2006/relationships/hyperlink" Target="https://scryfall.com/sets/ptor" TargetMode="External" Id="rId3414"/><Relationship Type="http://schemas.openxmlformats.org/officeDocument/2006/relationships/hyperlink" Target="https://scryfall.com/sets/ptor" TargetMode="External" Id="rId3415"/><Relationship Type="http://schemas.openxmlformats.org/officeDocument/2006/relationships/hyperlink" Target="https://scryfall.com/sets/ptor" TargetMode="External" Id="rId3416"/><Relationship Type="http://schemas.openxmlformats.org/officeDocument/2006/relationships/hyperlink" Target="https://scryfall.com/sets/ptor/ru" TargetMode="External" Id="rId3417"/><Relationship Type="http://schemas.openxmlformats.org/officeDocument/2006/relationships/hyperlink" Target="https://scryfall.com/sets/pal02" TargetMode="External" Id="rId3418"/><Relationship Type="http://schemas.openxmlformats.org/officeDocument/2006/relationships/hyperlink" Target="https://scryfall.com/sets/pal02" TargetMode="External" Id="rId3419"/><Relationship Type="http://schemas.openxmlformats.org/officeDocument/2006/relationships/hyperlink" Target="https://scryfall.com/sets/pal02" TargetMode="External" Id="rId3420"/><Relationship Type="http://schemas.openxmlformats.org/officeDocument/2006/relationships/hyperlink" Target="https://scryfall.com/sets/pal02" TargetMode="External" Id="rId3421"/><Relationship Type="http://schemas.openxmlformats.org/officeDocument/2006/relationships/hyperlink" Target="https://scryfall.com/sets/pr2" TargetMode="External" Id="rId3422"/><Relationship Type="http://schemas.openxmlformats.org/officeDocument/2006/relationships/hyperlink" Target="https://scryfall.com/sets/pr2" TargetMode="External" Id="rId3423"/><Relationship Type="http://schemas.openxmlformats.org/officeDocument/2006/relationships/hyperlink" Target="https://scryfall.com/sets/pr2" TargetMode="External" Id="rId3424"/><Relationship Type="http://schemas.openxmlformats.org/officeDocument/2006/relationships/hyperlink" Target="https://scryfall.com/sets/pr2" TargetMode="External" Id="rId3425"/><Relationship Type="http://schemas.openxmlformats.org/officeDocument/2006/relationships/hyperlink" Target="https://scryfall.com/sets/g02" TargetMode="External" Id="rId3426"/><Relationship Type="http://schemas.openxmlformats.org/officeDocument/2006/relationships/hyperlink" Target="https://scryfall.com/sets/g02" TargetMode="External" Id="rId3427"/><Relationship Type="http://schemas.openxmlformats.org/officeDocument/2006/relationships/hyperlink" Target="https://scryfall.com/sets/g02" TargetMode="External" Id="rId3428"/><Relationship Type="http://schemas.openxmlformats.org/officeDocument/2006/relationships/hyperlink" Target="https://scryfall.com/sets/g02" TargetMode="External" Id="rId3429"/><Relationship Type="http://schemas.openxmlformats.org/officeDocument/2006/relationships/hyperlink" Target="https://scryfall.com/sets/f02" TargetMode="External" Id="rId3430"/><Relationship Type="http://schemas.openxmlformats.org/officeDocument/2006/relationships/hyperlink" Target="https://scryfall.com/sets/f02" TargetMode="External" Id="rId3431"/><Relationship Type="http://schemas.openxmlformats.org/officeDocument/2006/relationships/hyperlink" Target="https://scryfall.com/sets/f02" TargetMode="External" Id="rId3432"/><Relationship Type="http://schemas.openxmlformats.org/officeDocument/2006/relationships/hyperlink" Target="https://scryfall.com/sets/f02" TargetMode="External" Id="rId3433"/><Relationship Type="http://schemas.openxmlformats.org/officeDocument/2006/relationships/hyperlink" Target="https://scryfall.com/sets/dkm" TargetMode="External" Id="rId3434"/><Relationship Type="http://schemas.openxmlformats.org/officeDocument/2006/relationships/hyperlink" Target="https://scryfall.com/sets/dkm" TargetMode="External" Id="rId3435"/><Relationship Type="http://schemas.openxmlformats.org/officeDocument/2006/relationships/hyperlink" Target="https://scryfall.com/sets/dkm" TargetMode="External" Id="rId3436"/><Relationship Type="http://schemas.openxmlformats.org/officeDocument/2006/relationships/hyperlink" Target="https://scryfall.com/sets/dkm" TargetMode="External" Id="rId3437"/><Relationship Type="http://schemas.openxmlformats.org/officeDocument/2006/relationships/hyperlink" Target="https://scryfall.com/sets/ody" TargetMode="External" Id="rId3438"/><Relationship Type="http://schemas.openxmlformats.org/officeDocument/2006/relationships/hyperlink" Target="https://scryfall.com/sets/ody" TargetMode="External" Id="rId3439"/><Relationship Type="http://schemas.openxmlformats.org/officeDocument/2006/relationships/hyperlink" Target="https://scryfall.com/sets/ody" TargetMode="External" Id="rId3440"/><Relationship Type="http://schemas.openxmlformats.org/officeDocument/2006/relationships/hyperlink" Target="https://scryfall.com/sets/pody" TargetMode="External" Id="rId3441"/><Relationship Type="http://schemas.openxmlformats.org/officeDocument/2006/relationships/hyperlink" Target="https://scryfall.com/sets/pody" TargetMode="External" Id="rId3442"/><Relationship Type="http://schemas.openxmlformats.org/officeDocument/2006/relationships/hyperlink" Target="https://scryfall.com/sets/pody" TargetMode="External" Id="rId3443"/><Relationship Type="http://schemas.openxmlformats.org/officeDocument/2006/relationships/hyperlink" Target="https://scryfall.com/sets/wc01" TargetMode="External" Id="rId3444"/><Relationship Type="http://schemas.openxmlformats.org/officeDocument/2006/relationships/hyperlink" Target="https://scryfall.com/sets/wc01" TargetMode="External" Id="rId3445"/><Relationship Type="http://schemas.openxmlformats.org/officeDocument/2006/relationships/hyperlink" Target="https://scryfall.com/sets/wc01" TargetMode="External" Id="rId3446"/><Relationship Type="http://schemas.openxmlformats.org/officeDocument/2006/relationships/hyperlink" Target="https://scryfall.com/sets/wc01" TargetMode="External" Id="rId3447"/><Relationship Type="http://schemas.openxmlformats.org/officeDocument/2006/relationships/hyperlink" Target="https://scryfall.com/sets/psdg" TargetMode="External" Id="rId3448"/><Relationship Type="http://schemas.openxmlformats.org/officeDocument/2006/relationships/hyperlink" Target="https://scryfall.com/sets/psdg" TargetMode="External" Id="rId3449"/><Relationship Type="http://schemas.openxmlformats.org/officeDocument/2006/relationships/hyperlink" Target="https://scryfall.com/sets/psdg" TargetMode="External" Id="rId3450"/><Relationship Type="http://schemas.openxmlformats.org/officeDocument/2006/relationships/hyperlink" Target="https://scryfall.com/sets/psdg/ja" TargetMode="External" Id="rId3451"/><Relationship Type="http://schemas.openxmlformats.org/officeDocument/2006/relationships/hyperlink" Target="https://scryfall.com/sets/apc" TargetMode="External" Id="rId3452"/><Relationship Type="http://schemas.openxmlformats.org/officeDocument/2006/relationships/hyperlink" Target="https://scryfall.com/sets/apc" TargetMode="External" Id="rId3453"/><Relationship Type="http://schemas.openxmlformats.org/officeDocument/2006/relationships/hyperlink" Target="https://scryfall.com/sets/apc" TargetMode="External" Id="rId3454"/><Relationship Type="http://schemas.openxmlformats.org/officeDocument/2006/relationships/hyperlink" Target="https://scryfall.com/sets/papc" TargetMode="External" Id="rId3455"/><Relationship Type="http://schemas.openxmlformats.org/officeDocument/2006/relationships/hyperlink" Target="https://scryfall.com/sets/papc" TargetMode="External" Id="rId3456"/><Relationship Type="http://schemas.openxmlformats.org/officeDocument/2006/relationships/hyperlink" Target="https://scryfall.com/sets/papc" TargetMode="External" Id="rId3457"/><Relationship Type="http://schemas.openxmlformats.org/officeDocument/2006/relationships/hyperlink" Target="https://scryfall.com/sets/7ed" TargetMode="External" Id="rId3458"/><Relationship Type="http://schemas.openxmlformats.org/officeDocument/2006/relationships/hyperlink" Target="https://scryfall.com/sets/7ed" TargetMode="External" Id="rId3459"/><Relationship Type="http://schemas.openxmlformats.org/officeDocument/2006/relationships/hyperlink" Target="https://scryfall.com/sets/7ed" TargetMode="External" Id="rId3460"/><Relationship Type="http://schemas.openxmlformats.org/officeDocument/2006/relationships/hyperlink" Target="https://scryfall.com/sets/pls" TargetMode="External" Id="rId3461"/><Relationship Type="http://schemas.openxmlformats.org/officeDocument/2006/relationships/hyperlink" Target="https://scryfall.com/sets/pls" TargetMode="External" Id="rId3462"/><Relationship Type="http://schemas.openxmlformats.org/officeDocument/2006/relationships/hyperlink" Target="https://scryfall.com/sets/pls" TargetMode="External" Id="rId3463"/><Relationship Type="http://schemas.openxmlformats.org/officeDocument/2006/relationships/hyperlink" Target="https://scryfall.com/sets/ppls" TargetMode="External" Id="rId3464"/><Relationship Type="http://schemas.openxmlformats.org/officeDocument/2006/relationships/hyperlink" Target="https://scryfall.com/sets/ppls" TargetMode="External" Id="rId3465"/><Relationship Type="http://schemas.openxmlformats.org/officeDocument/2006/relationships/hyperlink" Target="https://scryfall.com/sets/ppls" TargetMode="External" Id="rId3466"/><Relationship Type="http://schemas.openxmlformats.org/officeDocument/2006/relationships/hyperlink" Target="https://scryfall.com/sets/pal01" TargetMode="External" Id="rId3467"/><Relationship Type="http://schemas.openxmlformats.org/officeDocument/2006/relationships/hyperlink" Target="https://scryfall.com/sets/pal01" TargetMode="External" Id="rId3468"/><Relationship Type="http://schemas.openxmlformats.org/officeDocument/2006/relationships/hyperlink" Target="https://scryfall.com/sets/pal01" TargetMode="External" Id="rId3469"/><Relationship Type="http://schemas.openxmlformats.org/officeDocument/2006/relationships/hyperlink" Target="https://scryfall.com/sets/pal01" TargetMode="External" Id="rId3470"/><Relationship Type="http://schemas.openxmlformats.org/officeDocument/2006/relationships/hyperlink" Target="https://scryfall.com/sets/mpr" TargetMode="External" Id="rId3471"/><Relationship Type="http://schemas.openxmlformats.org/officeDocument/2006/relationships/hyperlink" Target="https://scryfall.com/sets/mpr" TargetMode="External" Id="rId3472"/><Relationship Type="http://schemas.openxmlformats.org/officeDocument/2006/relationships/hyperlink" Target="https://scryfall.com/sets/mpr" TargetMode="External" Id="rId3473"/><Relationship Type="http://schemas.openxmlformats.org/officeDocument/2006/relationships/hyperlink" Target="https://scryfall.com/sets/mpr" TargetMode="External" Id="rId3474"/><Relationship Type="http://schemas.openxmlformats.org/officeDocument/2006/relationships/hyperlink" Target="https://scryfall.com/sets/g01" TargetMode="External" Id="rId3475"/><Relationship Type="http://schemas.openxmlformats.org/officeDocument/2006/relationships/hyperlink" Target="https://scryfall.com/sets/g01" TargetMode="External" Id="rId3476"/><Relationship Type="http://schemas.openxmlformats.org/officeDocument/2006/relationships/hyperlink" Target="https://scryfall.com/sets/g01" TargetMode="External" Id="rId3477"/><Relationship Type="http://schemas.openxmlformats.org/officeDocument/2006/relationships/hyperlink" Target="https://scryfall.com/sets/g01" TargetMode="External" Id="rId3478"/><Relationship Type="http://schemas.openxmlformats.org/officeDocument/2006/relationships/hyperlink" Target="https://scryfall.com/sets/f01" TargetMode="External" Id="rId3479"/><Relationship Type="http://schemas.openxmlformats.org/officeDocument/2006/relationships/hyperlink" Target="https://scryfall.com/sets/f01" TargetMode="External" Id="rId3480"/><Relationship Type="http://schemas.openxmlformats.org/officeDocument/2006/relationships/hyperlink" Target="https://scryfall.com/sets/f01" TargetMode="External" Id="rId3481"/><Relationship Type="http://schemas.openxmlformats.org/officeDocument/2006/relationships/hyperlink" Target="https://scryfall.com/sets/f01" TargetMode="External" Id="rId3482"/><Relationship Type="http://schemas.openxmlformats.org/officeDocument/2006/relationships/hyperlink" Target="https://scryfall.com/sets/inv" TargetMode="External" Id="rId3483"/><Relationship Type="http://schemas.openxmlformats.org/officeDocument/2006/relationships/hyperlink" Target="https://scryfall.com/sets/inv" TargetMode="External" Id="rId3484"/><Relationship Type="http://schemas.openxmlformats.org/officeDocument/2006/relationships/hyperlink" Target="https://scryfall.com/sets/inv" TargetMode="External" Id="rId3485"/><Relationship Type="http://schemas.openxmlformats.org/officeDocument/2006/relationships/hyperlink" Target="https://scryfall.com/sets/pinv" TargetMode="External" Id="rId3486"/><Relationship Type="http://schemas.openxmlformats.org/officeDocument/2006/relationships/hyperlink" Target="https://scryfall.com/sets/pinv" TargetMode="External" Id="rId3487"/><Relationship Type="http://schemas.openxmlformats.org/officeDocument/2006/relationships/hyperlink" Target="https://scryfall.com/sets/pinv" TargetMode="External" Id="rId3488"/><Relationship Type="http://schemas.openxmlformats.org/officeDocument/2006/relationships/hyperlink" Target="https://scryfall.com/sets/btd" TargetMode="External" Id="rId3489"/><Relationship Type="http://schemas.openxmlformats.org/officeDocument/2006/relationships/hyperlink" Target="https://scryfall.com/sets/btd" TargetMode="External" Id="rId3490"/><Relationship Type="http://schemas.openxmlformats.org/officeDocument/2006/relationships/hyperlink" Target="https://scryfall.com/sets/btd" TargetMode="External" Id="rId3491"/><Relationship Type="http://schemas.openxmlformats.org/officeDocument/2006/relationships/hyperlink" Target="https://scryfall.com/sets/btd" TargetMode="External" Id="rId3492"/><Relationship Type="http://schemas.openxmlformats.org/officeDocument/2006/relationships/hyperlink" Target="https://scryfall.com/sets/wc00" TargetMode="External" Id="rId3493"/><Relationship Type="http://schemas.openxmlformats.org/officeDocument/2006/relationships/hyperlink" Target="https://scryfall.com/sets/wc00" TargetMode="External" Id="rId3494"/><Relationship Type="http://schemas.openxmlformats.org/officeDocument/2006/relationships/hyperlink" Target="https://scryfall.com/sets/wc00" TargetMode="External" Id="rId3495"/><Relationship Type="http://schemas.openxmlformats.org/officeDocument/2006/relationships/hyperlink" Target="https://scryfall.com/sets/wc00" TargetMode="External" Id="rId3496"/><Relationship Type="http://schemas.openxmlformats.org/officeDocument/2006/relationships/hyperlink" Target="https://scryfall.com/sets/pcy" TargetMode="External" Id="rId3497"/><Relationship Type="http://schemas.openxmlformats.org/officeDocument/2006/relationships/hyperlink" Target="https://scryfall.com/sets/pcy" TargetMode="External" Id="rId3498"/><Relationship Type="http://schemas.openxmlformats.org/officeDocument/2006/relationships/hyperlink" Target="https://scryfall.com/sets/pcy" TargetMode="External" Id="rId3499"/><Relationship Type="http://schemas.openxmlformats.org/officeDocument/2006/relationships/hyperlink" Target="https://scryfall.com/sets/ppcy" TargetMode="External" Id="rId3500"/><Relationship Type="http://schemas.openxmlformats.org/officeDocument/2006/relationships/hyperlink" Target="https://scryfall.com/sets/ppcy" TargetMode="External" Id="rId3501"/><Relationship Type="http://schemas.openxmlformats.org/officeDocument/2006/relationships/hyperlink" Target="https://scryfall.com/sets/ppcy" TargetMode="External" Id="rId3502"/><Relationship Type="http://schemas.openxmlformats.org/officeDocument/2006/relationships/hyperlink" Target="https://scryfall.com/sets/ppcy" TargetMode="External" Id="rId3503"/><Relationship Type="http://schemas.openxmlformats.org/officeDocument/2006/relationships/hyperlink" Target="https://scryfall.com/sets/s00" TargetMode="External" Id="rId3504"/><Relationship Type="http://schemas.openxmlformats.org/officeDocument/2006/relationships/hyperlink" Target="https://scryfall.com/sets/s00" TargetMode="External" Id="rId3505"/><Relationship Type="http://schemas.openxmlformats.org/officeDocument/2006/relationships/hyperlink" Target="https://scryfall.com/sets/s00" TargetMode="External" Id="rId3506"/><Relationship Type="http://schemas.openxmlformats.org/officeDocument/2006/relationships/hyperlink" Target="https://scryfall.com/sets/nem" TargetMode="External" Id="rId3507"/><Relationship Type="http://schemas.openxmlformats.org/officeDocument/2006/relationships/hyperlink" Target="https://scryfall.com/sets/nem" TargetMode="External" Id="rId3508"/><Relationship Type="http://schemas.openxmlformats.org/officeDocument/2006/relationships/hyperlink" Target="https://scryfall.com/sets/nem" TargetMode="External" Id="rId3509"/><Relationship Type="http://schemas.openxmlformats.org/officeDocument/2006/relationships/hyperlink" Target="https://scryfall.com/sets/pnem" TargetMode="External" Id="rId3510"/><Relationship Type="http://schemas.openxmlformats.org/officeDocument/2006/relationships/hyperlink" Target="https://scryfall.com/sets/pnem" TargetMode="External" Id="rId3511"/><Relationship Type="http://schemas.openxmlformats.org/officeDocument/2006/relationships/hyperlink" Target="https://scryfall.com/sets/pnem" TargetMode="External" Id="rId3512"/><Relationship Type="http://schemas.openxmlformats.org/officeDocument/2006/relationships/hyperlink" Target="https://scryfall.com/sets/pnem" TargetMode="External" Id="rId3513"/><Relationship Type="http://schemas.openxmlformats.org/officeDocument/2006/relationships/hyperlink" Target="https://scryfall.com/sets/pelp" TargetMode="External" Id="rId3514"/><Relationship Type="http://schemas.openxmlformats.org/officeDocument/2006/relationships/hyperlink" Target="https://scryfall.com/sets/pelp" TargetMode="External" Id="rId3515"/><Relationship Type="http://schemas.openxmlformats.org/officeDocument/2006/relationships/hyperlink" Target="https://scryfall.com/sets/pelp" TargetMode="External" Id="rId3516"/><Relationship Type="http://schemas.openxmlformats.org/officeDocument/2006/relationships/hyperlink" Target="https://scryfall.com/sets/pelp" TargetMode="External" Id="rId3517"/><Relationship Type="http://schemas.openxmlformats.org/officeDocument/2006/relationships/hyperlink" Target="https://scryfall.com/sets/pal00" TargetMode="External" Id="rId3518"/><Relationship Type="http://schemas.openxmlformats.org/officeDocument/2006/relationships/hyperlink" Target="https://scryfall.com/sets/pal00" TargetMode="External" Id="rId3519"/><Relationship Type="http://schemas.openxmlformats.org/officeDocument/2006/relationships/hyperlink" Target="https://scryfall.com/sets/pal00" TargetMode="External" Id="rId3520"/><Relationship Type="http://schemas.openxmlformats.org/officeDocument/2006/relationships/hyperlink" Target="https://scryfall.com/sets/pal00" TargetMode="External" Id="rId3521"/><Relationship Type="http://schemas.openxmlformats.org/officeDocument/2006/relationships/hyperlink" Target="https://scryfall.com/sets/g00" TargetMode="External" Id="rId3522"/><Relationship Type="http://schemas.openxmlformats.org/officeDocument/2006/relationships/hyperlink" Target="https://scryfall.com/sets/g00" TargetMode="External" Id="rId3523"/><Relationship Type="http://schemas.openxmlformats.org/officeDocument/2006/relationships/hyperlink" Target="https://scryfall.com/sets/g00" TargetMode="External" Id="rId3524"/><Relationship Type="http://schemas.openxmlformats.org/officeDocument/2006/relationships/hyperlink" Target="https://scryfall.com/sets/g00" TargetMode="External" Id="rId3525"/><Relationship Type="http://schemas.openxmlformats.org/officeDocument/2006/relationships/hyperlink" Target="https://scryfall.com/sets/fnm" TargetMode="External" Id="rId3526"/><Relationship Type="http://schemas.openxmlformats.org/officeDocument/2006/relationships/hyperlink" Target="https://scryfall.com/sets/fnm" TargetMode="External" Id="rId3527"/><Relationship Type="http://schemas.openxmlformats.org/officeDocument/2006/relationships/hyperlink" Target="https://scryfall.com/sets/fnm" TargetMode="External" Id="rId3528"/><Relationship Type="http://schemas.openxmlformats.org/officeDocument/2006/relationships/hyperlink" Target="https://scryfall.com/sets/fnm" TargetMode="External" Id="rId3529"/><Relationship Type="http://schemas.openxmlformats.org/officeDocument/2006/relationships/hyperlink" Target="https://scryfall.com/sets/psus" TargetMode="External" Id="rId3530"/><Relationship Type="http://schemas.openxmlformats.org/officeDocument/2006/relationships/hyperlink" Target="https://scryfall.com/sets/psus" TargetMode="External" Id="rId3531"/><Relationship Type="http://schemas.openxmlformats.org/officeDocument/2006/relationships/hyperlink" Target="https://scryfall.com/sets/psus" TargetMode="External" Id="rId3532"/><Relationship Type="http://schemas.openxmlformats.org/officeDocument/2006/relationships/hyperlink" Target="https://scryfall.com/sets/psus" TargetMode="External" Id="rId3533"/><Relationship Type="http://schemas.openxmlformats.org/officeDocument/2006/relationships/hyperlink" Target="https://scryfall.com/sets/brb" TargetMode="External" Id="rId3534"/><Relationship Type="http://schemas.openxmlformats.org/officeDocument/2006/relationships/hyperlink" Target="https://scryfall.com/sets/brb" TargetMode="External" Id="rId3535"/><Relationship Type="http://schemas.openxmlformats.org/officeDocument/2006/relationships/hyperlink" Target="https://scryfall.com/sets/brb" TargetMode="External" Id="rId3536"/><Relationship Type="http://schemas.openxmlformats.org/officeDocument/2006/relationships/hyperlink" Target="https://scryfall.com/sets/brb" TargetMode="External" Id="rId3537"/><Relationship Type="http://schemas.openxmlformats.org/officeDocument/2006/relationships/hyperlink" Target="https://scryfall.com/sets/mmq" TargetMode="External" Id="rId3538"/><Relationship Type="http://schemas.openxmlformats.org/officeDocument/2006/relationships/hyperlink" Target="https://scryfall.com/sets/mmq" TargetMode="External" Id="rId3539"/><Relationship Type="http://schemas.openxmlformats.org/officeDocument/2006/relationships/hyperlink" Target="https://scryfall.com/sets/mmq" TargetMode="External" Id="rId3540"/><Relationship Type="http://schemas.openxmlformats.org/officeDocument/2006/relationships/hyperlink" Target="https://scryfall.com/sets/pmmq" TargetMode="External" Id="rId3541"/><Relationship Type="http://schemas.openxmlformats.org/officeDocument/2006/relationships/hyperlink" Target="https://scryfall.com/sets/pmmq" TargetMode="External" Id="rId3542"/><Relationship Type="http://schemas.openxmlformats.org/officeDocument/2006/relationships/hyperlink" Target="https://scryfall.com/sets/pmmq" TargetMode="External" Id="rId3543"/><Relationship Type="http://schemas.openxmlformats.org/officeDocument/2006/relationships/hyperlink" Target="https://scryfall.com/sets/pmmq" TargetMode="External" Id="rId3544"/><Relationship Type="http://schemas.openxmlformats.org/officeDocument/2006/relationships/hyperlink" Target="https://scryfall.com/sets/pwos" TargetMode="External" Id="rId3545"/><Relationship Type="http://schemas.openxmlformats.org/officeDocument/2006/relationships/hyperlink" Target="https://scryfall.com/sets/pwos" TargetMode="External" Id="rId3546"/><Relationship Type="http://schemas.openxmlformats.org/officeDocument/2006/relationships/hyperlink" Target="https://scryfall.com/sets/pwos" TargetMode="External" Id="rId3547"/><Relationship Type="http://schemas.openxmlformats.org/officeDocument/2006/relationships/hyperlink" Target="https://scryfall.com/sets/pwos" TargetMode="External" Id="rId3548"/><Relationship Type="http://schemas.openxmlformats.org/officeDocument/2006/relationships/hyperlink" Target="https://scryfall.com/sets/wc99" TargetMode="External" Id="rId3549"/><Relationship Type="http://schemas.openxmlformats.org/officeDocument/2006/relationships/hyperlink" Target="https://scryfall.com/sets/wc99" TargetMode="External" Id="rId3550"/><Relationship Type="http://schemas.openxmlformats.org/officeDocument/2006/relationships/hyperlink" Target="https://scryfall.com/sets/wc99" TargetMode="External" Id="rId3551"/><Relationship Type="http://schemas.openxmlformats.org/officeDocument/2006/relationships/hyperlink" Target="https://scryfall.com/sets/wc99" TargetMode="External" Id="rId3552"/><Relationship Type="http://schemas.openxmlformats.org/officeDocument/2006/relationships/hyperlink" Target="https://scryfall.com/sets/pwor" TargetMode="External" Id="rId3553"/><Relationship Type="http://schemas.openxmlformats.org/officeDocument/2006/relationships/hyperlink" Target="https://scryfall.com/sets/pwor" TargetMode="External" Id="rId3554"/><Relationship Type="http://schemas.openxmlformats.org/officeDocument/2006/relationships/hyperlink" Target="https://scryfall.com/sets/pwor" TargetMode="External" Id="rId3555"/><Relationship Type="http://schemas.openxmlformats.org/officeDocument/2006/relationships/hyperlink" Target="https://scryfall.com/sets/pwor" TargetMode="External" Id="rId3556"/><Relationship Type="http://schemas.openxmlformats.org/officeDocument/2006/relationships/hyperlink" Target="https://scryfall.com/sets/pgru" TargetMode="External" Id="rId3557"/><Relationship Type="http://schemas.openxmlformats.org/officeDocument/2006/relationships/hyperlink" Target="https://scryfall.com/sets/pgru" TargetMode="External" Id="rId3558"/><Relationship Type="http://schemas.openxmlformats.org/officeDocument/2006/relationships/hyperlink" Target="https://scryfall.com/sets/pgru" TargetMode="External" Id="rId3559"/><Relationship Type="http://schemas.openxmlformats.org/officeDocument/2006/relationships/hyperlink" Target="https://scryfall.com/sets/pgru" TargetMode="External" Id="rId3560"/><Relationship Type="http://schemas.openxmlformats.org/officeDocument/2006/relationships/hyperlink" Target="https://scryfall.com/sets/s99" TargetMode="External" Id="rId3561"/><Relationship Type="http://schemas.openxmlformats.org/officeDocument/2006/relationships/hyperlink" Target="https://scryfall.com/sets/s99" TargetMode="External" Id="rId3562"/><Relationship Type="http://schemas.openxmlformats.org/officeDocument/2006/relationships/hyperlink" Target="https://scryfall.com/sets/s99" TargetMode="External" Id="rId3563"/><Relationship Type="http://schemas.openxmlformats.org/officeDocument/2006/relationships/hyperlink" Target="https://scryfall.com/sets/s99" TargetMode="External" Id="rId3564"/><Relationship Type="http://schemas.openxmlformats.org/officeDocument/2006/relationships/hyperlink" Target="https://scryfall.com/sets/uds" TargetMode="External" Id="rId3565"/><Relationship Type="http://schemas.openxmlformats.org/officeDocument/2006/relationships/hyperlink" Target="https://scryfall.com/sets/uds" TargetMode="External" Id="rId3566"/><Relationship Type="http://schemas.openxmlformats.org/officeDocument/2006/relationships/hyperlink" Target="https://scryfall.com/sets/uds" TargetMode="External" Id="rId3567"/><Relationship Type="http://schemas.openxmlformats.org/officeDocument/2006/relationships/hyperlink" Target="https://scryfall.com/sets/puds" TargetMode="External" Id="rId3568"/><Relationship Type="http://schemas.openxmlformats.org/officeDocument/2006/relationships/hyperlink" Target="https://scryfall.com/sets/puds" TargetMode="External" Id="rId3569"/><Relationship Type="http://schemas.openxmlformats.org/officeDocument/2006/relationships/hyperlink" Target="https://scryfall.com/sets/puds" TargetMode="External" Id="rId3570"/><Relationship Type="http://schemas.openxmlformats.org/officeDocument/2006/relationships/hyperlink" Target="https://scryfall.com/sets/puds" TargetMode="External" Id="rId3571"/><Relationship Type="http://schemas.openxmlformats.org/officeDocument/2006/relationships/hyperlink" Target="https://scryfall.com/sets/ptk" TargetMode="External" Id="rId3572"/><Relationship Type="http://schemas.openxmlformats.org/officeDocument/2006/relationships/hyperlink" Target="https://scryfall.com/sets/ptk" TargetMode="External" Id="rId3573"/><Relationship Type="http://schemas.openxmlformats.org/officeDocument/2006/relationships/hyperlink" Target="https://scryfall.com/sets/ptk" TargetMode="External" Id="rId3574"/><Relationship Type="http://schemas.openxmlformats.org/officeDocument/2006/relationships/hyperlink" Target="https://scryfall.com/sets/pptk" TargetMode="External" Id="rId3575"/><Relationship Type="http://schemas.openxmlformats.org/officeDocument/2006/relationships/hyperlink" Target="https://scryfall.com/sets/pptk" TargetMode="External" Id="rId3576"/><Relationship Type="http://schemas.openxmlformats.org/officeDocument/2006/relationships/hyperlink" Target="https://scryfall.com/sets/pptk" TargetMode="External" Id="rId3577"/><Relationship Type="http://schemas.openxmlformats.org/officeDocument/2006/relationships/hyperlink" Target="https://scryfall.com/sets/pptk" TargetMode="External" Id="rId3578"/><Relationship Type="http://schemas.openxmlformats.org/officeDocument/2006/relationships/hyperlink" Target="https://scryfall.com/sets/6ed" TargetMode="External" Id="rId3579"/><Relationship Type="http://schemas.openxmlformats.org/officeDocument/2006/relationships/hyperlink" Target="https://scryfall.com/sets/6ed" TargetMode="External" Id="rId3580"/><Relationship Type="http://schemas.openxmlformats.org/officeDocument/2006/relationships/hyperlink" Target="https://scryfall.com/sets/6ed" TargetMode="External" Id="rId3581"/><Relationship Type="http://schemas.openxmlformats.org/officeDocument/2006/relationships/hyperlink" Target="https://scryfall.com/sets/ulg" TargetMode="External" Id="rId3582"/><Relationship Type="http://schemas.openxmlformats.org/officeDocument/2006/relationships/hyperlink" Target="https://scryfall.com/sets/ulg" TargetMode="External" Id="rId3583"/><Relationship Type="http://schemas.openxmlformats.org/officeDocument/2006/relationships/hyperlink" Target="https://scryfall.com/sets/ulg" TargetMode="External" Id="rId3584"/><Relationship Type="http://schemas.openxmlformats.org/officeDocument/2006/relationships/hyperlink" Target="https://scryfall.com/sets/pulg" TargetMode="External" Id="rId3585"/><Relationship Type="http://schemas.openxmlformats.org/officeDocument/2006/relationships/hyperlink" Target="https://scryfall.com/sets/pulg" TargetMode="External" Id="rId3586"/><Relationship Type="http://schemas.openxmlformats.org/officeDocument/2006/relationships/hyperlink" Target="https://scryfall.com/sets/pulg" TargetMode="External" Id="rId3587"/><Relationship Type="http://schemas.openxmlformats.org/officeDocument/2006/relationships/hyperlink" Target="https://scryfall.com/sets/pulg" TargetMode="External" Id="rId3588"/><Relationship Type="http://schemas.openxmlformats.org/officeDocument/2006/relationships/hyperlink" Target="https://scryfall.com/sets/pal99" TargetMode="External" Id="rId3589"/><Relationship Type="http://schemas.openxmlformats.org/officeDocument/2006/relationships/hyperlink" Target="https://scryfall.com/sets/pal99" TargetMode="External" Id="rId3590"/><Relationship Type="http://schemas.openxmlformats.org/officeDocument/2006/relationships/hyperlink" Target="https://scryfall.com/sets/pal99" TargetMode="External" Id="rId3591"/><Relationship Type="http://schemas.openxmlformats.org/officeDocument/2006/relationships/hyperlink" Target="https://scryfall.com/sets/pal99" TargetMode="External" Id="rId3592"/><Relationship Type="http://schemas.openxmlformats.org/officeDocument/2006/relationships/hyperlink" Target="https://scryfall.com/sets/g99" TargetMode="External" Id="rId3593"/><Relationship Type="http://schemas.openxmlformats.org/officeDocument/2006/relationships/hyperlink" Target="https://scryfall.com/sets/g99" TargetMode="External" Id="rId3594"/><Relationship Type="http://schemas.openxmlformats.org/officeDocument/2006/relationships/hyperlink" Target="https://scryfall.com/sets/g99" TargetMode="External" Id="rId3595"/><Relationship Type="http://schemas.openxmlformats.org/officeDocument/2006/relationships/hyperlink" Target="https://scryfall.com/sets/g99" TargetMode="External" Id="rId3596"/><Relationship Type="http://schemas.openxmlformats.org/officeDocument/2006/relationships/hyperlink" Target="https://scryfall.com/sets/ath" TargetMode="External" Id="rId3597"/><Relationship Type="http://schemas.openxmlformats.org/officeDocument/2006/relationships/hyperlink" Target="https://scryfall.com/sets/ath" TargetMode="External" Id="rId3598"/><Relationship Type="http://schemas.openxmlformats.org/officeDocument/2006/relationships/hyperlink" Target="https://scryfall.com/sets/ath" TargetMode="External" Id="rId3599"/><Relationship Type="http://schemas.openxmlformats.org/officeDocument/2006/relationships/hyperlink" Target="https://scryfall.com/sets/ath" TargetMode="External" Id="rId3600"/><Relationship Type="http://schemas.openxmlformats.org/officeDocument/2006/relationships/hyperlink" Target="https://scryfall.com/sets/usg" TargetMode="External" Id="rId3601"/><Relationship Type="http://schemas.openxmlformats.org/officeDocument/2006/relationships/hyperlink" Target="https://scryfall.com/sets/usg" TargetMode="External" Id="rId3602"/><Relationship Type="http://schemas.openxmlformats.org/officeDocument/2006/relationships/hyperlink" Target="https://scryfall.com/sets/usg" TargetMode="External" Id="rId3603"/><Relationship Type="http://schemas.openxmlformats.org/officeDocument/2006/relationships/hyperlink" Target="https://scryfall.com/sets/pusg" TargetMode="External" Id="rId3604"/><Relationship Type="http://schemas.openxmlformats.org/officeDocument/2006/relationships/hyperlink" Target="https://scryfall.com/sets/pusg" TargetMode="External" Id="rId3605"/><Relationship Type="http://schemas.openxmlformats.org/officeDocument/2006/relationships/hyperlink" Target="https://scryfall.com/sets/pusg" TargetMode="External" Id="rId3606"/><Relationship Type="http://schemas.openxmlformats.org/officeDocument/2006/relationships/hyperlink" Target="https://scryfall.com/sets/pusg" TargetMode="External" Id="rId3607"/><Relationship Type="http://schemas.openxmlformats.org/officeDocument/2006/relationships/hyperlink" Target="https://scryfall.com/sets/palp" TargetMode="External" Id="rId3608"/><Relationship Type="http://schemas.openxmlformats.org/officeDocument/2006/relationships/hyperlink" Target="https://scryfall.com/sets/palp" TargetMode="External" Id="rId3609"/><Relationship Type="http://schemas.openxmlformats.org/officeDocument/2006/relationships/hyperlink" Target="https://scryfall.com/sets/palp" TargetMode="External" Id="rId3610"/><Relationship Type="http://schemas.openxmlformats.org/officeDocument/2006/relationships/hyperlink" Target="https://scryfall.com/sets/palp" TargetMode="External" Id="rId3611"/><Relationship Type="http://schemas.openxmlformats.org/officeDocument/2006/relationships/hyperlink" Target="https://scryfall.com/sets/wc98" TargetMode="External" Id="rId3612"/><Relationship Type="http://schemas.openxmlformats.org/officeDocument/2006/relationships/hyperlink" Target="https://scryfall.com/sets/wc98" TargetMode="External" Id="rId3613"/><Relationship Type="http://schemas.openxmlformats.org/officeDocument/2006/relationships/hyperlink" Target="https://scryfall.com/sets/wc98" TargetMode="External" Id="rId3614"/><Relationship Type="http://schemas.openxmlformats.org/officeDocument/2006/relationships/hyperlink" Target="https://scryfall.com/sets/wc98" TargetMode="External" Id="rId3615"/><Relationship Type="http://schemas.openxmlformats.org/officeDocument/2006/relationships/hyperlink" Target="https://scryfall.com/sets/ugl" TargetMode="External" Id="rId3616"/><Relationship Type="http://schemas.openxmlformats.org/officeDocument/2006/relationships/hyperlink" Target="https://scryfall.com/sets/ugl" TargetMode="External" Id="rId3617"/><Relationship Type="http://schemas.openxmlformats.org/officeDocument/2006/relationships/hyperlink" Target="https://scryfall.com/sets/ugl" TargetMode="External" Id="rId3618"/><Relationship Type="http://schemas.openxmlformats.org/officeDocument/2006/relationships/hyperlink" Target="https://scryfall.com/sets/ugl" TargetMode="External" Id="rId3619"/><Relationship Type="http://schemas.openxmlformats.org/officeDocument/2006/relationships/hyperlink" Target="https://scryfall.com/sets/tugl" TargetMode="External" Id="rId3620"/><Relationship Type="http://schemas.openxmlformats.org/officeDocument/2006/relationships/hyperlink" Target="https://scryfall.com/sets/tugl" TargetMode="External" Id="rId3621"/><Relationship Type="http://schemas.openxmlformats.org/officeDocument/2006/relationships/hyperlink" Target="https://scryfall.com/sets/tugl" TargetMode="External" Id="rId3622"/><Relationship Type="http://schemas.openxmlformats.org/officeDocument/2006/relationships/hyperlink" Target="https://scryfall.com/sets/tugl" TargetMode="External" Id="rId3623"/><Relationship Type="http://schemas.openxmlformats.org/officeDocument/2006/relationships/hyperlink" Target="https://scryfall.com/sets/p02" TargetMode="External" Id="rId3624"/><Relationship Type="http://schemas.openxmlformats.org/officeDocument/2006/relationships/hyperlink" Target="https://scryfall.com/sets/p02" TargetMode="External" Id="rId3625"/><Relationship Type="http://schemas.openxmlformats.org/officeDocument/2006/relationships/hyperlink" Target="https://scryfall.com/sets/p02" TargetMode="External" Id="rId3626"/><Relationship Type="http://schemas.openxmlformats.org/officeDocument/2006/relationships/hyperlink" Target="https://scryfall.com/sets/exo" TargetMode="External" Id="rId3627"/><Relationship Type="http://schemas.openxmlformats.org/officeDocument/2006/relationships/hyperlink" Target="https://scryfall.com/sets/exo" TargetMode="External" Id="rId3628"/><Relationship Type="http://schemas.openxmlformats.org/officeDocument/2006/relationships/hyperlink" Target="https://scryfall.com/sets/exo" TargetMode="External" Id="rId3629"/><Relationship Type="http://schemas.openxmlformats.org/officeDocument/2006/relationships/hyperlink" Target="https://scryfall.com/sets/pexo" TargetMode="External" Id="rId3630"/><Relationship Type="http://schemas.openxmlformats.org/officeDocument/2006/relationships/hyperlink" Target="https://scryfall.com/sets/pexo" TargetMode="External" Id="rId3631"/><Relationship Type="http://schemas.openxmlformats.org/officeDocument/2006/relationships/hyperlink" Target="https://scryfall.com/sets/pexo" TargetMode="External" Id="rId3632"/><Relationship Type="http://schemas.openxmlformats.org/officeDocument/2006/relationships/hyperlink" Target="https://scryfall.com/sets/pexo" TargetMode="External" Id="rId3633"/><Relationship Type="http://schemas.openxmlformats.org/officeDocument/2006/relationships/hyperlink" Target="https://scryfall.com/sets/sth" TargetMode="External" Id="rId3634"/><Relationship Type="http://schemas.openxmlformats.org/officeDocument/2006/relationships/hyperlink" Target="https://scryfall.com/sets/sth" TargetMode="External" Id="rId3635"/><Relationship Type="http://schemas.openxmlformats.org/officeDocument/2006/relationships/hyperlink" Target="https://scryfall.com/sets/sth" TargetMode="External" Id="rId3636"/><Relationship Type="http://schemas.openxmlformats.org/officeDocument/2006/relationships/hyperlink" Target="https://scryfall.com/sets/psth" TargetMode="External" Id="rId3637"/><Relationship Type="http://schemas.openxmlformats.org/officeDocument/2006/relationships/hyperlink" Target="https://scryfall.com/sets/psth" TargetMode="External" Id="rId3638"/><Relationship Type="http://schemas.openxmlformats.org/officeDocument/2006/relationships/hyperlink" Target="https://scryfall.com/sets/psth" TargetMode="External" Id="rId3639"/><Relationship Type="http://schemas.openxmlformats.org/officeDocument/2006/relationships/hyperlink" Target="https://scryfall.com/sets/psth" TargetMode="External" Id="rId3640"/><Relationship Type="http://schemas.openxmlformats.org/officeDocument/2006/relationships/hyperlink" Target="https://scryfall.com/sets/jgp" TargetMode="External" Id="rId3641"/><Relationship Type="http://schemas.openxmlformats.org/officeDocument/2006/relationships/hyperlink" Target="https://scryfall.com/sets/jgp" TargetMode="External" Id="rId3642"/><Relationship Type="http://schemas.openxmlformats.org/officeDocument/2006/relationships/hyperlink" Target="https://scryfall.com/sets/jgp" TargetMode="External" Id="rId3643"/><Relationship Type="http://schemas.openxmlformats.org/officeDocument/2006/relationships/hyperlink" Target="https://scryfall.com/sets/jgp" TargetMode="External" Id="rId3644"/><Relationship Type="http://schemas.openxmlformats.org/officeDocument/2006/relationships/hyperlink" Target="https://scryfall.com/sets/tmp" TargetMode="External" Id="rId3645"/><Relationship Type="http://schemas.openxmlformats.org/officeDocument/2006/relationships/hyperlink" Target="https://scryfall.com/sets/tmp" TargetMode="External" Id="rId3646"/><Relationship Type="http://schemas.openxmlformats.org/officeDocument/2006/relationships/hyperlink" Target="https://scryfall.com/sets/tmp" TargetMode="External" Id="rId3647"/><Relationship Type="http://schemas.openxmlformats.org/officeDocument/2006/relationships/hyperlink" Target="https://scryfall.com/sets/ptmp" TargetMode="External" Id="rId3648"/><Relationship Type="http://schemas.openxmlformats.org/officeDocument/2006/relationships/hyperlink" Target="https://scryfall.com/sets/ptmp" TargetMode="External" Id="rId3649"/><Relationship Type="http://schemas.openxmlformats.org/officeDocument/2006/relationships/hyperlink" Target="https://scryfall.com/sets/ptmp" TargetMode="External" Id="rId3650"/><Relationship Type="http://schemas.openxmlformats.org/officeDocument/2006/relationships/hyperlink" Target="https://scryfall.com/sets/ptmp" TargetMode="External" Id="rId3651"/><Relationship Type="http://schemas.openxmlformats.org/officeDocument/2006/relationships/hyperlink" Target="https://scryfall.com/sets/wc97" TargetMode="External" Id="rId3652"/><Relationship Type="http://schemas.openxmlformats.org/officeDocument/2006/relationships/hyperlink" Target="https://scryfall.com/sets/wc97" TargetMode="External" Id="rId3653"/><Relationship Type="http://schemas.openxmlformats.org/officeDocument/2006/relationships/hyperlink" Target="https://scryfall.com/sets/wc97" TargetMode="External" Id="rId3654"/><Relationship Type="http://schemas.openxmlformats.org/officeDocument/2006/relationships/hyperlink" Target="https://scryfall.com/sets/wc97" TargetMode="External" Id="rId3655"/><Relationship Type="http://schemas.openxmlformats.org/officeDocument/2006/relationships/hyperlink" Target="https://scryfall.com/sets/wth" TargetMode="External" Id="rId3656"/><Relationship Type="http://schemas.openxmlformats.org/officeDocument/2006/relationships/hyperlink" Target="https://scryfall.com/sets/wth" TargetMode="External" Id="rId3657"/><Relationship Type="http://schemas.openxmlformats.org/officeDocument/2006/relationships/hyperlink" Target="https://scryfall.com/sets/wth" TargetMode="External" Id="rId3658"/><Relationship Type="http://schemas.openxmlformats.org/officeDocument/2006/relationships/hyperlink" Target="https://scryfall.com/sets/olep" TargetMode="External" Id="rId3659"/><Relationship Type="http://schemas.openxmlformats.org/officeDocument/2006/relationships/hyperlink" Target="https://scryfall.com/sets/olep" TargetMode="External" Id="rId3660"/><Relationship Type="http://schemas.openxmlformats.org/officeDocument/2006/relationships/hyperlink" Target="https://scryfall.com/sets/olep" TargetMode="External" Id="rId3661"/><Relationship Type="http://schemas.openxmlformats.org/officeDocument/2006/relationships/hyperlink" Target="https://scryfall.com/sets/olep" TargetMode="External" Id="rId3662"/><Relationship Type="http://schemas.openxmlformats.org/officeDocument/2006/relationships/hyperlink" Target="https://scryfall.com/sets/pvan" TargetMode="External" Id="rId3663"/><Relationship Type="http://schemas.openxmlformats.org/officeDocument/2006/relationships/hyperlink" Target="https://scryfall.com/sets/pvan" TargetMode="External" Id="rId3664"/><Relationship Type="http://schemas.openxmlformats.org/officeDocument/2006/relationships/hyperlink" Target="https://scryfall.com/sets/pvan" TargetMode="External" Id="rId3665"/><Relationship Type="http://schemas.openxmlformats.org/officeDocument/2006/relationships/hyperlink" Target="https://scryfall.com/sets/pvan" TargetMode="External" Id="rId3666"/><Relationship Type="http://schemas.openxmlformats.org/officeDocument/2006/relationships/hyperlink" Target="https://scryfall.com/sets/por" TargetMode="External" Id="rId3667"/><Relationship Type="http://schemas.openxmlformats.org/officeDocument/2006/relationships/hyperlink" Target="https://scryfall.com/sets/por" TargetMode="External" Id="rId3668"/><Relationship Type="http://schemas.openxmlformats.org/officeDocument/2006/relationships/hyperlink" Target="https://scryfall.com/sets/por" TargetMode="External" Id="rId3669"/><Relationship Type="http://schemas.openxmlformats.org/officeDocument/2006/relationships/hyperlink" Target="https://scryfall.com/sets/past" TargetMode="External" Id="rId3670"/><Relationship Type="http://schemas.openxmlformats.org/officeDocument/2006/relationships/hyperlink" Target="https://scryfall.com/sets/past" TargetMode="External" Id="rId3671"/><Relationship Type="http://schemas.openxmlformats.org/officeDocument/2006/relationships/hyperlink" Target="https://scryfall.com/sets/past" TargetMode="External" Id="rId3672"/><Relationship Type="http://schemas.openxmlformats.org/officeDocument/2006/relationships/hyperlink" Target="https://scryfall.com/sets/past" TargetMode="External" Id="rId3673"/><Relationship Type="http://schemas.openxmlformats.org/officeDocument/2006/relationships/hyperlink" Target="https://scryfall.com/sets/pmic" TargetMode="External" Id="rId3674"/><Relationship Type="http://schemas.openxmlformats.org/officeDocument/2006/relationships/hyperlink" Target="https://scryfall.com/sets/pmic" TargetMode="External" Id="rId3675"/><Relationship Type="http://schemas.openxmlformats.org/officeDocument/2006/relationships/hyperlink" Target="https://scryfall.com/sets/pmic" TargetMode="External" Id="rId3676"/><Relationship Type="http://schemas.openxmlformats.org/officeDocument/2006/relationships/hyperlink" Target="https://scryfall.com/sets/pmic" TargetMode="External" Id="rId3677"/><Relationship Type="http://schemas.openxmlformats.org/officeDocument/2006/relationships/hyperlink" Target="https://scryfall.com/sets/5ed" TargetMode="External" Id="rId3678"/><Relationship Type="http://schemas.openxmlformats.org/officeDocument/2006/relationships/hyperlink" Target="https://scryfall.com/sets/5ed" TargetMode="External" Id="rId3679"/><Relationship Type="http://schemas.openxmlformats.org/officeDocument/2006/relationships/hyperlink" Target="https://scryfall.com/sets/5ed" TargetMode="External" Id="rId3680"/><Relationship Type="http://schemas.openxmlformats.org/officeDocument/2006/relationships/hyperlink" Target="https://scryfall.com/sets/vis" TargetMode="External" Id="rId3681"/><Relationship Type="http://schemas.openxmlformats.org/officeDocument/2006/relationships/hyperlink" Target="https://scryfall.com/sets/vis" TargetMode="External" Id="rId3682"/><Relationship Type="http://schemas.openxmlformats.org/officeDocument/2006/relationships/hyperlink" Target="https://scryfall.com/sets/vis" TargetMode="External" Id="rId3683"/><Relationship Type="http://schemas.openxmlformats.org/officeDocument/2006/relationships/hyperlink" Target="https://scryfall.com/sets/mgb" TargetMode="External" Id="rId3684"/><Relationship Type="http://schemas.openxmlformats.org/officeDocument/2006/relationships/hyperlink" Target="https://scryfall.com/sets/mgb" TargetMode="External" Id="rId3685"/><Relationship Type="http://schemas.openxmlformats.org/officeDocument/2006/relationships/hyperlink" Target="https://scryfall.com/sets/mgb" TargetMode="External" Id="rId3686"/><Relationship Type="http://schemas.openxmlformats.org/officeDocument/2006/relationships/hyperlink" Target="https://scryfall.com/sets/mgb" TargetMode="External" Id="rId3687"/><Relationship Type="http://schemas.openxmlformats.org/officeDocument/2006/relationships/hyperlink" Target="https://scryfall.com/sets/itp" TargetMode="External" Id="rId3688"/><Relationship Type="http://schemas.openxmlformats.org/officeDocument/2006/relationships/hyperlink" Target="https://scryfall.com/sets/itp" TargetMode="External" Id="rId3689"/><Relationship Type="http://schemas.openxmlformats.org/officeDocument/2006/relationships/hyperlink" Target="https://scryfall.com/sets/itp" TargetMode="External" Id="rId3690"/><Relationship Type="http://schemas.openxmlformats.org/officeDocument/2006/relationships/hyperlink" Target="https://scryfall.com/sets/mir" TargetMode="External" Id="rId3691"/><Relationship Type="http://schemas.openxmlformats.org/officeDocument/2006/relationships/hyperlink" Target="https://scryfall.com/sets/mir" TargetMode="External" Id="rId3692"/><Relationship Type="http://schemas.openxmlformats.org/officeDocument/2006/relationships/hyperlink" Target="https://scryfall.com/sets/mir" TargetMode="External" Id="rId3693"/><Relationship Type="http://schemas.openxmlformats.org/officeDocument/2006/relationships/hyperlink" Target="https://scryfall.com/sets/pred" TargetMode="External" Id="rId3694"/><Relationship Type="http://schemas.openxmlformats.org/officeDocument/2006/relationships/hyperlink" Target="https://scryfall.com/sets/pred" TargetMode="External" Id="rId3695"/><Relationship Type="http://schemas.openxmlformats.org/officeDocument/2006/relationships/hyperlink" Target="https://scryfall.com/sets/pred" TargetMode="External" Id="rId3696"/><Relationship Type="http://schemas.openxmlformats.org/officeDocument/2006/relationships/hyperlink" Target="https://scryfall.com/sets/pred/ja" TargetMode="External" Id="rId3697"/><Relationship Type="http://schemas.openxmlformats.org/officeDocument/2006/relationships/hyperlink" Target="https://scryfall.com/sets/pcel" TargetMode="External" Id="rId3698"/><Relationship Type="http://schemas.openxmlformats.org/officeDocument/2006/relationships/hyperlink" Target="https://scryfall.com/sets/pcel" TargetMode="External" Id="rId3699"/><Relationship Type="http://schemas.openxmlformats.org/officeDocument/2006/relationships/hyperlink" Target="https://scryfall.com/sets/pcel" TargetMode="External" Id="rId3700"/><Relationship Type="http://schemas.openxmlformats.org/officeDocument/2006/relationships/hyperlink" Target="https://scryfall.com/sets/pcel" TargetMode="External" Id="rId3701"/><Relationship Type="http://schemas.openxmlformats.org/officeDocument/2006/relationships/hyperlink" Target="https://scryfall.com/sets/parl" TargetMode="External" Id="rId3702"/><Relationship Type="http://schemas.openxmlformats.org/officeDocument/2006/relationships/hyperlink" Target="https://scryfall.com/sets/parl" TargetMode="External" Id="rId3703"/><Relationship Type="http://schemas.openxmlformats.org/officeDocument/2006/relationships/hyperlink" Target="https://scryfall.com/sets/parl" TargetMode="External" Id="rId3704"/><Relationship Type="http://schemas.openxmlformats.org/officeDocument/2006/relationships/hyperlink" Target="https://scryfall.com/sets/parl" TargetMode="External" Id="rId3705"/><Relationship Type="http://schemas.openxmlformats.org/officeDocument/2006/relationships/hyperlink" Target="https://scryfall.com/sets/plgm" TargetMode="External" Id="rId3706"/><Relationship Type="http://schemas.openxmlformats.org/officeDocument/2006/relationships/hyperlink" Target="https://scryfall.com/sets/plgm" TargetMode="External" Id="rId3707"/><Relationship Type="http://schemas.openxmlformats.org/officeDocument/2006/relationships/hyperlink" Target="https://scryfall.com/sets/plgm" TargetMode="External" Id="rId3708"/><Relationship Type="http://schemas.openxmlformats.org/officeDocument/2006/relationships/hyperlink" Target="https://scryfall.com/sets/plgm" TargetMode="External" Id="rId3709"/><Relationship Type="http://schemas.openxmlformats.org/officeDocument/2006/relationships/hyperlink" Target="https://scryfall.com/sets/rqs" TargetMode="External" Id="rId3710"/><Relationship Type="http://schemas.openxmlformats.org/officeDocument/2006/relationships/hyperlink" Target="https://scryfall.com/sets/rqs" TargetMode="External" Id="rId3711"/><Relationship Type="http://schemas.openxmlformats.org/officeDocument/2006/relationships/hyperlink" Target="https://scryfall.com/sets/rqs" TargetMode="External" Id="rId3712"/><Relationship Type="http://schemas.openxmlformats.org/officeDocument/2006/relationships/hyperlink" Target="https://scryfall.com/sets/rqs" TargetMode="External" Id="rId3713"/><Relationship Type="http://schemas.openxmlformats.org/officeDocument/2006/relationships/hyperlink" Target="https://scryfall.com/sets/all" TargetMode="External" Id="rId3714"/><Relationship Type="http://schemas.openxmlformats.org/officeDocument/2006/relationships/hyperlink" Target="https://scryfall.com/sets/all" TargetMode="External" Id="rId3715"/><Relationship Type="http://schemas.openxmlformats.org/officeDocument/2006/relationships/hyperlink" Target="https://scryfall.com/sets/all" TargetMode="External" Id="rId3716"/><Relationship Type="http://schemas.openxmlformats.org/officeDocument/2006/relationships/hyperlink" Target="https://scryfall.com/sets/ptc" TargetMode="External" Id="rId3717"/><Relationship Type="http://schemas.openxmlformats.org/officeDocument/2006/relationships/hyperlink" Target="https://scryfall.com/sets/ptc" TargetMode="External" Id="rId3718"/><Relationship Type="http://schemas.openxmlformats.org/officeDocument/2006/relationships/hyperlink" Target="https://scryfall.com/sets/ptc" TargetMode="External" Id="rId3719"/><Relationship Type="http://schemas.openxmlformats.org/officeDocument/2006/relationships/hyperlink" Target="https://scryfall.com/sets/ptc" TargetMode="External" Id="rId3720"/><Relationship Type="http://schemas.openxmlformats.org/officeDocument/2006/relationships/hyperlink" Target="https://scryfall.com/sets/o90p" TargetMode="External" Id="rId3721"/><Relationship Type="http://schemas.openxmlformats.org/officeDocument/2006/relationships/hyperlink" Target="https://scryfall.com/sets/o90p" TargetMode="External" Id="rId3722"/><Relationship Type="http://schemas.openxmlformats.org/officeDocument/2006/relationships/hyperlink" Target="https://scryfall.com/sets/o90p" TargetMode="External" Id="rId3723"/><Relationship Type="http://schemas.openxmlformats.org/officeDocument/2006/relationships/hyperlink" Target="https://scryfall.com/sets/o90p" TargetMode="External" Id="rId3724"/><Relationship Type="http://schemas.openxmlformats.org/officeDocument/2006/relationships/hyperlink" Target="https://scryfall.com/sets/hml" TargetMode="External" Id="rId3725"/><Relationship Type="http://schemas.openxmlformats.org/officeDocument/2006/relationships/hyperlink" Target="https://scryfall.com/sets/hml" TargetMode="External" Id="rId3726"/><Relationship Type="http://schemas.openxmlformats.org/officeDocument/2006/relationships/hyperlink" Target="https://scryfall.com/sets/hml" TargetMode="External" Id="rId3727"/><Relationship Type="http://schemas.openxmlformats.org/officeDocument/2006/relationships/hyperlink" Target="https://scryfall.com/sets/ren" TargetMode="External" Id="rId3728"/><Relationship Type="http://schemas.openxmlformats.org/officeDocument/2006/relationships/hyperlink" Target="https://scryfall.com/sets/ren" TargetMode="External" Id="rId3729"/><Relationship Type="http://schemas.openxmlformats.org/officeDocument/2006/relationships/hyperlink" Target="https://scryfall.com/sets/ren" TargetMode="External" Id="rId3730"/><Relationship Type="http://schemas.openxmlformats.org/officeDocument/2006/relationships/hyperlink" Target="https://scryfall.com/sets/rin" TargetMode="External" Id="rId3731"/><Relationship Type="http://schemas.openxmlformats.org/officeDocument/2006/relationships/hyperlink" Target="https://scryfall.com/sets/rin" TargetMode="External" Id="rId3732"/><Relationship Type="http://schemas.openxmlformats.org/officeDocument/2006/relationships/hyperlink" Target="https://scryfall.com/sets/rin" TargetMode="External" Id="rId3733"/><Relationship Type="http://schemas.openxmlformats.org/officeDocument/2006/relationships/hyperlink" Target="https://scryfall.com/sets/rin/it" TargetMode="External" Id="rId3734"/><Relationship Type="http://schemas.openxmlformats.org/officeDocument/2006/relationships/hyperlink" Target="https://scryfall.com/sets/chr" TargetMode="External" Id="rId3735"/><Relationship Type="http://schemas.openxmlformats.org/officeDocument/2006/relationships/hyperlink" Target="https://scryfall.com/sets/chr" TargetMode="External" Id="rId3736"/><Relationship Type="http://schemas.openxmlformats.org/officeDocument/2006/relationships/hyperlink" Target="https://scryfall.com/sets/chr" TargetMode="External" Id="rId3737"/><Relationship Type="http://schemas.openxmlformats.org/officeDocument/2006/relationships/hyperlink" Target="https://scryfall.com/sets/chr" TargetMode="External" Id="rId3738"/><Relationship Type="http://schemas.openxmlformats.org/officeDocument/2006/relationships/hyperlink" Target="https://scryfall.com/sets/bchr" TargetMode="External" Id="rId3739"/><Relationship Type="http://schemas.openxmlformats.org/officeDocument/2006/relationships/hyperlink" Target="https://scryfall.com/sets/bchr" TargetMode="External" Id="rId3740"/><Relationship Type="http://schemas.openxmlformats.org/officeDocument/2006/relationships/hyperlink" Target="https://scryfall.com/sets/bchr" TargetMode="External" Id="rId3741"/><Relationship Type="http://schemas.openxmlformats.org/officeDocument/2006/relationships/hyperlink" Target="https://scryfall.com/sets/bchr/ja" TargetMode="External" Id="rId3742"/><Relationship Type="http://schemas.openxmlformats.org/officeDocument/2006/relationships/hyperlink" Target="https://scryfall.com/sets/ice" TargetMode="External" Id="rId3743"/><Relationship Type="http://schemas.openxmlformats.org/officeDocument/2006/relationships/hyperlink" Target="https://scryfall.com/sets/ice" TargetMode="External" Id="rId3744"/><Relationship Type="http://schemas.openxmlformats.org/officeDocument/2006/relationships/hyperlink" Target="https://scryfall.com/sets/ice" TargetMode="External" Id="rId3745"/><Relationship Type="http://schemas.openxmlformats.org/officeDocument/2006/relationships/hyperlink" Target="https://scryfall.com/sets/4ed" TargetMode="External" Id="rId3746"/><Relationship Type="http://schemas.openxmlformats.org/officeDocument/2006/relationships/hyperlink" Target="https://scryfall.com/sets/4ed" TargetMode="External" Id="rId3747"/><Relationship Type="http://schemas.openxmlformats.org/officeDocument/2006/relationships/hyperlink" Target="https://scryfall.com/sets/4ed" TargetMode="External" Id="rId3748"/><Relationship Type="http://schemas.openxmlformats.org/officeDocument/2006/relationships/hyperlink" Target="https://scryfall.com/sets/4bb" TargetMode="External" Id="rId3749"/><Relationship Type="http://schemas.openxmlformats.org/officeDocument/2006/relationships/hyperlink" Target="https://scryfall.com/sets/4bb" TargetMode="External" Id="rId3750"/><Relationship Type="http://schemas.openxmlformats.org/officeDocument/2006/relationships/hyperlink" Target="https://scryfall.com/sets/4bb" TargetMode="External" Id="rId3751"/><Relationship Type="http://schemas.openxmlformats.org/officeDocument/2006/relationships/hyperlink" Target="https://scryfall.com/sets/pmei" TargetMode="External" Id="rId3752"/><Relationship Type="http://schemas.openxmlformats.org/officeDocument/2006/relationships/hyperlink" Target="https://scryfall.com/sets/pmei" TargetMode="External" Id="rId3753"/><Relationship Type="http://schemas.openxmlformats.org/officeDocument/2006/relationships/hyperlink" Target="https://scryfall.com/sets/pmei" TargetMode="External" Id="rId3754"/><Relationship Type="http://schemas.openxmlformats.org/officeDocument/2006/relationships/hyperlink" Target="https://scryfall.com/sets/fem" TargetMode="External" Id="rId3755"/><Relationship Type="http://schemas.openxmlformats.org/officeDocument/2006/relationships/hyperlink" Target="https://scryfall.com/sets/fem" TargetMode="External" Id="rId3756"/><Relationship Type="http://schemas.openxmlformats.org/officeDocument/2006/relationships/hyperlink" Target="https://scryfall.com/sets/fem" TargetMode="External" Id="rId3757"/><Relationship Type="http://schemas.openxmlformats.org/officeDocument/2006/relationships/hyperlink" Target="https://scryfall.com/sets/fem" TargetMode="External" Id="rId3758"/><Relationship Type="http://schemas.openxmlformats.org/officeDocument/2006/relationships/hyperlink" Target="https://scryfall.com/sets/phpr" TargetMode="External" Id="rId3759"/><Relationship Type="http://schemas.openxmlformats.org/officeDocument/2006/relationships/hyperlink" Target="https://scryfall.com/sets/phpr" TargetMode="External" Id="rId3760"/><Relationship Type="http://schemas.openxmlformats.org/officeDocument/2006/relationships/hyperlink" Target="https://scryfall.com/sets/phpr" TargetMode="External" Id="rId3761"/><Relationship Type="http://schemas.openxmlformats.org/officeDocument/2006/relationships/hyperlink" Target="https://scryfall.com/sets/drk" TargetMode="External" Id="rId3762"/><Relationship Type="http://schemas.openxmlformats.org/officeDocument/2006/relationships/hyperlink" Target="https://scryfall.com/sets/drk" TargetMode="External" Id="rId3763"/><Relationship Type="http://schemas.openxmlformats.org/officeDocument/2006/relationships/hyperlink" Target="https://scryfall.com/sets/drk" TargetMode="External" Id="rId3764"/><Relationship Type="http://schemas.openxmlformats.org/officeDocument/2006/relationships/hyperlink" Target="https://scryfall.com/sets/pdrc" TargetMode="External" Id="rId3765"/><Relationship Type="http://schemas.openxmlformats.org/officeDocument/2006/relationships/hyperlink" Target="https://scryfall.com/sets/pdrc" TargetMode="External" Id="rId3766"/><Relationship Type="http://schemas.openxmlformats.org/officeDocument/2006/relationships/hyperlink" Target="https://scryfall.com/sets/pdrc" TargetMode="External" Id="rId3767"/><Relationship Type="http://schemas.openxmlformats.org/officeDocument/2006/relationships/hyperlink" Target="https://scryfall.com/sets/pdrc" TargetMode="External" Id="rId3768"/><Relationship Type="http://schemas.openxmlformats.org/officeDocument/2006/relationships/hyperlink" Target="https://scryfall.com/sets/sum" TargetMode="External" Id="rId3769"/><Relationship Type="http://schemas.openxmlformats.org/officeDocument/2006/relationships/hyperlink" Target="https://scryfall.com/sets/sum" TargetMode="External" Id="rId3770"/><Relationship Type="http://schemas.openxmlformats.org/officeDocument/2006/relationships/hyperlink" Target="https://scryfall.com/sets/sum" TargetMode="External" Id="rId3771"/><Relationship Type="http://schemas.openxmlformats.org/officeDocument/2006/relationships/hyperlink" Target="https://scryfall.com/sets/sum" TargetMode="External" Id="rId3772"/><Relationship Type="http://schemas.openxmlformats.org/officeDocument/2006/relationships/hyperlink" Target="https://scryfall.com/sets/leg" TargetMode="External" Id="rId3773"/><Relationship Type="http://schemas.openxmlformats.org/officeDocument/2006/relationships/hyperlink" Target="https://scryfall.com/sets/leg" TargetMode="External" Id="rId3774"/><Relationship Type="http://schemas.openxmlformats.org/officeDocument/2006/relationships/hyperlink" Target="https://scryfall.com/sets/leg" TargetMode="External" Id="rId3775"/><Relationship Type="http://schemas.openxmlformats.org/officeDocument/2006/relationships/hyperlink" Target="https://scryfall.com/sets/3ed" TargetMode="External" Id="rId3776"/><Relationship Type="http://schemas.openxmlformats.org/officeDocument/2006/relationships/hyperlink" Target="https://scryfall.com/sets/3ed" TargetMode="External" Id="rId3777"/><Relationship Type="http://schemas.openxmlformats.org/officeDocument/2006/relationships/hyperlink" Target="https://scryfall.com/sets/3ed" TargetMode="External" Id="rId3778"/><Relationship Type="http://schemas.openxmlformats.org/officeDocument/2006/relationships/hyperlink" Target="https://scryfall.com/sets/fbb" TargetMode="External" Id="rId3779"/><Relationship Type="http://schemas.openxmlformats.org/officeDocument/2006/relationships/hyperlink" Target="https://scryfall.com/sets/fbb" TargetMode="External" Id="rId3780"/><Relationship Type="http://schemas.openxmlformats.org/officeDocument/2006/relationships/hyperlink" Target="https://scryfall.com/sets/fbb" TargetMode="External" Id="rId3781"/><Relationship Type="http://schemas.openxmlformats.org/officeDocument/2006/relationships/hyperlink" Target="https://scryfall.com/sets/atq" TargetMode="External" Id="rId3782"/><Relationship Type="http://schemas.openxmlformats.org/officeDocument/2006/relationships/hyperlink" Target="https://scryfall.com/sets/atq" TargetMode="External" Id="rId3783"/><Relationship Type="http://schemas.openxmlformats.org/officeDocument/2006/relationships/hyperlink" Target="https://scryfall.com/sets/atq" TargetMode="External" Id="rId3784"/><Relationship Type="http://schemas.openxmlformats.org/officeDocument/2006/relationships/hyperlink" Target="https://scryfall.com/sets/atq" TargetMode="External" Id="rId3785"/><Relationship Type="http://schemas.openxmlformats.org/officeDocument/2006/relationships/hyperlink" Target="https://scryfall.com/sets/arn" TargetMode="External" Id="rId3786"/><Relationship Type="http://schemas.openxmlformats.org/officeDocument/2006/relationships/hyperlink" Target="https://scryfall.com/sets/arn" TargetMode="External" Id="rId3787"/><Relationship Type="http://schemas.openxmlformats.org/officeDocument/2006/relationships/hyperlink" Target="https://scryfall.com/sets/arn" TargetMode="External" Id="rId3788"/><Relationship Type="http://schemas.openxmlformats.org/officeDocument/2006/relationships/hyperlink" Target="https://scryfall.com/sets/arn" TargetMode="External" Id="rId3789"/><Relationship Type="http://schemas.openxmlformats.org/officeDocument/2006/relationships/hyperlink" Target="https://scryfall.com/sets/cei" TargetMode="External" Id="rId3790"/><Relationship Type="http://schemas.openxmlformats.org/officeDocument/2006/relationships/hyperlink" Target="https://scryfall.com/sets/cei" TargetMode="External" Id="rId3791"/><Relationship Type="http://schemas.openxmlformats.org/officeDocument/2006/relationships/hyperlink" Target="https://scryfall.com/sets/cei" TargetMode="External" Id="rId3792"/><Relationship Type="http://schemas.openxmlformats.org/officeDocument/2006/relationships/hyperlink" Target="https://scryfall.com/sets/cei" TargetMode="External" Id="rId3793"/><Relationship Type="http://schemas.openxmlformats.org/officeDocument/2006/relationships/hyperlink" Target="https://scryfall.com/sets/ced" TargetMode="External" Id="rId3794"/><Relationship Type="http://schemas.openxmlformats.org/officeDocument/2006/relationships/hyperlink" Target="https://scryfall.com/sets/ced" TargetMode="External" Id="rId3795"/><Relationship Type="http://schemas.openxmlformats.org/officeDocument/2006/relationships/hyperlink" Target="https://scryfall.com/sets/ced" TargetMode="External" Id="rId3796"/><Relationship Type="http://schemas.openxmlformats.org/officeDocument/2006/relationships/hyperlink" Target="https://scryfall.com/sets/ced" TargetMode="External" Id="rId3797"/><Relationship Type="http://schemas.openxmlformats.org/officeDocument/2006/relationships/hyperlink" Target="https://scryfall.com/sets/2ed" TargetMode="External" Id="rId3798"/><Relationship Type="http://schemas.openxmlformats.org/officeDocument/2006/relationships/hyperlink" Target="https://scryfall.com/sets/2ed" TargetMode="External" Id="rId3799"/><Relationship Type="http://schemas.openxmlformats.org/officeDocument/2006/relationships/hyperlink" Target="https://scryfall.com/sets/2ed" TargetMode="External" Id="rId3800"/><Relationship Type="http://schemas.openxmlformats.org/officeDocument/2006/relationships/hyperlink" Target="https://scryfall.com/sets/2ed" TargetMode="External" Id="rId3801"/><Relationship Type="http://schemas.openxmlformats.org/officeDocument/2006/relationships/hyperlink" Target="https://scryfall.com/sets/leb" TargetMode="External" Id="rId3802"/><Relationship Type="http://schemas.openxmlformats.org/officeDocument/2006/relationships/hyperlink" Target="https://scryfall.com/sets/leb" TargetMode="External" Id="rId3803"/><Relationship Type="http://schemas.openxmlformats.org/officeDocument/2006/relationships/hyperlink" Target="https://scryfall.com/sets/leb" TargetMode="External" Id="rId3804"/><Relationship Type="http://schemas.openxmlformats.org/officeDocument/2006/relationships/hyperlink" Target="https://scryfall.com/sets/leb" TargetMode="External" Id="rId3805"/><Relationship Type="http://schemas.openxmlformats.org/officeDocument/2006/relationships/hyperlink" Target="https://scryfall.com/sets/lea" TargetMode="External" Id="rId3806"/><Relationship Type="http://schemas.openxmlformats.org/officeDocument/2006/relationships/hyperlink" Target="https://scryfall.com/sets/lea" TargetMode="External" Id="rId3807"/><Relationship Type="http://schemas.openxmlformats.org/officeDocument/2006/relationships/hyperlink" Target="https://scryfall.com/sets/lea" TargetMode="External" Id="rId3808"/><Relationship Type="http://schemas.openxmlformats.org/officeDocument/2006/relationships/hyperlink" Target="https://scryfall.com/sets/lea" TargetMode="External" Id="rId3809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5"/>
  <sheetViews>
    <sheetView zoomScaleNormal="60" zoomScaleSheetLayoutView="100" workbookViewId="0">
      <selection activeCell="E18" sqref="E18"/>
    </sheetView>
  </sheetViews>
  <sheetFormatPr baseColWidth="8" defaultRowHeight="15"/>
  <cols>
    <col width="8" customWidth="1" style="6" min="1" max="1"/>
    <col width="24.140625" customWidth="1" style="6" min="2" max="2"/>
    <col width="13.85546875" bestFit="1" customWidth="1" style="6" min="3" max="3"/>
    <col width="19.5703125" bestFit="1" customWidth="1" style="6" min="4" max="4"/>
    <col width="10.28515625" bestFit="1" customWidth="1" style="6" min="5" max="5"/>
    <col width="10.85546875" bestFit="1" customWidth="1" style="6" min="6" max="6"/>
    <col width="10.85546875" customWidth="1" style="6" min="7" max="7"/>
    <col width="8.7109375" bestFit="1" customWidth="1" style="6" min="8" max="8"/>
  </cols>
  <sheetData>
    <row r="1">
      <c r="A1" t="inlineStr">
        <is>
          <t>Rank</t>
        </is>
      </c>
      <c r="B1" t="inlineStr">
        <is>
          <t>Name</t>
        </is>
      </c>
      <c r="C1" t="inlineStr">
        <is>
          <t>CardMarket</t>
        </is>
      </c>
      <c r="D1" t="inlineStr">
        <is>
          <t>Companies House</t>
        </is>
      </c>
      <c r="E1" t="inlineStr">
        <is>
          <t>Domain</t>
        </is>
      </c>
      <c r="F1" t="inlineStr">
        <is>
          <t>YouTube</t>
        </is>
      </c>
      <c r="G1" t="inlineStr">
        <is>
          <t>Tierney Approved</t>
        </is>
      </c>
      <c r="H1" t="inlineStr">
        <is>
          <t>Notes</t>
        </is>
      </c>
    </row>
    <row r="2">
      <c r="A2" t="n">
        <v>1</v>
      </c>
      <c r="B2" t="inlineStr">
        <is>
          <t>Shuffle &amp; Skirmish</t>
        </is>
      </c>
      <c r="C2" t="b">
        <v>1</v>
      </c>
      <c r="D2" t="b">
        <v>1</v>
      </c>
      <c r="E2" t="b">
        <v>1</v>
      </c>
      <c r="F2" t="b">
        <v>1</v>
      </c>
      <c r="G2" t="b">
        <v>1</v>
      </c>
    </row>
    <row r="3">
      <c r="A3" t="n">
        <v>2</v>
      </c>
      <c r="B3" t="inlineStr">
        <is>
          <t>Mana &amp; Miniatures</t>
        </is>
      </c>
      <c r="C3" t="b">
        <v>1</v>
      </c>
      <c r="D3" t="b">
        <v>1</v>
      </c>
      <c r="E3" t="b">
        <v>1</v>
      </c>
      <c r="F3" t="b">
        <v>1</v>
      </c>
      <c r="G3" t="b">
        <v>1</v>
      </c>
    </row>
    <row r="4">
      <c r="A4" t="n">
        <v>3</v>
      </c>
      <c r="B4" t="inlineStr">
        <is>
          <t>Draw &amp; Deploy</t>
        </is>
      </c>
      <c r="C4" t="b">
        <v>1</v>
      </c>
      <c r="D4" t="b">
        <v>1</v>
      </c>
      <c r="E4" t="b">
        <v>1</v>
      </c>
      <c r="F4" t="b">
        <v>1</v>
      </c>
      <c r="G4" t="b">
        <v>0</v>
      </c>
    </row>
    <row r="5">
      <c r="A5" t="n">
        <v>4</v>
      </c>
      <c r="B5" t="inlineStr">
        <is>
          <t>Sum of All Plays</t>
        </is>
      </c>
      <c r="C5" t="b">
        <v>1</v>
      </c>
      <c r="D5" t="b">
        <v>1</v>
      </c>
      <c r="E5" t="b">
        <v>1</v>
      </c>
      <c r="F5" t="b">
        <v>1</v>
      </c>
      <c r="G5" t="b">
        <v>0</v>
      </c>
    </row>
    <row r="6">
      <c r="A6" t="n">
        <v>5</v>
      </c>
      <c r="B6" t="inlineStr">
        <is>
          <t>Shufflin' &amp; Scufflin'</t>
        </is>
      </c>
      <c r="C6" t="b">
        <v>1</v>
      </c>
      <c r="D6" t="b">
        <v>1</v>
      </c>
      <c r="E6" t="b">
        <v>1</v>
      </c>
      <c r="F6" t="b">
        <v>1</v>
      </c>
      <c r="G6" t="b">
        <v>0</v>
      </c>
      <c r="H6" t="inlineStr">
        <is>
          <t>Gullen family favourite, Name clashes with content on YT</t>
        </is>
      </c>
    </row>
    <row r="7">
      <c r="A7" t="n">
        <v>6</v>
      </c>
      <c r="B7" t="inlineStr">
        <is>
          <t>Strategic Shuffle</t>
        </is>
      </c>
      <c r="C7" t="b">
        <v>1</v>
      </c>
      <c r="D7" t="b">
        <v>1</v>
      </c>
      <c r="E7" t="b">
        <v>0</v>
      </c>
      <c r="F7" t="b">
        <v>1</v>
      </c>
      <c r="G7" t="b">
        <v>0</v>
      </c>
    </row>
    <row r="8">
      <c r="A8" t="n">
        <v>7</v>
      </c>
      <c r="B8" t="inlineStr">
        <is>
          <t>Deck Check</t>
        </is>
      </c>
      <c r="C8" t="b">
        <v>1</v>
      </c>
      <c r="D8" t="b">
        <v>1</v>
      </c>
      <c r="F8" t="b">
        <v>0</v>
      </c>
      <c r="G8" t="b">
        <v>1</v>
      </c>
    </row>
    <row r="9">
      <c r="A9" t="n">
        <v>8</v>
      </c>
      <c r="B9" t="inlineStr">
        <is>
          <t>Friendly Fire Gaming</t>
        </is>
      </c>
      <c r="C9" t="b">
        <v>1</v>
      </c>
      <c r="D9" t="b">
        <v>1</v>
      </c>
      <c r="F9" t="b">
        <v>0</v>
      </c>
      <c r="G9" t="b">
        <v>0</v>
      </c>
    </row>
    <row r="10">
      <c r="A10" t="n">
        <v>9</v>
      </c>
      <c r="B10" t="inlineStr">
        <is>
          <t>Tabletop Chronicles</t>
        </is>
      </c>
      <c r="C10" t="b">
        <v>1</v>
      </c>
      <c r="D10" t="b">
        <v>1</v>
      </c>
      <c r="F10" t="b">
        <v>0</v>
      </c>
      <c r="G10" t="b">
        <v>1</v>
      </c>
    </row>
    <row r="11">
      <c r="A11" t="n">
        <v>10</v>
      </c>
      <c r="B11" t="inlineStr">
        <is>
          <t>Critical Collection</t>
        </is>
      </c>
      <c r="C11" t="b">
        <v>1</v>
      </c>
      <c r="D11" t="b">
        <v>1</v>
      </c>
      <c r="F11" t="b">
        <v>0</v>
      </c>
      <c r="G11" t="b">
        <v>0</v>
      </c>
    </row>
    <row r="12">
      <c r="A12" t="n">
        <v>11</v>
      </c>
      <c r="B12" t="inlineStr">
        <is>
          <t>Expected Value Gaming</t>
        </is>
      </c>
      <c r="C12" t="b">
        <v>1</v>
      </c>
      <c r="D12" t="b">
        <v>1</v>
      </c>
      <c r="F12" t="b">
        <v>0</v>
      </c>
      <c r="G12" t="b">
        <v>0</v>
      </c>
    </row>
    <row r="13" ht="81" customHeight="1" s="6">
      <c r="A13" t="n">
        <v>12</v>
      </c>
      <c r="B13" t="inlineStr">
        <is>
          <t>Casual Competitive Gaming</t>
        </is>
      </c>
      <c r="D13" t="b">
        <v>1</v>
      </c>
      <c r="G13" t="b">
        <v>0</v>
      </c>
      <c r="H13" s="1" t="inlineStr">
        <is>
          <t>Juxtaposition
Mouthful
Lots of similar names</t>
        </is>
      </c>
    </row>
    <row r="14">
      <c r="A14" t="n">
        <v>13</v>
      </c>
      <c r="B14" t="inlineStr">
        <is>
          <t>Calculated Gaming</t>
        </is>
      </c>
      <c r="D14" t="b">
        <v>1</v>
      </c>
      <c r="G14" t="b">
        <v>0</v>
      </c>
      <c r="H14" t="inlineStr">
        <is>
          <t>Saturated name</t>
        </is>
      </c>
    </row>
    <row r="15">
      <c r="A15" t="n">
        <v>14</v>
      </c>
      <c r="B15" t="inlineStr">
        <is>
          <t>Plus One Gaming</t>
        </is>
      </c>
      <c r="D15" t="b">
        <v>1</v>
      </c>
      <c r="G15" t="b">
        <v>0</v>
      </c>
      <c r="H15" t="inlineStr">
        <is>
          <t>Saturated name</t>
        </is>
      </c>
    </row>
    <row r="16">
      <c r="A16" t="n">
        <v>15</v>
      </c>
      <c r="B16" t="inlineStr">
        <is>
          <t>Calculate And Conquer</t>
        </is>
      </c>
      <c r="D16" t="b">
        <v>1</v>
      </c>
      <c r="G16" t="b">
        <v>0</v>
      </c>
      <c r="H16" t="inlineStr">
        <is>
          <t>Saturated name</t>
        </is>
      </c>
    </row>
    <row r="17">
      <c r="A17" t="n">
        <v>16</v>
      </c>
      <c r="B17" t="inlineStr">
        <is>
          <t>Odds &amp; Minis</t>
        </is>
      </c>
      <c r="D17" t="b">
        <v>1</v>
      </c>
      <c r="G17" t="b">
        <v>0</v>
      </c>
      <c r="H17" t="inlineStr">
        <is>
          <t>Saturated name</t>
        </is>
      </c>
    </row>
    <row r="18">
      <c r="A18" t="n">
        <v>17</v>
      </c>
      <c r="B18" t="inlineStr">
        <is>
          <t>Roll &amp; Calculate</t>
        </is>
      </c>
      <c r="D18" t="b">
        <v>1</v>
      </c>
      <c r="G18" t="b">
        <v>0</v>
      </c>
      <c r="H18" t="inlineStr">
        <is>
          <t>Saturated name</t>
        </is>
      </c>
    </row>
    <row r="19">
      <c r="A19" t="n">
        <v>18</v>
      </c>
      <c r="B19" t="inlineStr">
        <is>
          <t>Tactical Table Gaming</t>
        </is>
      </c>
      <c r="D19" t="b">
        <v>1</v>
      </c>
      <c r="G19" t="b">
        <v>0</v>
      </c>
      <c r="H19" t="inlineStr">
        <is>
          <t>Saturated name</t>
        </is>
      </c>
    </row>
    <row r="20">
      <c r="A20" t="n">
        <v>19</v>
      </c>
      <c r="B20" t="inlineStr">
        <is>
          <t>Measured Moves Gaming</t>
        </is>
      </c>
      <c r="D20" t="b">
        <v>1</v>
      </c>
      <c r="G20" t="b">
        <v>0</v>
      </c>
      <c r="H20" t="inlineStr">
        <is>
          <t>Saturated name</t>
        </is>
      </c>
    </row>
    <row r="21">
      <c r="A21" t="n">
        <v>20</v>
      </c>
      <c r="B21" t="inlineStr">
        <is>
          <t>Tap That Gaming</t>
        </is>
      </c>
      <c r="D21" t="b">
        <v>1</v>
      </c>
      <c r="G21" t="b">
        <v>0</v>
      </c>
      <c r="H21" t="inlineStr">
        <is>
          <t>Too degrading to women?</t>
        </is>
      </c>
    </row>
    <row r="22">
      <c r="A22" t="n">
        <v>21</v>
      </c>
      <c r="B22" t="inlineStr">
        <is>
          <t>The Gaming Table</t>
        </is>
      </c>
      <c r="D22" t="b">
        <v>1</v>
      </c>
      <c r="G22" t="b">
        <v>1</v>
      </c>
      <c r="H22" t="inlineStr">
        <is>
          <t>Too long? "The Games Table" exists on CH</t>
        </is>
      </c>
    </row>
    <row r="23">
      <c r="A23" t="n">
        <v>22</v>
      </c>
      <c r="B23" t="inlineStr">
        <is>
          <t>Optimal Play Gaming</t>
        </is>
      </c>
      <c r="D23" t="b">
        <v>1</v>
      </c>
      <c r="G23" t="b">
        <v>0</v>
      </c>
      <c r="H23" t="inlineStr">
        <is>
          <t>Very saturated name</t>
        </is>
      </c>
    </row>
    <row r="24">
      <c r="A24" t="n">
        <v>23</v>
      </c>
      <c r="B24" t="inlineStr">
        <is>
          <t>The Hobby Hub</t>
        </is>
      </c>
      <c r="D24" t="b">
        <v>0</v>
      </c>
      <c r="G24" t="b">
        <v>0</v>
      </c>
    </row>
    <row r="25">
      <c r="A25" t="n">
        <v>24</v>
      </c>
      <c r="B25" t="inlineStr">
        <is>
          <t>Card It</t>
        </is>
      </c>
      <c r="D25" t="b">
        <v>0</v>
      </c>
      <c r="G25" t="b">
        <v>0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A9"/>
  <sheetViews>
    <sheetView zoomScaleNormal="150" zoomScaleSheetLayoutView="100" workbookViewId="0">
      <selection activeCell="C3" sqref="C3"/>
    </sheetView>
  </sheetViews>
  <sheetFormatPr baseColWidth="8" defaultRowHeight="15"/>
  <cols>
    <col width="10.85546875" bestFit="1" customWidth="1" style="6" min="1" max="1"/>
    <col width="10.85546875" customWidth="1" style="6" min="2" max="2"/>
    <col width="22.28515625" bestFit="1" customWidth="1" style="6" min="3" max="3"/>
    <col width="14" customWidth="1" style="6" min="4" max="7"/>
    <col width="22.42578125" bestFit="1" customWidth="1" style="6" min="8" max="8"/>
    <col width="8.5703125" customWidth="1" style="6" min="9" max="11"/>
    <col width="33.140625" bestFit="1" customWidth="1" style="6" min="12" max="12"/>
    <col width="8.5703125" customWidth="1" style="6" min="13" max="14"/>
    <col width="13.85546875" bestFit="1" customWidth="1" style="6" min="17" max="17"/>
    <col width="33.28515625" bestFit="1" customWidth="1" style="6" min="18" max="18"/>
    <col width="11.7109375" bestFit="1" customWidth="1" style="6" min="23" max="23"/>
    <col width="13.140625" bestFit="1" customWidth="1" style="6" min="24" max="24"/>
    <col width="14.28515625" bestFit="1" customWidth="1" style="6" min="25" max="25"/>
    <col width="13" bestFit="1" customWidth="1" style="6" min="26" max="26"/>
    <col width="17.5703125" bestFit="1" customWidth="1" style="6" min="27" max="27"/>
  </cols>
  <sheetData>
    <row r="1" ht="68.25" customHeight="1" s="6">
      <c r="A1" t="inlineStr">
        <is>
          <t>Index</t>
        </is>
      </c>
      <c r="B1" t="inlineStr">
        <is>
          <t>Set Type</t>
        </is>
      </c>
      <c r="C1" t="inlineStr">
        <is>
          <t>Buy Window (Months)</t>
        </is>
      </c>
      <c r="D1" t="inlineStr">
        <is>
          <t>Why</t>
        </is>
      </c>
      <c r="E1" t="inlineStr">
        <is>
          <t>Heavy Printing Months</t>
        </is>
      </c>
      <c r="F1" t="inlineStr">
        <is>
          <t>Tapering Months</t>
        </is>
      </c>
      <c r="G1" t="inlineStr">
        <is>
          <t>Final Print Run Months</t>
        </is>
      </c>
      <c r="H1" t="inlineStr">
        <is>
          <t>Sell Window (Months)</t>
        </is>
      </c>
      <c r="I1" s="1" t="inlineStr">
        <is>
          <t>Buy Window Month Start</t>
        </is>
      </c>
      <c r="J1" s="1" t="inlineStr">
        <is>
          <t>Buy Window Month End</t>
        </is>
      </c>
      <c r="K1" s="1" t="inlineStr">
        <is>
          <t>Heavy Printing Window Month Start</t>
        </is>
      </c>
      <c r="L1" t="inlineStr">
        <is>
          <t>Heavy Printing Window Month End</t>
        </is>
      </c>
      <c r="M1" s="1" t="inlineStr">
        <is>
          <t>Sell Window Month Start</t>
        </is>
      </c>
      <c r="N1" s="1" t="inlineStr">
        <is>
          <t>Sell Window Month End</t>
        </is>
      </c>
      <c r="Q1" t="inlineStr">
        <is>
          <t>My Set Type</t>
        </is>
      </c>
      <c r="R1" t="inlineStr">
        <is>
          <t>Corresponding Scryfall Set Type(s)</t>
        </is>
      </c>
      <c r="W1" t="inlineStr">
        <is>
          <t>Set Name</t>
        </is>
      </c>
      <c r="X1" t="inlineStr">
        <is>
          <t>Card Count</t>
        </is>
      </c>
      <c r="Y1" t="inlineStr">
        <is>
          <t>Released On</t>
        </is>
      </c>
      <c r="Z1" t="inlineStr">
        <is>
          <t>Type Name</t>
        </is>
      </c>
      <c r="AA1" t="inlineStr">
        <is>
          <t>Language Codes</t>
        </is>
      </c>
    </row>
    <row r="2">
      <c r="A2" t="n">
        <v>1</v>
      </c>
      <c r="B2" t="inlineStr">
        <is>
          <t>Standard Expansion</t>
        </is>
      </c>
      <c r="C2" s="5" t="inlineStr">
        <is>
          <t>18-24</t>
        </is>
      </c>
      <c r="D2" t="inlineStr">
        <is>
          <t>Approaching end of print, prices haven't spiked yet</t>
        </is>
      </c>
      <c r="E2" s="5" t="inlineStr">
        <is>
          <t>1-18</t>
        </is>
      </c>
      <c r="F2" s="5" t="inlineStr">
        <is>
          <t>18-24</t>
        </is>
      </c>
      <c r="G2" s="5" t="inlineStr">
        <is>
          <t>24-30</t>
        </is>
      </c>
      <c r="H2" t="inlineStr">
        <is>
          <t>36-48+</t>
        </is>
      </c>
      <c r="I2" t="n">
        <v>18</v>
      </c>
      <c r="J2" t="n">
        <v>24</v>
      </c>
      <c r="K2">
        <f t="array" ref="K2">_xlfn.NUMBERVALUE(INDEX(_xlfn.TEXTSPLIT(tbl_MTG_Set_Type[[#This Row],[Heavy Printing Months]], "-"), 1), ".", ",")</f>
        <v/>
      </c>
      <c r="L2">
        <f t="array" ref="L2">_xlfn.NUMBERVALUE(INDEX(_xlfn.TEXTSPLIT(tbl_MTG_Set_Type[[#This Row],[Heavy Printing Months]], "-"), COLUMNS(_xlfn.TEXTSPLIT(tbl_MTG_Set_Type[[#This Row],[Heavy Printing Months]], "-"))), ".", ",")</f>
        <v/>
      </c>
      <c r="M2" t="n">
        <v>36</v>
      </c>
      <c r="N2" t="n">
        <v>48</v>
      </c>
      <c r="Q2" t="inlineStr">
        <is>
          <t>Standard Expansion</t>
        </is>
      </c>
      <c r="R2" t="inlineStr">
        <is>
          <t>core, expansion</t>
        </is>
      </c>
    </row>
    <row r="3">
      <c r="A3" t="n">
        <v>2</v>
      </c>
      <c r="B3" t="inlineStr">
        <is>
          <t>Remastered</t>
        </is>
      </c>
      <c r="C3" s="5" t="inlineStr">
        <is>
          <t>3-6</t>
        </is>
      </c>
      <c r="D3" t="inlineStr">
        <is>
          <t>Usually stay expensive</t>
        </is>
      </c>
      <c r="E3" s="5" t="inlineStr">
        <is>
          <t>6-12</t>
        </is>
      </c>
      <c r="F3" s="5" t="n"/>
      <c r="G3" s="5" t="n"/>
      <c r="H3" s="5" t="inlineStr">
        <is>
          <t>18-36+</t>
        </is>
      </c>
      <c r="I3" t="n">
        <v>3</v>
      </c>
      <c r="J3" t="n">
        <v>6</v>
      </c>
      <c r="K3">
        <f t="array" ref="K3">_xlfn.NUMBERVALUE(INDEX(_xlfn.TEXTSPLIT(tbl_MTG_Set_Type[[#This Row],[Heavy Printing Months]], "-"), 1), ".", ",")</f>
        <v/>
      </c>
      <c r="L3">
        <f t="array" ref="L3">_xlfn.NUMBERVALUE(INDEX(_xlfn.TEXTSPLIT(tbl_MTG_Set_Type[[#This Row],[Heavy Printing Months]], "-"), COLUMNS(_xlfn.TEXTSPLIT(tbl_MTG_Set_Type[[#This Row],[Heavy Printing Months]], "-"))), ".", ",")</f>
        <v/>
      </c>
      <c r="M3" t="n">
        <v>18</v>
      </c>
      <c r="N3" t="n">
        <v>36</v>
      </c>
      <c r="Q3" t="inlineStr">
        <is>
          <t>Remastered</t>
        </is>
      </c>
      <c r="R3" t="inlineStr">
        <is>
          <t>masters</t>
        </is>
      </c>
    </row>
    <row r="4">
      <c r="A4" t="n">
        <v>3</v>
      </c>
      <c r="B4" t="inlineStr">
        <is>
          <t>Masters</t>
        </is>
      </c>
      <c r="C4" s="5" t="inlineStr">
        <is>
          <t>Avoid at retail</t>
        </is>
      </c>
      <c r="D4" t="inlineStr">
        <is>
          <t>Too expensive from launch</t>
        </is>
      </c>
      <c r="E4" s="5" t="inlineStr">
        <is>
          <t>6-12</t>
        </is>
      </c>
      <c r="F4" s="5" t="n"/>
      <c r="G4" s="5" t="n"/>
      <c r="H4" s="5" t="inlineStr">
        <is>
          <t>24-60+</t>
        </is>
      </c>
      <c r="K4">
        <f t="array" ref="K4">_xlfn.NUMBERVALUE(INDEX(_xlfn.TEXTSPLIT(tbl_MTG_Set_Type[[#This Row],[Heavy Printing Months]], "-"), 1), ".", ",")</f>
        <v/>
      </c>
      <c r="L4">
        <f t="array" ref="L4">_xlfn.NUMBERVALUE(INDEX(_xlfn.TEXTSPLIT(tbl_MTG_Set_Type[[#This Row],[Heavy Printing Months]], "-"), COLUMNS(_xlfn.TEXTSPLIT(tbl_MTG_Set_Type[[#This Row],[Heavy Printing Months]], "-"))), ".", ",")</f>
        <v/>
      </c>
      <c r="M4" t="n">
        <v>24</v>
      </c>
      <c r="N4" t="n">
        <v>60</v>
      </c>
      <c r="Q4" t="inlineStr">
        <is>
          <t>Masters</t>
        </is>
      </c>
      <c r="R4" t="inlineStr">
        <is>
          <t>masters</t>
        </is>
      </c>
    </row>
    <row r="5">
      <c r="A5" t="n">
        <v>4</v>
      </c>
      <c r="B5" t="inlineStr">
        <is>
          <t>Modern Horizons</t>
        </is>
      </c>
      <c r="C5" s="5" t="inlineStr">
        <is>
          <t>6-12</t>
        </is>
      </c>
      <c r="D5" t="inlineStr">
        <is>
          <t>If prices dip below launch</t>
        </is>
      </c>
      <c r="E5" s="5" t="inlineStr">
        <is>
          <t>6-12</t>
        </is>
      </c>
      <c r="F5" s="5" t="n"/>
      <c r="G5" s="5" t="n"/>
      <c r="H5" s="5" t="inlineStr">
        <is>
          <t>24-48+</t>
        </is>
      </c>
      <c r="I5" t="n">
        <v>6</v>
      </c>
      <c r="J5" t="n">
        <v>12</v>
      </c>
      <c r="K5">
        <f t="array" ref="K5">_xlfn.NUMBERVALUE(INDEX(_xlfn.TEXTSPLIT(tbl_MTG_Set_Type[[#This Row],[Heavy Printing Months]], "-"), 1), ".", ",")</f>
        <v/>
      </c>
      <c r="L5">
        <f t="array" ref="L5">_xlfn.NUMBERVALUE(INDEX(_xlfn.TEXTSPLIT(tbl_MTG_Set_Type[[#This Row],[Heavy Printing Months]], "-"), COLUMNS(_xlfn.TEXTSPLIT(tbl_MTG_Set_Type[[#This Row],[Heavy Printing Months]], "-"))), ".", ",")</f>
        <v/>
      </c>
      <c r="M5" t="n">
        <v>24</v>
      </c>
      <c r="N5" t="n">
        <v>48</v>
      </c>
      <c r="Q5" t="inlineStr">
        <is>
          <t>Modern Horizons</t>
        </is>
      </c>
      <c r="R5" t="inlineStr">
        <is>
          <t>draft_innovation (filter by set name)</t>
        </is>
      </c>
    </row>
    <row r="6">
      <c r="A6" t="n">
        <v>5</v>
      </c>
      <c r="B6" t="inlineStr">
        <is>
          <t>Commander</t>
        </is>
      </c>
      <c r="C6" s="5" t="inlineStr">
        <is>
          <t>3-12</t>
        </is>
      </c>
      <c r="D6" t="inlineStr">
        <is>
          <t>Clearance phase</t>
        </is>
      </c>
      <c r="E6" s="5" t="inlineStr">
        <is>
          <t>12-18</t>
        </is>
      </c>
      <c r="F6" s="5" t="n"/>
      <c r="G6" s="5" t="n"/>
      <c r="H6" s="5" t="inlineStr">
        <is>
          <t>24+</t>
        </is>
      </c>
      <c r="I6" t="n">
        <v>3</v>
      </c>
      <c r="J6" t="n">
        <v>12</v>
      </c>
      <c r="K6">
        <f t="array" ref="K6">_xlfn.NUMBERVALUE(INDEX(_xlfn.TEXTSPLIT(tbl_MTG_Set_Type[[#This Row],[Heavy Printing Months]], "-"), 1), ".", ",")</f>
        <v/>
      </c>
      <c r="L6">
        <f t="array" ref="L6">_xlfn.NUMBERVALUE(INDEX(_xlfn.TEXTSPLIT(tbl_MTG_Set_Type[[#This Row],[Heavy Printing Months]], "-"), COLUMNS(_xlfn.TEXTSPLIT(tbl_MTG_Set_Type[[#This Row],[Heavy Printing Months]], "-"))), ".", ",")</f>
        <v/>
      </c>
      <c r="M6" t="n">
        <v>24</v>
      </c>
      <c r="N6" t="n">
        <v>24</v>
      </c>
      <c r="Q6" t="inlineStr">
        <is>
          <t>Commander</t>
        </is>
      </c>
      <c r="R6" t="inlineStr">
        <is>
          <t>commander</t>
        </is>
      </c>
    </row>
    <row r="7">
      <c r="A7" t="n">
        <v>6</v>
      </c>
      <c r="B7" t="inlineStr">
        <is>
          <t>Universes Beyond</t>
        </is>
      </c>
      <c r="C7" s="5" t="inlineStr">
        <is>
          <t>3-6</t>
        </is>
      </c>
      <c r="D7" t="inlineStr">
        <is>
          <t>Post-hype reality check</t>
        </is>
      </c>
      <c r="E7" s="5" t="inlineStr">
        <is>
          <t>?</t>
        </is>
      </c>
      <c r="F7" s="5" t="n"/>
      <c r="G7" s="5" t="n"/>
      <c r="H7" s="5" t="inlineStr">
        <is>
          <t>?</t>
        </is>
      </c>
      <c r="I7" t="n">
        <v>3</v>
      </c>
      <c r="J7" t="n">
        <v>6</v>
      </c>
      <c r="Q7" t="inlineStr">
        <is>
          <t>Universes Beyond</t>
        </is>
      </c>
      <c r="R7" t="inlineStr">
        <is>
          <t>commander, expansion, draft_innovation (filter by set name)</t>
        </is>
      </c>
    </row>
    <row r="8">
      <c r="A8" t="n">
        <v>7</v>
      </c>
      <c r="B8" t="inlineStr">
        <is>
          <t>Micro-sets</t>
        </is>
      </c>
      <c r="C8" s="5" t="inlineStr">
        <is>
          <t>Never</t>
        </is>
      </c>
      <c r="D8" t="inlineStr">
        <is>
          <t>Too risky</t>
        </is>
      </c>
      <c r="E8" s="5" t="inlineStr">
        <is>
          <t>3-6</t>
        </is>
      </c>
      <c r="F8" s="5" t="n"/>
      <c r="G8" s="5" t="n"/>
      <c r="H8" s="5" t="inlineStr">
        <is>
          <t>N/A</t>
        </is>
      </c>
      <c r="K8" t="n">
        <v>3</v>
      </c>
      <c r="L8">
        <f t="array" ref="L8">_xlfn.NUMBERVALUE(INDEX(_xlfn.TEXTSPLIT(tbl_MTG_Set_Type[[#This Row],[Heavy Printing Months]], "-"), COLUMNS(_xlfn.TEXTSPLIT(tbl_MTG_Set_Type[[#This Row],[Heavy Printing Months]], "-"))), ".", ",")</f>
        <v/>
      </c>
      <c r="Q8" t="inlineStr">
        <is>
          <t>Micro-sets</t>
        </is>
      </c>
      <c r="R8" t="inlineStr">
        <is>
          <t>arsenal, from_the_vault, spellbook, premium_deck</t>
        </is>
      </c>
    </row>
    <row r="9">
      <c r="A9" t="n">
        <v>8</v>
      </c>
      <c r="B9" t="inlineStr">
        <is>
          <t>Core</t>
        </is>
      </c>
      <c r="C9" s="5" t="inlineStr">
        <is>
          <t>N/A</t>
        </is>
      </c>
      <c r="D9" t="inlineStr">
        <is>
          <t>Historical</t>
        </is>
      </c>
      <c r="E9" t="inlineStr">
        <is>
          <t>18-24</t>
        </is>
      </c>
      <c r="G9" s="5" t="n"/>
      <c r="K9" t="n">
        <v>18</v>
      </c>
      <c r="L9">
        <f t="array" ref="L9">_xlfn.NUMBERVALUE(INDEX(_xlfn.TEXTSPLIT(tbl_MTG_Set_Type[[#This Row],[Heavy Printing Months]], "-"), COLUMNS(_xlfn.TEXTSPLIT(tbl_MTG_Set_Type[[#This Row],[Heavy Printing Months]], "-"))), ".", ",")</f>
        <v/>
      </c>
    </row>
  </sheetData>
  <pageMargins left="0.7" right="0.7" top="0.75" bottom="0.75" header="0.3" footer="0.3"/>
  <tableParts count="3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T1024"/>
  <sheetViews>
    <sheetView topLeftCell="A7" workbookViewId="0">
      <pane xSplit="2" topLeftCell="BD1" activePane="topRight" state="frozen"/>
      <selection pane="topRight" activeCell="BK7" sqref="BK7"/>
      <selection activeCell="AK10" sqref="AK10"/>
    </sheetView>
  </sheetViews>
  <sheetFormatPr baseColWidth="8" defaultColWidth="9.140625" defaultRowHeight="15"/>
  <cols>
    <col width="8.140625" customWidth="1" style="6" min="1" max="1"/>
    <col width="29.7109375" customWidth="1" style="6" min="2" max="2"/>
    <col width="13.140625" bestFit="1" customWidth="1" style="6" min="3" max="3"/>
    <col width="14.28515625" bestFit="1" customWidth="1" style="6" min="4" max="4"/>
    <col width="17.85546875" bestFit="1" customWidth="1" style="6" min="5" max="5"/>
    <col hidden="1" width="29" customWidth="1" style="6" min="6" max="6"/>
    <col hidden="1" width="14.28515625" customWidth="1" style="6" min="7" max="7"/>
    <col width="11.7109375" customWidth="1" style="6" min="8" max="8"/>
    <col hidden="1" width="11.7109375" customWidth="1" style="6" min="9" max="9"/>
    <col hidden="1" width="14.42578125" customWidth="1" style="6" min="10" max="10"/>
    <col width="14.42578125" customWidth="1" style="6" min="11" max="11"/>
    <col hidden="1" width="13" customWidth="1" style="6" min="12" max="12"/>
    <col width="13" customWidth="1" style="6" min="13" max="14"/>
    <col hidden="1" width="14" customWidth="1" style="6" min="15" max="15"/>
    <col width="14" customWidth="1" style="6" min="16" max="16"/>
    <col hidden="1" width="14" customWidth="1" style="6" min="17" max="17"/>
    <col width="14" customWidth="1" style="6" min="18" max="19"/>
    <col hidden="1" width="13.28515625" customWidth="1" style="6" min="20" max="20"/>
    <col width="13.28515625" customWidth="1" style="6" min="21" max="21"/>
    <col hidden="1" width="12.7109375" customWidth="1" style="6" min="22" max="22"/>
    <col width="17.85546875" bestFit="1" customWidth="1" style="6" min="23" max="23"/>
    <col width="9.140625" customWidth="1" style="6" min="24" max="24"/>
    <col hidden="1" width="10.140625" customWidth="1" style="10" min="25" max="30"/>
    <col hidden="1" width="9.140625" customWidth="1" style="10" min="31" max="32"/>
    <col hidden="1" width="9.140625" customWidth="1" style="6" min="33" max="34"/>
    <col width="9.140625" customWidth="1" style="4" min="35" max="38"/>
    <col width="14.42578125" customWidth="1" style="6" min="39" max="39"/>
    <col width="12.28515625" customWidth="1" style="6" min="40" max="40"/>
    <col width="12.28515625" customWidth="1" style="4" min="41" max="41"/>
    <col width="12.28515625" customWidth="1" style="6" min="42" max="42"/>
    <col width="12.5703125" customWidth="1" style="6" min="45" max="45"/>
    <col width="17.28515625" customWidth="1" style="17" min="46" max="46"/>
    <col width="17.28515625" customWidth="1" style="6" min="47" max="48"/>
    <col width="17.28515625" customWidth="1" style="4" min="49" max="49"/>
    <col width="17.28515625" customWidth="1" style="6" min="50" max="53"/>
    <col width="17.28515625" customWidth="1" style="17" min="54" max="54"/>
    <col width="20.140625" bestFit="1" customWidth="1" style="6" min="55" max="55"/>
    <col width="11.140625" customWidth="1" style="11" min="56" max="57"/>
    <col width="11.28515625" customWidth="1" style="6" min="58" max="59"/>
    <col width="11.28515625" customWidth="1" style="17" min="60" max="60"/>
    <col width="10.7109375" customWidth="1" style="6" min="65" max="65"/>
    <col width="10.7109375" customWidth="1" style="17" min="66" max="66"/>
    <col width="13.5703125" customWidth="1" style="6" min="69" max="69"/>
    <col width="12.7109375" customWidth="1" style="6" min="71" max="71"/>
    <col width="9.140625" customWidth="1" style="19" min="72" max="72"/>
  </cols>
  <sheetData>
    <row r="1">
      <c r="Y1" s="10" t="inlineStr">
        <is>
          <t>Play/Set Booster Box Buy Price</t>
        </is>
      </c>
      <c r="AD1" s="10" t="inlineStr">
        <is>
          <t>Play/Set Booster From Box Buy Price</t>
        </is>
      </c>
    </row>
    <row r="2" ht="87" customFormat="1" customHeight="1" s="1">
      <c r="A2" s="1" t="inlineStr">
        <is>
          <t>Index</t>
        </is>
      </c>
      <c r="B2" s="1" t="inlineStr">
        <is>
          <t>Set Name</t>
        </is>
      </c>
      <c r="C2" s="1" t="inlineStr">
        <is>
          <t>Card Count</t>
        </is>
      </c>
      <c r="D2" s="1" t="inlineStr">
        <is>
          <t>Released On</t>
        </is>
      </c>
      <c r="E2" s="1" t="inlineStr">
        <is>
          <t>Type Name</t>
        </is>
      </c>
      <c r="F2" s="1" t="inlineStr">
        <is>
          <t>Language Codes</t>
        </is>
      </c>
      <c r="G2" s="1" t="inlineStr">
        <is>
          <t>Row number</t>
        </is>
      </c>
      <c r="H2" s="1" t="inlineStr">
        <is>
          <t>Months Since Release</t>
        </is>
      </c>
      <c r="I2" s="1" t="inlineStr">
        <is>
          <t>Set Type Record Index</t>
        </is>
      </c>
      <c r="J2" s="1" t="inlineStr">
        <is>
          <t>Buy Window Month Start</t>
        </is>
      </c>
      <c r="K2" s="1" t="inlineStr">
        <is>
          <t>Buy Window Start</t>
        </is>
      </c>
      <c r="L2" s="1" t="inlineStr">
        <is>
          <t>Buy Window Month End</t>
        </is>
      </c>
      <c r="M2" s="1" t="inlineStr">
        <is>
          <t>Buy Window End</t>
        </is>
      </c>
      <c r="N2" s="1" t="inlineStr">
        <is>
          <t>Buy Now?</t>
        </is>
      </c>
      <c r="O2" s="1" t="inlineStr">
        <is>
          <t>Heavy Printing Window Month Start</t>
        </is>
      </c>
      <c r="P2" s="1" t="inlineStr">
        <is>
          <t>Heavy Printing Window Start</t>
        </is>
      </c>
      <c r="Q2" s="1" t="inlineStr">
        <is>
          <t>Heavy Printing Window Month End</t>
        </is>
      </c>
      <c r="R2" s="1" t="inlineStr">
        <is>
          <t>Heavy Printing Window End</t>
        </is>
      </c>
      <c r="S2" s="1" t="inlineStr">
        <is>
          <t>Heavy Printing Now?</t>
        </is>
      </c>
      <c r="T2" s="1" t="inlineStr">
        <is>
          <t>Sell Window Month Start</t>
        </is>
      </c>
      <c r="U2" s="1" t="inlineStr">
        <is>
          <t>Sell Window Start</t>
        </is>
      </c>
      <c r="V2" s="1" t="inlineStr">
        <is>
          <t>Sell Window Month End</t>
        </is>
      </c>
      <c r="W2" s="1" t="inlineStr">
        <is>
          <t>Sell Window End</t>
        </is>
      </c>
      <c r="X2" s="1" t="inlineStr">
        <is>
          <t>Sell Now?</t>
        </is>
      </c>
      <c r="Y2" s="12" t="inlineStr">
        <is>
          <t>CardMarket PSBBBP</t>
        </is>
      </c>
      <c r="Z2" s="12" t="inlineStr">
        <is>
          <t>Chaos Cards PSBBBP</t>
        </is>
      </c>
      <c r="AA2" s="12" t="inlineStr">
        <is>
          <t xml:space="preserve">Magic Madhouse PSBBBP </t>
        </is>
      </c>
      <c r="AB2" s="12" t="inlineStr">
        <is>
          <t>MuddleIt PSBBBP</t>
        </is>
      </c>
      <c r="AC2" s="12" t="inlineStr">
        <is>
          <t>PlusMarketing PSBBBP</t>
        </is>
      </c>
      <c r="AD2" s="12" t="inlineStr">
        <is>
          <t>CardMarket PSBFBBP</t>
        </is>
      </c>
      <c r="AE2" s="12" t="inlineStr">
        <is>
          <t>Chaos Cards PSBFBBP</t>
        </is>
      </c>
      <c r="AF2" s="12" t="inlineStr">
        <is>
          <t>Magic Madhouse PSBFBBP</t>
        </is>
      </c>
      <c r="AG2" s="12" t="inlineStr">
        <is>
          <t>MuddleIt PSBFBBP</t>
        </is>
      </c>
      <c r="AH2" s="12" t="inlineStr">
        <is>
          <t>PlusMarketing PSBFBBP</t>
        </is>
      </c>
      <c r="AI2" s="13" t="inlineStr">
        <is>
          <t>Play Booster Box Product Id</t>
        </is>
      </c>
      <c r="AJ2" s="13" t="inlineStr">
        <is>
          <t>Play Booster Product Id</t>
        </is>
      </c>
      <c r="AK2" s="13" t="inlineStr">
        <is>
          <t>Collector Booster Box Product Id</t>
        </is>
      </c>
      <c r="AL2" s="13" t="inlineStr">
        <is>
          <t>Collector Booster Product Id</t>
        </is>
      </c>
      <c r="AM2" s="12" t="inlineStr">
        <is>
          <t>Play Booster Box Cost</t>
        </is>
      </c>
      <c r="AN2" s="12" t="inlineStr">
        <is>
          <t>Play Booster Box Source Name</t>
        </is>
      </c>
      <c r="AO2" s="13" t="inlineStr">
        <is>
          <t>Play Booster Box Size</t>
        </is>
      </c>
      <c r="AP2" s="12" t="inlineStr">
        <is>
          <t>Play Booster Cost</t>
        </is>
      </c>
      <c r="AQ2" s="12" t="inlineStr">
        <is>
          <t>Play Booster Sell Price CardMarket</t>
        </is>
      </c>
      <c r="AR2" s="12" t="inlineStr">
        <is>
          <t>Play Booster Sell Price FB Marketplace</t>
        </is>
      </c>
      <c r="AS2" s="1" t="inlineStr">
        <is>
          <t>Play Booster CardMarket Profit</t>
        </is>
      </c>
      <c r="AT2" s="18" t="inlineStr">
        <is>
          <t>Play Booster CardMarket Profit Margin (%)</t>
        </is>
      </c>
      <c r="AU2" s="1" t="inlineStr">
        <is>
          <t>Collector Booster Box Cost</t>
        </is>
      </c>
      <c r="AV2" s="1" t="inlineStr">
        <is>
          <t>Collector Booster Box Source Name</t>
        </is>
      </c>
      <c r="AW2" s="13" t="inlineStr">
        <is>
          <t>Collector Booster Box Size</t>
        </is>
      </c>
      <c r="AX2" s="1" t="inlineStr">
        <is>
          <t>Collector Booster Cost</t>
        </is>
      </c>
      <c r="AY2" s="1" t="inlineStr">
        <is>
          <t>Collector Booster Sell Price CardMarket</t>
        </is>
      </c>
      <c r="AZ2" s="1" t="inlineStr">
        <is>
          <t>Collector Booster Sell Price FB Marketplace</t>
        </is>
      </c>
      <c r="BA2" s="1" t="inlineStr">
        <is>
          <t>Collector Booster CardMarket Profit</t>
        </is>
      </c>
      <c r="BB2" s="18" t="inlineStr">
        <is>
          <t>Collector Booster CardMarket Profit Margin (%)</t>
        </is>
      </c>
      <c r="BC2" s="1" t="inlineStr">
        <is>
          <t>EV MTG Stocks Link</t>
        </is>
      </c>
      <c r="BD2" s="16" t="inlineStr">
        <is>
          <t>Play Booster Expected Market Value</t>
        </is>
      </c>
      <c r="BE2" s="16" t="inlineStr">
        <is>
          <t>Play Boost Sealed Market Value</t>
        </is>
      </c>
      <c r="BF2" s="1" t="inlineStr">
        <is>
          <t>Play Booster Expected Value</t>
        </is>
      </c>
      <c r="BG2" s="1" t="inlineStr">
        <is>
          <t>Play Singles CardMarket Profit</t>
        </is>
      </c>
      <c r="BH2" s="18" t="inlineStr">
        <is>
          <t>Play Singles CardMarket Profit Margin (%)</t>
        </is>
      </c>
      <c r="BI2" s="1" t="inlineStr">
        <is>
          <t>Split Play?</t>
        </is>
      </c>
      <c r="BJ2" s="16" t="inlineStr">
        <is>
          <t>Collector Booster Expected Market Value</t>
        </is>
      </c>
      <c r="BK2" s="16" t="inlineStr">
        <is>
          <t>Collector Boost Sealed Market Value</t>
        </is>
      </c>
      <c r="BL2" s="1" t="inlineStr">
        <is>
          <t>Collector Booster Expected Value</t>
        </is>
      </c>
      <c r="BM2" s="1" t="inlineStr">
        <is>
          <t>Collector Singles CardMarket Profit</t>
        </is>
      </c>
      <c r="BN2" s="18" t="inlineStr">
        <is>
          <t>Collector Singles CardMarket Profit Margin (%)</t>
        </is>
      </c>
      <c r="BO2" s="1" t="inlineStr">
        <is>
          <t>Split Collector?</t>
        </is>
      </c>
      <c r="BP2" s="1" t="inlineStr">
        <is>
          <t>Buy?</t>
        </is>
      </c>
      <c r="BQ2" s="1" t="inlineStr">
        <is>
          <t>Max Profit Option</t>
        </is>
      </c>
      <c r="BR2" s="1" t="inlineStr">
        <is>
          <t>Max Profit</t>
        </is>
      </c>
      <c r="BS2" s="1" t="inlineStr">
        <is>
          <t>Max Profit Margin Option</t>
        </is>
      </c>
      <c r="BT2" s="20" t="inlineStr">
        <is>
          <t>Max Profit Margin (%)</t>
        </is>
      </c>
    </row>
    <row r="3">
      <c r="A3" t="n">
        <v>1</v>
      </c>
      <c r="B3" t="inlineStr">
        <is>
          <t>Marvel Super Heroes MSH</t>
        </is>
      </c>
      <c r="C3" t="n">
        <v>20</v>
      </c>
      <c r="D3" s="3" t="n">
        <v>46199</v>
      </c>
      <c r="E3" t="inlineStr">
        <is>
          <t>Universes Beyond</t>
        </is>
      </c>
      <c r="F3" t="inlineStr">
        <is>
          <t>en es fr de it pt ja ko ru 汉语 漢語</t>
        </is>
      </c>
      <c r="G3" t="n">
        <v>2</v>
      </c>
      <c r="H3">
        <f>MONTH(NOW())+12*YEAR(NOW())-MONTH(tbl_MTG_Set[[#This Row],[Released On]])-12*YEAR(tbl_MTG_Set[[#This Row],[Released On]])</f>
        <v/>
      </c>
      <c r="I3">
        <f>_xlfn.XLOOKUP(tbl_MTG_Set[[#This Row],[Type Name]], tbl_MTG_Set_Type[Set Type], tbl_MTG_Set_Type[Index], "(Set Type not found)")</f>
        <v/>
      </c>
      <c r="J3">
        <f>_xlfn.XLOOKUP(tbl_MTG_Set[[#This Row],[Type Name]], tbl_MTG_Set_Type[Set Type], tbl_MTG_Set_Type[Buy Window Month Start], "(Set Type not found)")</f>
        <v/>
      </c>
      <c r="K3" s="3">
        <f>tbl_MTG_Set[[#This Row],[Released On]]+tbl_MTG_Set[[#This Row],[Buy Window Month Start]]*365.25/12</f>
        <v/>
      </c>
      <c r="L3">
        <f>_xlfn.XLOOKUP(tbl_MTG_Set[[#This Row],[Type Name]], tbl_MTG_Set_Type[Set Type], tbl_MTG_Set_Type[Buy Window Month End], "(Set Type not found)", 0, 1)</f>
        <v/>
      </c>
      <c r="M3" s="3">
        <f>tbl_MTG_Set[[#This Row],[Released On]]+tbl_MTG_Set[[#This Row],[Buy Window Month End]]*365.25/12</f>
        <v/>
      </c>
      <c r="N3" s="3">
        <f>AND(NOW()&gt;=tbl_MTG_Set[[#This Row],[Buy Window Start]], NOW()&lt;=tbl_MTG_Set[[#This Row],[Buy Window End]])</f>
        <v/>
      </c>
      <c r="O3">
        <f>_xlfn.XLOOKUP(tbl_MTG_Set[[#This Row],[Type Name]], tbl_MTG_Set_Type[Set Type], tbl_MTG_Set_Type[Heavy Printing Window Month Start], "(Set Type not found)", 0, 1)</f>
        <v/>
      </c>
      <c r="P3" s="3">
        <f>tbl_MTG_Set[[#This Row],[Released On]]+tbl_MTG_Set[[#This Row],[Heavy Printing Window Month Start]]*365.25/12</f>
        <v/>
      </c>
      <c r="Q3">
        <f>_xlfn.XLOOKUP(tbl_MTG_Set[[#This Row],[Type Name]], tbl_MTG_Set_Type[Set Type], tbl_MTG_Set_Type[Heavy Printing Window Month End], "(Set Type not found)", 0, 1)</f>
        <v/>
      </c>
      <c r="R3" s="3">
        <f>tbl_MTG_Set[[#This Row],[Released On]]+tbl_MTG_Set[[#This Row],[Heavy Printing Window Month End]]*365.25/12</f>
        <v/>
      </c>
      <c r="S3" s="3">
        <f>AND(NOW()&gt;=tbl_MTG_Set[[#This Row],[Heavy Printing Window Start]], NOW()&lt;=tbl_MTG_Set[[#This Row],[Heavy Printing Window End]])</f>
        <v/>
      </c>
      <c r="T3">
        <f>_xlfn.XLOOKUP(tbl_MTG_Set[[#This Row],[Type Name]], tbl_MTG_Set_Type[Set Type], tbl_MTG_Set_Type[Sell Window Month Start], "(Set Type not found)", 0, 1)</f>
        <v/>
      </c>
      <c r="U3" s="3">
        <f>tbl_MTG_Set[[#This Row],[Released On]]+tbl_MTG_Set[[#This Row],[Sell Window Month Start]]*365.25/12</f>
        <v/>
      </c>
      <c r="V3">
        <f>_xlfn.XLOOKUP(tbl_MTG_Set[[#This Row],[Type Name]], tbl_MTG_Set_Type[Set Type], tbl_MTG_Set_Type[Sell Window Month End], "(Set Type not found)", 0, 1)</f>
        <v/>
      </c>
      <c r="W3" s="3">
        <f>tbl_MTG_Set[[#This Row],[Released On]]+tbl_MTG_Set[[#This Row],[Sell Window Month End]]*365.25/12</f>
        <v/>
      </c>
      <c r="X3" s="3">
        <f>AND(NOW()&gt;=tbl_MTG_Set[[#This Row],[Sell Window Start]], NOW()&lt;=tbl_MTG_Set[[#This Row],[Sell Window End]])</f>
        <v/>
      </c>
      <c r="AG3" s="10" t="n"/>
      <c r="AH3" s="10" t="n"/>
      <c r="AM3" s="10">
        <f t="array" ref="AM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" s="10">
        <f t="array" ref="AN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" s="4">
        <f>_xlfn.XLOOKUP(tbl_MTG_Set[[#This Row],[Play Booster Box Product Id]], tbl_Product[Product Id], tbl_Product[Pack Size])</f>
        <v/>
      </c>
      <c r="AP3" s="10">
        <f>(tbl_MTG_Set[[#This Row],[Play Booster Box Cost]]+v_Item_Shipping_Cost_In)/tbl_MTG_Set[[#This Row],[Play Booster Box Size]]</f>
        <v/>
      </c>
      <c r="AQ3" s="10">
        <f t="array" ref="AQ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" s="10" t="n"/>
      <c r="AS3" s="10" t="n"/>
      <c r="AT3" s="17">
        <f>tbl_MTG_Set[[#This Row],[Play Booster CardMarket Profit]]/tbl_MTG_Set[[#This Row],[Play Booster Cost]]</f>
        <v/>
      </c>
      <c r="AU3" s="10">
        <f>_xlfn.XLOOKUP(tbl_MTG_Set[[#This Row],[Collector Booster Box Product Id]], tbl_Product[Product Id], tbl_Product[Min Cost])</f>
        <v/>
      </c>
      <c r="AV3" s="10">
        <f>_xlfn.XLOOKUP(tbl_MTG_Set[[#This Row],[Collector Booster Box Product Id]], tbl_Product[Product Id], tbl_Product[Best Source])</f>
        <v/>
      </c>
      <c r="AW3" s="4">
        <f>_xlfn.XLOOKUP(tbl_MTG_Set[[#This Row],[Collector Booster Box Product Id]], tbl_Product[Product Id], tbl_Product[Pack Size])</f>
        <v/>
      </c>
      <c r="AX3" s="10">
        <f>(tbl_MTG_Set[[#This Row],[Collector Booster Box Cost]] + v_Item_Shipping_Cost_In) / tbl_MTG_Set[[#This Row],[Collector Booster Box Size]]</f>
        <v/>
      </c>
      <c r="AY3" s="10">
        <f t="array" ref="AY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" s="10" t="n"/>
      <c r="BA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" s="17">
        <f>tbl_MTG_Set[[#This Row],[Collector Booster CardMarket Profit]]/tbl_MTG_Set[[#This Row],[Collector Booster Cost]]</f>
        <v/>
      </c>
      <c r="BC3" s="10" t="n"/>
      <c r="BF3" s="10">
        <f>tbl_MTG_Set[[#This Row],[Play Booster Sell Price CardMarket]]*tbl_MTG_Set[[#This Row],[Play Booster Expected Market Value]]/tbl_MTG_Set[[#This Row],[Play Boost Sealed Market Value]]</f>
        <v/>
      </c>
      <c r="BG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" s="10">
        <f>tbl_MTG_Set[[#This Row],[Play Singles CardMarket Profit]]/tbl_MTG_Set[[#This Row],[Play Booster Cost]]</f>
        <v/>
      </c>
      <c r="BI3" s="10">
        <f>tbl_MTG_Set[[#This Row],[Play Singles CardMarket Profit]]&gt;0</f>
        <v/>
      </c>
      <c r="BJ3" s="10" t="n"/>
      <c r="BK3" s="10" t="n"/>
      <c r="BL3" s="10">
        <f>tbl_MTG_Set[[#This Row],[Collector Booster Sell Price CardMarket]]*tbl_MTG_Set[[#This Row],[Collector Booster Expected Market Value]]/tbl_MTG_Set[[#This Row],[Collector Boost Sealed Market Value]]</f>
        <v/>
      </c>
      <c r="BM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" s="10">
        <f>tbl_MTG_Set[[#This Row],[Collector Singles CardMarket Profit]]/tbl_MTG_Set[[#This Row],[Collector Booster Cost]]</f>
        <v/>
      </c>
      <c r="BO3" s="10">
        <f>tbl_MTG_Set[[#This Row],[Collector Singles CardMarket Profit]]&gt;0</f>
        <v/>
      </c>
      <c r="BP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">
      <c r="A4" t="n">
        <v>2</v>
      </c>
      <c r="B4" t="inlineStr">
        <is>
          <t>Marvel Super Heroes Commander MSC</t>
        </is>
      </c>
      <c r="C4" t="n">
        <v>4</v>
      </c>
      <c r="D4" s="3" t="n">
        <v>46199</v>
      </c>
      <c r="E4" t="inlineStr">
        <is>
          <t>Commander</t>
        </is>
      </c>
      <c r="F4" t="inlineStr">
        <is>
          <t>en es fr de it pt ja ko ru 汉语 漢語</t>
        </is>
      </c>
      <c r="G4" t="n">
        <v>3</v>
      </c>
      <c r="H4">
        <f>MONTH(NOW())+12*YEAR(NOW())-MONTH(tbl_MTG_Set[[#This Row],[Released On]])-12*YEAR(tbl_MTG_Set[[#This Row],[Released On]])</f>
        <v/>
      </c>
      <c r="I4">
        <f>_xlfn.XLOOKUP(tbl_MTG_Set[[#This Row],[Type Name]], tbl_MTG_Set_Type[Set Type], tbl_MTG_Set_Type[Index], "(Set Type not found)")</f>
        <v/>
      </c>
      <c r="J4">
        <f>_xlfn.XLOOKUP(tbl_MTG_Set[[#This Row],[Type Name]], tbl_MTG_Set_Type[Set Type], tbl_MTG_Set_Type[Buy Window Month Start], "(Set Type not found)")</f>
        <v/>
      </c>
      <c r="K4" s="3">
        <f>tbl_MTG_Set[[#This Row],[Released On]]+tbl_MTG_Set[[#This Row],[Buy Window Month Start]]*365.25/12</f>
        <v/>
      </c>
      <c r="L4">
        <f>_xlfn.XLOOKUP(tbl_MTG_Set[[#This Row],[Type Name]], tbl_MTG_Set_Type[Set Type], tbl_MTG_Set_Type[Buy Window Month End], "(Set Type not found)", 0, 1)</f>
        <v/>
      </c>
      <c r="M4" s="3">
        <f>tbl_MTG_Set[[#This Row],[Released On]]+tbl_MTG_Set[[#This Row],[Buy Window Month End]]*365.25/12</f>
        <v/>
      </c>
      <c r="N4" s="3">
        <f>AND(NOW()&gt;=tbl_MTG_Set[[#This Row],[Buy Window Start]], NOW()&lt;=tbl_MTG_Set[[#This Row],[Buy Window End]])</f>
        <v/>
      </c>
      <c r="O4">
        <f>_xlfn.XLOOKUP(tbl_MTG_Set[[#This Row],[Type Name]], tbl_MTG_Set_Type[Set Type], tbl_MTG_Set_Type[Heavy Printing Window Month Start], "(Set Type not found)", 0, 1)</f>
        <v/>
      </c>
      <c r="P4" s="3">
        <f>tbl_MTG_Set[[#This Row],[Released On]]+tbl_MTG_Set[[#This Row],[Heavy Printing Window Month Start]]*365.25/12</f>
        <v/>
      </c>
      <c r="Q4">
        <f>_xlfn.XLOOKUP(tbl_MTG_Set[[#This Row],[Type Name]], tbl_MTG_Set_Type[Set Type], tbl_MTG_Set_Type[Heavy Printing Window Month End], "(Set Type not found)", 0, 1)</f>
        <v/>
      </c>
      <c r="R4" s="3">
        <f>tbl_MTG_Set[[#This Row],[Released On]]+tbl_MTG_Set[[#This Row],[Heavy Printing Window Month End]]*365.25/12</f>
        <v/>
      </c>
      <c r="S4" s="3">
        <f>AND(NOW()&gt;=tbl_MTG_Set[[#This Row],[Heavy Printing Window Start]], NOW()&lt;=tbl_MTG_Set[[#This Row],[Heavy Printing Window End]])</f>
        <v/>
      </c>
      <c r="T4">
        <f>_xlfn.XLOOKUP(tbl_MTG_Set[[#This Row],[Type Name]], tbl_MTG_Set_Type[Set Type], tbl_MTG_Set_Type[Sell Window Month Start], "(Set Type not found)", 0, 1)</f>
        <v/>
      </c>
      <c r="U4" s="3">
        <f>tbl_MTG_Set[[#This Row],[Released On]]+tbl_MTG_Set[[#This Row],[Sell Window Month Start]]*365.25/12</f>
        <v/>
      </c>
      <c r="V4">
        <f>_xlfn.XLOOKUP(tbl_MTG_Set[[#This Row],[Type Name]], tbl_MTG_Set_Type[Set Type], tbl_MTG_Set_Type[Sell Window Month End], "(Set Type not found)", 0, 1)</f>
        <v/>
      </c>
      <c r="W4" s="3">
        <f>tbl_MTG_Set[[#This Row],[Released On]]+tbl_MTG_Set[[#This Row],[Sell Window Month End]]*365.25/12</f>
        <v/>
      </c>
      <c r="X4" s="3">
        <f>AND(NOW()&gt;=tbl_MTG_Set[[#This Row],[Sell Window Start]], NOW()&lt;=tbl_MTG_Set[[#This Row],[Sell Window End]])</f>
        <v/>
      </c>
      <c r="AG4" s="10" t="n"/>
      <c r="AH4" s="10" t="n"/>
      <c r="AM4" s="10">
        <f t="array" ref="AM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" s="10">
        <f t="array" ref="AN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" s="4">
        <f>_xlfn.XLOOKUP(tbl_MTG_Set[[#This Row],[Play Booster Box Product Id]], tbl_Product[Product Id], tbl_Product[Pack Size])</f>
        <v/>
      </c>
      <c r="AP4" s="10">
        <f>(tbl_MTG_Set[[#This Row],[Play Booster Box Cost]]+v_Item_Shipping_Cost_In)/tbl_MTG_Set[[#This Row],[Play Booster Box Size]]</f>
        <v/>
      </c>
      <c r="AQ4" s="10">
        <f t="array" ref="AQ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" s="10" t="n"/>
      <c r="AS4" s="10" t="n"/>
      <c r="AT4" s="17">
        <f>tbl_MTG_Set[[#This Row],[Play Booster CardMarket Profit]]/tbl_MTG_Set[[#This Row],[Play Booster Cost]]</f>
        <v/>
      </c>
      <c r="AU4" s="10">
        <f>_xlfn.XLOOKUP(tbl_MTG_Set[[#This Row],[Collector Booster Box Product Id]], tbl_Product[Product Id], tbl_Product[Min Cost])</f>
        <v/>
      </c>
      <c r="AV4" s="10">
        <f>_xlfn.XLOOKUP(tbl_MTG_Set[[#This Row],[Collector Booster Box Product Id]], tbl_Product[Product Id], tbl_Product[Best Source])</f>
        <v/>
      </c>
      <c r="AW4" s="4">
        <f>_xlfn.XLOOKUP(tbl_MTG_Set[[#This Row],[Collector Booster Box Product Id]], tbl_Product[Product Id], tbl_Product[Pack Size])</f>
        <v/>
      </c>
      <c r="AX4" s="10">
        <f>(tbl_MTG_Set[[#This Row],[Collector Booster Box Cost]] + v_Item_Shipping_Cost_In) / tbl_MTG_Set[[#This Row],[Collector Booster Box Size]]</f>
        <v/>
      </c>
      <c r="AY4" s="10">
        <f t="array" ref="AY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" s="10" t="n"/>
      <c r="BA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" s="17">
        <f>tbl_MTG_Set[[#This Row],[Collector Booster CardMarket Profit]]/tbl_MTG_Set[[#This Row],[Collector Booster Cost]]</f>
        <v/>
      </c>
      <c r="BC4" s="10" t="n"/>
      <c r="BF4" s="10">
        <f>tbl_MTG_Set[[#This Row],[Play Booster Sell Price CardMarket]]*tbl_MTG_Set[[#This Row],[Play Booster Expected Market Value]]/tbl_MTG_Set[[#This Row],[Play Boost Sealed Market Value]]</f>
        <v/>
      </c>
      <c r="BG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" s="10">
        <f>tbl_MTG_Set[[#This Row],[Play Singles CardMarket Profit]]/tbl_MTG_Set[[#This Row],[Play Booster Cost]]</f>
        <v/>
      </c>
      <c r="BI4" s="10">
        <f>tbl_MTG_Set[[#This Row],[Play Singles CardMarket Profit]]&gt;0</f>
        <v/>
      </c>
      <c r="BJ4" s="10" t="n"/>
      <c r="BK4" s="10" t="n"/>
      <c r="BL4" s="10">
        <f>tbl_MTG_Set[[#This Row],[Collector Booster Sell Price CardMarket]]*tbl_MTG_Set[[#This Row],[Collector Booster Expected Market Value]]/tbl_MTG_Set[[#This Row],[Collector Boost Sealed Market Value]]</f>
        <v/>
      </c>
      <c r="BM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" s="10">
        <f>tbl_MTG_Set[[#This Row],[Collector Singles CardMarket Profit]]/tbl_MTG_Set[[#This Row],[Collector Booster Cost]]</f>
        <v/>
      </c>
      <c r="BO4" s="10">
        <f>tbl_MTG_Set[[#This Row],[Collector Singles CardMarket Profit]]&gt;0</f>
        <v/>
      </c>
      <c r="BP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">
      <c r="A5" t="n">
        <v>3</v>
      </c>
      <c r="B5" t="inlineStr">
        <is>
          <t>Teenage Mutant Ninja Turtles TMT</t>
        </is>
      </c>
      <c r="C5" t="n">
        <v>20</v>
      </c>
      <c r="D5" s="3" t="n">
        <v>46087</v>
      </c>
      <c r="E5" t="inlineStr">
        <is>
          <t>Universes Beyond</t>
        </is>
      </c>
      <c r="F5" t="inlineStr">
        <is>
          <t>en es fr de it pt ja ko ru 汉语 漢語</t>
        </is>
      </c>
      <c r="G5" t="n">
        <v>4</v>
      </c>
      <c r="H5">
        <f>MONTH(NOW())+12*YEAR(NOW())-MONTH(tbl_MTG_Set[[#This Row],[Released On]])-12*YEAR(tbl_MTG_Set[[#This Row],[Released On]])</f>
        <v/>
      </c>
      <c r="I5">
        <f>_xlfn.XLOOKUP(tbl_MTG_Set[[#This Row],[Type Name]], tbl_MTG_Set_Type[Set Type], tbl_MTG_Set_Type[Index], "(Set Type not found)")</f>
        <v/>
      </c>
      <c r="J5">
        <f>_xlfn.XLOOKUP(tbl_MTG_Set[[#This Row],[Type Name]], tbl_MTG_Set_Type[Set Type], tbl_MTG_Set_Type[Buy Window Month Start], "(Set Type not found)")</f>
        <v/>
      </c>
      <c r="K5" s="3">
        <f>tbl_MTG_Set[[#This Row],[Released On]]+tbl_MTG_Set[[#This Row],[Buy Window Month Start]]*365.25/12</f>
        <v/>
      </c>
      <c r="L5">
        <f>_xlfn.XLOOKUP(tbl_MTG_Set[[#This Row],[Type Name]], tbl_MTG_Set_Type[Set Type], tbl_MTG_Set_Type[Buy Window Month End], "(Set Type not found)", 0, 1)</f>
        <v/>
      </c>
      <c r="M5" s="3">
        <f>tbl_MTG_Set[[#This Row],[Released On]]+tbl_MTG_Set[[#This Row],[Buy Window Month End]]*365.25/12</f>
        <v/>
      </c>
      <c r="N5" s="3">
        <f>AND(NOW()&gt;=tbl_MTG_Set[[#This Row],[Buy Window Start]], NOW()&lt;=tbl_MTG_Set[[#This Row],[Buy Window End]])</f>
        <v/>
      </c>
      <c r="O5">
        <f>_xlfn.XLOOKUP(tbl_MTG_Set[[#This Row],[Type Name]], tbl_MTG_Set_Type[Set Type], tbl_MTG_Set_Type[Heavy Printing Window Month Start], "(Set Type not found)", 0, 1)</f>
        <v/>
      </c>
      <c r="P5" s="3">
        <f>tbl_MTG_Set[[#This Row],[Released On]]+tbl_MTG_Set[[#This Row],[Heavy Printing Window Month Start]]*365.25/12</f>
        <v/>
      </c>
      <c r="Q5">
        <f>_xlfn.XLOOKUP(tbl_MTG_Set[[#This Row],[Type Name]], tbl_MTG_Set_Type[Set Type], tbl_MTG_Set_Type[Heavy Printing Window Month End], "(Set Type not found)", 0, 1)</f>
        <v/>
      </c>
      <c r="R5" s="3">
        <f>tbl_MTG_Set[[#This Row],[Released On]]+tbl_MTG_Set[[#This Row],[Heavy Printing Window Month End]]*365.25/12</f>
        <v/>
      </c>
      <c r="S5" s="3">
        <f>AND(NOW()&gt;=tbl_MTG_Set[[#This Row],[Heavy Printing Window Start]], NOW()&lt;=tbl_MTG_Set[[#This Row],[Heavy Printing Window End]])</f>
        <v/>
      </c>
      <c r="T5">
        <f>_xlfn.XLOOKUP(tbl_MTG_Set[[#This Row],[Type Name]], tbl_MTG_Set_Type[Set Type], tbl_MTG_Set_Type[Sell Window Month Start], "(Set Type not found)", 0, 1)</f>
        <v/>
      </c>
      <c r="U5" s="3">
        <f>tbl_MTG_Set[[#This Row],[Released On]]+tbl_MTG_Set[[#This Row],[Sell Window Month Start]]*365.25/12</f>
        <v/>
      </c>
      <c r="V5">
        <f>_xlfn.XLOOKUP(tbl_MTG_Set[[#This Row],[Type Name]], tbl_MTG_Set_Type[Set Type], tbl_MTG_Set_Type[Sell Window Month End], "(Set Type not found)", 0, 1)</f>
        <v/>
      </c>
      <c r="W5" s="3">
        <f>tbl_MTG_Set[[#This Row],[Released On]]+tbl_MTG_Set[[#This Row],[Sell Window Month End]]*365.25/12</f>
        <v/>
      </c>
      <c r="X5" s="3">
        <f>AND(NOW()&gt;=tbl_MTG_Set[[#This Row],[Sell Window Start]], NOW()&lt;=tbl_MTG_Set[[#This Row],[Sell Window End]])</f>
        <v/>
      </c>
      <c r="AB5" s="10" t="n">
        <v>123</v>
      </c>
      <c r="AG5" s="10" t="n"/>
      <c r="AH5" s="10" t="n"/>
      <c r="AM5" s="10">
        <f t="array" ref="AM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" s="10">
        <f t="array" ref="AN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" s="4">
        <f>_xlfn.XLOOKUP(tbl_MTG_Set[[#This Row],[Play Booster Box Product Id]], tbl_Product[Product Id], tbl_Product[Pack Size])</f>
        <v/>
      </c>
      <c r="AP5" s="10">
        <f>(tbl_MTG_Set[[#This Row],[Play Booster Box Cost]]+v_Item_Shipping_Cost_In)/tbl_MTG_Set[[#This Row],[Play Booster Box Size]]</f>
        <v/>
      </c>
      <c r="AQ5" s="10">
        <f t="array" ref="AQ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" s="10" t="n"/>
      <c r="AS5" s="10" t="n"/>
      <c r="AT5" s="17">
        <f>tbl_MTG_Set[[#This Row],[Play Booster CardMarket Profit]]/tbl_MTG_Set[[#This Row],[Play Booster Cost]]</f>
        <v/>
      </c>
      <c r="AU5" s="10">
        <f>_xlfn.XLOOKUP(tbl_MTG_Set[[#This Row],[Collector Booster Box Product Id]], tbl_Product[Product Id], tbl_Product[Min Cost])</f>
        <v/>
      </c>
      <c r="AV5" s="10">
        <f>_xlfn.XLOOKUP(tbl_MTG_Set[[#This Row],[Collector Booster Box Product Id]], tbl_Product[Product Id], tbl_Product[Best Source])</f>
        <v/>
      </c>
      <c r="AW5" s="4">
        <f>_xlfn.XLOOKUP(tbl_MTG_Set[[#This Row],[Collector Booster Box Product Id]], tbl_Product[Product Id], tbl_Product[Pack Size])</f>
        <v/>
      </c>
      <c r="AX5" s="10">
        <f>(tbl_MTG_Set[[#This Row],[Collector Booster Box Cost]] + v_Item_Shipping_Cost_In) / tbl_MTG_Set[[#This Row],[Collector Booster Box Size]]</f>
        <v/>
      </c>
      <c r="AY5" s="10">
        <f t="array" ref="AY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" s="10" t="n"/>
      <c r="BA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" s="17">
        <f>tbl_MTG_Set[[#This Row],[Collector Booster CardMarket Profit]]/tbl_MTG_Set[[#This Row],[Collector Booster Cost]]</f>
        <v/>
      </c>
      <c r="BC5" s="10" t="n"/>
      <c r="BF5" s="10">
        <f>tbl_MTG_Set[[#This Row],[Play Booster Sell Price CardMarket]]*tbl_MTG_Set[[#This Row],[Play Booster Expected Market Value]]/tbl_MTG_Set[[#This Row],[Play Boost Sealed Market Value]]</f>
        <v/>
      </c>
      <c r="BG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" s="10">
        <f>tbl_MTG_Set[[#This Row],[Play Singles CardMarket Profit]]/tbl_MTG_Set[[#This Row],[Play Booster Cost]]</f>
        <v/>
      </c>
      <c r="BI5" s="10">
        <f>tbl_MTG_Set[[#This Row],[Play Singles CardMarket Profit]]&gt;0</f>
        <v/>
      </c>
      <c r="BJ5" s="10" t="n"/>
      <c r="BK5" s="10" t="n"/>
      <c r="BL5" s="10">
        <f>tbl_MTG_Set[[#This Row],[Collector Booster Sell Price CardMarket]]*tbl_MTG_Set[[#This Row],[Collector Booster Expected Market Value]]/tbl_MTG_Set[[#This Row],[Collector Boost Sealed Market Value]]</f>
        <v/>
      </c>
      <c r="BM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" s="10">
        <f>tbl_MTG_Set[[#This Row],[Collector Singles CardMarket Profit]]/tbl_MTG_Set[[#This Row],[Collector Booster Cost]]</f>
        <v/>
      </c>
      <c r="BO5" s="10">
        <f>tbl_MTG_Set[[#This Row],[Collector Singles CardMarket Profit]]&gt;0</f>
        <v/>
      </c>
      <c r="BP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">
      <c r="A6" t="n">
        <v>4</v>
      </c>
      <c r="B6" t="inlineStr">
        <is>
          <t>Teenage Mutant Ninja Turtles Source Material PZA</t>
        </is>
      </c>
      <c r="C6" t="n">
        <v>1</v>
      </c>
      <c r="D6" s="3" t="n">
        <v>46087</v>
      </c>
      <c r="E6" t="inlineStr">
        <is>
          <t>Universes Beyond</t>
        </is>
      </c>
      <c r="F6" t="inlineStr">
        <is>
          <t>en es fr de it pt ja ko ru 汉语 漢語</t>
        </is>
      </c>
      <c r="G6" t="n">
        <v>5</v>
      </c>
      <c r="H6">
        <f>MONTH(NOW())+12*YEAR(NOW())-MONTH(tbl_MTG_Set[[#This Row],[Released On]])-12*YEAR(tbl_MTG_Set[[#This Row],[Released On]])</f>
        <v/>
      </c>
      <c r="I6">
        <f>_xlfn.XLOOKUP(tbl_MTG_Set[[#This Row],[Type Name]], tbl_MTG_Set_Type[Set Type], tbl_MTG_Set_Type[Index], "(Set Type not found)")</f>
        <v/>
      </c>
      <c r="J6">
        <f>_xlfn.XLOOKUP(tbl_MTG_Set[[#This Row],[Type Name]], tbl_MTG_Set_Type[Set Type], tbl_MTG_Set_Type[Buy Window Month Start], "(Set Type not found)")</f>
        <v/>
      </c>
      <c r="K6" s="3">
        <f>tbl_MTG_Set[[#This Row],[Released On]]+tbl_MTG_Set[[#This Row],[Buy Window Month Start]]*365.25/12</f>
        <v/>
      </c>
      <c r="L6">
        <f>_xlfn.XLOOKUP(tbl_MTG_Set[[#This Row],[Type Name]], tbl_MTG_Set_Type[Set Type], tbl_MTG_Set_Type[Buy Window Month End], "(Set Type not found)", 0, 1)</f>
        <v/>
      </c>
      <c r="M6" s="3">
        <f>tbl_MTG_Set[[#This Row],[Released On]]+tbl_MTG_Set[[#This Row],[Buy Window Month End]]*365.25/12</f>
        <v/>
      </c>
      <c r="N6" s="3">
        <f>AND(NOW()&gt;=tbl_MTG_Set[[#This Row],[Buy Window Start]], NOW()&lt;=tbl_MTG_Set[[#This Row],[Buy Window End]])</f>
        <v/>
      </c>
      <c r="O6">
        <f>_xlfn.XLOOKUP(tbl_MTG_Set[[#This Row],[Type Name]], tbl_MTG_Set_Type[Set Type], tbl_MTG_Set_Type[Heavy Printing Window Month Start], "(Set Type not found)", 0, 1)</f>
        <v/>
      </c>
      <c r="P6" s="3">
        <f>tbl_MTG_Set[[#This Row],[Released On]]+tbl_MTG_Set[[#This Row],[Heavy Printing Window Month Start]]*365.25/12</f>
        <v/>
      </c>
      <c r="Q6">
        <f>_xlfn.XLOOKUP(tbl_MTG_Set[[#This Row],[Type Name]], tbl_MTG_Set_Type[Set Type], tbl_MTG_Set_Type[Heavy Printing Window Month End], "(Set Type not found)", 0, 1)</f>
        <v/>
      </c>
      <c r="R6" s="3">
        <f>tbl_MTG_Set[[#This Row],[Released On]]+tbl_MTG_Set[[#This Row],[Heavy Printing Window Month End]]*365.25/12</f>
        <v/>
      </c>
      <c r="S6" s="3">
        <f>AND(NOW()&gt;=tbl_MTG_Set[[#This Row],[Heavy Printing Window Start]], NOW()&lt;=tbl_MTG_Set[[#This Row],[Heavy Printing Window End]])</f>
        <v/>
      </c>
      <c r="T6">
        <f>_xlfn.XLOOKUP(tbl_MTG_Set[[#This Row],[Type Name]], tbl_MTG_Set_Type[Set Type], tbl_MTG_Set_Type[Sell Window Month Start], "(Set Type not found)", 0, 1)</f>
        <v/>
      </c>
      <c r="U6" s="3">
        <f>tbl_MTG_Set[[#This Row],[Released On]]+tbl_MTG_Set[[#This Row],[Sell Window Month Start]]*365.25/12</f>
        <v/>
      </c>
      <c r="V6">
        <f>_xlfn.XLOOKUP(tbl_MTG_Set[[#This Row],[Type Name]], tbl_MTG_Set_Type[Set Type], tbl_MTG_Set_Type[Sell Window Month End], "(Set Type not found)", 0, 1)</f>
        <v/>
      </c>
      <c r="W6" s="3">
        <f>tbl_MTG_Set[[#This Row],[Released On]]+tbl_MTG_Set[[#This Row],[Sell Window Month End]]*365.25/12</f>
        <v/>
      </c>
      <c r="X6" s="3">
        <f>AND(NOW()&gt;=tbl_MTG_Set[[#This Row],[Sell Window Start]], NOW()&lt;=tbl_MTG_Set[[#This Row],[Sell Window End]])</f>
        <v/>
      </c>
      <c r="AG6" s="10" t="n"/>
      <c r="AH6" s="10" t="n"/>
      <c r="AM6" s="10">
        <f t="array" ref="AM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" s="10">
        <f t="array" ref="AN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" s="4">
        <f>_xlfn.XLOOKUP(tbl_MTG_Set[[#This Row],[Play Booster Box Product Id]], tbl_Product[Product Id], tbl_Product[Pack Size])</f>
        <v/>
      </c>
      <c r="AP6" s="10">
        <f>(tbl_MTG_Set[[#This Row],[Play Booster Box Cost]]+v_Item_Shipping_Cost_In)/tbl_MTG_Set[[#This Row],[Play Booster Box Size]]</f>
        <v/>
      </c>
      <c r="AQ6" s="10">
        <f t="array" ref="AQ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" s="10" t="n"/>
      <c r="AS6" s="10" t="n"/>
      <c r="AT6" s="17">
        <f>tbl_MTG_Set[[#This Row],[Play Booster CardMarket Profit]]/tbl_MTG_Set[[#This Row],[Play Booster Cost]]</f>
        <v/>
      </c>
      <c r="AU6" s="10">
        <f>_xlfn.XLOOKUP(tbl_MTG_Set[[#This Row],[Collector Booster Box Product Id]], tbl_Product[Product Id], tbl_Product[Min Cost])</f>
        <v/>
      </c>
      <c r="AV6" s="10">
        <f>_xlfn.XLOOKUP(tbl_MTG_Set[[#This Row],[Collector Booster Box Product Id]], tbl_Product[Product Id], tbl_Product[Best Source])</f>
        <v/>
      </c>
      <c r="AW6" s="4">
        <f>_xlfn.XLOOKUP(tbl_MTG_Set[[#This Row],[Collector Booster Box Product Id]], tbl_Product[Product Id], tbl_Product[Pack Size])</f>
        <v/>
      </c>
      <c r="AX6" s="10">
        <f>(tbl_MTG_Set[[#This Row],[Collector Booster Box Cost]] + v_Item_Shipping_Cost_In) / tbl_MTG_Set[[#This Row],[Collector Booster Box Size]]</f>
        <v/>
      </c>
      <c r="AY6" s="10">
        <f t="array" ref="AY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" s="10" t="n"/>
      <c r="BA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" s="17">
        <f>tbl_MTG_Set[[#This Row],[Collector Booster CardMarket Profit]]/tbl_MTG_Set[[#This Row],[Collector Booster Cost]]</f>
        <v/>
      </c>
      <c r="BC6" s="10" t="n"/>
      <c r="BF6" s="10">
        <f>tbl_MTG_Set[[#This Row],[Play Booster Sell Price CardMarket]]*tbl_MTG_Set[[#This Row],[Play Booster Expected Market Value]]/tbl_MTG_Set[[#This Row],[Play Boost Sealed Market Value]]</f>
        <v/>
      </c>
      <c r="BG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" s="10">
        <f>tbl_MTG_Set[[#This Row],[Play Singles CardMarket Profit]]/tbl_MTG_Set[[#This Row],[Play Booster Cost]]</f>
        <v/>
      </c>
      <c r="BI6" s="10">
        <f>tbl_MTG_Set[[#This Row],[Play Singles CardMarket Profit]]&gt;0</f>
        <v/>
      </c>
      <c r="BJ6" s="10" t="n"/>
      <c r="BK6" s="10" t="n"/>
      <c r="BL6" s="10">
        <f>tbl_MTG_Set[[#This Row],[Collector Booster Sell Price CardMarket]]*tbl_MTG_Set[[#This Row],[Collector Booster Expected Market Value]]/tbl_MTG_Set[[#This Row],[Collector Boost Sealed Market Value]]</f>
        <v/>
      </c>
      <c r="BM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" s="10">
        <f>tbl_MTG_Set[[#This Row],[Collector Singles CardMarket Profit]]/tbl_MTG_Set[[#This Row],[Collector Booster Cost]]</f>
        <v/>
      </c>
      <c r="BO6" s="10">
        <f>tbl_MTG_Set[[#This Row],[Collector Singles CardMarket Profit]]&gt;0</f>
        <v/>
      </c>
      <c r="BP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">
      <c r="A7" t="n">
        <v>5</v>
      </c>
      <c r="B7" t="inlineStr">
        <is>
          <t>Teenage Mutant Ninja Turtles Tokens TTMT</t>
        </is>
      </c>
      <c r="C7" t="n">
        <v>1</v>
      </c>
      <c r="D7" s="3" t="n">
        <v>46087</v>
      </c>
      <c r="E7" t="inlineStr">
        <is>
          <t>Universes Beyond</t>
        </is>
      </c>
      <c r="F7" t="inlineStr">
        <is>
          <t>en es fr de it pt ja ko ru 汉语 漢語</t>
        </is>
      </c>
      <c r="G7" t="n">
        <v>6</v>
      </c>
      <c r="H7">
        <f>MONTH(NOW())+12*YEAR(NOW())-MONTH(tbl_MTG_Set[[#This Row],[Released On]])-12*YEAR(tbl_MTG_Set[[#This Row],[Released On]])</f>
        <v/>
      </c>
      <c r="I7">
        <f>_xlfn.XLOOKUP(tbl_MTG_Set[[#This Row],[Type Name]], tbl_MTG_Set_Type[Set Type], tbl_MTG_Set_Type[Index], "(Set Type not found)")</f>
        <v/>
      </c>
      <c r="J7">
        <f>_xlfn.XLOOKUP(tbl_MTG_Set[[#This Row],[Type Name]], tbl_MTG_Set_Type[Set Type], tbl_MTG_Set_Type[Buy Window Month Start], "(Set Type not found)")</f>
        <v/>
      </c>
      <c r="K7" s="3">
        <f>tbl_MTG_Set[[#This Row],[Released On]]+tbl_MTG_Set[[#This Row],[Buy Window Month Start]]*365.25/12</f>
        <v/>
      </c>
      <c r="L7">
        <f>_xlfn.XLOOKUP(tbl_MTG_Set[[#This Row],[Type Name]], tbl_MTG_Set_Type[Set Type], tbl_MTG_Set_Type[Buy Window Month End], "(Set Type not found)", 0, 1)</f>
        <v/>
      </c>
      <c r="M7" s="3">
        <f>tbl_MTG_Set[[#This Row],[Released On]]+tbl_MTG_Set[[#This Row],[Buy Window Month End]]*365.25/12</f>
        <v/>
      </c>
      <c r="N7" s="3">
        <f>AND(NOW()&gt;=tbl_MTG_Set[[#This Row],[Buy Window Start]], NOW()&lt;=tbl_MTG_Set[[#This Row],[Buy Window End]])</f>
        <v/>
      </c>
      <c r="O7">
        <f>_xlfn.XLOOKUP(tbl_MTG_Set[[#This Row],[Type Name]], tbl_MTG_Set_Type[Set Type], tbl_MTG_Set_Type[Heavy Printing Window Month Start], "(Set Type not found)", 0, 1)</f>
        <v/>
      </c>
      <c r="P7" s="3">
        <f>tbl_MTG_Set[[#This Row],[Released On]]+tbl_MTG_Set[[#This Row],[Heavy Printing Window Month Start]]*365.25/12</f>
        <v/>
      </c>
      <c r="Q7">
        <f>_xlfn.XLOOKUP(tbl_MTG_Set[[#This Row],[Type Name]], tbl_MTG_Set_Type[Set Type], tbl_MTG_Set_Type[Heavy Printing Window Month End], "(Set Type not found)", 0, 1)</f>
        <v/>
      </c>
      <c r="R7" s="3">
        <f>tbl_MTG_Set[[#This Row],[Released On]]+tbl_MTG_Set[[#This Row],[Heavy Printing Window Month End]]*365.25/12</f>
        <v/>
      </c>
      <c r="S7" s="3">
        <f>AND(NOW()&gt;=tbl_MTG_Set[[#This Row],[Heavy Printing Window Start]], NOW()&lt;=tbl_MTG_Set[[#This Row],[Heavy Printing Window End]])</f>
        <v/>
      </c>
      <c r="T7">
        <f>_xlfn.XLOOKUP(tbl_MTG_Set[[#This Row],[Type Name]], tbl_MTG_Set_Type[Set Type], tbl_MTG_Set_Type[Sell Window Month Start], "(Set Type not found)", 0, 1)</f>
        <v/>
      </c>
      <c r="U7" s="3">
        <f>tbl_MTG_Set[[#This Row],[Released On]]+tbl_MTG_Set[[#This Row],[Sell Window Month Start]]*365.25/12</f>
        <v/>
      </c>
      <c r="V7">
        <f>_xlfn.XLOOKUP(tbl_MTG_Set[[#This Row],[Type Name]], tbl_MTG_Set_Type[Set Type], tbl_MTG_Set_Type[Sell Window Month End], "(Set Type not found)", 0, 1)</f>
        <v/>
      </c>
      <c r="W7" s="3">
        <f>tbl_MTG_Set[[#This Row],[Released On]]+tbl_MTG_Set[[#This Row],[Sell Window Month End]]*365.25/12</f>
        <v/>
      </c>
      <c r="X7" s="3">
        <f>AND(NOW()&gt;=tbl_MTG_Set[[#This Row],[Sell Window Start]], NOW()&lt;=tbl_MTG_Set[[#This Row],[Sell Window End]])</f>
        <v/>
      </c>
      <c r="AG7" s="10" t="n"/>
      <c r="AH7" s="10" t="n"/>
      <c r="AM7" s="10">
        <f t="array" ref="AM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" s="10">
        <f t="array" ref="AN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" s="4">
        <f>_xlfn.XLOOKUP(tbl_MTG_Set[[#This Row],[Play Booster Box Product Id]], tbl_Product[Product Id], tbl_Product[Pack Size])</f>
        <v/>
      </c>
      <c r="AP7" s="10">
        <f>(tbl_MTG_Set[[#This Row],[Play Booster Box Cost]]+v_Item_Shipping_Cost_In)/tbl_MTG_Set[[#This Row],[Play Booster Box Size]]</f>
        <v/>
      </c>
      <c r="AQ7" s="10">
        <f t="array" ref="AQ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" s="10" t="n"/>
      <c r="AS7" s="10" t="n"/>
      <c r="AT7" s="17">
        <f>tbl_MTG_Set[[#This Row],[Play Booster CardMarket Profit]]/tbl_MTG_Set[[#This Row],[Play Booster Cost]]</f>
        <v/>
      </c>
      <c r="AU7" s="10">
        <f>_xlfn.XLOOKUP(tbl_MTG_Set[[#This Row],[Collector Booster Box Product Id]], tbl_Product[Product Id], tbl_Product[Min Cost])</f>
        <v/>
      </c>
      <c r="AV7" s="10">
        <f>_xlfn.XLOOKUP(tbl_MTG_Set[[#This Row],[Collector Booster Box Product Id]], tbl_Product[Product Id], tbl_Product[Best Source])</f>
        <v/>
      </c>
      <c r="AW7" s="4">
        <f>_xlfn.XLOOKUP(tbl_MTG_Set[[#This Row],[Collector Booster Box Product Id]], tbl_Product[Product Id], tbl_Product[Pack Size])</f>
        <v/>
      </c>
      <c r="AX7" s="10">
        <f>(tbl_MTG_Set[[#This Row],[Collector Booster Box Cost]] + v_Item_Shipping_Cost_In) / tbl_MTG_Set[[#This Row],[Collector Booster Box Size]]</f>
        <v/>
      </c>
      <c r="AY7" s="10">
        <f t="array" ref="AY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" s="10" t="n"/>
      <c r="BA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" s="17">
        <f>tbl_MTG_Set[[#This Row],[Collector Booster CardMarket Profit]]/tbl_MTG_Set[[#This Row],[Collector Booster Cost]]</f>
        <v/>
      </c>
      <c r="BC7" s="10" t="n"/>
      <c r="BF7" s="10">
        <f>tbl_MTG_Set[[#This Row],[Play Booster Sell Price CardMarket]]*tbl_MTG_Set[[#This Row],[Play Booster Expected Market Value]]/tbl_MTG_Set[[#This Row],[Play Boost Sealed Market Value]]</f>
        <v/>
      </c>
      <c r="BG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" s="10">
        <f>tbl_MTG_Set[[#This Row],[Play Singles CardMarket Profit]]/tbl_MTG_Set[[#This Row],[Play Booster Cost]]</f>
        <v/>
      </c>
      <c r="BI7" s="10">
        <f>tbl_MTG_Set[[#This Row],[Play Singles CardMarket Profit]]&gt;0</f>
        <v/>
      </c>
      <c r="BJ7" s="10" t="n"/>
      <c r="BK7" s="10" t="n"/>
      <c r="BL7" s="10">
        <f>tbl_MTG_Set[[#This Row],[Collector Booster Sell Price CardMarket]]*tbl_MTG_Set[[#This Row],[Collector Booster Expected Market Value]]/tbl_MTG_Set[[#This Row],[Collector Boost Sealed Market Value]]</f>
        <v/>
      </c>
      <c r="BM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" s="10">
        <f>tbl_MTG_Set[[#This Row],[Collector Singles CardMarket Profit]]/tbl_MTG_Set[[#This Row],[Collector Booster Cost]]</f>
        <v/>
      </c>
      <c r="BO7" s="10">
        <f>tbl_MTG_Set[[#This Row],[Collector Singles CardMarket Profit]]&gt;0</f>
        <v/>
      </c>
      <c r="BP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">
      <c r="A8" t="n">
        <v>6</v>
      </c>
      <c r="B8" t="inlineStr">
        <is>
          <t>Teenage Mutant Ninja Turtles Eternal TMC</t>
        </is>
      </c>
      <c r="C8" t="n">
        <v>12</v>
      </c>
      <c r="D8" s="3" t="n">
        <v>46087</v>
      </c>
      <c r="E8" t="inlineStr">
        <is>
          <t>Universes Beyond</t>
        </is>
      </c>
      <c r="F8" t="inlineStr">
        <is>
          <t>en es fr de it pt ja ko ru 汉语 漢語</t>
        </is>
      </c>
      <c r="G8" t="n">
        <v>7</v>
      </c>
      <c r="H8">
        <f>MONTH(NOW())+12*YEAR(NOW())-MONTH(tbl_MTG_Set[[#This Row],[Released On]])-12*YEAR(tbl_MTG_Set[[#This Row],[Released On]])</f>
        <v/>
      </c>
      <c r="I8">
        <f>_xlfn.XLOOKUP(tbl_MTG_Set[[#This Row],[Type Name]], tbl_MTG_Set_Type[Set Type], tbl_MTG_Set_Type[Index], "(Set Type not found)")</f>
        <v/>
      </c>
      <c r="J8">
        <f>_xlfn.XLOOKUP(tbl_MTG_Set[[#This Row],[Type Name]], tbl_MTG_Set_Type[Set Type], tbl_MTG_Set_Type[Buy Window Month Start], "(Set Type not found)")</f>
        <v/>
      </c>
      <c r="K8" s="3">
        <f>tbl_MTG_Set[[#This Row],[Released On]]+tbl_MTG_Set[[#This Row],[Buy Window Month Start]]*365.25/12</f>
        <v/>
      </c>
      <c r="L8">
        <f>_xlfn.XLOOKUP(tbl_MTG_Set[[#This Row],[Type Name]], tbl_MTG_Set_Type[Set Type], tbl_MTG_Set_Type[Buy Window Month End], "(Set Type not found)", 0, 1)</f>
        <v/>
      </c>
      <c r="M8" s="3">
        <f>tbl_MTG_Set[[#This Row],[Released On]]+tbl_MTG_Set[[#This Row],[Buy Window Month End]]*365.25/12</f>
        <v/>
      </c>
      <c r="N8" s="3">
        <f>AND(NOW()&gt;=tbl_MTG_Set[[#This Row],[Buy Window Start]], NOW()&lt;=tbl_MTG_Set[[#This Row],[Buy Window End]])</f>
        <v/>
      </c>
      <c r="O8">
        <f>_xlfn.XLOOKUP(tbl_MTG_Set[[#This Row],[Type Name]], tbl_MTG_Set_Type[Set Type], tbl_MTG_Set_Type[Heavy Printing Window Month Start], "(Set Type not found)", 0, 1)</f>
        <v/>
      </c>
      <c r="P8" s="3">
        <f>tbl_MTG_Set[[#This Row],[Released On]]+tbl_MTG_Set[[#This Row],[Heavy Printing Window Month Start]]*365.25/12</f>
        <v/>
      </c>
      <c r="Q8">
        <f>_xlfn.XLOOKUP(tbl_MTG_Set[[#This Row],[Type Name]], tbl_MTG_Set_Type[Set Type], tbl_MTG_Set_Type[Heavy Printing Window Month End], "(Set Type not found)", 0, 1)</f>
        <v/>
      </c>
      <c r="R8" s="3">
        <f>tbl_MTG_Set[[#This Row],[Released On]]+tbl_MTG_Set[[#This Row],[Heavy Printing Window Month End]]*365.25/12</f>
        <v/>
      </c>
      <c r="S8" s="3">
        <f>AND(NOW()&gt;=tbl_MTG_Set[[#This Row],[Heavy Printing Window Start]], NOW()&lt;=tbl_MTG_Set[[#This Row],[Heavy Printing Window End]])</f>
        <v/>
      </c>
      <c r="T8">
        <f>_xlfn.XLOOKUP(tbl_MTG_Set[[#This Row],[Type Name]], tbl_MTG_Set_Type[Set Type], tbl_MTG_Set_Type[Sell Window Month Start], "(Set Type not found)", 0, 1)</f>
        <v/>
      </c>
      <c r="U8" s="3">
        <f>tbl_MTG_Set[[#This Row],[Released On]]+tbl_MTG_Set[[#This Row],[Sell Window Month Start]]*365.25/12</f>
        <v/>
      </c>
      <c r="V8">
        <f>_xlfn.XLOOKUP(tbl_MTG_Set[[#This Row],[Type Name]], tbl_MTG_Set_Type[Set Type], tbl_MTG_Set_Type[Sell Window Month End], "(Set Type not found)", 0, 1)</f>
        <v/>
      </c>
      <c r="W8" s="3">
        <f>tbl_MTG_Set[[#This Row],[Released On]]+tbl_MTG_Set[[#This Row],[Sell Window Month End]]*365.25/12</f>
        <v/>
      </c>
      <c r="X8" s="3">
        <f>AND(NOW()&gt;=tbl_MTG_Set[[#This Row],[Sell Window Start]], NOW()&lt;=tbl_MTG_Set[[#This Row],[Sell Window End]])</f>
        <v/>
      </c>
      <c r="AG8" s="10" t="n"/>
      <c r="AH8" s="10" t="n"/>
      <c r="AM8" s="10">
        <f t="array" ref="AM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" s="10">
        <f t="array" ref="AN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" s="4">
        <f>_xlfn.XLOOKUP(tbl_MTG_Set[[#This Row],[Play Booster Box Product Id]], tbl_Product[Product Id], tbl_Product[Pack Size])</f>
        <v/>
      </c>
      <c r="AP8" s="10">
        <f>(tbl_MTG_Set[[#This Row],[Play Booster Box Cost]]+v_Item_Shipping_Cost_In)/tbl_MTG_Set[[#This Row],[Play Booster Box Size]]</f>
        <v/>
      </c>
      <c r="AQ8" s="10">
        <f t="array" ref="AQ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" s="10" t="n"/>
      <c r="AS8" s="10" t="n"/>
      <c r="AT8" s="17">
        <f>tbl_MTG_Set[[#This Row],[Play Booster CardMarket Profit]]/tbl_MTG_Set[[#This Row],[Play Booster Cost]]</f>
        <v/>
      </c>
      <c r="AU8" s="10">
        <f>_xlfn.XLOOKUP(tbl_MTG_Set[[#This Row],[Collector Booster Box Product Id]], tbl_Product[Product Id], tbl_Product[Min Cost])</f>
        <v/>
      </c>
      <c r="AV8" s="10">
        <f>_xlfn.XLOOKUP(tbl_MTG_Set[[#This Row],[Collector Booster Box Product Id]], tbl_Product[Product Id], tbl_Product[Best Source])</f>
        <v/>
      </c>
      <c r="AW8" s="4">
        <f>_xlfn.XLOOKUP(tbl_MTG_Set[[#This Row],[Collector Booster Box Product Id]], tbl_Product[Product Id], tbl_Product[Pack Size])</f>
        <v/>
      </c>
      <c r="AX8" s="10">
        <f>(tbl_MTG_Set[[#This Row],[Collector Booster Box Cost]] + v_Item_Shipping_Cost_In) / tbl_MTG_Set[[#This Row],[Collector Booster Box Size]]</f>
        <v/>
      </c>
      <c r="AY8" s="10">
        <f t="array" ref="AY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" s="10" t="n"/>
      <c r="BA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" s="17">
        <f>tbl_MTG_Set[[#This Row],[Collector Booster CardMarket Profit]]/tbl_MTG_Set[[#This Row],[Collector Booster Cost]]</f>
        <v/>
      </c>
      <c r="BC8" s="10" t="n"/>
      <c r="BF8" s="10">
        <f>tbl_MTG_Set[[#This Row],[Play Booster Sell Price CardMarket]]*tbl_MTG_Set[[#This Row],[Play Booster Expected Market Value]]/tbl_MTG_Set[[#This Row],[Play Boost Sealed Market Value]]</f>
        <v/>
      </c>
      <c r="BG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" s="10">
        <f>tbl_MTG_Set[[#This Row],[Play Singles CardMarket Profit]]/tbl_MTG_Set[[#This Row],[Play Booster Cost]]</f>
        <v/>
      </c>
      <c r="BI8" s="10">
        <f>tbl_MTG_Set[[#This Row],[Play Singles CardMarket Profit]]&gt;0</f>
        <v/>
      </c>
      <c r="BJ8" s="10" t="n"/>
      <c r="BK8" s="10" t="n"/>
      <c r="BL8" s="10">
        <f>tbl_MTG_Set[[#This Row],[Collector Booster Sell Price CardMarket]]*tbl_MTG_Set[[#This Row],[Collector Booster Expected Market Value]]/tbl_MTG_Set[[#This Row],[Collector Boost Sealed Market Value]]</f>
        <v/>
      </c>
      <c r="BM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" s="10">
        <f>tbl_MTG_Set[[#This Row],[Collector Singles CardMarket Profit]]/tbl_MTG_Set[[#This Row],[Collector Booster Cost]]</f>
        <v/>
      </c>
      <c r="BO8" s="10">
        <f>tbl_MTG_Set[[#This Row],[Collector Singles CardMarket Profit]]&gt;0</f>
        <v/>
      </c>
      <c r="BP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">
      <c r="A9" t="n">
        <v>7</v>
      </c>
      <c r="B9" t="inlineStr">
        <is>
          <t>Teenage Mutant Ninja Turtles Eternal Tokens TTMC</t>
        </is>
      </c>
      <c r="C9" t="n">
        <v>4</v>
      </c>
      <c r="D9" s="3" t="n">
        <v>46087</v>
      </c>
      <c r="E9" t="inlineStr">
        <is>
          <t>Universes Beyond</t>
        </is>
      </c>
      <c r="F9" t="inlineStr">
        <is>
          <t>en es fr de it pt ja ko ru 汉语 漢語</t>
        </is>
      </c>
      <c r="G9" t="n">
        <v>8</v>
      </c>
      <c r="H9">
        <f>MONTH(NOW())+12*YEAR(NOW())-MONTH(tbl_MTG_Set[[#This Row],[Released On]])-12*YEAR(tbl_MTG_Set[[#This Row],[Released On]])</f>
        <v/>
      </c>
      <c r="I9">
        <f>_xlfn.XLOOKUP(tbl_MTG_Set[[#This Row],[Type Name]], tbl_MTG_Set_Type[Set Type], tbl_MTG_Set_Type[Index], "(Set Type not found)")</f>
        <v/>
      </c>
      <c r="J9">
        <f>_xlfn.XLOOKUP(tbl_MTG_Set[[#This Row],[Type Name]], tbl_MTG_Set_Type[Set Type], tbl_MTG_Set_Type[Buy Window Month Start], "(Set Type not found)")</f>
        <v/>
      </c>
      <c r="K9" s="3">
        <f>tbl_MTG_Set[[#This Row],[Released On]]+tbl_MTG_Set[[#This Row],[Buy Window Month Start]]*365.25/12</f>
        <v/>
      </c>
      <c r="L9">
        <f>_xlfn.XLOOKUP(tbl_MTG_Set[[#This Row],[Type Name]], tbl_MTG_Set_Type[Set Type], tbl_MTG_Set_Type[Buy Window Month End], "(Set Type not found)", 0, 1)</f>
        <v/>
      </c>
      <c r="M9" s="3">
        <f>tbl_MTG_Set[[#This Row],[Released On]]+tbl_MTG_Set[[#This Row],[Buy Window Month End]]*365.25/12</f>
        <v/>
      </c>
      <c r="N9" s="3">
        <f>AND(NOW()&gt;=tbl_MTG_Set[[#This Row],[Buy Window Start]], NOW()&lt;=tbl_MTG_Set[[#This Row],[Buy Window End]])</f>
        <v/>
      </c>
      <c r="O9">
        <f>_xlfn.XLOOKUP(tbl_MTG_Set[[#This Row],[Type Name]], tbl_MTG_Set_Type[Set Type], tbl_MTG_Set_Type[Heavy Printing Window Month Start], "(Set Type not found)", 0, 1)</f>
        <v/>
      </c>
      <c r="P9" s="3">
        <f>tbl_MTG_Set[[#This Row],[Released On]]+tbl_MTG_Set[[#This Row],[Heavy Printing Window Month Start]]*365.25/12</f>
        <v/>
      </c>
      <c r="Q9">
        <f>_xlfn.XLOOKUP(tbl_MTG_Set[[#This Row],[Type Name]], tbl_MTG_Set_Type[Set Type], tbl_MTG_Set_Type[Heavy Printing Window Month End], "(Set Type not found)", 0, 1)</f>
        <v/>
      </c>
      <c r="R9" s="3">
        <f>tbl_MTG_Set[[#This Row],[Released On]]+tbl_MTG_Set[[#This Row],[Heavy Printing Window Month End]]*365.25/12</f>
        <v/>
      </c>
      <c r="S9" s="3">
        <f>AND(NOW()&gt;=tbl_MTG_Set[[#This Row],[Heavy Printing Window Start]], NOW()&lt;=tbl_MTG_Set[[#This Row],[Heavy Printing Window End]])</f>
        <v/>
      </c>
      <c r="T9">
        <f>_xlfn.XLOOKUP(tbl_MTG_Set[[#This Row],[Type Name]], tbl_MTG_Set_Type[Set Type], tbl_MTG_Set_Type[Sell Window Month Start], "(Set Type not found)", 0, 1)</f>
        <v/>
      </c>
      <c r="U9" s="3">
        <f>tbl_MTG_Set[[#This Row],[Released On]]+tbl_MTG_Set[[#This Row],[Sell Window Month Start]]*365.25/12</f>
        <v/>
      </c>
      <c r="V9">
        <f>_xlfn.XLOOKUP(tbl_MTG_Set[[#This Row],[Type Name]], tbl_MTG_Set_Type[Set Type], tbl_MTG_Set_Type[Sell Window Month End], "(Set Type not found)", 0, 1)</f>
        <v/>
      </c>
      <c r="W9" s="3">
        <f>tbl_MTG_Set[[#This Row],[Released On]]+tbl_MTG_Set[[#This Row],[Sell Window Month End]]*365.25/12</f>
        <v/>
      </c>
      <c r="X9" s="3">
        <f>AND(NOW()&gt;=tbl_MTG_Set[[#This Row],[Sell Window Start]], NOW()&lt;=tbl_MTG_Set[[#This Row],[Sell Window End]])</f>
        <v/>
      </c>
      <c r="AG9" s="10" t="n"/>
      <c r="AH9" s="10" t="n"/>
      <c r="AM9" s="10">
        <f t="array" ref="AM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" s="10">
        <f t="array" ref="AN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" s="4">
        <f>_xlfn.XLOOKUP(tbl_MTG_Set[[#This Row],[Play Booster Box Product Id]], tbl_Product[Product Id], tbl_Product[Pack Size])</f>
        <v/>
      </c>
      <c r="AP9" s="10">
        <f>(tbl_MTG_Set[[#This Row],[Play Booster Box Cost]]+v_Item_Shipping_Cost_In)/tbl_MTG_Set[[#This Row],[Play Booster Box Size]]</f>
        <v/>
      </c>
      <c r="AQ9" s="10">
        <f t="array" ref="AQ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" s="10" t="n"/>
      <c r="AS9" s="10" t="n"/>
      <c r="AT9" s="17">
        <f>tbl_MTG_Set[[#This Row],[Play Booster CardMarket Profit]]/tbl_MTG_Set[[#This Row],[Play Booster Cost]]</f>
        <v/>
      </c>
      <c r="AU9" s="10">
        <f>_xlfn.XLOOKUP(tbl_MTG_Set[[#This Row],[Collector Booster Box Product Id]], tbl_Product[Product Id], tbl_Product[Min Cost])</f>
        <v/>
      </c>
      <c r="AV9" s="10">
        <f>_xlfn.XLOOKUP(tbl_MTG_Set[[#This Row],[Collector Booster Box Product Id]], tbl_Product[Product Id], tbl_Product[Best Source])</f>
        <v/>
      </c>
      <c r="AW9" s="4">
        <f>_xlfn.XLOOKUP(tbl_MTG_Set[[#This Row],[Collector Booster Box Product Id]], tbl_Product[Product Id], tbl_Product[Pack Size])</f>
        <v/>
      </c>
      <c r="AX9" s="10">
        <f>(tbl_MTG_Set[[#This Row],[Collector Booster Box Cost]] + v_Item_Shipping_Cost_In) / tbl_MTG_Set[[#This Row],[Collector Booster Box Size]]</f>
        <v/>
      </c>
      <c r="AY9" s="10">
        <f t="array" ref="AY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" s="10" t="n"/>
      <c r="BA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" s="17">
        <f>tbl_MTG_Set[[#This Row],[Collector Booster CardMarket Profit]]/tbl_MTG_Set[[#This Row],[Collector Booster Cost]]</f>
        <v/>
      </c>
      <c r="BC9" s="10" t="n"/>
      <c r="BF9" s="10">
        <f>tbl_MTG_Set[[#This Row],[Play Booster Sell Price CardMarket]]*tbl_MTG_Set[[#This Row],[Play Booster Expected Market Value]]/tbl_MTG_Set[[#This Row],[Play Boost Sealed Market Value]]</f>
        <v/>
      </c>
      <c r="BG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" s="10">
        <f>tbl_MTG_Set[[#This Row],[Play Singles CardMarket Profit]]/tbl_MTG_Set[[#This Row],[Play Booster Cost]]</f>
        <v/>
      </c>
      <c r="BI9" s="10">
        <f>tbl_MTG_Set[[#This Row],[Play Singles CardMarket Profit]]&gt;0</f>
        <v/>
      </c>
      <c r="BJ9" s="10" t="n"/>
      <c r="BK9" s="10" t="n"/>
      <c r="BL9" s="10">
        <f>tbl_MTG_Set[[#This Row],[Collector Booster Sell Price CardMarket]]*tbl_MTG_Set[[#This Row],[Collector Booster Expected Market Value]]/tbl_MTG_Set[[#This Row],[Collector Boost Sealed Market Value]]</f>
        <v/>
      </c>
      <c r="BM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" s="10">
        <f>tbl_MTG_Set[[#This Row],[Collector Singles CardMarket Profit]]/tbl_MTG_Set[[#This Row],[Collector Booster Cost]]</f>
        <v/>
      </c>
      <c r="BO9" s="10">
        <f>tbl_MTG_Set[[#This Row],[Collector Singles CardMarket Profit]]&gt;0</f>
        <v/>
      </c>
      <c r="BP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">
      <c r="A10" t="n">
        <v>8</v>
      </c>
      <c r="B10" t="inlineStr">
        <is>
          <t>Lorwyn Eclipsed ECL</t>
        </is>
      </c>
      <c r="C10" t="n">
        <v>33</v>
      </c>
      <c r="D10" s="3" t="n">
        <v>46045</v>
      </c>
      <c r="E10" t="inlineStr">
        <is>
          <t>Micro-sets</t>
        </is>
      </c>
      <c r="F10" t="inlineStr">
        <is>
          <t>en es fr de it pt ja ko ru 汉语 漢語</t>
        </is>
      </c>
      <c r="G10" t="n">
        <v>9</v>
      </c>
      <c r="H10">
        <f>MONTH(NOW())+12*YEAR(NOW())-MONTH(tbl_MTG_Set[[#This Row],[Released On]])-12*YEAR(tbl_MTG_Set[[#This Row],[Released On]])</f>
        <v/>
      </c>
      <c r="I10">
        <f>_xlfn.XLOOKUP(tbl_MTG_Set[[#This Row],[Type Name]], tbl_MTG_Set_Type[Set Type], tbl_MTG_Set_Type[Index], "(Set Type not found)")</f>
        <v/>
      </c>
      <c r="J10">
        <f>_xlfn.XLOOKUP(tbl_MTG_Set[[#This Row],[Type Name]], tbl_MTG_Set_Type[Set Type], tbl_MTG_Set_Type[Buy Window Month Start], "(Set Type not found)")</f>
        <v/>
      </c>
      <c r="K10" s="3">
        <f>tbl_MTG_Set[[#This Row],[Released On]]+tbl_MTG_Set[[#This Row],[Buy Window Month Start]]*365.25/12</f>
        <v/>
      </c>
      <c r="L10">
        <f>_xlfn.XLOOKUP(tbl_MTG_Set[[#This Row],[Type Name]], tbl_MTG_Set_Type[Set Type], tbl_MTG_Set_Type[Buy Window Month End], "(Set Type not found)", 0, 1)</f>
        <v/>
      </c>
      <c r="M10" s="3">
        <f>tbl_MTG_Set[[#This Row],[Released On]]+tbl_MTG_Set[[#This Row],[Buy Window Month End]]*365.25/12</f>
        <v/>
      </c>
      <c r="N10" s="3">
        <f>AND(NOW()&gt;=tbl_MTG_Set[[#This Row],[Buy Window Start]], NOW()&lt;=tbl_MTG_Set[[#This Row],[Buy Window End]])</f>
        <v/>
      </c>
      <c r="O10">
        <f>_xlfn.XLOOKUP(tbl_MTG_Set[[#This Row],[Type Name]], tbl_MTG_Set_Type[Set Type], tbl_MTG_Set_Type[Heavy Printing Window Month Start], "(Set Type not found)", 0, 1)</f>
        <v/>
      </c>
      <c r="P10" s="3">
        <f>tbl_MTG_Set[[#This Row],[Released On]]+tbl_MTG_Set[[#This Row],[Heavy Printing Window Month Start]]*365.25/12</f>
        <v/>
      </c>
      <c r="Q10">
        <f>_xlfn.XLOOKUP(tbl_MTG_Set[[#This Row],[Type Name]], tbl_MTG_Set_Type[Set Type], tbl_MTG_Set_Type[Heavy Printing Window Month End], "(Set Type not found)", 0, 1)</f>
        <v/>
      </c>
      <c r="R10" s="3">
        <f>tbl_MTG_Set[[#This Row],[Released On]]+tbl_MTG_Set[[#This Row],[Heavy Printing Window Month End]]*365.25/12</f>
        <v/>
      </c>
      <c r="S10" s="3">
        <f>AND(NOW()&gt;=tbl_MTG_Set[[#This Row],[Heavy Printing Window Start]], NOW()&lt;=tbl_MTG_Set[[#This Row],[Heavy Printing Window End]])</f>
        <v/>
      </c>
      <c r="T10">
        <f>_xlfn.XLOOKUP(tbl_MTG_Set[[#This Row],[Type Name]], tbl_MTG_Set_Type[Set Type], tbl_MTG_Set_Type[Sell Window Month Start], "(Set Type not found)", 0, 1)</f>
        <v/>
      </c>
      <c r="U10" s="3">
        <f>tbl_MTG_Set[[#This Row],[Released On]]+tbl_MTG_Set[[#This Row],[Sell Window Month Start]]*365.25/12</f>
        <v/>
      </c>
      <c r="V10">
        <f>_xlfn.XLOOKUP(tbl_MTG_Set[[#This Row],[Type Name]], tbl_MTG_Set_Type[Set Type], tbl_MTG_Set_Type[Sell Window Month End], "(Set Type not found)", 0, 1)</f>
        <v/>
      </c>
      <c r="W10" s="3">
        <f>tbl_MTG_Set[[#This Row],[Released On]]+tbl_MTG_Set[[#This Row],[Sell Window Month End]]*365.25/12</f>
        <v/>
      </c>
      <c r="X10" s="3">
        <f>AND(NOW()&gt;=tbl_MTG_Set[[#This Row],[Sell Window Start]], NOW()&lt;=tbl_MTG_Set[[#This Row],[Sell Window End]])</f>
        <v/>
      </c>
      <c r="Y10" s="10" t="n">
        <v>128</v>
      </c>
      <c r="Z10" s="10" t="n">
        <v>120</v>
      </c>
      <c r="AB10" s="10" t="n">
        <v>97</v>
      </c>
      <c r="AD10" s="10">
        <f>(Y10+96/20)/30</f>
        <v/>
      </c>
      <c r="AE10" s="10">
        <f>(Z10+96/20)/30</f>
        <v/>
      </c>
      <c r="AF10" s="10">
        <f>(AA10+96/20)/30</f>
        <v/>
      </c>
      <c r="AG10" s="10">
        <f>(AB10+96/20)/30</f>
        <v/>
      </c>
      <c r="AH10" s="10">
        <f>(AC10+96/20)/30</f>
        <v/>
      </c>
      <c r="AI10" s="4" t="n">
        <v>49</v>
      </c>
      <c r="AJ10" s="4" t="n">
        <v>4</v>
      </c>
      <c r="AK10" s="4" t="n">
        <v>114</v>
      </c>
      <c r="AL10" s="4" t="n">
        <v>113</v>
      </c>
      <c r="AM10" s="10">
        <f t="array" ref="AM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" s="10">
        <f t="array" ref="AN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" s="4">
        <f>_xlfn.XLOOKUP(tbl_MTG_Set[[#This Row],[Play Booster Box Product Id]], tbl_Product[Product Id], tbl_Product[Pack Size])</f>
        <v/>
      </c>
      <c r="AP10" s="10">
        <f>(tbl_MTG_Set[[#This Row],[Play Booster Box Cost]]+v_Item_Shipping_Cost_In)/tbl_MTG_Set[[#This Row],[Play Booster Box Size]]</f>
        <v/>
      </c>
      <c r="AQ10" s="10">
        <f t="array" ref="AQ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" s="10" t="n">
        <v>7</v>
      </c>
      <c r="AS1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" s="17">
        <f>tbl_MTG_Set[[#This Row],[Play Booster CardMarket Profit]]/tbl_MTG_Set[[#This Row],[Play Booster Cost]]</f>
        <v/>
      </c>
      <c r="AU10" s="10">
        <f>_xlfn.XLOOKUP(tbl_MTG_Set[[#This Row],[Collector Booster Box Product Id]], tbl_Product[Product Id], tbl_Product[Min Cost])</f>
        <v/>
      </c>
      <c r="AV10" s="10">
        <f>_xlfn.XLOOKUP(tbl_MTG_Set[[#This Row],[Collector Booster Box Product Id]], tbl_Product[Product Id], tbl_Product[Best Source])</f>
        <v/>
      </c>
      <c r="AW10" s="4">
        <f>_xlfn.XLOOKUP(tbl_MTG_Set[[#This Row],[Collector Booster Box Product Id]], tbl_Product[Product Id], tbl_Product[Pack Size])</f>
        <v/>
      </c>
      <c r="AX10" s="10">
        <f>(tbl_MTG_Set[[#This Row],[Collector Booster Box Cost]] + v_Item_Shipping_Cost_In) / tbl_MTG_Set[[#This Row],[Collector Booster Box Size]]</f>
        <v/>
      </c>
      <c r="AY10" s="10">
        <f t="array" ref="AY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" s="10" t="n"/>
      <c r="BA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" s="17">
        <f>tbl_MTG_Set[[#This Row],[Collector Booster CardMarket Profit]]/tbl_MTG_Set[[#This Row],[Collector Booster Cost]]</f>
        <v/>
      </c>
      <c r="BC10" s="10" t="n"/>
      <c r="BF10" s="10">
        <f>tbl_MTG_Set[[#This Row],[Play Booster Sell Price CardMarket]]*tbl_MTG_Set[[#This Row],[Play Booster Expected Market Value]]/tbl_MTG_Set[[#This Row],[Play Boost Sealed Market Value]]</f>
        <v/>
      </c>
      <c r="BG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" s="17">
        <f>tbl_MTG_Set[[#This Row],[Play Singles CardMarket Profit]]/tbl_MTG_Set[[#This Row],[Play Booster Cost]]</f>
        <v/>
      </c>
      <c r="BI10" s="10">
        <f>tbl_MTG_Set[[#This Row],[Play Singles CardMarket Profit]]&gt;0</f>
        <v/>
      </c>
      <c r="BJ10" s="10" t="n"/>
      <c r="BK10" s="10" t="n"/>
      <c r="BL10" s="10">
        <f>tbl_MTG_Set[[#This Row],[Collector Booster Sell Price CardMarket]]*tbl_MTG_Set[[#This Row],[Collector Booster Expected Market Value]]/tbl_MTG_Set[[#This Row],[Collector Boost Sealed Market Value]]</f>
        <v/>
      </c>
      <c r="BM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" s="17">
        <f>tbl_MTG_Set[[#This Row],[Collector Singles CardMarket Profit]]/tbl_MTG_Set[[#This Row],[Collector Booster Cost]]</f>
        <v/>
      </c>
      <c r="BO10" s="10">
        <f>tbl_MTG_Set[[#This Row],[Collector Singles CardMarket Profit]]&gt;0</f>
        <v/>
      </c>
      <c r="BP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">
      <c r="A11" t="n">
        <v>9</v>
      </c>
      <c r="B11" t="inlineStr">
        <is>
          <t>MagicFest 2026 PF26</t>
        </is>
      </c>
      <c r="C11" t="n">
        <v>1</v>
      </c>
      <c r="D11" s="3" t="n">
        <v>46023</v>
      </c>
      <c r="F11" t="inlineStr">
        <is>
          <t>en es fr de it pt ja ko ru 汉语 漢語</t>
        </is>
      </c>
      <c r="G11" t="n">
        <v>10</v>
      </c>
      <c r="H11">
        <f>MONTH(NOW())+12*YEAR(NOW())-MONTH(tbl_MTG_Set[[#This Row],[Released On]])-12*YEAR(tbl_MTG_Set[[#This Row],[Released On]])</f>
        <v/>
      </c>
      <c r="I11">
        <f>_xlfn.XLOOKUP(tbl_MTG_Set[[#This Row],[Type Name]], tbl_MTG_Set_Type[Set Type], tbl_MTG_Set_Type[Index], "(Set Type not found)")</f>
        <v/>
      </c>
      <c r="J11">
        <f>_xlfn.XLOOKUP(tbl_MTG_Set[[#This Row],[Type Name]], tbl_MTG_Set_Type[Set Type], tbl_MTG_Set_Type[Buy Window Month Start], "(Set Type not found)")</f>
        <v/>
      </c>
      <c r="K11" s="3">
        <f>tbl_MTG_Set[[#This Row],[Released On]]+tbl_MTG_Set[[#This Row],[Buy Window Month Start]]*365.25/12</f>
        <v/>
      </c>
      <c r="L11">
        <f>_xlfn.XLOOKUP(tbl_MTG_Set[[#This Row],[Type Name]], tbl_MTG_Set_Type[Set Type], tbl_MTG_Set_Type[Buy Window Month End], "(Set Type not found)", 0, 1)</f>
        <v/>
      </c>
      <c r="M11" s="3">
        <f>tbl_MTG_Set[[#This Row],[Released On]]+tbl_MTG_Set[[#This Row],[Buy Window Month End]]*365.25/12</f>
        <v/>
      </c>
      <c r="N11" s="3">
        <f>AND(NOW()&gt;=tbl_MTG_Set[[#This Row],[Buy Window Start]], NOW()&lt;=tbl_MTG_Set[[#This Row],[Buy Window End]])</f>
        <v/>
      </c>
      <c r="O11">
        <f>_xlfn.XLOOKUP(tbl_MTG_Set[[#This Row],[Type Name]], tbl_MTG_Set_Type[Set Type], tbl_MTG_Set_Type[Heavy Printing Window Month Start], "(Set Type not found)", 0, 1)</f>
        <v/>
      </c>
      <c r="P11" s="3">
        <f>tbl_MTG_Set[[#This Row],[Released On]]+tbl_MTG_Set[[#This Row],[Heavy Printing Window Month Start]]*365.25/12</f>
        <v/>
      </c>
      <c r="Q11">
        <f>_xlfn.XLOOKUP(tbl_MTG_Set[[#This Row],[Type Name]], tbl_MTG_Set_Type[Set Type], tbl_MTG_Set_Type[Heavy Printing Window Month End], "(Set Type not found)", 0, 1)</f>
        <v/>
      </c>
      <c r="R11" s="3">
        <f>tbl_MTG_Set[[#This Row],[Released On]]+tbl_MTG_Set[[#This Row],[Heavy Printing Window Month End]]*365.25/12</f>
        <v/>
      </c>
      <c r="S11" s="3">
        <f>AND(NOW()&gt;=tbl_MTG_Set[[#This Row],[Heavy Printing Window Start]], NOW()&lt;=tbl_MTG_Set[[#This Row],[Heavy Printing Window End]])</f>
        <v/>
      </c>
      <c r="T11">
        <f>_xlfn.XLOOKUP(tbl_MTG_Set[[#This Row],[Type Name]], tbl_MTG_Set_Type[Set Type], tbl_MTG_Set_Type[Sell Window Month Start], "(Set Type not found)", 0, 1)</f>
        <v/>
      </c>
      <c r="U11" s="3">
        <f>tbl_MTG_Set[[#This Row],[Released On]]+tbl_MTG_Set[[#This Row],[Sell Window Month Start]]*365.25/12</f>
        <v/>
      </c>
      <c r="V11">
        <f>_xlfn.XLOOKUP(tbl_MTG_Set[[#This Row],[Type Name]], tbl_MTG_Set_Type[Set Type], tbl_MTG_Set_Type[Sell Window Month End], "(Set Type not found)", 0, 1)</f>
        <v/>
      </c>
      <c r="W11" s="3">
        <f>tbl_MTG_Set[[#This Row],[Released On]]+tbl_MTG_Set[[#This Row],[Sell Window Month End]]*365.25/12</f>
        <v/>
      </c>
      <c r="X11" s="3">
        <f>AND(NOW()&gt;=tbl_MTG_Set[[#This Row],[Sell Window Start]], NOW()&lt;=tbl_MTG_Set[[#This Row],[Sell Window End]])</f>
        <v/>
      </c>
      <c r="AG11" s="10" t="n"/>
      <c r="AH11" s="10" t="n"/>
      <c r="AM11" s="10">
        <f t="array" ref="AM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" s="10">
        <f t="array" ref="AN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" s="4">
        <f>_xlfn.XLOOKUP(tbl_MTG_Set[[#This Row],[Play Booster Box Product Id]], tbl_Product[Product Id], tbl_Product[Pack Size])</f>
        <v/>
      </c>
      <c r="AP11" s="10">
        <f>(tbl_MTG_Set[[#This Row],[Play Booster Box Cost]]+v_Item_Shipping_Cost_In)/tbl_MTG_Set[[#This Row],[Play Booster Box Size]]</f>
        <v/>
      </c>
      <c r="AQ11" s="10">
        <f t="array" ref="AQ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" s="10" t="n"/>
      <c r="AS11" s="10" t="n"/>
      <c r="AT11" s="17">
        <f>tbl_MTG_Set[[#This Row],[Play Booster CardMarket Profit]]/tbl_MTG_Set[[#This Row],[Play Booster Cost]]</f>
        <v/>
      </c>
      <c r="AU11" s="10">
        <f>_xlfn.XLOOKUP(tbl_MTG_Set[[#This Row],[Collector Booster Box Product Id]], tbl_Product[Product Id], tbl_Product[Min Cost])</f>
        <v/>
      </c>
      <c r="AV11" s="10">
        <f>_xlfn.XLOOKUP(tbl_MTG_Set[[#This Row],[Collector Booster Box Product Id]], tbl_Product[Product Id], tbl_Product[Best Source])</f>
        <v/>
      </c>
      <c r="AW11" s="4">
        <f>_xlfn.XLOOKUP(tbl_MTG_Set[[#This Row],[Collector Booster Box Product Id]], tbl_Product[Product Id], tbl_Product[Pack Size])</f>
        <v/>
      </c>
      <c r="AX11" s="10">
        <f>(tbl_MTG_Set[[#This Row],[Collector Booster Box Cost]] + v_Item_Shipping_Cost_In) / tbl_MTG_Set[[#This Row],[Collector Booster Box Size]]</f>
        <v/>
      </c>
      <c r="AY11" s="10">
        <f t="array" ref="AY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" s="10" t="n"/>
      <c r="BA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" s="17">
        <f>tbl_MTG_Set[[#This Row],[Collector Booster CardMarket Profit]]/tbl_MTG_Set[[#This Row],[Collector Booster Cost]]</f>
        <v/>
      </c>
      <c r="BC11" s="10" t="n"/>
      <c r="BF11" s="10">
        <f>tbl_MTG_Set[[#This Row],[Play Booster Sell Price CardMarket]]*tbl_MTG_Set[[#This Row],[Play Booster Expected Market Value]]/tbl_MTG_Set[[#This Row],[Play Boost Sealed Market Value]]</f>
        <v/>
      </c>
      <c r="BG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" s="10">
        <f>tbl_MTG_Set[[#This Row],[Play Singles CardMarket Profit]]/tbl_MTG_Set[[#This Row],[Play Booster Cost]]</f>
        <v/>
      </c>
      <c r="BI11" s="10">
        <f>tbl_MTG_Set[[#This Row],[Play Singles CardMarket Profit]]&gt;0</f>
        <v/>
      </c>
      <c r="BJ11" s="10" t="n"/>
      <c r="BK11" s="10" t="n"/>
      <c r="BL11" s="10">
        <f>tbl_MTG_Set[[#This Row],[Collector Booster Sell Price CardMarket]]*tbl_MTG_Set[[#This Row],[Collector Booster Expected Market Value]]/tbl_MTG_Set[[#This Row],[Collector Boost Sealed Market Value]]</f>
        <v/>
      </c>
      <c r="BM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" s="10">
        <f>tbl_MTG_Set[[#This Row],[Collector Singles CardMarket Profit]]/tbl_MTG_Set[[#This Row],[Collector Booster Cost]]</f>
        <v/>
      </c>
      <c r="BO11" s="10">
        <f>tbl_MTG_Set[[#This Row],[Collector Singles CardMarket Profit]]&gt;0</f>
        <v/>
      </c>
      <c r="BP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">
      <c r="A12" t="n">
        <v>10</v>
      </c>
      <c r="B12" t="inlineStr">
        <is>
          <t>Avatar: The Last Airbender TLA</t>
        </is>
      </c>
      <c r="C12" t="n">
        <v>394</v>
      </c>
      <c r="D12" s="3" t="n">
        <v>45982</v>
      </c>
      <c r="E12" t="inlineStr">
        <is>
          <t>Universes Beyond</t>
        </is>
      </c>
      <c r="F12" t="inlineStr">
        <is>
          <t>en es fr de it pt ja ko ru 汉语 漢語</t>
        </is>
      </c>
      <c r="G12" t="n">
        <v>11</v>
      </c>
      <c r="H12">
        <f>MONTH(NOW())+12*YEAR(NOW())-MONTH(tbl_MTG_Set[[#This Row],[Released On]])-12*YEAR(tbl_MTG_Set[[#This Row],[Released On]])</f>
        <v/>
      </c>
      <c r="I12">
        <f>_xlfn.XLOOKUP(tbl_MTG_Set[[#This Row],[Type Name]], tbl_MTG_Set_Type[Set Type], tbl_MTG_Set_Type[Index], "(Set Type not found)")</f>
        <v/>
      </c>
      <c r="J12">
        <f>_xlfn.XLOOKUP(tbl_MTG_Set[[#This Row],[Type Name]], tbl_MTG_Set_Type[Set Type], tbl_MTG_Set_Type[Buy Window Month Start], "(Set Type not found)")</f>
        <v/>
      </c>
      <c r="K12" s="3">
        <f>tbl_MTG_Set[[#This Row],[Released On]]+tbl_MTG_Set[[#This Row],[Buy Window Month Start]]*365.25/12</f>
        <v/>
      </c>
      <c r="L12">
        <f>_xlfn.XLOOKUP(tbl_MTG_Set[[#This Row],[Type Name]], tbl_MTG_Set_Type[Set Type], tbl_MTG_Set_Type[Buy Window Month End], "(Set Type not found)", 0, 1)</f>
        <v/>
      </c>
      <c r="M12" s="3">
        <f>tbl_MTG_Set[[#This Row],[Released On]]+tbl_MTG_Set[[#This Row],[Buy Window Month End]]*365.25/12</f>
        <v/>
      </c>
      <c r="N12" s="3">
        <f>AND(NOW()&gt;=tbl_MTG_Set[[#This Row],[Buy Window Start]], NOW()&lt;=tbl_MTG_Set[[#This Row],[Buy Window End]])</f>
        <v/>
      </c>
      <c r="O12">
        <f>_xlfn.XLOOKUP(tbl_MTG_Set[[#This Row],[Type Name]], tbl_MTG_Set_Type[Set Type], tbl_MTG_Set_Type[Heavy Printing Window Month Start], "(Set Type not found)", 0, 1)</f>
        <v/>
      </c>
      <c r="P12" s="3">
        <f>tbl_MTG_Set[[#This Row],[Released On]]+tbl_MTG_Set[[#This Row],[Heavy Printing Window Month Start]]*365.25/12</f>
        <v/>
      </c>
      <c r="Q12">
        <f>_xlfn.XLOOKUP(tbl_MTG_Set[[#This Row],[Type Name]], tbl_MTG_Set_Type[Set Type], tbl_MTG_Set_Type[Heavy Printing Window Month End], "(Set Type not found)", 0, 1)</f>
        <v/>
      </c>
      <c r="R12" s="3">
        <f>tbl_MTG_Set[[#This Row],[Released On]]+tbl_MTG_Set[[#This Row],[Heavy Printing Window Month End]]*365.25/12</f>
        <v/>
      </c>
      <c r="S12" s="3">
        <f>AND(NOW()&gt;=tbl_MTG_Set[[#This Row],[Heavy Printing Window Start]], NOW()&lt;=tbl_MTG_Set[[#This Row],[Heavy Printing Window End]])</f>
        <v/>
      </c>
      <c r="T12">
        <f>_xlfn.XLOOKUP(tbl_MTG_Set[[#This Row],[Type Name]], tbl_MTG_Set_Type[Set Type], tbl_MTG_Set_Type[Sell Window Month Start], "(Set Type not found)", 0, 1)</f>
        <v/>
      </c>
      <c r="U12" s="3">
        <f>tbl_MTG_Set[[#This Row],[Released On]]+tbl_MTG_Set[[#This Row],[Sell Window Month Start]]*365.25/12</f>
        <v/>
      </c>
      <c r="V12">
        <f>_xlfn.XLOOKUP(tbl_MTG_Set[[#This Row],[Type Name]], tbl_MTG_Set_Type[Set Type], tbl_MTG_Set_Type[Sell Window Month End], "(Set Type not found)", 0, 1)</f>
        <v/>
      </c>
      <c r="W12" s="3">
        <f>tbl_MTG_Set[[#This Row],[Released On]]+tbl_MTG_Set[[#This Row],[Sell Window Month End]]*365.25/12</f>
        <v/>
      </c>
      <c r="X12" s="3">
        <f>AND(NOW()&gt;=tbl_MTG_Set[[#This Row],[Sell Window Start]], NOW()&lt;=tbl_MTG_Set[[#This Row],[Sell Window End]])</f>
        <v/>
      </c>
      <c r="Y12" s="10">
        <f>4.2*20+8</f>
        <v/>
      </c>
      <c r="Z12" s="10" t="n">
        <v>145</v>
      </c>
      <c r="AC12" s="10" t="n">
        <v>141</v>
      </c>
      <c r="AD12" s="10">
        <f>(Y12+96/20)/30</f>
        <v/>
      </c>
      <c r="AE12" s="10">
        <f>(Z12+96/20)/30</f>
        <v/>
      </c>
      <c r="AG12" s="10" t="n"/>
      <c r="AH12" s="10" t="n"/>
      <c r="AI12" s="4" t="n">
        <v>57</v>
      </c>
      <c r="AJ12" s="4" t="n">
        <v>12</v>
      </c>
      <c r="AK12" s="4" t="n">
        <v>88</v>
      </c>
      <c r="AL12" s="4" t="n">
        <v>87</v>
      </c>
      <c r="AM12" s="10">
        <f t="array" ref="AM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" s="10">
        <f t="array" ref="AN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" s="4">
        <f>_xlfn.XLOOKUP(tbl_MTG_Set[[#This Row],[Play Booster Box Product Id]], tbl_Product[Product Id], tbl_Product[Pack Size])</f>
        <v/>
      </c>
      <c r="AP12" s="10">
        <f>(tbl_MTG_Set[[#This Row],[Play Booster Box Cost]]+v_Item_Shipping_Cost_In)/tbl_MTG_Set[[#This Row],[Play Booster Box Size]]</f>
        <v/>
      </c>
      <c r="AQ12" s="10">
        <f t="array" ref="AQ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" s="10" t="n">
        <v>7</v>
      </c>
      <c r="AS1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2" s="17">
        <f>tbl_MTG_Set[[#This Row],[Play Booster CardMarket Profit]]/tbl_MTG_Set[[#This Row],[Play Booster Cost]]</f>
        <v/>
      </c>
      <c r="AU12" s="10">
        <f>_xlfn.XLOOKUP(tbl_MTG_Set[[#This Row],[Collector Booster Box Product Id]], tbl_Product[Product Id], tbl_Product[Min Cost])</f>
        <v/>
      </c>
      <c r="AV12" s="10">
        <f>_xlfn.XLOOKUP(tbl_MTG_Set[[#This Row],[Collector Booster Box Product Id]], tbl_Product[Product Id], tbl_Product[Best Source])</f>
        <v/>
      </c>
      <c r="AW12" s="4">
        <f>_xlfn.XLOOKUP(tbl_MTG_Set[[#This Row],[Collector Booster Box Product Id]], tbl_Product[Product Id], tbl_Product[Pack Size])</f>
        <v/>
      </c>
      <c r="AX12" s="10">
        <f>(tbl_MTG_Set[[#This Row],[Collector Booster Box Cost]] + v_Item_Shipping_Cost_In) / tbl_MTG_Set[[#This Row],[Collector Booster Box Size]]</f>
        <v/>
      </c>
      <c r="AY12" s="10">
        <f t="array" ref="AY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" s="10" t="n"/>
      <c r="BA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" s="17">
        <f>tbl_MTG_Set[[#This Row],[Collector Booster CardMarket Profit]]/tbl_MTG_Set[[#This Row],[Collector Booster Cost]]</f>
        <v/>
      </c>
      <c r="BC12" s="15" t="inlineStr">
        <is>
          <t>https://www.mtgstocks.com/sets/1377-avatar-the-last-airbender#ev</t>
        </is>
      </c>
      <c r="BF12" s="10">
        <f>tbl_MTG_Set[[#This Row],[Play Booster Sell Price CardMarket]]*tbl_MTG_Set[[#This Row],[Play Booster Expected Market Value]]/tbl_MTG_Set[[#This Row],[Play Boost Sealed Market Value]]</f>
        <v/>
      </c>
      <c r="BG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" s="17">
        <f>tbl_MTG_Set[[#This Row],[Play Singles CardMarket Profit]]/tbl_MTG_Set[[#This Row],[Play Booster Cost]]</f>
        <v/>
      </c>
      <c r="BI12" s="10">
        <f>tbl_MTG_Set[[#This Row],[Play Singles CardMarket Profit]]&gt;0</f>
        <v/>
      </c>
      <c r="BJ12" s="10" t="n"/>
      <c r="BK12" s="10" t="n"/>
      <c r="BL12" s="10">
        <f>tbl_MTG_Set[[#This Row],[Collector Booster Sell Price CardMarket]]*tbl_MTG_Set[[#This Row],[Collector Booster Expected Market Value]]/tbl_MTG_Set[[#This Row],[Collector Boost Sealed Market Value]]</f>
        <v/>
      </c>
      <c r="BM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" s="18">
        <f>tbl_MTG_Set[[#This Row],[Collector Singles CardMarket Profit]]/tbl_MTG_Set[[#This Row],[Collector Booster Cost]]</f>
        <v/>
      </c>
      <c r="BO12" s="10">
        <f>tbl_MTG_Set[[#This Row],[Collector Singles CardMarket Profit]]&gt;0</f>
        <v/>
      </c>
      <c r="BP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">
      <c r="A13" t="n">
        <v>11</v>
      </c>
      <c r="B13" t="inlineStr">
        <is>
          <t>Avatar: The Last Airbender Tokens TTLA</t>
        </is>
      </c>
      <c r="C13" t="n">
        <v>22</v>
      </c>
      <c r="D13" s="3" t="n">
        <v>45982</v>
      </c>
      <c r="E13" t="inlineStr">
        <is>
          <t>Universes Beyond</t>
        </is>
      </c>
      <c r="F13" t="inlineStr">
        <is>
          <t>en es fr de it pt ja ko ru 汉语 漢語</t>
        </is>
      </c>
      <c r="G13" t="n">
        <v>12</v>
      </c>
      <c r="H13">
        <f>MONTH(NOW())+12*YEAR(NOW())-MONTH(tbl_MTG_Set[[#This Row],[Released On]])-12*YEAR(tbl_MTG_Set[[#This Row],[Released On]])</f>
        <v/>
      </c>
      <c r="I13">
        <f>_xlfn.XLOOKUP(tbl_MTG_Set[[#This Row],[Type Name]], tbl_MTG_Set_Type[Set Type], tbl_MTG_Set_Type[Index], "(Set Type not found)")</f>
        <v/>
      </c>
      <c r="J13">
        <f>_xlfn.XLOOKUP(tbl_MTG_Set[[#This Row],[Type Name]], tbl_MTG_Set_Type[Set Type], tbl_MTG_Set_Type[Buy Window Month Start], "(Set Type not found)")</f>
        <v/>
      </c>
      <c r="K13" s="3">
        <f>tbl_MTG_Set[[#This Row],[Released On]]+tbl_MTG_Set[[#This Row],[Buy Window Month Start]]*365.25/12</f>
        <v/>
      </c>
      <c r="L13">
        <f>_xlfn.XLOOKUP(tbl_MTG_Set[[#This Row],[Type Name]], tbl_MTG_Set_Type[Set Type], tbl_MTG_Set_Type[Buy Window Month End], "(Set Type not found)", 0, 1)</f>
        <v/>
      </c>
      <c r="M13" s="3">
        <f>tbl_MTG_Set[[#This Row],[Released On]]+tbl_MTG_Set[[#This Row],[Buy Window Month End]]*365.25/12</f>
        <v/>
      </c>
      <c r="N13" s="3">
        <f>AND(NOW()&gt;=tbl_MTG_Set[[#This Row],[Buy Window Start]], NOW()&lt;=tbl_MTG_Set[[#This Row],[Buy Window End]])</f>
        <v/>
      </c>
      <c r="O13">
        <f>_xlfn.XLOOKUP(tbl_MTG_Set[[#This Row],[Type Name]], tbl_MTG_Set_Type[Set Type], tbl_MTG_Set_Type[Heavy Printing Window Month Start], "(Set Type not found)", 0, 1)</f>
        <v/>
      </c>
      <c r="P13" s="3">
        <f>tbl_MTG_Set[[#This Row],[Released On]]+tbl_MTG_Set[[#This Row],[Heavy Printing Window Month Start]]*365.25/12</f>
        <v/>
      </c>
      <c r="Q13">
        <f>_xlfn.XLOOKUP(tbl_MTG_Set[[#This Row],[Type Name]], tbl_MTG_Set_Type[Set Type], tbl_MTG_Set_Type[Heavy Printing Window Month End], "(Set Type not found)", 0, 1)</f>
        <v/>
      </c>
      <c r="R13" s="3">
        <f>tbl_MTG_Set[[#This Row],[Released On]]+tbl_MTG_Set[[#This Row],[Heavy Printing Window Month End]]*365.25/12</f>
        <v/>
      </c>
      <c r="S13" s="3">
        <f>AND(NOW()&gt;=tbl_MTG_Set[[#This Row],[Heavy Printing Window Start]], NOW()&lt;=tbl_MTG_Set[[#This Row],[Heavy Printing Window End]])</f>
        <v/>
      </c>
      <c r="T13">
        <f>_xlfn.XLOOKUP(tbl_MTG_Set[[#This Row],[Type Name]], tbl_MTG_Set_Type[Set Type], tbl_MTG_Set_Type[Sell Window Month Start], "(Set Type not found)", 0, 1)</f>
        <v/>
      </c>
      <c r="U13" s="3">
        <f>tbl_MTG_Set[[#This Row],[Released On]]+tbl_MTG_Set[[#This Row],[Sell Window Month Start]]*365.25/12</f>
        <v/>
      </c>
      <c r="V13">
        <f>_xlfn.XLOOKUP(tbl_MTG_Set[[#This Row],[Type Name]], tbl_MTG_Set_Type[Set Type], tbl_MTG_Set_Type[Sell Window Month End], "(Set Type not found)", 0, 1)</f>
        <v/>
      </c>
      <c r="W13" s="3">
        <f>tbl_MTG_Set[[#This Row],[Released On]]+tbl_MTG_Set[[#This Row],[Sell Window Month End]]*365.25/12</f>
        <v/>
      </c>
      <c r="X13" s="3">
        <f>AND(NOW()&gt;=tbl_MTG_Set[[#This Row],[Sell Window Start]], NOW()&lt;=tbl_MTG_Set[[#This Row],[Sell Window End]])</f>
        <v/>
      </c>
      <c r="AG13" s="10" t="n"/>
      <c r="AH13" s="10" t="n"/>
      <c r="AM13" s="10">
        <f t="array" ref="AM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" s="10">
        <f t="array" ref="AN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" s="4">
        <f>_xlfn.XLOOKUP(tbl_MTG_Set[[#This Row],[Play Booster Box Product Id]], tbl_Product[Product Id], tbl_Product[Pack Size])</f>
        <v/>
      </c>
      <c r="AP13" s="10">
        <f>(tbl_MTG_Set[[#This Row],[Play Booster Box Cost]]+v_Item_Shipping_Cost_In)/tbl_MTG_Set[[#This Row],[Play Booster Box Size]]</f>
        <v/>
      </c>
      <c r="AQ13" s="10">
        <f t="array" ref="AQ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" s="10" t="n"/>
      <c r="AS13" s="10" t="n"/>
      <c r="AT13" s="17">
        <f>tbl_MTG_Set[[#This Row],[Play Booster CardMarket Profit]]/tbl_MTG_Set[[#This Row],[Play Booster Cost]]</f>
        <v/>
      </c>
      <c r="AU13" s="10">
        <f>_xlfn.XLOOKUP(tbl_MTG_Set[[#This Row],[Collector Booster Box Product Id]], tbl_Product[Product Id], tbl_Product[Min Cost])</f>
        <v/>
      </c>
      <c r="AV13" s="10">
        <f>_xlfn.XLOOKUP(tbl_MTG_Set[[#This Row],[Collector Booster Box Product Id]], tbl_Product[Product Id], tbl_Product[Best Source])</f>
        <v/>
      </c>
      <c r="AW13" s="4">
        <f>_xlfn.XLOOKUP(tbl_MTG_Set[[#This Row],[Collector Booster Box Product Id]], tbl_Product[Product Id], tbl_Product[Pack Size])</f>
        <v/>
      </c>
      <c r="AX13" s="10">
        <f>(tbl_MTG_Set[[#This Row],[Collector Booster Box Cost]] + v_Item_Shipping_Cost_In) / tbl_MTG_Set[[#This Row],[Collector Booster Box Size]]</f>
        <v/>
      </c>
      <c r="AY13" s="10">
        <f t="array" ref="AY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" s="10" t="n"/>
      <c r="BA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" s="17">
        <f>tbl_MTG_Set[[#This Row],[Collector Booster CardMarket Profit]]/tbl_MTG_Set[[#This Row],[Collector Booster Cost]]</f>
        <v/>
      </c>
      <c r="BC13" s="10" t="n"/>
      <c r="BF13" s="10">
        <f>tbl_MTG_Set[[#This Row],[Play Booster Sell Price CardMarket]]*tbl_MTG_Set[[#This Row],[Play Booster Expected Market Value]]/tbl_MTG_Set[[#This Row],[Play Boost Sealed Market Value]]</f>
        <v/>
      </c>
      <c r="BG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" s="10">
        <f>tbl_MTG_Set[[#This Row],[Play Singles CardMarket Profit]]/tbl_MTG_Set[[#This Row],[Play Booster Cost]]</f>
        <v/>
      </c>
      <c r="BI13" s="10">
        <f>tbl_MTG_Set[[#This Row],[Play Singles CardMarket Profit]]&gt;0</f>
        <v/>
      </c>
      <c r="BJ13" s="10" t="n"/>
      <c r="BK13" s="10" t="n"/>
      <c r="BL13" s="10">
        <f>tbl_MTG_Set[[#This Row],[Collector Booster Sell Price CardMarket]]*tbl_MTG_Set[[#This Row],[Collector Booster Expected Market Value]]/tbl_MTG_Set[[#This Row],[Collector Boost Sealed Market Value]]</f>
        <v/>
      </c>
      <c r="BM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" s="10">
        <f>tbl_MTG_Set[[#This Row],[Collector Singles CardMarket Profit]]/tbl_MTG_Set[[#This Row],[Collector Booster Cost]]</f>
        <v/>
      </c>
      <c r="BO13" s="10">
        <f>tbl_MTG_Set[[#This Row],[Collector Singles CardMarket Profit]]&gt;0</f>
        <v/>
      </c>
      <c r="BP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">
      <c r="A14" t="n">
        <v>12</v>
      </c>
      <c r="B14" t="inlineStr">
        <is>
          <t>Avatar: The Last Airbender Beginner Box Front Cards FTLA</t>
        </is>
      </c>
      <c r="C14" t="n">
        <v>10</v>
      </c>
      <c r="D14" s="3" t="n">
        <v>45982</v>
      </c>
      <c r="E14" t="inlineStr">
        <is>
          <t>Universes Beyond</t>
        </is>
      </c>
      <c r="F14" t="inlineStr">
        <is>
          <t>en es fr de it pt ja ko ru 汉语 漢語</t>
        </is>
      </c>
      <c r="G14" t="n">
        <v>13</v>
      </c>
      <c r="H14">
        <f>MONTH(NOW())+12*YEAR(NOW())-MONTH(tbl_MTG_Set[[#This Row],[Released On]])-12*YEAR(tbl_MTG_Set[[#This Row],[Released On]])</f>
        <v/>
      </c>
      <c r="I14">
        <f>_xlfn.XLOOKUP(tbl_MTG_Set[[#This Row],[Type Name]], tbl_MTG_Set_Type[Set Type], tbl_MTG_Set_Type[Index], "(Set Type not found)")</f>
        <v/>
      </c>
      <c r="J14">
        <f>_xlfn.XLOOKUP(tbl_MTG_Set[[#This Row],[Type Name]], tbl_MTG_Set_Type[Set Type], tbl_MTG_Set_Type[Buy Window Month Start], "(Set Type not found)")</f>
        <v/>
      </c>
      <c r="K14" s="3">
        <f>tbl_MTG_Set[[#This Row],[Released On]]+tbl_MTG_Set[[#This Row],[Buy Window Month Start]]*365.25/12</f>
        <v/>
      </c>
      <c r="L14">
        <f>_xlfn.XLOOKUP(tbl_MTG_Set[[#This Row],[Type Name]], tbl_MTG_Set_Type[Set Type], tbl_MTG_Set_Type[Buy Window Month End], "(Set Type not found)", 0, 1)</f>
        <v/>
      </c>
      <c r="M14" s="3">
        <f>tbl_MTG_Set[[#This Row],[Released On]]+tbl_MTG_Set[[#This Row],[Buy Window Month End]]*365.25/12</f>
        <v/>
      </c>
      <c r="N14" s="3">
        <f>AND(NOW()&gt;=tbl_MTG_Set[[#This Row],[Buy Window Start]], NOW()&lt;=tbl_MTG_Set[[#This Row],[Buy Window End]])</f>
        <v/>
      </c>
      <c r="O14">
        <f>_xlfn.XLOOKUP(tbl_MTG_Set[[#This Row],[Type Name]], tbl_MTG_Set_Type[Set Type], tbl_MTG_Set_Type[Heavy Printing Window Month Start], "(Set Type not found)", 0, 1)</f>
        <v/>
      </c>
      <c r="P14" s="3">
        <f>tbl_MTG_Set[[#This Row],[Released On]]+tbl_MTG_Set[[#This Row],[Heavy Printing Window Month Start]]*365.25/12</f>
        <v/>
      </c>
      <c r="Q14">
        <f>_xlfn.XLOOKUP(tbl_MTG_Set[[#This Row],[Type Name]], tbl_MTG_Set_Type[Set Type], tbl_MTG_Set_Type[Heavy Printing Window Month End], "(Set Type not found)", 0, 1)</f>
        <v/>
      </c>
      <c r="R14" s="3">
        <f>tbl_MTG_Set[[#This Row],[Released On]]+tbl_MTG_Set[[#This Row],[Heavy Printing Window Month End]]*365.25/12</f>
        <v/>
      </c>
      <c r="S14" s="3">
        <f>AND(NOW()&gt;=tbl_MTG_Set[[#This Row],[Heavy Printing Window Start]], NOW()&lt;=tbl_MTG_Set[[#This Row],[Heavy Printing Window End]])</f>
        <v/>
      </c>
      <c r="T14">
        <f>_xlfn.XLOOKUP(tbl_MTG_Set[[#This Row],[Type Name]], tbl_MTG_Set_Type[Set Type], tbl_MTG_Set_Type[Sell Window Month Start], "(Set Type not found)", 0, 1)</f>
        <v/>
      </c>
      <c r="U14" s="3">
        <f>tbl_MTG_Set[[#This Row],[Released On]]+tbl_MTG_Set[[#This Row],[Sell Window Month Start]]*365.25/12</f>
        <v/>
      </c>
      <c r="V14">
        <f>_xlfn.XLOOKUP(tbl_MTG_Set[[#This Row],[Type Name]], tbl_MTG_Set_Type[Set Type], tbl_MTG_Set_Type[Sell Window Month End], "(Set Type not found)", 0, 1)</f>
        <v/>
      </c>
      <c r="W14" s="3">
        <f>tbl_MTG_Set[[#This Row],[Released On]]+tbl_MTG_Set[[#This Row],[Sell Window Month End]]*365.25/12</f>
        <v/>
      </c>
      <c r="X14" s="3">
        <f>AND(NOW()&gt;=tbl_MTG_Set[[#This Row],[Sell Window Start]], NOW()&lt;=tbl_MTG_Set[[#This Row],[Sell Window End]])</f>
        <v/>
      </c>
      <c r="AG14" s="10" t="n"/>
      <c r="AH14" s="10" t="n"/>
      <c r="AM14" s="10">
        <f t="array" ref="AM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" s="10">
        <f t="array" ref="AN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" s="4">
        <f>_xlfn.XLOOKUP(tbl_MTG_Set[[#This Row],[Play Booster Box Product Id]], tbl_Product[Product Id], tbl_Product[Pack Size])</f>
        <v/>
      </c>
      <c r="AP14" s="10">
        <f>(tbl_MTG_Set[[#This Row],[Play Booster Box Cost]]+v_Item_Shipping_Cost_In)/tbl_MTG_Set[[#This Row],[Play Booster Box Size]]</f>
        <v/>
      </c>
      <c r="AQ14" s="10">
        <f t="array" ref="AQ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" s="10" t="n"/>
      <c r="AS14" s="10" t="n"/>
      <c r="AT14" s="17">
        <f>tbl_MTG_Set[[#This Row],[Play Booster CardMarket Profit]]/tbl_MTG_Set[[#This Row],[Play Booster Cost]]</f>
        <v/>
      </c>
      <c r="AU14" s="10">
        <f>_xlfn.XLOOKUP(tbl_MTG_Set[[#This Row],[Collector Booster Box Product Id]], tbl_Product[Product Id], tbl_Product[Min Cost])</f>
        <v/>
      </c>
      <c r="AV14" s="10">
        <f>_xlfn.XLOOKUP(tbl_MTG_Set[[#This Row],[Collector Booster Box Product Id]], tbl_Product[Product Id], tbl_Product[Best Source])</f>
        <v/>
      </c>
      <c r="AW14" s="4">
        <f>_xlfn.XLOOKUP(tbl_MTG_Set[[#This Row],[Collector Booster Box Product Id]], tbl_Product[Product Id], tbl_Product[Pack Size])</f>
        <v/>
      </c>
      <c r="AX14" s="10">
        <f>(tbl_MTG_Set[[#This Row],[Collector Booster Box Cost]] + v_Item_Shipping_Cost_In) / tbl_MTG_Set[[#This Row],[Collector Booster Box Size]]</f>
        <v/>
      </c>
      <c r="AY14" s="10">
        <f t="array" ref="AY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" s="10" t="n"/>
      <c r="BA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" s="17">
        <f>tbl_MTG_Set[[#This Row],[Collector Booster CardMarket Profit]]/tbl_MTG_Set[[#This Row],[Collector Booster Cost]]</f>
        <v/>
      </c>
      <c r="BC14" s="10" t="n"/>
      <c r="BF14" s="10">
        <f>tbl_MTG_Set[[#This Row],[Play Booster Sell Price CardMarket]]*tbl_MTG_Set[[#This Row],[Play Booster Expected Market Value]]/tbl_MTG_Set[[#This Row],[Play Boost Sealed Market Value]]</f>
        <v/>
      </c>
      <c r="BG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" s="10">
        <f>tbl_MTG_Set[[#This Row],[Play Singles CardMarket Profit]]/tbl_MTG_Set[[#This Row],[Play Booster Cost]]</f>
        <v/>
      </c>
      <c r="BI14" s="10">
        <f>tbl_MTG_Set[[#This Row],[Play Singles CardMarket Profit]]&gt;0</f>
        <v/>
      </c>
      <c r="BJ14" s="10" t="n"/>
      <c r="BK14" s="10" t="n"/>
      <c r="BL14" s="10">
        <f>tbl_MTG_Set[[#This Row],[Collector Booster Sell Price CardMarket]]*tbl_MTG_Set[[#This Row],[Collector Booster Expected Market Value]]/tbl_MTG_Set[[#This Row],[Collector Boost Sealed Market Value]]</f>
        <v/>
      </c>
      <c r="BM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" s="10">
        <f>tbl_MTG_Set[[#This Row],[Collector Singles CardMarket Profit]]/tbl_MTG_Set[[#This Row],[Collector Booster Cost]]</f>
        <v/>
      </c>
      <c r="BO14" s="10">
        <f>tbl_MTG_Set[[#This Row],[Collector Singles CardMarket Profit]]&gt;0</f>
        <v/>
      </c>
      <c r="BP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">
      <c r="A15" t="n">
        <v>13</v>
      </c>
      <c r="B15" t="inlineStr">
        <is>
          <t>Avatar: The Last Airbender Jumpstart Front Cards JTLA</t>
        </is>
      </c>
      <c r="C15" t="n">
        <v>46</v>
      </c>
      <c r="D15" s="3" t="n">
        <v>45982</v>
      </c>
      <c r="E15" t="inlineStr">
        <is>
          <t>Universes Beyond</t>
        </is>
      </c>
      <c r="F15" t="inlineStr">
        <is>
          <t>en es fr de it pt ja ko ru 汉语 漢語</t>
        </is>
      </c>
      <c r="G15" t="n">
        <v>14</v>
      </c>
      <c r="H15">
        <f>MONTH(NOW())+12*YEAR(NOW())-MONTH(tbl_MTG_Set[[#This Row],[Released On]])-12*YEAR(tbl_MTG_Set[[#This Row],[Released On]])</f>
        <v/>
      </c>
      <c r="I15">
        <f>_xlfn.XLOOKUP(tbl_MTG_Set[[#This Row],[Type Name]], tbl_MTG_Set_Type[Set Type], tbl_MTG_Set_Type[Index], "(Set Type not found)")</f>
        <v/>
      </c>
      <c r="J15">
        <f>_xlfn.XLOOKUP(tbl_MTG_Set[[#This Row],[Type Name]], tbl_MTG_Set_Type[Set Type], tbl_MTG_Set_Type[Buy Window Month Start], "(Set Type not found)")</f>
        <v/>
      </c>
      <c r="K15" s="3">
        <f>tbl_MTG_Set[[#This Row],[Released On]]+tbl_MTG_Set[[#This Row],[Buy Window Month Start]]*365.25/12</f>
        <v/>
      </c>
      <c r="L15">
        <f>_xlfn.XLOOKUP(tbl_MTG_Set[[#This Row],[Type Name]], tbl_MTG_Set_Type[Set Type], tbl_MTG_Set_Type[Buy Window Month End], "(Set Type not found)", 0, 1)</f>
        <v/>
      </c>
      <c r="M15" s="3">
        <f>tbl_MTG_Set[[#This Row],[Released On]]+tbl_MTG_Set[[#This Row],[Buy Window Month End]]*365.25/12</f>
        <v/>
      </c>
      <c r="N15" s="3">
        <f>AND(NOW()&gt;=tbl_MTG_Set[[#This Row],[Buy Window Start]], NOW()&lt;=tbl_MTG_Set[[#This Row],[Buy Window End]])</f>
        <v/>
      </c>
      <c r="O15">
        <f>_xlfn.XLOOKUP(tbl_MTG_Set[[#This Row],[Type Name]], tbl_MTG_Set_Type[Set Type], tbl_MTG_Set_Type[Heavy Printing Window Month Start], "(Set Type not found)", 0, 1)</f>
        <v/>
      </c>
      <c r="P15" s="3">
        <f>tbl_MTG_Set[[#This Row],[Released On]]+tbl_MTG_Set[[#This Row],[Heavy Printing Window Month Start]]*365.25/12</f>
        <v/>
      </c>
      <c r="Q15">
        <f>_xlfn.XLOOKUP(tbl_MTG_Set[[#This Row],[Type Name]], tbl_MTG_Set_Type[Set Type], tbl_MTG_Set_Type[Heavy Printing Window Month End], "(Set Type not found)", 0, 1)</f>
        <v/>
      </c>
      <c r="R15" s="3">
        <f>tbl_MTG_Set[[#This Row],[Released On]]+tbl_MTG_Set[[#This Row],[Heavy Printing Window Month End]]*365.25/12</f>
        <v/>
      </c>
      <c r="S15" s="3">
        <f>AND(NOW()&gt;=tbl_MTG_Set[[#This Row],[Heavy Printing Window Start]], NOW()&lt;=tbl_MTG_Set[[#This Row],[Heavy Printing Window End]])</f>
        <v/>
      </c>
      <c r="T15">
        <f>_xlfn.XLOOKUP(tbl_MTG_Set[[#This Row],[Type Name]], tbl_MTG_Set_Type[Set Type], tbl_MTG_Set_Type[Sell Window Month Start], "(Set Type not found)", 0, 1)</f>
        <v/>
      </c>
      <c r="U15" s="3">
        <f>tbl_MTG_Set[[#This Row],[Released On]]+tbl_MTG_Set[[#This Row],[Sell Window Month Start]]*365.25/12</f>
        <v/>
      </c>
      <c r="V15">
        <f>_xlfn.XLOOKUP(tbl_MTG_Set[[#This Row],[Type Name]], tbl_MTG_Set_Type[Set Type], tbl_MTG_Set_Type[Sell Window Month End], "(Set Type not found)", 0, 1)</f>
        <v/>
      </c>
      <c r="W15" s="3">
        <f>tbl_MTG_Set[[#This Row],[Released On]]+tbl_MTG_Set[[#This Row],[Sell Window Month End]]*365.25/12</f>
        <v/>
      </c>
      <c r="X15" s="3">
        <f>AND(NOW()&gt;=tbl_MTG_Set[[#This Row],[Sell Window Start]], NOW()&lt;=tbl_MTG_Set[[#This Row],[Sell Window End]])</f>
        <v/>
      </c>
      <c r="AG15" s="10" t="n"/>
      <c r="AH15" s="10" t="n"/>
      <c r="AM15" s="10">
        <f t="array" ref="AM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" s="10">
        <f t="array" ref="AN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" s="4">
        <f>_xlfn.XLOOKUP(tbl_MTG_Set[[#This Row],[Play Booster Box Product Id]], tbl_Product[Product Id], tbl_Product[Pack Size])</f>
        <v/>
      </c>
      <c r="AP15" s="10">
        <f>(tbl_MTG_Set[[#This Row],[Play Booster Box Cost]]+v_Item_Shipping_Cost_In)/tbl_MTG_Set[[#This Row],[Play Booster Box Size]]</f>
        <v/>
      </c>
      <c r="AQ15" s="10">
        <f t="array" ref="AQ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" s="10" t="n"/>
      <c r="AS15" s="10" t="n"/>
      <c r="AT15" s="17">
        <f>tbl_MTG_Set[[#This Row],[Play Booster CardMarket Profit]]/tbl_MTG_Set[[#This Row],[Play Booster Cost]]</f>
        <v/>
      </c>
      <c r="AU15" s="10">
        <f>_xlfn.XLOOKUP(tbl_MTG_Set[[#This Row],[Collector Booster Box Product Id]], tbl_Product[Product Id], tbl_Product[Min Cost])</f>
        <v/>
      </c>
      <c r="AV15" s="10">
        <f>_xlfn.XLOOKUP(tbl_MTG_Set[[#This Row],[Collector Booster Box Product Id]], tbl_Product[Product Id], tbl_Product[Best Source])</f>
        <v/>
      </c>
      <c r="AW15" s="4">
        <f>_xlfn.XLOOKUP(tbl_MTG_Set[[#This Row],[Collector Booster Box Product Id]], tbl_Product[Product Id], tbl_Product[Pack Size])</f>
        <v/>
      </c>
      <c r="AX15" s="10">
        <f>(tbl_MTG_Set[[#This Row],[Collector Booster Box Cost]] + v_Item_Shipping_Cost_In) / tbl_MTG_Set[[#This Row],[Collector Booster Box Size]]</f>
        <v/>
      </c>
      <c r="AY15" s="10">
        <f t="array" ref="AY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" s="10" t="n"/>
      <c r="BA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" s="17">
        <f>tbl_MTG_Set[[#This Row],[Collector Booster CardMarket Profit]]/tbl_MTG_Set[[#This Row],[Collector Booster Cost]]</f>
        <v/>
      </c>
      <c r="BC15" s="10" t="n"/>
      <c r="BF15" s="10">
        <f>tbl_MTG_Set[[#This Row],[Play Booster Sell Price CardMarket]]*tbl_MTG_Set[[#This Row],[Play Booster Expected Market Value]]/tbl_MTG_Set[[#This Row],[Play Boost Sealed Market Value]]</f>
        <v/>
      </c>
      <c r="BG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" s="10">
        <f>tbl_MTG_Set[[#This Row],[Play Singles CardMarket Profit]]/tbl_MTG_Set[[#This Row],[Play Booster Cost]]</f>
        <v/>
      </c>
      <c r="BI15" s="10">
        <f>tbl_MTG_Set[[#This Row],[Play Singles CardMarket Profit]]&gt;0</f>
        <v/>
      </c>
      <c r="BJ15" s="10" t="n"/>
      <c r="BK15" s="10" t="n"/>
      <c r="BL15" s="10">
        <f>tbl_MTG_Set[[#This Row],[Collector Booster Sell Price CardMarket]]*tbl_MTG_Set[[#This Row],[Collector Booster Expected Market Value]]/tbl_MTG_Set[[#This Row],[Collector Boost Sealed Market Value]]</f>
        <v/>
      </c>
      <c r="BM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" s="10">
        <f>tbl_MTG_Set[[#This Row],[Collector Singles CardMarket Profit]]/tbl_MTG_Set[[#This Row],[Collector Booster Cost]]</f>
        <v/>
      </c>
      <c r="BO15" s="10">
        <f>tbl_MTG_Set[[#This Row],[Collector Singles CardMarket Profit]]&gt;0</f>
        <v/>
      </c>
      <c r="BP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">
      <c r="A16" t="n">
        <v>14</v>
      </c>
      <c r="B16" t="inlineStr">
        <is>
          <t>Avatar: The Last Airbender Eternal TLE</t>
        </is>
      </c>
      <c r="C16" t="n">
        <v>317</v>
      </c>
      <c r="D16" s="3" t="n">
        <v>45982</v>
      </c>
      <c r="E16" t="inlineStr">
        <is>
          <t>Universes Beyond</t>
        </is>
      </c>
      <c r="F16" t="inlineStr">
        <is>
          <t>en es fr de it pt ja ko ru 汉语 漢語</t>
        </is>
      </c>
      <c r="G16" t="n">
        <v>15</v>
      </c>
      <c r="H16">
        <f>MONTH(NOW())+12*YEAR(NOW())-MONTH(tbl_MTG_Set[[#This Row],[Released On]])-12*YEAR(tbl_MTG_Set[[#This Row],[Released On]])</f>
        <v/>
      </c>
      <c r="I16">
        <f>_xlfn.XLOOKUP(tbl_MTG_Set[[#This Row],[Type Name]], tbl_MTG_Set_Type[Set Type], tbl_MTG_Set_Type[Index], "(Set Type not found)")</f>
        <v/>
      </c>
      <c r="J16">
        <f>_xlfn.XLOOKUP(tbl_MTG_Set[[#This Row],[Type Name]], tbl_MTG_Set_Type[Set Type], tbl_MTG_Set_Type[Buy Window Month Start], "(Set Type not found)")</f>
        <v/>
      </c>
      <c r="K16" s="3">
        <f>tbl_MTG_Set[[#This Row],[Released On]]+tbl_MTG_Set[[#This Row],[Buy Window Month Start]]*365.25/12</f>
        <v/>
      </c>
      <c r="L16">
        <f>_xlfn.XLOOKUP(tbl_MTG_Set[[#This Row],[Type Name]], tbl_MTG_Set_Type[Set Type], tbl_MTG_Set_Type[Buy Window Month End], "(Set Type not found)", 0, 1)</f>
        <v/>
      </c>
      <c r="M16" s="3">
        <f>tbl_MTG_Set[[#This Row],[Released On]]+tbl_MTG_Set[[#This Row],[Buy Window Month End]]*365.25/12</f>
        <v/>
      </c>
      <c r="N16" s="3">
        <f>AND(NOW()&gt;=tbl_MTG_Set[[#This Row],[Buy Window Start]], NOW()&lt;=tbl_MTG_Set[[#This Row],[Buy Window End]])</f>
        <v/>
      </c>
      <c r="O16">
        <f>_xlfn.XLOOKUP(tbl_MTG_Set[[#This Row],[Type Name]], tbl_MTG_Set_Type[Set Type], tbl_MTG_Set_Type[Heavy Printing Window Month Start], "(Set Type not found)", 0, 1)</f>
        <v/>
      </c>
      <c r="P16" s="3">
        <f>tbl_MTG_Set[[#This Row],[Released On]]+tbl_MTG_Set[[#This Row],[Heavy Printing Window Month Start]]*365.25/12</f>
        <v/>
      </c>
      <c r="Q16">
        <f>_xlfn.XLOOKUP(tbl_MTG_Set[[#This Row],[Type Name]], tbl_MTG_Set_Type[Set Type], tbl_MTG_Set_Type[Heavy Printing Window Month End], "(Set Type not found)", 0, 1)</f>
        <v/>
      </c>
      <c r="R16" s="3">
        <f>tbl_MTG_Set[[#This Row],[Released On]]+tbl_MTG_Set[[#This Row],[Heavy Printing Window Month End]]*365.25/12</f>
        <v/>
      </c>
      <c r="S16" s="3">
        <f>AND(NOW()&gt;=tbl_MTG_Set[[#This Row],[Heavy Printing Window Start]], NOW()&lt;=tbl_MTG_Set[[#This Row],[Heavy Printing Window End]])</f>
        <v/>
      </c>
      <c r="T16">
        <f>_xlfn.XLOOKUP(tbl_MTG_Set[[#This Row],[Type Name]], tbl_MTG_Set_Type[Set Type], tbl_MTG_Set_Type[Sell Window Month Start], "(Set Type not found)", 0, 1)</f>
        <v/>
      </c>
      <c r="U16" s="3">
        <f>tbl_MTG_Set[[#This Row],[Released On]]+tbl_MTG_Set[[#This Row],[Sell Window Month Start]]*365.25/12</f>
        <v/>
      </c>
      <c r="V16">
        <f>_xlfn.XLOOKUP(tbl_MTG_Set[[#This Row],[Type Name]], tbl_MTG_Set_Type[Set Type], tbl_MTG_Set_Type[Sell Window Month End], "(Set Type not found)", 0, 1)</f>
        <v/>
      </c>
      <c r="W16" s="3">
        <f>tbl_MTG_Set[[#This Row],[Released On]]+tbl_MTG_Set[[#This Row],[Sell Window Month End]]*365.25/12</f>
        <v/>
      </c>
      <c r="X16" s="3">
        <f>AND(NOW()&gt;=tbl_MTG_Set[[#This Row],[Sell Window Start]], NOW()&lt;=tbl_MTG_Set[[#This Row],[Sell Window End]])</f>
        <v/>
      </c>
      <c r="AG16" s="10" t="n"/>
      <c r="AH16" s="10" t="n"/>
      <c r="AM16" s="10">
        <f t="array" ref="AM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" s="10">
        <f t="array" ref="AN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" s="4">
        <f>_xlfn.XLOOKUP(tbl_MTG_Set[[#This Row],[Play Booster Box Product Id]], tbl_Product[Product Id], tbl_Product[Pack Size])</f>
        <v/>
      </c>
      <c r="AP16" s="10">
        <f>(tbl_MTG_Set[[#This Row],[Play Booster Box Cost]]+v_Item_Shipping_Cost_In)/tbl_MTG_Set[[#This Row],[Play Booster Box Size]]</f>
        <v/>
      </c>
      <c r="AQ16" s="10">
        <f t="array" ref="AQ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" s="10" t="n"/>
      <c r="AS16" s="10" t="n"/>
      <c r="AT16" s="17">
        <f>tbl_MTG_Set[[#This Row],[Play Booster CardMarket Profit]]/tbl_MTG_Set[[#This Row],[Play Booster Cost]]</f>
        <v/>
      </c>
      <c r="AU16" s="10">
        <f>_xlfn.XLOOKUP(tbl_MTG_Set[[#This Row],[Collector Booster Box Product Id]], tbl_Product[Product Id], tbl_Product[Min Cost])</f>
        <v/>
      </c>
      <c r="AV16" s="10">
        <f>_xlfn.XLOOKUP(tbl_MTG_Set[[#This Row],[Collector Booster Box Product Id]], tbl_Product[Product Id], tbl_Product[Best Source])</f>
        <v/>
      </c>
      <c r="AW16" s="4">
        <f>_xlfn.XLOOKUP(tbl_MTG_Set[[#This Row],[Collector Booster Box Product Id]], tbl_Product[Product Id], tbl_Product[Pack Size])</f>
        <v/>
      </c>
      <c r="AX16" s="10">
        <f>(tbl_MTG_Set[[#This Row],[Collector Booster Box Cost]] + v_Item_Shipping_Cost_In) / tbl_MTG_Set[[#This Row],[Collector Booster Box Size]]</f>
        <v/>
      </c>
      <c r="AY16" s="10">
        <f t="array" ref="AY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" s="10" t="n"/>
      <c r="BA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" s="17">
        <f>tbl_MTG_Set[[#This Row],[Collector Booster CardMarket Profit]]/tbl_MTG_Set[[#This Row],[Collector Booster Cost]]</f>
        <v/>
      </c>
      <c r="BC16" s="10" t="n"/>
      <c r="BF16" s="10">
        <f>tbl_MTG_Set[[#This Row],[Play Booster Sell Price CardMarket]]*tbl_MTG_Set[[#This Row],[Play Booster Expected Market Value]]/tbl_MTG_Set[[#This Row],[Play Boost Sealed Market Value]]</f>
        <v/>
      </c>
      <c r="BG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" s="10">
        <f>tbl_MTG_Set[[#This Row],[Play Singles CardMarket Profit]]/tbl_MTG_Set[[#This Row],[Play Booster Cost]]</f>
        <v/>
      </c>
      <c r="BI16" s="10">
        <f>tbl_MTG_Set[[#This Row],[Play Singles CardMarket Profit]]&gt;0</f>
        <v/>
      </c>
      <c r="BJ16" s="10" t="n"/>
      <c r="BK16" s="10" t="n"/>
      <c r="BL16" s="10">
        <f>tbl_MTG_Set[[#This Row],[Collector Booster Sell Price CardMarket]]*tbl_MTG_Set[[#This Row],[Collector Booster Expected Market Value]]/tbl_MTG_Set[[#This Row],[Collector Boost Sealed Market Value]]</f>
        <v/>
      </c>
      <c r="BM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" s="10">
        <f>tbl_MTG_Set[[#This Row],[Collector Singles CardMarket Profit]]/tbl_MTG_Set[[#This Row],[Collector Booster Cost]]</f>
        <v/>
      </c>
      <c r="BO16" s="10">
        <f>tbl_MTG_Set[[#This Row],[Collector Singles CardMarket Profit]]&gt;0</f>
        <v/>
      </c>
      <c r="BP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">
      <c r="A17" t="n">
        <v>15</v>
      </c>
      <c r="B17" t="inlineStr">
        <is>
          <t>Avatar: The Last Airbender Eternal Tokens TTLE</t>
        </is>
      </c>
      <c r="C17" t="n">
        <v>2</v>
      </c>
      <c r="D17" s="3" t="n">
        <v>45982</v>
      </c>
      <c r="E17" t="inlineStr">
        <is>
          <t>Universes Beyond</t>
        </is>
      </c>
      <c r="F17" t="inlineStr">
        <is>
          <t>en es fr de it pt ja ko ru 汉语 漢語</t>
        </is>
      </c>
      <c r="G17" t="n">
        <v>16</v>
      </c>
      <c r="H17">
        <f>MONTH(NOW())+12*YEAR(NOW())-MONTH(tbl_MTG_Set[[#This Row],[Released On]])-12*YEAR(tbl_MTG_Set[[#This Row],[Released On]])</f>
        <v/>
      </c>
      <c r="I17">
        <f>_xlfn.XLOOKUP(tbl_MTG_Set[[#This Row],[Type Name]], tbl_MTG_Set_Type[Set Type], tbl_MTG_Set_Type[Index], "(Set Type not found)")</f>
        <v/>
      </c>
      <c r="J17">
        <f>_xlfn.XLOOKUP(tbl_MTG_Set[[#This Row],[Type Name]], tbl_MTG_Set_Type[Set Type], tbl_MTG_Set_Type[Buy Window Month Start], "(Set Type not found)")</f>
        <v/>
      </c>
      <c r="K17" s="3">
        <f>tbl_MTG_Set[[#This Row],[Released On]]+tbl_MTG_Set[[#This Row],[Buy Window Month Start]]*365.25/12</f>
        <v/>
      </c>
      <c r="L17">
        <f>_xlfn.XLOOKUP(tbl_MTG_Set[[#This Row],[Type Name]], tbl_MTG_Set_Type[Set Type], tbl_MTG_Set_Type[Buy Window Month End], "(Set Type not found)", 0, 1)</f>
        <v/>
      </c>
      <c r="M17" s="3">
        <f>tbl_MTG_Set[[#This Row],[Released On]]+tbl_MTG_Set[[#This Row],[Buy Window Month End]]*365.25/12</f>
        <v/>
      </c>
      <c r="N17" s="3">
        <f>AND(NOW()&gt;=tbl_MTG_Set[[#This Row],[Buy Window Start]], NOW()&lt;=tbl_MTG_Set[[#This Row],[Buy Window End]])</f>
        <v/>
      </c>
      <c r="O17">
        <f>_xlfn.XLOOKUP(tbl_MTG_Set[[#This Row],[Type Name]], tbl_MTG_Set_Type[Set Type], tbl_MTG_Set_Type[Heavy Printing Window Month Start], "(Set Type not found)", 0, 1)</f>
        <v/>
      </c>
      <c r="P17" s="3">
        <f>tbl_MTG_Set[[#This Row],[Released On]]+tbl_MTG_Set[[#This Row],[Heavy Printing Window Month Start]]*365.25/12</f>
        <v/>
      </c>
      <c r="Q17">
        <f>_xlfn.XLOOKUP(tbl_MTG_Set[[#This Row],[Type Name]], tbl_MTG_Set_Type[Set Type], tbl_MTG_Set_Type[Heavy Printing Window Month End], "(Set Type not found)", 0, 1)</f>
        <v/>
      </c>
      <c r="R17" s="3">
        <f>tbl_MTG_Set[[#This Row],[Released On]]+tbl_MTG_Set[[#This Row],[Heavy Printing Window Month End]]*365.25/12</f>
        <v/>
      </c>
      <c r="S17" s="3">
        <f>AND(NOW()&gt;=tbl_MTG_Set[[#This Row],[Heavy Printing Window Start]], NOW()&lt;=tbl_MTG_Set[[#This Row],[Heavy Printing Window End]])</f>
        <v/>
      </c>
      <c r="T17">
        <f>_xlfn.XLOOKUP(tbl_MTG_Set[[#This Row],[Type Name]], tbl_MTG_Set_Type[Set Type], tbl_MTG_Set_Type[Sell Window Month Start], "(Set Type not found)", 0, 1)</f>
        <v/>
      </c>
      <c r="U17" s="3">
        <f>tbl_MTG_Set[[#This Row],[Released On]]+tbl_MTG_Set[[#This Row],[Sell Window Month Start]]*365.25/12</f>
        <v/>
      </c>
      <c r="V17">
        <f>_xlfn.XLOOKUP(tbl_MTG_Set[[#This Row],[Type Name]], tbl_MTG_Set_Type[Set Type], tbl_MTG_Set_Type[Sell Window Month End], "(Set Type not found)", 0, 1)</f>
        <v/>
      </c>
      <c r="W17" s="3">
        <f>tbl_MTG_Set[[#This Row],[Released On]]+tbl_MTG_Set[[#This Row],[Sell Window Month End]]*365.25/12</f>
        <v/>
      </c>
      <c r="X17" s="3">
        <f>AND(NOW()&gt;=tbl_MTG_Set[[#This Row],[Sell Window Start]], NOW()&lt;=tbl_MTG_Set[[#This Row],[Sell Window End]])</f>
        <v/>
      </c>
      <c r="AG17" s="10" t="n"/>
      <c r="AH17" s="10" t="n"/>
      <c r="AM17" s="10">
        <f t="array" ref="AM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" s="10">
        <f t="array" ref="AN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" s="4">
        <f>_xlfn.XLOOKUP(tbl_MTG_Set[[#This Row],[Play Booster Box Product Id]], tbl_Product[Product Id], tbl_Product[Pack Size])</f>
        <v/>
      </c>
      <c r="AP17" s="10">
        <f>(tbl_MTG_Set[[#This Row],[Play Booster Box Cost]]+v_Item_Shipping_Cost_In)/tbl_MTG_Set[[#This Row],[Play Booster Box Size]]</f>
        <v/>
      </c>
      <c r="AQ17" s="10">
        <f t="array" ref="AQ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" s="10" t="n"/>
      <c r="AS17" s="10" t="n"/>
      <c r="AT17" s="17">
        <f>tbl_MTG_Set[[#This Row],[Play Booster CardMarket Profit]]/tbl_MTG_Set[[#This Row],[Play Booster Cost]]</f>
        <v/>
      </c>
      <c r="AU17" s="10">
        <f>_xlfn.XLOOKUP(tbl_MTG_Set[[#This Row],[Collector Booster Box Product Id]], tbl_Product[Product Id], tbl_Product[Min Cost])</f>
        <v/>
      </c>
      <c r="AV17" s="10">
        <f>_xlfn.XLOOKUP(tbl_MTG_Set[[#This Row],[Collector Booster Box Product Id]], tbl_Product[Product Id], tbl_Product[Best Source])</f>
        <v/>
      </c>
      <c r="AW17" s="4">
        <f>_xlfn.XLOOKUP(tbl_MTG_Set[[#This Row],[Collector Booster Box Product Id]], tbl_Product[Product Id], tbl_Product[Pack Size])</f>
        <v/>
      </c>
      <c r="AX17" s="10">
        <f>(tbl_MTG_Set[[#This Row],[Collector Booster Box Cost]] + v_Item_Shipping_Cost_In) / tbl_MTG_Set[[#This Row],[Collector Booster Box Size]]</f>
        <v/>
      </c>
      <c r="AY17" s="10">
        <f t="array" ref="AY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" s="10" t="n"/>
      <c r="BA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" s="17">
        <f>tbl_MTG_Set[[#This Row],[Collector Booster CardMarket Profit]]/tbl_MTG_Set[[#This Row],[Collector Booster Cost]]</f>
        <v/>
      </c>
      <c r="BC17" s="10" t="n"/>
      <c r="BF17" s="10">
        <f>tbl_MTG_Set[[#This Row],[Play Booster Sell Price CardMarket]]*tbl_MTG_Set[[#This Row],[Play Booster Expected Market Value]]/tbl_MTG_Set[[#This Row],[Play Boost Sealed Market Value]]</f>
        <v/>
      </c>
      <c r="BG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" s="10">
        <f>tbl_MTG_Set[[#This Row],[Play Singles CardMarket Profit]]/tbl_MTG_Set[[#This Row],[Play Booster Cost]]</f>
        <v/>
      </c>
      <c r="BI17" s="10">
        <f>tbl_MTG_Set[[#This Row],[Play Singles CardMarket Profit]]&gt;0</f>
        <v/>
      </c>
      <c r="BJ17" s="10" t="n"/>
      <c r="BK17" s="10" t="n"/>
      <c r="BL17" s="10">
        <f>tbl_MTG_Set[[#This Row],[Collector Booster Sell Price CardMarket]]*tbl_MTG_Set[[#This Row],[Collector Booster Expected Market Value]]/tbl_MTG_Set[[#This Row],[Collector Boost Sealed Market Value]]</f>
        <v/>
      </c>
      <c r="BM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" s="10">
        <f>tbl_MTG_Set[[#This Row],[Collector Singles CardMarket Profit]]/tbl_MTG_Set[[#This Row],[Collector Booster Cost]]</f>
        <v/>
      </c>
      <c r="BO17" s="10">
        <f>tbl_MTG_Set[[#This Row],[Collector Singles CardMarket Profit]]&gt;0</f>
        <v/>
      </c>
      <c r="BP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">
      <c r="A18" t="n">
        <v>16</v>
      </c>
      <c r="B18" t="inlineStr">
        <is>
          <t>Arena Powered Cube APCUBE</t>
        </is>
      </c>
      <c r="C18" t="n">
        <v>540</v>
      </c>
      <c r="D18" s="3" t="n">
        <v>45953</v>
      </c>
      <c r="F18" t="n">
        <v>0</v>
      </c>
      <c r="G18" t="n">
        <v>17</v>
      </c>
      <c r="H18">
        <f>MONTH(NOW())+12*YEAR(NOW())-MONTH(tbl_MTG_Set[[#This Row],[Released On]])-12*YEAR(tbl_MTG_Set[[#This Row],[Released On]])</f>
        <v/>
      </c>
      <c r="I18">
        <f>_xlfn.XLOOKUP(tbl_MTG_Set[[#This Row],[Type Name]], tbl_MTG_Set_Type[Set Type], tbl_MTG_Set_Type[Index], "(Set Type not found)")</f>
        <v/>
      </c>
      <c r="J18">
        <f>_xlfn.XLOOKUP(tbl_MTG_Set[[#This Row],[Type Name]], tbl_MTG_Set_Type[Set Type], tbl_MTG_Set_Type[Buy Window Month Start], "(Set Type not found)")</f>
        <v/>
      </c>
      <c r="K18" s="3">
        <f>tbl_MTG_Set[[#This Row],[Released On]]+tbl_MTG_Set[[#This Row],[Buy Window Month Start]]*365.25/12</f>
        <v/>
      </c>
      <c r="L18">
        <f>_xlfn.XLOOKUP(tbl_MTG_Set[[#This Row],[Type Name]], tbl_MTG_Set_Type[Set Type], tbl_MTG_Set_Type[Buy Window Month End], "(Set Type not found)", 0, 1)</f>
        <v/>
      </c>
      <c r="M18" s="3">
        <f>tbl_MTG_Set[[#This Row],[Released On]]+tbl_MTG_Set[[#This Row],[Buy Window Month End]]*365.25/12</f>
        <v/>
      </c>
      <c r="N18" s="3">
        <f>AND(NOW()&gt;=tbl_MTG_Set[[#This Row],[Buy Window Start]], NOW()&lt;=tbl_MTG_Set[[#This Row],[Buy Window End]])</f>
        <v/>
      </c>
      <c r="O18">
        <f>_xlfn.XLOOKUP(tbl_MTG_Set[[#This Row],[Type Name]], tbl_MTG_Set_Type[Set Type], tbl_MTG_Set_Type[Heavy Printing Window Month Start], "(Set Type not found)", 0, 1)</f>
        <v/>
      </c>
      <c r="P18" s="3">
        <f>tbl_MTG_Set[[#This Row],[Released On]]+tbl_MTG_Set[[#This Row],[Heavy Printing Window Month Start]]*365.25/12</f>
        <v/>
      </c>
      <c r="Q18">
        <f>_xlfn.XLOOKUP(tbl_MTG_Set[[#This Row],[Type Name]], tbl_MTG_Set_Type[Set Type], tbl_MTG_Set_Type[Heavy Printing Window Month End], "(Set Type not found)", 0, 1)</f>
        <v/>
      </c>
      <c r="R18" s="3">
        <f>tbl_MTG_Set[[#This Row],[Released On]]+tbl_MTG_Set[[#This Row],[Heavy Printing Window Month End]]*365.25/12</f>
        <v/>
      </c>
      <c r="S18" s="3">
        <f>AND(NOW()&gt;=tbl_MTG_Set[[#This Row],[Heavy Printing Window Start]], NOW()&lt;=tbl_MTG_Set[[#This Row],[Heavy Printing Window End]])</f>
        <v/>
      </c>
      <c r="T18">
        <f>_xlfn.XLOOKUP(tbl_MTG_Set[[#This Row],[Type Name]], tbl_MTG_Set_Type[Set Type], tbl_MTG_Set_Type[Sell Window Month Start], "(Set Type not found)", 0, 1)</f>
        <v/>
      </c>
      <c r="U18" s="3">
        <f>tbl_MTG_Set[[#This Row],[Released On]]+tbl_MTG_Set[[#This Row],[Sell Window Month Start]]*365.25/12</f>
        <v/>
      </c>
      <c r="V18">
        <f>_xlfn.XLOOKUP(tbl_MTG_Set[[#This Row],[Type Name]], tbl_MTG_Set_Type[Set Type], tbl_MTG_Set_Type[Sell Window Month End], "(Set Type not found)", 0, 1)</f>
        <v/>
      </c>
      <c r="W18" s="3">
        <f>tbl_MTG_Set[[#This Row],[Released On]]+tbl_MTG_Set[[#This Row],[Sell Window Month End]]*365.25/12</f>
        <v/>
      </c>
      <c r="X18" s="3">
        <f>AND(NOW()&gt;=tbl_MTG_Set[[#This Row],[Sell Window Start]], NOW()&lt;=tbl_MTG_Set[[#This Row],[Sell Window End]])</f>
        <v/>
      </c>
      <c r="AG18" s="10" t="n"/>
      <c r="AH18" s="10" t="n"/>
      <c r="AM18" s="10">
        <f t="array" ref="AM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" s="10">
        <f t="array" ref="AN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" s="4">
        <f>_xlfn.XLOOKUP(tbl_MTG_Set[[#This Row],[Play Booster Box Product Id]], tbl_Product[Product Id], tbl_Product[Pack Size])</f>
        <v/>
      </c>
      <c r="AP18" s="10">
        <f>(tbl_MTG_Set[[#This Row],[Play Booster Box Cost]]+v_Item_Shipping_Cost_In)/tbl_MTG_Set[[#This Row],[Play Booster Box Size]]</f>
        <v/>
      </c>
      <c r="AQ18" s="10">
        <f t="array" ref="AQ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" s="10" t="n"/>
      <c r="AS18" s="10" t="n"/>
      <c r="AT18" s="17">
        <f>tbl_MTG_Set[[#This Row],[Play Booster CardMarket Profit]]/tbl_MTG_Set[[#This Row],[Play Booster Cost]]</f>
        <v/>
      </c>
      <c r="AU18" s="10">
        <f>_xlfn.XLOOKUP(tbl_MTG_Set[[#This Row],[Collector Booster Box Product Id]], tbl_Product[Product Id], tbl_Product[Min Cost])</f>
        <v/>
      </c>
      <c r="AV18" s="10">
        <f>_xlfn.XLOOKUP(tbl_MTG_Set[[#This Row],[Collector Booster Box Product Id]], tbl_Product[Product Id], tbl_Product[Best Source])</f>
        <v/>
      </c>
      <c r="AW18" s="4">
        <f>_xlfn.XLOOKUP(tbl_MTG_Set[[#This Row],[Collector Booster Box Product Id]], tbl_Product[Product Id], tbl_Product[Pack Size])</f>
        <v/>
      </c>
      <c r="AX18" s="10">
        <f>(tbl_MTG_Set[[#This Row],[Collector Booster Box Cost]] + v_Item_Shipping_Cost_In) / tbl_MTG_Set[[#This Row],[Collector Booster Box Size]]</f>
        <v/>
      </c>
      <c r="AY18" s="10">
        <f t="array" ref="AY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" s="10" t="n"/>
      <c r="BA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" s="17">
        <f>tbl_MTG_Set[[#This Row],[Collector Booster CardMarket Profit]]/tbl_MTG_Set[[#This Row],[Collector Booster Cost]]</f>
        <v/>
      </c>
      <c r="BC18" s="10" t="n"/>
      <c r="BF18" s="10">
        <f>tbl_MTG_Set[[#This Row],[Play Booster Sell Price CardMarket]]*tbl_MTG_Set[[#This Row],[Play Booster Expected Market Value]]/tbl_MTG_Set[[#This Row],[Play Boost Sealed Market Value]]</f>
        <v/>
      </c>
      <c r="BG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" s="10">
        <f>tbl_MTG_Set[[#This Row],[Play Singles CardMarket Profit]]/tbl_MTG_Set[[#This Row],[Play Booster Cost]]</f>
        <v/>
      </c>
      <c r="BI18" s="10">
        <f>tbl_MTG_Set[[#This Row],[Play Singles CardMarket Profit]]&gt;0</f>
        <v/>
      </c>
      <c r="BJ18" s="10" t="n"/>
      <c r="BK18" s="10" t="n"/>
      <c r="BL18" s="10">
        <f>tbl_MTG_Set[[#This Row],[Collector Booster Sell Price CardMarket]]*tbl_MTG_Set[[#This Row],[Collector Booster Expected Market Value]]/tbl_MTG_Set[[#This Row],[Collector Boost Sealed Market Value]]</f>
        <v/>
      </c>
      <c r="BM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" s="10">
        <f>tbl_MTG_Set[[#This Row],[Collector Singles CardMarket Profit]]/tbl_MTG_Set[[#This Row],[Collector Booster Cost]]</f>
        <v/>
      </c>
      <c r="BO18" s="10">
        <f>tbl_MTG_Set[[#This Row],[Collector Singles CardMarket Profit]]&gt;0</f>
        <v/>
      </c>
      <c r="BP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">
      <c r="A19" t="n">
        <v>17</v>
      </c>
      <c r="B19" t="inlineStr">
        <is>
          <t>Marvel Universe MAR</t>
        </is>
      </c>
      <c r="C19" t="n">
        <v>53</v>
      </c>
      <c r="D19" s="3" t="n">
        <v>45926</v>
      </c>
      <c r="E19" t="inlineStr">
        <is>
          <t>Universes Beyond</t>
        </is>
      </c>
      <c r="F19" t="inlineStr">
        <is>
          <t>en es fr de it pt ja ko ru 汉语 漢語</t>
        </is>
      </c>
      <c r="G19" t="n">
        <v>18</v>
      </c>
      <c r="H19">
        <f>MONTH(NOW())+12*YEAR(NOW())-MONTH(tbl_MTG_Set[[#This Row],[Released On]])-12*YEAR(tbl_MTG_Set[[#This Row],[Released On]])</f>
        <v/>
      </c>
      <c r="I19">
        <f>_xlfn.XLOOKUP(tbl_MTG_Set[[#This Row],[Type Name]], tbl_MTG_Set_Type[Set Type], tbl_MTG_Set_Type[Index], "(Set Type not found)")</f>
        <v/>
      </c>
      <c r="J19">
        <f>_xlfn.XLOOKUP(tbl_MTG_Set[[#This Row],[Type Name]], tbl_MTG_Set_Type[Set Type], tbl_MTG_Set_Type[Buy Window Month Start], "(Set Type not found)")</f>
        <v/>
      </c>
      <c r="K19" s="3">
        <f>tbl_MTG_Set[[#This Row],[Released On]]+tbl_MTG_Set[[#This Row],[Buy Window Month Start]]*365.25/12</f>
        <v/>
      </c>
      <c r="L19">
        <f>_xlfn.XLOOKUP(tbl_MTG_Set[[#This Row],[Type Name]], tbl_MTG_Set_Type[Set Type], tbl_MTG_Set_Type[Buy Window Month End], "(Set Type not found)", 0, 1)</f>
        <v/>
      </c>
      <c r="M19" s="3">
        <f>tbl_MTG_Set[[#This Row],[Released On]]+tbl_MTG_Set[[#This Row],[Buy Window Month End]]*365.25/12</f>
        <v/>
      </c>
      <c r="N19" s="3">
        <f>AND(NOW()&gt;=tbl_MTG_Set[[#This Row],[Buy Window Start]], NOW()&lt;=tbl_MTG_Set[[#This Row],[Buy Window End]])</f>
        <v/>
      </c>
      <c r="O19">
        <f>_xlfn.XLOOKUP(tbl_MTG_Set[[#This Row],[Type Name]], tbl_MTG_Set_Type[Set Type], tbl_MTG_Set_Type[Heavy Printing Window Month Start], "(Set Type not found)", 0, 1)</f>
        <v/>
      </c>
      <c r="P19" s="3">
        <f>tbl_MTG_Set[[#This Row],[Released On]]+tbl_MTG_Set[[#This Row],[Heavy Printing Window Month Start]]*365.25/12</f>
        <v/>
      </c>
      <c r="Q19">
        <f>_xlfn.XLOOKUP(tbl_MTG_Set[[#This Row],[Type Name]], tbl_MTG_Set_Type[Set Type], tbl_MTG_Set_Type[Heavy Printing Window Month End], "(Set Type not found)", 0, 1)</f>
        <v/>
      </c>
      <c r="R19" s="3">
        <f>tbl_MTG_Set[[#This Row],[Released On]]+tbl_MTG_Set[[#This Row],[Heavy Printing Window Month End]]*365.25/12</f>
        <v/>
      </c>
      <c r="S19" s="3">
        <f>AND(NOW()&gt;=tbl_MTG_Set[[#This Row],[Heavy Printing Window Start]], NOW()&lt;=tbl_MTG_Set[[#This Row],[Heavy Printing Window End]])</f>
        <v/>
      </c>
      <c r="T19">
        <f>_xlfn.XLOOKUP(tbl_MTG_Set[[#This Row],[Type Name]], tbl_MTG_Set_Type[Set Type], tbl_MTG_Set_Type[Sell Window Month Start], "(Set Type not found)", 0, 1)</f>
        <v/>
      </c>
      <c r="U19" s="3">
        <f>tbl_MTG_Set[[#This Row],[Released On]]+tbl_MTG_Set[[#This Row],[Sell Window Month Start]]*365.25/12</f>
        <v/>
      </c>
      <c r="V19">
        <f>_xlfn.XLOOKUP(tbl_MTG_Set[[#This Row],[Type Name]], tbl_MTG_Set_Type[Set Type], tbl_MTG_Set_Type[Sell Window Month End], "(Set Type not found)", 0, 1)</f>
        <v/>
      </c>
      <c r="W19" s="3">
        <f>tbl_MTG_Set[[#This Row],[Released On]]+tbl_MTG_Set[[#This Row],[Sell Window Month End]]*365.25/12</f>
        <v/>
      </c>
      <c r="X19" s="3">
        <f>AND(NOW()&gt;=tbl_MTG_Set[[#This Row],[Sell Window Start]], NOW()&lt;=tbl_MTG_Set[[#This Row],[Sell Window End]])</f>
        <v/>
      </c>
      <c r="AG19" s="10" t="n"/>
      <c r="AH19" s="10" t="n"/>
      <c r="AM19" s="10">
        <f t="array" ref="AM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" s="10">
        <f t="array" ref="AN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" s="4">
        <f>_xlfn.XLOOKUP(tbl_MTG_Set[[#This Row],[Play Booster Box Product Id]], tbl_Product[Product Id], tbl_Product[Pack Size])</f>
        <v/>
      </c>
      <c r="AP19" s="10">
        <f>(tbl_MTG_Set[[#This Row],[Play Booster Box Cost]]+v_Item_Shipping_Cost_In)/tbl_MTG_Set[[#This Row],[Play Booster Box Size]]</f>
        <v/>
      </c>
      <c r="AQ19" s="10">
        <f t="array" ref="AQ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" s="10" t="n"/>
      <c r="AS19" s="10" t="n"/>
      <c r="AT19" s="17">
        <f>tbl_MTG_Set[[#This Row],[Play Booster CardMarket Profit]]/tbl_MTG_Set[[#This Row],[Play Booster Cost]]</f>
        <v/>
      </c>
      <c r="AU19" s="10">
        <f>_xlfn.XLOOKUP(tbl_MTG_Set[[#This Row],[Collector Booster Box Product Id]], tbl_Product[Product Id], tbl_Product[Min Cost])</f>
        <v/>
      </c>
      <c r="AV19" s="10">
        <f>_xlfn.XLOOKUP(tbl_MTG_Set[[#This Row],[Collector Booster Box Product Id]], tbl_Product[Product Id], tbl_Product[Best Source])</f>
        <v/>
      </c>
      <c r="AW19" s="4">
        <f>_xlfn.XLOOKUP(tbl_MTG_Set[[#This Row],[Collector Booster Box Product Id]], tbl_Product[Product Id], tbl_Product[Pack Size])</f>
        <v/>
      </c>
      <c r="AX19" s="10">
        <f>(tbl_MTG_Set[[#This Row],[Collector Booster Box Cost]] + v_Item_Shipping_Cost_In) / tbl_MTG_Set[[#This Row],[Collector Booster Box Size]]</f>
        <v/>
      </c>
      <c r="AY19" s="10">
        <f t="array" ref="AY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" s="10" t="n"/>
      <c r="BA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" s="17">
        <f>tbl_MTG_Set[[#This Row],[Collector Booster CardMarket Profit]]/tbl_MTG_Set[[#This Row],[Collector Booster Cost]]</f>
        <v/>
      </c>
      <c r="BC19" s="10" t="n"/>
      <c r="BF19" s="10">
        <f>tbl_MTG_Set[[#This Row],[Play Booster Sell Price CardMarket]]*tbl_MTG_Set[[#This Row],[Play Booster Expected Market Value]]/tbl_MTG_Set[[#This Row],[Play Boost Sealed Market Value]]</f>
        <v/>
      </c>
      <c r="BG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" s="10">
        <f>tbl_MTG_Set[[#This Row],[Play Singles CardMarket Profit]]/tbl_MTG_Set[[#This Row],[Play Booster Cost]]</f>
        <v/>
      </c>
      <c r="BI19" s="10">
        <f>tbl_MTG_Set[[#This Row],[Play Singles CardMarket Profit]]&gt;0</f>
        <v/>
      </c>
      <c r="BJ19" s="10" t="n"/>
      <c r="BK19" s="10" t="n"/>
      <c r="BL19" s="10">
        <f>tbl_MTG_Set[[#This Row],[Collector Booster Sell Price CardMarket]]*tbl_MTG_Set[[#This Row],[Collector Booster Expected Market Value]]/tbl_MTG_Set[[#This Row],[Collector Boost Sealed Market Value]]</f>
        <v/>
      </c>
      <c r="BM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" s="10">
        <f>tbl_MTG_Set[[#This Row],[Collector Singles CardMarket Profit]]/tbl_MTG_Set[[#This Row],[Collector Booster Cost]]</f>
        <v/>
      </c>
      <c r="BO19" s="10">
        <f>tbl_MTG_Set[[#This Row],[Collector Singles CardMarket Profit]]&gt;0</f>
        <v/>
      </c>
      <c r="BP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">
      <c r="A20" t="n">
        <v>18</v>
      </c>
      <c r="B20" t="inlineStr">
        <is>
          <t>Through the Omenpaths Bonus Sheet OMB</t>
        </is>
      </c>
      <c r="C20" t="n">
        <v>40</v>
      </c>
      <c r="D20" s="3" t="n">
        <v>45923</v>
      </c>
      <c r="F20" t="inlineStr">
        <is>
          <t>en es fr de it pt ja ko ru 汉语 漢語</t>
        </is>
      </c>
      <c r="G20" t="n">
        <v>19</v>
      </c>
      <c r="H20">
        <f>MONTH(NOW())+12*YEAR(NOW())-MONTH(tbl_MTG_Set[[#This Row],[Released On]])-12*YEAR(tbl_MTG_Set[[#This Row],[Released On]])</f>
        <v/>
      </c>
      <c r="I20">
        <f>_xlfn.XLOOKUP(tbl_MTG_Set[[#This Row],[Type Name]], tbl_MTG_Set_Type[Set Type], tbl_MTG_Set_Type[Index], "(Set Type not found)")</f>
        <v/>
      </c>
      <c r="J20">
        <f>_xlfn.XLOOKUP(tbl_MTG_Set[[#This Row],[Type Name]], tbl_MTG_Set_Type[Set Type], tbl_MTG_Set_Type[Buy Window Month Start], "(Set Type not found)")</f>
        <v/>
      </c>
      <c r="K20" s="3">
        <f>tbl_MTG_Set[[#This Row],[Released On]]+tbl_MTG_Set[[#This Row],[Buy Window Month Start]]*365.25/12</f>
        <v/>
      </c>
      <c r="L20">
        <f>_xlfn.XLOOKUP(tbl_MTG_Set[[#This Row],[Type Name]], tbl_MTG_Set_Type[Set Type], tbl_MTG_Set_Type[Buy Window Month End], "(Set Type not found)", 0, 1)</f>
        <v/>
      </c>
      <c r="M20" s="3">
        <f>tbl_MTG_Set[[#This Row],[Released On]]+tbl_MTG_Set[[#This Row],[Buy Window Month End]]*365.25/12</f>
        <v/>
      </c>
      <c r="N20" s="3">
        <f>AND(NOW()&gt;=tbl_MTG_Set[[#This Row],[Buy Window Start]], NOW()&lt;=tbl_MTG_Set[[#This Row],[Buy Window End]])</f>
        <v/>
      </c>
      <c r="O20">
        <f>_xlfn.XLOOKUP(tbl_MTG_Set[[#This Row],[Type Name]], tbl_MTG_Set_Type[Set Type], tbl_MTG_Set_Type[Heavy Printing Window Month Start], "(Set Type not found)", 0, 1)</f>
        <v/>
      </c>
      <c r="P20" s="3">
        <f>tbl_MTG_Set[[#This Row],[Released On]]+tbl_MTG_Set[[#This Row],[Heavy Printing Window Month Start]]*365.25/12</f>
        <v/>
      </c>
      <c r="Q20">
        <f>_xlfn.XLOOKUP(tbl_MTG_Set[[#This Row],[Type Name]], tbl_MTG_Set_Type[Set Type], tbl_MTG_Set_Type[Heavy Printing Window Month End], "(Set Type not found)", 0, 1)</f>
        <v/>
      </c>
      <c r="R20" s="3">
        <f>tbl_MTG_Set[[#This Row],[Released On]]+tbl_MTG_Set[[#This Row],[Heavy Printing Window Month End]]*365.25/12</f>
        <v/>
      </c>
      <c r="S20" s="3">
        <f>AND(NOW()&gt;=tbl_MTG_Set[[#This Row],[Heavy Printing Window Start]], NOW()&lt;=tbl_MTG_Set[[#This Row],[Heavy Printing Window End]])</f>
        <v/>
      </c>
      <c r="T20">
        <f>_xlfn.XLOOKUP(tbl_MTG_Set[[#This Row],[Type Name]], tbl_MTG_Set_Type[Set Type], tbl_MTG_Set_Type[Sell Window Month Start], "(Set Type not found)", 0, 1)</f>
        <v/>
      </c>
      <c r="U20" s="3">
        <f>tbl_MTG_Set[[#This Row],[Released On]]+tbl_MTG_Set[[#This Row],[Sell Window Month Start]]*365.25/12</f>
        <v/>
      </c>
      <c r="V20">
        <f>_xlfn.XLOOKUP(tbl_MTG_Set[[#This Row],[Type Name]], tbl_MTG_Set_Type[Set Type], tbl_MTG_Set_Type[Sell Window Month End], "(Set Type not found)", 0, 1)</f>
        <v/>
      </c>
      <c r="W20" s="3">
        <f>tbl_MTG_Set[[#This Row],[Released On]]+tbl_MTG_Set[[#This Row],[Sell Window Month End]]*365.25/12</f>
        <v/>
      </c>
      <c r="X20" s="3">
        <f>AND(NOW()&gt;=tbl_MTG_Set[[#This Row],[Sell Window Start]], NOW()&lt;=tbl_MTG_Set[[#This Row],[Sell Window End]])</f>
        <v/>
      </c>
      <c r="AG20" s="10" t="n"/>
      <c r="AH20" s="10" t="n"/>
      <c r="AM20" s="10">
        <f t="array" ref="AM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" s="10">
        <f t="array" ref="AN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" s="4">
        <f>_xlfn.XLOOKUP(tbl_MTG_Set[[#This Row],[Play Booster Box Product Id]], tbl_Product[Product Id], tbl_Product[Pack Size])</f>
        <v/>
      </c>
      <c r="AP20" s="10">
        <f>(tbl_MTG_Set[[#This Row],[Play Booster Box Cost]]+v_Item_Shipping_Cost_In)/tbl_MTG_Set[[#This Row],[Play Booster Box Size]]</f>
        <v/>
      </c>
      <c r="AQ20" s="10">
        <f t="array" ref="AQ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" s="10" t="n"/>
      <c r="AS20" s="10" t="n"/>
      <c r="AT20" s="17">
        <f>tbl_MTG_Set[[#This Row],[Play Booster CardMarket Profit]]/tbl_MTG_Set[[#This Row],[Play Booster Cost]]</f>
        <v/>
      </c>
      <c r="AU20" s="10">
        <f>_xlfn.XLOOKUP(tbl_MTG_Set[[#This Row],[Collector Booster Box Product Id]], tbl_Product[Product Id], tbl_Product[Min Cost])</f>
        <v/>
      </c>
      <c r="AV20" s="10">
        <f>_xlfn.XLOOKUP(tbl_MTG_Set[[#This Row],[Collector Booster Box Product Id]], tbl_Product[Product Id], tbl_Product[Best Source])</f>
        <v/>
      </c>
      <c r="AW20" s="4">
        <f>_xlfn.XLOOKUP(tbl_MTG_Set[[#This Row],[Collector Booster Box Product Id]], tbl_Product[Product Id], tbl_Product[Pack Size])</f>
        <v/>
      </c>
      <c r="AX20" s="10">
        <f>(tbl_MTG_Set[[#This Row],[Collector Booster Box Cost]] + v_Item_Shipping_Cost_In) / tbl_MTG_Set[[#This Row],[Collector Booster Box Size]]</f>
        <v/>
      </c>
      <c r="AY20" s="10">
        <f t="array" ref="AY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" s="10" t="n"/>
      <c r="BA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" s="17">
        <f>tbl_MTG_Set[[#This Row],[Collector Booster CardMarket Profit]]/tbl_MTG_Set[[#This Row],[Collector Booster Cost]]</f>
        <v/>
      </c>
      <c r="BC20" s="10" t="n"/>
      <c r="BF20" s="10">
        <f>tbl_MTG_Set[[#This Row],[Play Booster Sell Price CardMarket]]*tbl_MTG_Set[[#This Row],[Play Booster Expected Market Value]]/tbl_MTG_Set[[#This Row],[Play Boost Sealed Market Value]]</f>
        <v/>
      </c>
      <c r="BG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" s="10">
        <f>tbl_MTG_Set[[#This Row],[Play Singles CardMarket Profit]]/tbl_MTG_Set[[#This Row],[Play Booster Cost]]</f>
        <v/>
      </c>
      <c r="BI20" s="10">
        <f>tbl_MTG_Set[[#This Row],[Play Singles CardMarket Profit]]&gt;0</f>
        <v/>
      </c>
      <c r="BJ20" s="10" t="n"/>
      <c r="BK20" s="10" t="n"/>
      <c r="BL20" s="10">
        <f>tbl_MTG_Set[[#This Row],[Collector Booster Sell Price CardMarket]]*tbl_MTG_Set[[#This Row],[Collector Booster Expected Market Value]]/tbl_MTG_Set[[#This Row],[Collector Boost Sealed Market Value]]</f>
        <v/>
      </c>
      <c r="BM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" s="10">
        <f>tbl_MTG_Set[[#This Row],[Collector Singles CardMarket Profit]]/tbl_MTG_Set[[#This Row],[Collector Booster Cost]]</f>
        <v/>
      </c>
      <c r="BO20" s="10">
        <f>tbl_MTG_Set[[#This Row],[Collector Singles CardMarket Profit]]&gt;0</f>
        <v/>
      </c>
      <c r="BP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">
      <c r="A21" t="n">
        <v>19</v>
      </c>
      <c r="B21" t="inlineStr">
        <is>
          <t>Marvel Legends Series Inserts LMAR</t>
        </is>
      </c>
      <c r="C21" t="n">
        <v>4</v>
      </c>
      <c r="D21" s="3" t="n">
        <v>45930</v>
      </c>
      <c r="E21" t="inlineStr">
        <is>
          <t>Universes Beyond</t>
        </is>
      </c>
      <c r="F21" t="inlineStr">
        <is>
          <t>en es fr de it pt ja ko ru 汉语 漢語</t>
        </is>
      </c>
      <c r="G21" t="n">
        <v>20</v>
      </c>
      <c r="H21">
        <f>MONTH(NOW())+12*YEAR(NOW())-MONTH(tbl_MTG_Set[[#This Row],[Released On]])-12*YEAR(tbl_MTG_Set[[#This Row],[Released On]])</f>
        <v/>
      </c>
      <c r="I21">
        <f>_xlfn.XLOOKUP(tbl_MTG_Set[[#This Row],[Type Name]], tbl_MTG_Set_Type[Set Type], tbl_MTG_Set_Type[Index], "(Set Type not found)")</f>
        <v/>
      </c>
      <c r="J21">
        <f>_xlfn.XLOOKUP(tbl_MTG_Set[[#This Row],[Type Name]], tbl_MTG_Set_Type[Set Type], tbl_MTG_Set_Type[Buy Window Month Start], "(Set Type not found)")</f>
        <v/>
      </c>
      <c r="K21" s="3">
        <f>tbl_MTG_Set[[#This Row],[Released On]]+tbl_MTG_Set[[#This Row],[Buy Window Month Start]]*365.25/12</f>
        <v/>
      </c>
      <c r="L21">
        <f>_xlfn.XLOOKUP(tbl_MTG_Set[[#This Row],[Type Name]], tbl_MTG_Set_Type[Set Type], tbl_MTG_Set_Type[Buy Window Month End], "(Set Type not found)", 0, 1)</f>
        <v/>
      </c>
      <c r="M21" s="3">
        <f>tbl_MTG_Set[[#This Row],[Released On]]+tbl_MTG_Set[[#This Row],[Buy Window Month End]]*365.25/12</f>
        <v/>
      </c>
      <c r="N21" s="3">
        <f>AND(NOW()&gt;=tbl_MTG_Set[[#This Row],[Buy Window Start]], NOW()&lt;=tbl_MTG_Set[[#This Row],[Buy Window End]])</f>
        <v/>
      </c>
      <c r="O21">
        <f>_xlfn.XLOOKUP(tbl_MTG_Set[[#This Row],[Type Name]], tbl_MTG_Set_Type[Set Type], tbl_MTG_Set_Type[Heavy Printing Window Month Start], "(Set Type not found)", 0, 1)</f>
        <v/>
      </c>
      <c r="P21" s="3">
        <f>tbl_MTG_Set[[#This Row],[Released On]]+tbl_MTG_Set[[#This Row],[Heavy Printing Window Month Start]]*365.25/12</f>
        <v/>
      </c>
      <c r="Q21">
        <f>_xlfn.XLOOKUP(tbl_MTG_Set[[#This Row],[Type Name]], tbl_MTG_Set_Type[Set Type], tbl_MTG_Set_Type[Heavy Printing Window Month End], "(Set Type not found)", 0, 1)</f>
        <v/>
      </c>
      <c r="R21" s="3">
        <f>tbl_MTG_Set[[#This Row],[Released On]]+tbl_MTG_Set[[#This Row],[Heavy Printing Window Month End]]*365.25/12</f>
        <v/>
      </c>
      <c r="S21" s="3">
        <f>AND(NOW()&gt;=tbl_MTG_Set[[#This Row],[Heavy Printing Window Start]], NOW()&lt;=tbl_MTG_Set[[#This Row],[Heavy Printing Window End]])</f>
        <v/>
      </c>
      <c r="T21">
        <f>_xlfn.XLOOKUP(tbl_MTG_Set[[#This Row],[Type Name]], tbl_MTG_Set_Type[Set Type], tbl_MTG_Set_Type[Sell Window Month Start], "(Set Type not found)", 0, 1)</f>
        <v/>
      </c>
      <c r="U21" s="3">
        <f>tbl_MTG_Set[[#This Row],[Released On]]+tbl_MTG_Set[[#This Row],[Sell Window Month Start]]*365.25/12</f>
        <v/>
      </c>
      <c r="V21">
        <f>_xlfn.XLOOKUP(tbl_MTG_Set[[#This Row],[Type Name]], tbl_MTG_Set_Type[Set Type], tbl_MTG_Set_Type[Sell Window Month End], "(Set Type not found)", 0, 1)</f>
        <v/>
      </c>
      <c r="W21" s="3">
        <f>tbl_MTG_Set[[#This Row],[Released On]]+tbl_MTG_Set[[#This Row],[Sell Window Month End]]*365.25/12</f>
        <v/>
      </c>
      <c r="X21" s="3">
        <f>AND(NOW()&gt;=tbl_MTG_Set[[#This Row],[Sell Window Start]], NOW()&lt;=tbl_MTG_Set[[#This Row],[Sell Window End]])</f>
        <v/>
      </c>
      <c r="AG21" s="10" t="n"/>
      <c r="AH21" s="10" t="n"/>
      <c r="AM21" s="10">
        <f t="array" ref="AM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" s="10">
        <f t="array" ref="AN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" s="4">
        <f>_xlfn.XLOOKUP(tbl_MTG_Set[[#This Row],[Play Booster Box Product Id]], tbl_Product[Product Id], tbl_Product[Pack Size])</f>
        <v/>
      </c>
      <c r="AP21" s="10">
        <f>(tbl_MTG_Set[[#This Row],[Play Booster Box Cost]]+v_Item_Shipping_Cost_In)/tbl_MTG_Set[[#This Row],[Play Booster Box Size]]</f>
        <v/>
      </c>
      <c r="AQ21" s="10">
        <f t="array" ref="AQ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" s="10" t="n"/>
      <c r="AS21" s="10" t="n"/>
      <c r="AT21" s="17">
        <f>tbl_MTG_Set[[#This Row],[Play Booster CardMarket Profit]]/tbl_MTG_Set[[#This Row],[Play Booster Cost]]</f>
        <v/>
      </c>
      <c r="AU21" s="10">
        <f>_xlfn.XLOOKUP(tbl_MTG_Set[[#This Row],[Collector Booster Box Product Id]], tbl_Product[Product Id], tbl_Product[Min Cost])</f>
        <v/>
      </c>
      <c r="AV21" s="10">
        <f>_xlfn.XLOOKUP(tbl_MTG_Set[[#This Row],[Collector Booster Box Product Id]], tbl_Product[Product Id], tbl_Product[Best Source])</f>
        <v/>
      </c>
      <c r="AW21" s="4">
        <f>_xlfn.XLOOKUP(tbl_MTG_Set[[#This Row],[Collector Booster Box Product Id]], tbl_Product[Product Id], tbl_Product[Pack Size])</f>
        <v/>
      </c>
      <c r="AX21" s="10">
        <f>(tbl_MTG_Set[[#This Row],[Collector Booster Box Cost]] + v_Item_Shipping_Cost_In) / tbl_MTG_Set[[#This Row],[Collector Booster Box Size]]</f>
        <v/>
      </c>
      <c r="AY21" s="10">
        <f t="array" ref="AY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" s="10" t="n"/>
      <c r="BA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" s="17">
        <f>tbl_MTG_Set[[#This Row],[Collector Booster CardMarket Profit]]/tbl_MTG_Set[[#This Row],[Collector Booster Cost]]</f>
        <v/>
      </c>
      <c r="BC21" s="10" t="n"/>
      <c r="BF21" s="10">
        <f>tbl_MTG_Set[[#This Row],[Play Booster Sell Price CardMarket]]*tbl_MTG_Set[[#This Row],[Play Booster Expected Market Value]]/tbl_MTG_Set[[#This Row],[Play Boost Sealed Market Value]]</f>
        <v/>
      </c>
      <c r="BG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" s="10">
        <f>tbl_MTG_Set[[#This Row],[Play Singles CardMarket Profit]]/tbl_MTG_Set[[#This Row],[Play Booster Cost]]</f>
        <v/>
      </c>
      <c r="BI21" s="10">
        <f>tbl_MTG_Set[[#This Row],[Play Singles CardMarket Profit]]&gt;0</f>
        <v/>
      </c>
      <c r="BJ21" s="10" t="n"/>
      <c r="BK21" s="10" t="n"/>
      <c r="BL21" s="10">
        <f>tbl_MTG_Set[[#This Row],[Collector Booster Sell Price CardMarket]]*tbl_MTG_Set[[#This Row],[Collector Booster Expected Market Value]]/tbl_MTG_Set[[#This Row],[Collector Boost Sealed Market Value]]</f>
        <v/>
      </c>
      <c r="BM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" s="10">
        <f>tbl_MTG_Set[[#This Row],[Collector Singles CardMarket Profit]]/tbl_MTG_Set[[#This Row],[Collector Booster Cost]]</f>
        <v/>
      </c>
      <c r="BO21" s="10">
        <f>tbl_MTG_Set[[#This Row],[Collector Singles CardMarket Profit]]&gt;0</f>
        <v/>
      </c>
      <c r="BP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">
      <c r="A22" t="n">
        <v>20</v>
      </c>
      <c r="B22" t="inlineStr">
        <is>
          <t>Marvel's Spider-Man SPM</t>
        </is>
      </c>
      <c r="C22" t="n">
        <v>286</v>
      </c>
      <c r="D22" s="3" t="n">
        <v>45926</v>
      </c>
      <c r="E22" t="inlineStr">
        <is>
          <t>Universes Beyond</t>
        </is>
      </c>
      <c r="F22" t="inlineStr">
        <is>
          <t>en es fr de it pt ja ko ru 汉语 漢語</t>
        </is>
      </c>
      <c r="G22" t="n">
        <v>21</v>
      </c>
      <c r="H22">
        <f>MONTH(NOW())+12*YEAR(NOW())-MONTH(tbl_MTG_Set[[#This Row],[Released On]])-12*YEAR(tbl_MTG_Set[[#This Row],[Released On]])</f>
        <v/>
      </c>
      <c r="I22">
        <f>_xlfn.XLOOKUP(tbl_MTG_Set[[#This Row],[Type Name]], tbl_MTG_Set_Type[Set Type], tbl_MTG_Set_Type[Index], "(Set Type not found)")</f>
        <v/>
      </c>
      <c r="J22">
        <f>_xlfn.XLOOKUP(tbl_MTG_Set[[#This Row],[Type Name]], tbl_MTG_Set_Type[Set Type], tbl_MTG_Set_Type[Buy Window Month Start], "(Set Type not found)")</f>
        <v/>
      </c>
      <c r="K22" s="3">
        <f>tbl_MTG_Set[[#This Row],[Released On]]+tbl_MTG_Set[[#This Row],[Buy Window Month Start]]*365.25/12</f>
        <v/>
      </c>
      <c r="L22">
        <f>_xlfn.XLOOKUP(tbl_MTG_Set[[#This Row],[Type Name]], tbl_MTG_Set_Type[Set Type], tbl_MTG_Set_Type[Buy Window Month End], "(Set Type not found)", 0, 1)</f>
        <v/>
      </c>
      <c r="M22" s="3">
        <f>tbl_MTG_Set[[#This Row],[Released On]]+tbl_MTG_Set[[#This Row],[Buy Window Month End]]*365.25/12</f>
        <v/>
      </c>
      <c r="N22" s="3">
        <f>AND(NOW()&gt;=tbl_MTG_Set[[#This Row],[Buy Window Start]], NOW()&lt;=tbl_MTG_Set[[#This Row],[Buy Window End]])</f>
        <v/>
      </c>
      <c r="O22">
        <f>_xlfn.XLOOKUP(tbl_MTG_Set[[#This Row],[Type Name]], tbl_MTG_Set_Type[Set Type], tbl_MTG_Set_Type[Heavy Printing Window Month Start], "(Set Type not found)", 0, 1)</f>
        <v/>
      </c>
      <c r="P22" s="3">
        <f>tbl_MTG_Set[[#This Row],[Released On]]+tbl_MTG_Set[[#This Row],[Heavy Printing Window Month Start]]*365.25/12</f>
        <v/>
      </c>
      <c r="Q22">
        <f>_xlfn.XLOOKUP(tbl_MTG_Set[[#This Row],[Type Name]], tbl_MTG_Set_Type[Set Type], tbl_MTG_Set_Type[Heavy Printing Window Month End], "(Set Type not found)", 0, 1)</f>
        <v/>
      </c>
      <c r="R22" s="3">
        <f>tbl_MTG_Set[[#This Row],[Released On]]+tbl_MTG_Set[[#This Row],[Heavy Printing Window Month End]]*365.25/12</f>
        <v/>
      </c>
      <c r="S22" s="3">
        <f>AND(NOW()&gt;=tbl_MTG_Set[[#This Row],[Heavy Printing Window Start]], NOW()&lt;=tbl_MTG_Set[[#This Row],[Heavy Printing Window End]])</f>
        <v/>
      </c>
      <c r="T22">
        <f>_xlfn.XLOOKUP(tbl_MTG_Set[[#This Row],[Type Name]], tbl_MTG_Set_Type[Set Type], tbl_MTG_Set_Type[Sell Window Month Start], "(Set Type not found)", 0, 1)</f>
        <v/>
      </c>
      <c r="U22" s="3">
        <f>tbl_MTG_Set[[#This Row],[Released On]]+tbl_MTG_Set[[#This Row],[Sell Window Month Start]]*365.25/12</f>
        <v/>
      </c>
      <c r="V22">
        <f>_xlfn.XLOOKUP(tbl_MTG_Set[[#This Row],[Type Name]], tbl_MTG_Set_Type[Set Type], tbl_MTG_Set_Type[Sell Window Month End], "(Set Type not found)", 0, 1)</f>
        <v/>
      </c>
      <c r="W22" s="3">
        <f>tbl_MTG_Set[[#This Row],[Released On]]+tbl_MTG_Set[[#This Row],[Sell Window Month End]]*365.25/12</f>
        <v/>
      </c>
      <c r="X22" s="3">
        <f>AND(NOW()&gt;=tbl_MTG_Set[[#This Row],[Sell Window Start]], NOW()&lt;=tbl_MTG_Set[[#This Row],[Sell Window End]])</f>
        <v/>
      </c>
      <c r="Y22" s="10" t="n">
        <v>91</v>
      </c>
      <c r="Z22" s="10" t="n">
        <v>150</v>
      </c>
      <c r="AA22" s="10" t="n">
        <v>100</v>
      </c>
      <c r="AC22" s="10" t="n">
        <v>135</v>
      </c>
      <c r="AD22" s="10">
        <f>(Y22+96/20)/30</f>
        <v/>
      </c>
      <c r="AE22" s="10">
        <f>(Z22+96/20)/30</f>
        <v/>
      </c>
      <c r="AF22" s="10">
        <f>($AA$630+96/20)/30</f>
        <v/>
      </c>
      <c r="AG22" s="10" t="n"/>
      <c r="AH22" s="10" t="n"/>
      <c r="AI22" s="4" t="n">
        <v>64</v>
      </c>
      <c r="AJ22" s="4" t="n">
        <v>19</v>
      </c>
      <c r="AK22" s="4" t="n">
        <v>118</v>
      </c>
      <c r="AL22" s="4" t="n">
        <v>117</v>
      </c>
      <c r="AM22" s="10">
        <f t="array" ref="AM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" s="10">
        <f t="array" ref="AN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" s="4">
        <f>_xlfn.XLOOKUP(tbl_MTG_Set[[#This Row],[Play Booster Box Product Id]], tbl_Product[Product Id], tbl_Product[Pack Size])</f>
        <v/>
      </c>
      <c r="AP22" s="10">
        <f>(tbl_MTG_Set[[#This Row],[Play Booster Box Cost]]+v_Item_Shipping_Cost_In)/tbl_MTG_Set[[#This Row],[Play Booster Box Size]]</f>
        <v/>
      </c>
      <c r="AQ22" s="10">
        <f t="array" ref="AQ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" s="10" t="n">
        <v>6.5</v>
      </c>
      <c r="AS2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2" s="17">
        <f>tbl_MTG_Set[[#This Row],[Play Booster CardMarket Profit]]/tbl_MTG_Set[[#This Row],[Play Booster Cost]]</f>
        <v/>
      </c>
      <c r="AU22" s="10">
        <f>_xlfn.XLOOKUP(tbl_MTG_Set[[#This Row],[Collector Booster Box Product Id]], tbl_Product[Product Id], tbl_Product[Min Cost])</f>
        <v/>
      </c>
      <c r="AV22" s="10">
        <f>_xlfn.XLOOKUP(tbl_MTG_Set[[#This Row],[Collector Booster Box Product Id]], tbl_Product[Product Id], tbl_Product[Best Source])</f>
        <v/>
      </c>
      <c r="AW22" s="4">
        <f>_xlfn.XLOOKUP(tbl_MTG_Set[[#This Row],[Collector Booster Box Product Id]], tbl_Product[Product Id], tbl_Product[Pack Size])</f>
        <v/>
      </c>
      <c r="AX22" s="10">
        <f>(tbl_MTG_Set[[#This Row],[Collector Booster Box Cost]] + v_Item_Shipping_Cost_In) / tbl_MTG_Set[[#This Row],[Collector Booster Box Size]]</f>
        <v/>
      </c>
      <c r="AY22" s="10">
        <f t="array" ref="AY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" s="10" t="n"/>
      <c r="BA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" s="17">
        <f>tbl_MTG_Set[[#This Row],[Collector Booster CardMarket Profit]]/tbl_MTG_Set[[#This Row],[Collector Booster Cost]]</f>
        <v/>
      </c>
      <c r="BC22" s="15" t="inlineStr">
        <is>
          <t>https://www.mtgstocks.com/sets/2262-marvels-spider-man#ev</t>
        </is>
      </c>
      <c r="BD22" s="11" t="n">
        <v>6.14</v>
      </c>
      <c r="BE22" s="11" t="n">
        <v>4.73</v>
      </c>
      <c r="BF22" s="10">
        <f>tbl_MTG_Set[[#This Row],[Play Booster Sell Price CardMarket]]*tbl_MTG_Set[[#This Row],[Play Booster Expected Market Value]]/tbl_MTG_Set[[#This Row],[Play Boost Sealed Market Value]]</f>
        <v/>
      </c>
      <c r="BG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" s="17">
        <f>tbl_MTG_Set[[#This Row],[Play Singles CardMarket Profit]]/tbl_MTG_Set[[#This Row],[Play Booster Cost]]</f>
        <v/>
      </c>
      <c r="BI22" s="10">
        <f>tbl_MTG_Set[[#This Row],[Play Singles CardMarket Profit]]&gt;0</f>
        <v/>
      </c>
      <c r="BJ22" s="10" t="n">
        <v>27.96</v>
      </c>
      <c r="BK22" s="10" t="n">
        <v>32.12</v>
      </c>
      <c r="BL22" s="10">
        <f>tbl_MTG_Set[[#This Row],[Collector Booster Sell Price CardMarket]]*tbl_MTG_Set[[#This Row],[Collector Booster Expected Market Value]]/tbl_MTG_Set[[#This Row],[Collector Boost Sealed Market Value]]</f>
        <v/>
      </c>
      <c r="BM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" s="17">
        <f>tbl_MTG_Set[[#This Row],[Collector Singles CardMarket Profit]]/tbl_MTG_Set[[#This Row],[Collector Booster Cost]]</f>
        <v/>
      </c>
      <c r="BO22" s="10">
        <f>tbl_MTG_Set[[#This Row],[Collector Singles CardMarket Profit]]&gt;0</f>
        <v/>
      </c>
      <c r="BP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">
      <c r="A23" t="n">
        <v>21</v>
      </c>
      <c r="B23" t="inlineStr">
        <is>
          <t>Marvel's Spider-Man Promos PSPM</t>
        </is>
      </c>
      <c r="C23" t="n">
        <v>68</v>
      </c>
      <c r="D23" s="3" t="n">
        <v>45926</v>
      </c>
      <c r="E23" t="inlineStr">
        <is>
          <t>Universes Beyond</t>
        </is>
      </c>
      <c r="F23" t="inlineStr">
        <is>
          <t>en es fr de it pt ja ko ru 汉语 漢語</t>
        </is>
      </c>
      <c r="G23" t="n">
        <v>22</v>
      </c>
      <c r="H23">
        <f>MONTH(NOW())+12*YEAR(NOW())-MONTH(tbl_MTG_Set[[#This Row],[Released On]])-12*YEAR(tbl_MTG_Set[[#This Row],[Released On]])</f>
        <v/>
      </c>
      <c r="I23">
        <f>_xlfn.XLOOKUP(tbl_MTG_Set[[#This Row],[Type Name]], tbl_MTG_Set_Type[Set Type], tbl_MTG_Set_Type[Index], "(Set Type not found)")</f>
        <v/>
      </c>
      <c r="J23">
        <f>_xlfn.XLOOKUP(tbl_MTG_Set[[#This Row],[Type Name]], tbl_MTG_Set_Type[Set Type], tbl_MTG_Set_Type[Buy Window Month Start], "(Set Type not found)")</f>
        <v/>
      </c>
      <c r="K23" s="3">
        <f>tbl_MTG_Set[[#This Row],[Released On]]+tbl_MTG_Set[[#This Row],[Buy Window Month Start]]*365.25/12</f>
        <v/>
      </c>
      <c r="L23">
        <f>_xlfn.XLOOKUP(tbl_MTG_Set[[#This Row],[Type Name]], tbl_MTG_Set_Type[Set Type], tbl_MTG_Set_Type[Buy Window Month End], "(Set Type not found)", 0, 1)</f>
        <v/>
      </c>
      <c r="M23" s="3">
        <f>tbl_MTG_Set[[#This Row],[Released On]]+tbl_MTG_Set[[#This Row],[Buy Window Month End]]*365.25/12</f>
        <v/>
      </c>
      <c r="N23" s="3">
        <f>AND(NOW()&gt;=tbl_MTG_Set[[#This Row],[Buy Window Start]], NOW()&lt;=tbl_MTG_Set[[#This Row],[Buy Window End]])</f>
        <v/>
      </c>
      <c r="O23">
        <f>_xlfn.XLOOKUP(tbl_MTG_Set[[#This Row],[Type Name]], tbl_MTG_Set_Type[Set Type], tbl_MTG_Set_Type[Heavy Printing Window Month Start], "(Set Type not found)", 0, 1)</f>
        <v/>
      </c>
      <c r="P23" s="3">
        <f>tbl_MTG_Set[[#This Row],[Released On]]+tbl_MTG_Set[[#This Row],[Heavy Printing Window Month Start]]*365.25/12</f>
        <v/>
      </c>
      <c r="Q23">
        <f>_xlfn.XLOOKUP(tbl_MTG_Set[[#This Row],[Type Name]], tbl_MTG_Set_Type[Set Type], tbl_MTG_Set_Type[Heavy Printing Window Month End], "(Set Type not found)", 0, 1)</f>
        <v/>
      </c>
      <c r="R23" s="3">
        <f>tbl_MTG_Set[[#This Row],[Released On]]+tbl_MTG_Set[[#This Row],[Heavy Printing Window Month End]]*365.25/12</f>
        <v/>
      </c>
      <c r="S23" s="3">
        <f>AND(NOW()&gt;=tbl_MTG_Set[[#This Row],[Heavy Printing Window Start]], NOW()&lt;=tbl_MTG_Set[[#This Row],[Heavy Printing Window End]])</f>
        <v/>
      </c>
      <c r="T23">
        <f>_xlfn.XLOOKUP(tbl_MTG_Set[[#This Row],[Type Name]], tbl_MTG_Set_Type[Set Type], tbl_MTG_Set_Type[Sell Window Month Start], "(Set Type not found)", 0, 1)</f>
        <v/>
      </c>
      <c r="U23" s="3">
        <f>tbl_MTG_Set[[#This Row],[Released On]]+tbl_MTG_Set[[#This Row],[Sell Window Month Start]]*365.25/12</f>
        <v/>
      </c>
      <c r="V23">
        <f>_xlfn.XLOOKUP(tbl_MTG_Set[[#This Row],[Type Name]], tbl_MTG_Set_Type[Set Type], tbl_MTG_Set_Type[Sell Window Month End], "(Set Type not found)", 0, 1)</f>
        <v/>
      </c>
      <c r="W23" s="3">
        <f>tbl_MTG_Set[[#This Row],[Released On]]+tbl_MTG_Set[[#This Row],[Sell Window Month End]]*365.25/12</f>
        <v/>
      </c>
      <c r="X23" s="3">
        <f>AND(NOW()&gt;=tbl_MTG_Set[[#This Row],[Sell Window Start]], NOW()&lt;=tbl_MTG_Set[[#This Row],[Sell Window End]])</f>
        <v/>
      </c>
      <c r="AG23" s="10" t="n"/>
      <c r="AH23" s="10" t="n"/>
      <c r="AM23" s="10">
        <f t="array" ref="AM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" s="10">
        <f t="array" ref="AN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" s="4">
        <f>_xlfn.XLOOKUP(tbl_MTG_Set[[#This Row],[Play Booster Box Product Id]], tbl_Product[Product Id], tbl_Product[Pack Size])</f>
        <v/>
      </c>
      <c r="AP23" s="10">
        <f>(tbl_MTG_Set[[#This Row],[Play Booster Box Cost]]+v_Item_Shipping_Cost_In)/tbl_MTG_Set[[#This Row],[Play Booster Box Size]]</f>
        <v/>
      </c>
      <c r="AQ23" s="10">
        <f t="array" ref="AQ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" s="10" t="n"/>
      <c r="AS23" s="10" t="n"/>
      <c r="AT23" s="17">
        <f>tbl_MTG_Set[[#This Row],[Play Booster CardMarket Profit]]/tbl_MTG_Set[[#This Row],[Play Booster Cost]]</f>
        <v/>
      </c>
      <c r="AU23" s="10">
        <f>_xlfn.XLOOKUP(tbl_MTG_Set[[#This Row],[Collector Booster Box Product Id]], tbl_Product[Product Id], tbl_Product[Min Cost])</f>
        <v/>
      </c>
      <c r="AV23" s="10">
        <f>_xlfn.XLOOKUP(tbl_MTG_Set[[#This Row],[Collector Booster Box Product Id]], tbl_Product[Product Id], tbl_Product[Best Source])</f>
        <v/>
      </c>
      <c r="AW23" s="4">
        <f>_xlfn.XLOOKUP(tbl_MTG_Set[[#This Row],[Collector Booster Box Product Id]], tbl_Product[Product Id], tbl_Product[Pack Size])</f>
        <v/>
      </c>
      <c r="AX23" s="10">
        <f>(tbl_MTG_Set[[#This Row],[Collector Booster Box Cost]] + v_Item_Shipping_Cost_In) / tbl_MTG_Set[[#This Row],[Collector Booster Box Size]]</f>
        <v/>
      </c>
      <c r="AY23" s="10">
        <f t="array" ref="AY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" s="10" t="n"/>
      <c r="BA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" s="17">
        <f>tbl_MTG_Set[[#This Row],[Collector Booster CardMarket Profit]]/tbl_MTG_Set[[#This Row],[Collector Booster Cost]]</f>
        <v/>
      </c>
      <c r="BC23" s="10" t="n"/>
      <c r="BF23" s="10">
        <f>tbl_MTG_Set[[#This Row],[Play Booster Sell Price CardMarket]]*tbl_MTG_Set[[#This Row],[Play Booster Expected Market Value]]/tbl_MTG_Set[[#This Row],[Play Boost Sealed Market Value]]</f>
        <v/>
      </c>
      <c r="BG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" s="10">
        <f>tbl_MTG_Set[[#This Row],[Play Singles CardMarket Profit]]/tbl_MTG_Set[[#This Row],[Play Booster Cost]]</f>
        <v/>
      </c>
      <c r="BI23" s="10">
        <f>tbl_MTG_Set[[#This Row],[Play Singles CardMarket Profit]]&gt;0</f>
        <v/>
      </c>
      <c r="BJ23" s="10" t="n"/>
      <c r="BK23" s="10" t="n"/>
      <c r="BL23" s="10">
        <f>tbl_MTG_Set[[#This Row],[Collector Booster Sell Price CardMarket]]*tbl_MTG_Set[[#This Row],[Collector Booster Expected Market Value]]/tbl_MTG_Set[[#This Row],[Collector Boost Sealed Market Value]]</f>
        <v/>
      </c>
      <c r="BM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" s="10">
        <f>tbl_MTG_Set[[#This Row],[Collector Singles CardMarket Profit]]/tbl_MTG_Set[[#This Row],[Collector Booster Cost]]</f>
        <v/>
      </c>
      <c r="BO23" s="10">
        <f>tbl_MTG_Set[[#This Row],[Collector Singles CardMarket Profit]]&gt;0</f>
        <v/>
      </c>
      <c r="BP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">
      <c r="A24" t="n">
        <v>22</v>
      </c>
      <c r="B24" t="inlineStr">
        <is>
          <t>Marvel's Spider-Man Tokens TSPM</t>
        </is>
      </c>
      <c r="C24" t="n">
        <v>7</v>
      </c>
      <c r="D24" s="3" t="n">
        <v>45926</v>
      </c>
      <c r="E24" t="inlineStr">
        <is>
          <t>Universes Beyond</t>
        </is>
      </c>
      <c r="F24" t="inlineStr">
        <is>
          <t>en es fr de it pt ja ko ru 汉语 漢語</t>
        </is>
      </c>
      <c r="G24" t="n">
        <v>23</v>
      </c>
      <c r="H24">
        <f>MONTH(NOW())+12*YEAR(NOW())-MONTH(tbl_MTG_Set[[#This Row],[Released On]])-12*YEAR(tbl_MTG_Set[[#This Row],[Released On]])</f>
        <v/>
      </c>
      <c r="I24">
        <f>_xlfn.XLOOKUP(tbl_MTG_Set[[#This Row],[Type Name]], tbl_MTG_Set_Type[Set Type], tbl_MTG_Set_Type[Index], "(Set Type not found)")</f>
        <v/>
      </c>
      <c r="J24">
        <f>_xlfn.XLOOKUP(tbl_MTG_Set[[#This Row],[Type Name]], tbl_MTG_Set_Type[Set Type], tbl_MTG_Set_Type[Buy Window Month Start], "(Set Type not found)")</f>
        <v/>
      </c>
      <c r="K24" s="3">
        <f>tbl_MTG_Set[[#This Row],[Released On]]+tbl_MTG_Set[[#This Row],[Buy Window Month Start]]*365.25/12</f>
        <v/>
      </c>
      <c r="L24">
        <f>_xlfn.XLOOKUP(tbl_MTG_Set[[#This Row],[Type Name]], tbl_MTG_Set_Type[Set Type], tbl_MTG_Set_Type[Buy Window Month End], "(Set Type not found)", 0, 1)</f>
        <v/>
      </c>
      <c r="M24" s="3">
        <f>tbl_MTG_Set[[#This Row],[Released On]]+tbl_MTG_Set[[#This Row],[Buy Window Month End]]*365.25/12</f>
        <v/>
      </c>
      <c r="N24" s="3">
        <f>AND(NOW()&gt;=tbl_MTG_Set[[#This Row],[Buy Window Start]], NOW()&lt;=tbl_MTG_Set[[#This Row],[Buy Window End]])</f>
        <v/>
      </c>
      <c r="O24">
        <f>_xlfn.XLOOKUP(tbl_MTG_Set[[#This Row],[Type Name]], tbl_MTG_Set_Type[Set Type], tbl_MTG_Set_Type[Heavy Printing Window Month Start], "(Set Type not found)", 0, 1)</f>
        <v/>
      </c>
      <c r="P24" s="3">
        <f>tbl_MTG_Set[[#This Row],[Released On]]+tbl_MTG_Set[[#This Row],[Heavy Printing Window Month Start]]*365.25/12</f>
        <v/>
      </c>
      <c r="Q24">
        <f>_xlfn.XLOOKUP(tbl_MTG_Set[[#This Row],[Type Name]], tbl_MTG_Set_Type[Set Type], tbl_MTG_Set_Type[Heavy Printing Window Month End], "(Set Type not found)", 0, 1)</f>
        <v/>
      </c>
      <c r="R24" s="3">
        <f>tbl_MTG_Set[[#This Row],[Released On]]+tbl_MTG_Set[[#This Row],[Heavy Printing Window Month End]]*365.25/12</f>
        <v/>
      </c>
      <c r="S24" s="3">
        <f>AND(NOW()&gt;=tbl_MTG_Set[[#This Row],[Heavy Printing Window Start]], NOW()&lt;=tbl_MTG_Set[[#This Row],[Heavy Printing Window End]])</f>
        <v/>
      </c>
      <c r="T24">
        <f>_xlfn.XLOOKUP(tbl_MTG_Set[[#This Row],[Type Name]], tbl_MTG_Set_Type[Set Type], tbl_MTG_Set_Type[Sell Window Month Start], "(Set Type not found)", 0, 1)</f>
        <v/>
      </c>
      <c r="U24" s="3">
        <f>tbl_MTG_Set[[#This Row],[Released On]]+tbl_MTG_Set[[#This Row],[Sell Window Month Start]]*365.25/12</f>
        <v/>
      </c>
      <c r="V24">
        <f>_xlfn.XLOOKUP(tbl_MTG_Set[[#This Row],[Type Name]], tbl_MTG_Set_Type[Set Type], tbl_MTG_Set_Type[Sell Window Month End], "(Set Type not found)", 0, 1)</f>
        <v/>
      </c>
      <c r="W24" s="3">
        <f>tbl_MTG_Set[[#This Row],[Released On]]+tbl_MTG_Set[[#This Row],[Sell Window Month End]]*365.25/12</f>
        <v/>
      </c>
      <c r="X24" s="3">
        <f>AND(NOW()&gt;=tbl_MTG_Set[[#This Row],[Sell Window Start]], NOW()&lt;=tbl_MTG_Set[[#This Row],[Sell Window End]])</f>
        <v/>
      </c>
      <c r="AG24" s="10" t="n"/>
      <c r="AH24" s="10" t="n"/>
      <c r="AM24" s="10">
        <f t="array" ref="AM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" s="10">
        <f t="array" ref="AN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" s="4">
        <f>_xlfn.XLOOKUP(tbl_MTG_Set[[#This Row],[Play Booster Box Product Id]], tbl_Product[Product Id], tbl_Product[Pack Size])</f>
        <v/>
      </c>
      <c r="AP24" s="10">
        <f>(tbl_MTG_Set[[#This Row],[Play Booster Box Cost]]+v_Item_Shipping_Cost_In)/tbl_MTG_Set[[#This Row],[Play Booster Box Size]]</f>
        <v/>
      </c>
      <c r="AQ24" s="10">
        <f t="array" ref="AQ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" s="10" t="n"/>
      <c r="AS24" s="10" t="n"/>
      <c r="AT24" s="17">
        <f>tbl_MTG_Set[[#This Row],[Play Booster CardMarket Profit]]/tbl_MTG_Set[[#This Row],[Play Booster Cost]]</f>
        <v/>
      </c>
      <c r="AU24" s="10">
        <f>_xlfn.XLOOKUP(tbl_MTG_Set[[#This Row],[Collector Booster Box Product Id]], tbl_Product[Product Id], tbl_Product[Min Cost])</f>
        <v/>
      </c>
      <c r="AV24" s="10">
        <f>_xlfn.XLOOKUP(tbl_MTG_Set[[#This Row],[Collector Booster Box Product Id]], tbl_Product[Product Id], tbl_Product[Best Source])</f>
        <v/>
      </c>
      <c r="AW24" s="4">
        <f>_xlfn.XLOOKUP(tbl_MTG_Set[[#This Row],[Collector Booster Box Product Id]], tbl_Product[Product Id], tbl_Product[Pack Size])</f>
        <v/>
      </c>
      <c r="AX24" s="10">
        <f>(tbl_MTG_Set[[#This Row],[Collector Booster Box Cost]] + v_Item_Shipping_Cost_In) / tbl_MTG_Set[[#This Row],[Collector Booster Box Size]]</f>
        <v/>
      </c>
      <c r="AY24" s="10">
        <f t="array" ref="AY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" s="10" t="n"/>
      <c r="BA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" s="17">
        <f>tbl_MTG_Set[[#This Row],[Collector Booster CardMarket Profit]]/tbl_MTG_Set[[#This Row],[Collector Booster Cost]]</f>
        <v/>
      </c>
      <c r="BC24" s="10" t="n"/>
      <c r="BF24" s="10">
        <f>tbl_MTG_Set[[#This Row],[Play Booster Sell Price CardMarket]]*tbl_MTG_Set[[#This Row],[Play Booster Expected Market Value]]/tbl_MTG_Set[[#This Row],[Play Boost Sealed Market Value]]</f>
        <v/>
      </c>
      <c r="BG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" s="10">
        <f>tbl_MTG_Set[[#This Row],[Play Singles CardMarket Profit]]/tbl_MTG_Set[[#This Row],[Play Booster Cost]]</f>
        <v/>
      </c>
      <c r="BI24" s="10">
        <f>tbl_MTG_Set[[#This Row],[Play Singles CardMarket Profit]]&gt;0</f>
        <v/>
      </c>
      <c r="BJ24" s="10" t="n"/>
      <c r="BK24" s="10" t="n"/>
      <c r="BL24" s="10">
        <f>tbl_MTG_Set[[#This Row],[Collector Booster Sell Price CardMarket]]*tbl_MTG_Set[[#This Row],[Collector Booster Expected Market Value]]/tbl_MTG_Set[[#This Row],[Collector Boost Sealed Market Value]]</f>
        <v/>
      </c>
      <c r="BM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" s="10">
        <f>tbl_MTG_Set[[#This Row],[Collector Singles CardMarket Profit]]/tbl_MTG_Set[[#This Row],[Collector Booster Cost]]</f>
        <v/>
      </c>
      <c r="BO24" s="10">
        <f>tbl_MTG_Set[[#This Row],[Collector Singles CardMarket Profit]]&gt;0</f>
        <v/>
      </c>
      <c r="BP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">
      <c r="A25" t="n">
        <v>23</v>
      </c>
      <c r="B25" t="inlineStr">
        <is>
          <t>Marvel's Spider-Man Eternal SPE</t>
        </is>
      </c>
      <c r="C25" t="n">
        <v>26</v>
      </c>
      <c r="D25" s="3" t="n">
        <v>45926</v>
      </c>
      <c r="E25" t="inlineStr">
        <is>
          <t>Universes Beyond</t>
        </is>
      </c>
      <c r="F25" t="inlineStr">
        <is>
          <t>en es fr de it pt ja ko ru 汉语 漢語</t>
        </is>
      </c>
      <c r="G25" t="n">
        <v>24</v>
      </c>
      <c r="H25">
        <f>MONTH(NOW())+12*YEAR(NOW())-MONTH(tbl_MTG_Set[[#This Row],[Released On]])-12*YEAR(tbl_MTG_Set[[#This Row],[Released On]])</f>
        <v/>
      </c>
      <c r="I25">
        <f>_xlfn.XLOOKUP(tbl_MTG_Set[[#This Row],[Type Name]], tbl_MTG_Set_Type[Set Type], tbl_MTG_Set_Type[Index], "(Set Type not found)")</f>
        <v/>
      </c>
      <c r="J25">
        <f>_xlfn.XLOOKUP(tbl_MTG_Set[[#This Row],[Type Name]], tbl_MTG_Set_Type[Set Type], tbl_MTG_Set_Type[Buy Window Month Start], "(Set Type not found)")</f>
        <v/>
      </c>
      <c r="K25" s="3">
        <f>tbl_MTG_Set[[#This Row],[Released On]]+tbl_MTG_Set[[#This Row],[Buy Window Month Start]]*365.25/12</f>
        <v/>
      </c>
      <c r="L25">
        <f>_xlfn.XLOOKUP(tbl_MTG_Set[[#This Row],[Type Name]], tbl_MTG_Set_Type[Set Type], tbl_MTG_Set_Type[Buy Window Month End], "(Set Type not found)", 0, 1)</f>
        <v/>
      </c>
      <c r="M25" s="3">
        <f>tbl_MTG_Set[[#This Row],[Released On]]+tbl_MTG_Set[[#This Row],[Buy Window Month End]]*365.25/12</f>
        <v/>
      </c>
      <c r="N25" s="3">
        <f>AND(NOW()&gt;=tbl_MTG_Set[[#This Row],[Buy Window Start]], NOW()&lt;=tbl_MTG_Set[[#This Row],[Buy Window End]])</f>
        <v/>
      </c>
      <c r="O25">
        <f>_xlfn.XLOOKUP(tbl_MTG_Set[[#This Row],[Type Name]], tbl_MTG_Set_Type[Set Type], tbl_MTG_Set_Type[Heavy Printing Window Month Start], "(Set Type not found)", 0, 1)</f>
        <v/>
      </c>
      <c r="P25" s="3">
        <f>tbl_MTG_Set[[#This Row],[Released On]]+tbl_MTG_Set[[#This Row],[Heavy Printing Window Month Start]]*365.25/12</f>
        <v/>
      </c>
      <c r="Q25">
        <f>_xlfn.XLOOKUP(tbl_MTG_Set[[#This Row],[Type Name]], tbl_MTG_Set_Type[Set Type], tbl_MTG_Set_Type[Heavy Printing Window Month End], "(Set Type not found)", 0, 1)</f>
        <v/>
      </c>
      <c r="R25" s="3">
        <f>tbl_MTG_Set[[#This Row],[Released On]]+tbl_MTG_Set[[#This Row],[Heavy Printing Window Month End]]*365.25/12</f>
        <v/>
      </c>
      <c r="S25" s="3">
        <f>AND(NOW()&gt;=tbl_MTG_Set[[#This Row],[Heavy Printing Window Start]], NOW()&lt;=tbl_MTG_Set[[#This Row],[Heavy Printing Window End]])</f>
        <v/>
      </c>
      <c r="T25">
        <f>_xlfn.XLOOKUP(tbl_MTG_Set[[#This Row],[Type Name]], tbl_MTG_Set_Type[Set Type], tbl_MTG_Set_Type[Sell Window Month Start], "(Set Type not found)", 0, 1)</f>
        <v/>
      </c>
      <c r="U25" s="3">
        <f>tbl_MTG_Set[[#This Row],[Released On]]+tbl_MTG_Set[[#This Row],[Sell Window Month Start]]*365.25/12</f>
        <v/>
      </c>
      <c r="V25">
        <f>_xlfn.XLOOKUP(tbl_MTG_Set[[#This Row],[Type Name]], tbl_MTG_Set_Type[Set Type], tbl_MTG_Set_Type[Sell Window Month End], "(Set Type not found)", 0, 1)</f>
        <v/>
      </c>
      <c r="W25" s="3">
        <f>tbl_MTG_Set[[#This Row],[Released On]]+tbl_MTG_Set[[#This Row],[Sell Window Month End]]*365.25/12</f>
        <v/>
      </c>
      <c r="X25" s="3">
        <f>AND(NOW()&gt;=tbl_MTG_Set[[#This Row],[Sell Window Start]], NOW()&lt;=tbl_MTG_Set[[#This Row],[Sell Window End]])</f>
        <v/>
      </c>
      <c r="AG25" s="10" t="n"/>
      <c r="AH25" s="10" t="n"/>
      <c r="AM25" s="10">
        <f t="array" ref="AM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" s="10">
        <f t="array" ref="AN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" s="4">
        <f>_xlfn.XLOOKUP(tbl_MTG_Set[[#This Row],[Play Booster Box Product Id]], tbl_Product[Product Id], tbl_Product[Pack Size])</f>
        <v/>
      </c>
      <c r="AP25" s="10">
        <f>(tbl_MTG_Set[[#This Row],[Play Booster Box Cost]]+v_Item_Shipping_Cost_In)/tbl_MTG_Set[[#This Row],[Play Booster Box Size]]</f>
        <v/>
      </c>
      <c r="AQ25" s="10">
        <f t="array" ref="AQ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" s="10" t="n"/>
      <c r="AS25" s="10" t="n"/>
      <c r="AT25" s="17">
        <f>tbl_MTG_Set[[#This Row],[Play Booster CardMarket Profit]]/tbl_MTG_Set[[#This Row],[Play Booster Cost]]</f>
        <v/>
      </c>
      <c r="AU25" s="10">
        <f>_xlfn.XLOOKUP(tbl_MTG_Set[[#This Row],[Collector Booster Box Product Id]], tbl_Product[Product Id], tbl_Product[Min Cost])</f>
        <v/>
      </c>
      <c r="AV25" s="10">
        <f>_xlfn.XLOOKUP(tbl_MTG_Set[[#This Row],[Collector Booster Box Product Id]], tbl_Product[Product Id], tbl_Product[Best Source])</f>
        <v/>
      </c>
      <c r="AW25" s="4">
        <f>_xlfn.XLOOKUP(tbl_MTG_Set[[#This Row],[Collector Booster Box Product Id]], tbl_Product[Product Id], tbl_Product[Pack Size])</f>
        <v/>
      </c>
      <c r="AX25" s="10">
        <f>(tbl_MTG_Set[[#This Row],[Collector Booster Box Cost]] + v_Item_Shipping_Cost_In) / tbl_MTG_Set[[#This Row],[Collector Booster Box Size]]</f>
        <v/>
      </c>
      <c r="AY25" s="10">
        <f t="array" ref="AY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" s="10" t="n"/>
      <c r="BA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" s="17">
        <f>tbl_MTG_Set[[#This Row],[Collector Booster CardMarket Profit]]/tbl_MTG_Set[[#This Row],[Collector Booster Cost]]</f>
        <v/>
      </c>
      <c r="BC25" s="10" t="n"/>
      <c r="BF25" s="10">
        <f>tbl_MTG_Set[[#This Row],[Play Booster Sell Price CardMarket]]*tbl_MTG_Set[[#This Row],[Play Booster Expected Market Value]]/tbl_MTG_Set[[#This Row],[Play Boost Sealed Market Value]]</f>
        <v/>
      </c>
      <c r="BG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" s="10">
        <f>tbl_MTG_Set[[#This Row],[Play Singles CardMarket Profit]]/tbl_MTG_Set[[#This Row],[Play Booster Cost]]</f>
        <v/>
      </c>
      <c r="BI25" s="10">
        <f>tbl_MTG_Set[[#This Row],[Play Singles CardMarket Profit]]&gt;0</f>
        <v/>
      </c>
      <c r="BJ25" s="10" t="n"/>
      <c r="BK25" s="10" t="n"/>
      <c r="BL25" s="10">
        <f>tbl_MTG_Set[[#This Row],[Collector Booster Sell Price CardMarket]]*tbl_MTG_Set[[#This Row],[Collector Booster Expected Market Value]]/tbl_MTG_Set[[#This Row],[Collector Boost Sealed Market Value]]</f>
        <v/>
      </c>
      <c r="BM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" s="10">
        <f>tbl_MTG_Set[[#This Row],[Collector Singles CardMarket Profit]]/tbl_MTG_Set[[#This Row],[Collector Booster Cost]]</f>
        <v/>
      </c>
      <c r="BO25" s="10">
        <f>tbl_MTG_Set[[#This Row],[Collector Singles CardMarket Profit]]&gt;0</f>
        <v/>
      </c>
      <c r="BP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">
      <c r="A26" t="n">
        <v>24</v>
      </c>
      <c r="B26" t="inlineStr">
        <is>
          <t>Through the Omenpaths OM1</t>
        </is>
      </c>
      <c r="C26" t="n">
        <v>189</v>
      </c>
      <c r="D26" s="3" t="n">
        <v>45923</v>
      </c>
      <c r="F26" t="inlineStr">
        <is>
          <t>en es fr de it pt ja ko ru 汉语 漢語</t>
        </is>
      </c>
      <c r="G26" t="n">
        <v>25</v>
      </c>
      <c r="H26">
        <f>MONTH(NOW())+12*YEAR(NOW())-MONTH(tbl_MTG_Set[[#This Row],[Released On]])-12*YEAR(tbl_MTG_Set[[#This Row],[Released On]])</f>
        <v/>
      </c>
      <c r="I26">
        <f>_xlfn.XLOOKUP(tbl_MTG_Set[[#This Row],[Type Name]], tbl_MTG_Set_Type[Set Type], tbl_MTG_Set_Type[Index], "(Set Type not found)")</f>
        <v/>
      </c>
      <c r="J26">
        <f>_xlfn.XLOOKUP(tbl_MTG_Set[[#This Row],[Type Name]], tbl_MTG_Set_Type[Set Type], tbl_MTG_Set_Type[Buy Window Month Start], "(Set Type not found)")</f>
        <v/>
      </c>
      <c r="K26" s="3">
        <f>tbl_MTG_Set[[#This Row],[Released On]]+tbl_MTG_Set[[#This Row],[Buy Window Month Start]]*365.25/12</f>
        <v/>
      </c>
      <c r="L26">
        <f>_xlfn.XLOOKUP(tbl_MTG_Set[[#This Row],[Type Name]], tbl_MTG_Set_Type[Set Type], tbl_MTG_Set_Type[Buy Window Month End], "(Set Type not found)", 0, 1)</f>
        <v/>
      </c>
      <c r="M26" s="3">
        <f>tbl_MTG_Set[[#This Row],[Released On]]+tbl_MTG_Set[[#This Row],[Buy Window Month End]]*365.25/12</f>
        <v/>
      </c>
      <c r="N26" s="3">
        <f>AND(NOW()&gt;=tbl_MTG_Set[[#This Row],[Buy Window Start]], NOW()&lt;=tbl_MTG_Set[[#This Row],[Buy Window End]])</f>
        <v/>
      </c>
      <c r="O26">
        <f>_xlfn.XLOOKUP(tbl_MTG_Set[[#This Row],[Type Name]], tbl_MTG_Set_Type[Set Type], tbl_MTG_Set_Type[Heavy Printing Window Month Start], "(Set Type not found)", 0, 1)</f>
        <v/>
      </c>
      <c r="P26" s="3">
        <f>tbl_MTG_Set[[#This Row],[Released On]]+tbl_MTG_Set[[#This Row],[Heavy Printing Window Month Start]]*365.25/12</f>
        <v/>
      </c>
      <c r="Q26">
        <f>_xlfn.XLOOKUP(tbl_MTG_Set[[#This Row],[Type Name]], tbl_MTG_Set_Type[Set Type], tbl_MTG_Set_Type[Heavy Printing Window Month End], "(Set Type not found)", 0, 1)</f>
        <v/>
      </c>
      <c r="R26" s="3">
        <f>tbl_MTG_Set[[#This Row],[Released On]]+tbl_MTG_Set[[#This Row],[Heavy Printing Window Month End]]*365.25/12</f>
        <v/>
      </c>
      <c r="S26" s="3">
        <f>AND(NOW()&gt;=tbl_MTG_Set[[#This Row],[Heavy Printing Window Start]], NOW()&lt;=tbl_MTG_Set[[#This Row],[Heavy Printing Window End]])</f>
        <v/>
      </c>
      <c r="T26">
        <f>_xlfn.XLOOKUP(tbl_MTG_Set[[#This Row],[Type Name]], tbl_MTG_Set_Type[Set Type], tbl_MTG_Set_Type[Sell Window Month Start], "(Set Type not found)", 0, 1)</f>
        <v/>
      </c>
      <c r="U26" s="3">
        <f>tbl_MTG_Set[[#This Row],[Released On]]+tbl_MTG_Set[[#This Row],[Sell Window Month Start]]*365.25/12</f>
        <v/>
      </c>
      <c r="V26">
        <f>_xlfn.XLOOKUP(tbl_MTG_Set[[#This Row],[Type Name]], tbl_MTG_Set_Type[Set Type], tbl_MTG_Set_Type[Sell Window Month End], "(Set Type not found)", 0, 1)</f>
        <v/>
      </c>
      <c r="W26" s="3">
        <f>tbl_MTG_Set[[#This Row],[Released On]]+tbl_MTG_Set[[#This Row],[Sell Window Month End]]*365.25/12</f>
        <v/>
      </c>
      <c r="X26" s="3">
        <f>AND(NOW()&gt;=tbl_MTG_Set[[#This Row],[Sell Window Start]], NOW()&lt;=tbl_MTG_Set[[#This Row],[Sell Window End]])</f>
        <v/>
      </c>
      <c r="AG26" s="10" t="n"/>
      <c r="AH26" s="10" t="n"/>
      <c r="AM26" s="10">
        <f t="array" ref="AM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" s="10">
        <f t="array" ref="AN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" s="4">
        <f>_xlfn.XLOOKUP(tbl_MTG_Set[[#This Row],[Play Booster Box Product Id]], tbl_Product[Product Id], tbl_Product[Pack Size])</f>
        <v/>
      </c>
      <c r="AP26" s="10">
        <f>(tbl_MTG_Set[[#This Row],[Play Booster Box Cost]]+v_Item_Shipping_Cost_In)/tbl_MTG_Set[[#This Row],[Play Booster Box Size]]</f>
        <v/>
      </c>
      <c r="AQ26" s="10">
        <f t="array" ref="AQ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" s="10" t="n"/>
      <c r="AS26" s="10" t="n"/>
      <c r="AT26" s="17">
        <f>tbl_MTG_Set[[#This Row],[Play Booster CardMarket Profit]]/tbl_MTG_Set[[#This Row],[Play Booster Cost]]</f>
        <v/>
      </c>
      <c r="AU26" s="10">
        <f>_xlfn.XLOOKUP(tbl_MTG_Set[[#This Row],[Collector Booster Box Product Id]], tbl_Product[Product Id], tbl_Product[Min Cost])</f>
        <v/>
      </c>
      <c r="AV26" s="10">
        <f>_xlfn.XLOOKUP(tbl_MTG_Set[[#This Row],[Collector Booster Box Product Id]], tbl_Product[Product Id], tbl_Product[Best Source])</f>
        <v/>
      </c>
      <c r="AW26" s="4">
        <f>_xlfn.XLOOKUP(tbl_MTG_Set[[#This Row],[Collector Booster Box Product Id]], tbl_Product[Product Id], tbl_Product[Pack Size])</f>
        <v/>
      </c>
      <c r="AX26" s="10">
        <f>(tbl_MTG_Set[[#This Row],[Collector Booster Box Cost]] + v_Item_Shipping_Cost_In) / tbl_MTG_Set[[#This Row],[Collector Booster Box Size]]</f>
        <v/>
      </c>
      <c r="AY26" s="10">
        <f t="array" ref="AY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" s="10" t="n"/>
      <c r="BA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" s="17">
        <f>tbl_MTG_Set[[#This Row],[Collector Booster CardMarket Profit]]/tbl_MTG_Set[[#This Row],[Collector Booster Cost]]</f>
        <v/>
      </c>
      <c r="BC26" s="10" t="n"/>
      <c r="BF26" s="10">
        <f>tbl_MTG_Set[[#This Row],[Play Booster Sell Price CardMarket]]*tbl_MTG_Set[[#This Row],[Play Booster Expected Market Value]]/tbl_MTG_Set[[#This Row],[Play Boost Sealed Market Value]]</f>
        <v/>
      </c>
      <c r="BG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" s="10">
        <f>tbl_MTG_Set[[#This Row],[Play Singles CardMarket Profit]]/tbl_MTG_Set[[#This Row],[Play Booster Cost]]</f>
        <v/>
      </c>
      <c r="BI26" s="10">
        <f>tbl_MTG_Set[[#This Row],[Play Singles CardMarket Profit]]&gt;0</f>
        <v/>
      </c>
      <c r="BJ26" s="10" t="n"/>
      <c r="BK26" s="10" t="n"/>
      <c r="BL26" s="10">
        <f>tbl_MTG_Set[[#This Row],[Collector Booster Sell Price CardMarket]]*tbl_MTG_Set[[#This Row],[Collector Booster Expected Market Value]]/tbl_MTG_Set[[#This Row],[Collector Boost Sealed Market Value]]</f>
        <v/>
      </c>
      <c r="BM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" s="10">
        <f>tbl_MTG_Set[[#This Row],[Collector Singles CardMarket Profit]]/tbl_MTG_Set[[#This Row],[Collector Booster Cost]]</f>
        <v/>
      </c>
      <c r="BO26" s="10">
        <f>tbl_MTG_Set[[#This Row],[Collector Singles CardMarket Profit]]&gt;0</f>
        <v/>
      </c>
      <c r="BP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">
      <c r="A27" t="n">
        <v>25</v>
      </c>
      <c r="B27" t="inlineStr">
        <is>
          <t>Arena Anthology 4 AA4</t>
        </is>
      </c>
      <c r="C27" t="n">
        <v>28</v>
      </c>
      <c r="D27" s="3" t="n">
        <v>45923</v>
      </c>
      <c r="F27" t="inlineStr">
        <is>
          <t>en es fr de it pt ja ko ru 汉语 漢語</t>
        </is>
      </c>
      <c r="G27" t="n">
        <v>26</v>
      </c>
      <c r="H27">
        <f>MONTH(NOW())+12*YEAR(NOW())-MONTH(tbl_MTG_Set[[#This Row],[Released On]])-12*YEAR(tbl_MTG_Set[[#This Row],[Released On]])</f>
        <v/>
      </c>
      <c r="I27">
        <f>_xlfn.XLOOKUP(tbl_MTG_Set[[#This Row],[Type Name]], tbl_MTG_Set_Type[Set Type], tbl_MTG_Set_Type[Index], "(Set Type not found)")</f>
        <v/>
      </c>
      <c r="J27">
        <f>_xlfn.XLOOKUP(tbl_MTG_Set[[#This Row],[Type Name]], tbl_MTG_Set_Type[Set Type], tbl_MTG_Set_Type[Buy Window Month Start], "(Set Type not found)")</f>
        <v/>
      </c>
      <c r="K27" s="3">
        <f>tbl_MTG_Set[[#This Row],[Released On]]+tbl_MTG_Set[[#This Row],[Buy Window Month Start]]*365.25/12</f>
        <v/>
      </c>
      <c r="L27">
        <f>_xlfn.XLOOKUP(tbl_MTG_Set[[#This Row],[Type Name]], tbl_MTG_Set_Type[Set Type], tbl_MTG_Set_Type[Buy Window Month End], "(Set Type not found)", 0, 1)</f>
        <v/>
      </c>
      <c r="M27" s="3">
        <f>tbl_MTG_Set[[#This Row],[Released On]]+tbl_MTG_Set[[#This Row],[Buy Window Month End]]*365.25/12</f>
        <v/>
      </c>
      <c r="N27" s="3">
        <f>AND(NOW()&gt;=tbl_MTG_Set[[#This Row],[Buy Window Start]], NOW()&lt;=tbl_MTG_Set[[#This Row],[Buy Window End]])</f>
        <v/>
      </c>
      <c r="O27">
        <f>_xlfn.XLOOKUP(tbl_MTG_Set[[#This Row],[Type Name]], tbl_MTG_Set_Type[Set Type], tbl_MTG_Set_Type[Heavy Printing Window Month Start], "(Set Type not found)", 0, 1)</f>
        <v/>
      </c>
      <c r="P27" s="3">
        <f>tbl_MTG_Set[[#This Row],[Released On]]+tbl_MTG_Set[[#This Row],[Heavy Printing Window Month Start]]*365.25/12</f>
        <v/>
      </c>
      <c r="Q27">
        <f>_xlfn.XLOOKUP(tbl_MTG_Set[[#This Row],[Type Name]], tbl_MTG_Set_Type[Set Type], tbl_MTG_Set_Type[Heavy Printing Window Month End], "(Set Type not found)", 0, 1)</f>
        <v/>
      </c>
      <c r="R27" s="3">
        <f>tbl_MTG_Set[[#This Row],[Released On]]+tbl_MTG_Set[[#This Row],[Heavy Printing Window Month End]]*365.25/12</f>
        <v/>
      </c>
      <c r="S27" s="3">
        <f>AND(NOW()&gt;=tbl_MTG_Set[[#This Row],[Heavy Printing Window Start]], NOW()&lt;=tbl_MTG_Set[[#This Row],[Heavy Printing Window End]])</f>
        <v/>
      </c>
      <c r="T27">
        <f>_xlfn.XLOOKUP(tbl_MTG_Set[[#This Row],[Type Name]], tbl_MTG_Set_Type[Set Type], tbl_MTG_Set_Type[Sell Window Month Start], "(Set Type not found)", 0, 1)</f>
        <v/>
      </c>
      <c r="U27" s="3">
        <f>tbl_MTG_Set[[#This Row],[Released On]]+tbl_MTG_Set[[#This Row],[Sell Window Month Start]]*365.25/12</f>
        <v/>
      </c>
      <c r="V27">
        <f>_xlfn.XLOOKUP(tbl_MTG_Set[[#This Row],[Type Name]], tbl_MTG_Set_Type[Set Type], tbl_MTG_Set_Type[Sell Window Month End], "(Set Type not found)", 0, 1)</f>
        <v/>
      </c>
      <c r="W27" s="3">
        <f>tbl_MTG_Set[[#This Row],[Released On]]+tbl_MTG_Set[[#This Row],[Sell Window Month End]]*365.25/12</f>
        <v/>
      </c>
      <c r="X27" s="3">
        <f>AND(NOW()&gt;=tbl_MTG_Set[[#This Row],[Sell Window Start]], NOW()&lt;=tbl_MTG_Set[[#This Row],[Sell Window End]])</f>
        <v/>
      </c>
      <c r="AG27" s="10" t="n"/>
      <c r="AH27" s="10" t="n"/>
      <c r="AM27" s="10">
        <f t="array" ref="AM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" s="10">
        <f t="array" ref="AN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" s="4">
        <f>_xlfn.XLOOKUP(tbl_MTG_Set[[#This Row],[Play Booster Box Product Id]], tbl_Product[Product Id], tbl_Product[Pack Size])</f>
        <v/>
      </c>
      <c r="AP27" s="10">
        <f>(tbl_MTG_Set[[#This Row],[Play Booster Box Cost]]+v_Item_Shipping_Cost_In)/tbl_MTG_Set[[#This Row],[Play Booster Box Size]]</f>
        <v/>
      </c>
      <c r="AQ27" s="10">
        <f t="array" ref="AQ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" s="10" t="n"/>
      <c r="AS27" s="10" t="n"/>
      <c r="AT27" s="17">
        <f>tbl_MTG_Set[[#This Row],[Play Booster CardMarket Profit]]/tbl_MTG_Set[[#This Row],[Play Booster Cost]]</f>
        <v/>
      </c>
      <c r="AU27" s="10">
        <f>_xlfn.XLOOKUP(tbl_MTG_Set[[#This Row],[Collector Booster Box Product Id]], tbl_Product[Product Id], tbl_Product[Min Cost])</f>
        <v/>
      </c>
      <c r="AV27" s="10">
        <f>_xlfn.XLOOKUP(tbl_MTG_Set[[#This Row],[Collector Booster Box Product Id]], tbl_Product[Product Id], tbl_Product[Best Source])</f>
        <v/>
      </c>
      <c r="AW27" s="4">
        <f>_xlfn.XLOOKUP(tbl_MTG_Set[[#This Row],[Collector Booster Box Product Id]], tbl_Product[Product Id], tbl_Product[Pack Size])</f>
        <v/>
      </c>
      <c r="AX27" s="10">
        <f>(tbl_MTG_Set[[#This Row],[Collector Booster Box Cost]] + v_Item_Shipping_Cost_In) / tbl_MTG_Set[[#This Row],[Collector Booster Box Size]]</f>
        <v/>
      </c>
      <c r="AY27" s="10">
        <f t="array" ref="AY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" s="10" t="n"/>
      <c r="BA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" s="17">
        <f>tbl_MTG_Set[[#This Row],[Collector Booster CardMarket Profit]]/tbl_MTG_Set[[#This Row],[Collector Booster Cost]]</f>
        <v/>
      </c>
      <c r="BC27" s="10" t="n"/>
      <c r="BF27" s="10">
        <f>tbl_MTG_Set[[#This Row],[Play Booster Sell Price CardMarket]]*tbl_MTG_Set[[#This Row],[Play Booster Expected Market Value]]/tbl_MTG_Set[[#This Row],[Play Boost Sealed Market Value]]</f>
        <v/>
      </c>
      <c r="BG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" s="10">
        <f>tbl_MTG_Set[[#This Row],[Play Singles CardMarket Profit]]/tbl_MTG_Set[[#This Row],[Play Booster Cost]]</f>
        <v/>
      </c>
      <c r="BI27" s="10">
        <f>tbl_MTG_Set[[#This Row],[Play Singles CardMarket Profit]]&gt;0</f>
        <v/>
      </c>
      <c r="BJ27" s="10" t="n"/>
      <c r="BK27" s="10" t="n"/>
      <c r="BL27" s="10">
        <f>tbl_MTG_Set[[#This Row],[Collector Booster Sell Price CardMarket]]*tbl_MTG_Set[[#This Row],[Collector Booster Expected Market Value]]/tbl_MTG_Set[[#This Row],[Collector Boost Sealed Market Value]]</f>
        <v/>
      </c>
      <c r="BM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" s="10">
        <f>tbl_MTG_Set[[#This Row],[Collector Singles CardMarket Profit]]/tbl_MTG_Set[[#This Row],[Collector Booster Cost]]</f>
        <v/>
      </c>
      <c r="BO27" s="10">
        <f>tbl_MTG_Set[[#This Row],[Collector Singles CardMarket Profit]]&gt;0</f>
        <v/>
      </c>
      <c r="BP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">
      <c r="A28" t="n">
        <v>26</v>
      </c>
      <c r="B28" t="inlineStr">
        <is>
          <t>Arena Anthology 3 AA3</t>
        </is>
      </c>
      <c r="C28" t="n">
        <v>25</v>
      </c>
      <c r="D28" s="3" t="n">
        <v>45923</v>
      </c>
      <c r="F28" t="inlineStr">
        <is>
          <t>en es fr de it pt ja ko ru 汉语 漢語</t>
        </is>
      </c>
      <c r="G28" t="n">
        <v>27</v>
      </c>
      <c r="H28">
        <f>MONTH(NOW())+12*YEAR(NOW())-MONTH(tbl_MTG_Set[[#This Row],[Released On]])-12*YEAR(tbl_MTG_Set[[#This Row],[Released On]])</f>
        <v/>
      </c>
      <c r="I28">
        <f>_xlfn.XLOOKUP(tbl_MTG_Set[[#This Row],[Type Name]], tbl_MTG_Set_Type[Set Type], tbl_MTG_Set_Type[Index], "(Set Type not found)")</f>
        <v/>
      </c>
      <c r="J28">
        <f>_xlfn.XLOOKUP(tbl_MTG_Set[[#This Row],[Type Name]], tbl_MTG_Set_Type[Set Type], tbl_MTG_Set_Type[Buy Window Month Start], "(Set Type not found)")</f>
        <v/>
      </c>
      <c r="K28" s="3">
        <f>tbl_MTG_Set[[#This Row],[Released On]]+tbl_MTG_Set[[#This Row],[Buy Window Month Start]]*365.25/12</f>
        <v/>
      </c>
      <c r="L28">
        <f>_xlfn.XLOOKUP(tbl_MTG_Set[[#This Row],[Type Name]], tbl_MTG_Set_Type[Set Type], tbl_MTG_Set_Type[Buy Window Month End], "(Set Type not found)", 0, 1)</f>
        <v/>
      </c>
      <c r="M28" s="3">
        <f>tbl_MTG_Set[[#This Row],[Released On]]+tbl_MTG_Set[[#This Row],[Buy Window Month End]]*365.25/12</f>
        <v/>
      </c>
      <c r="N28" s="3">
        <f>AND(NOW()&gt;=tbl_MTG_Set[[#This Row],[Buy Window Start]], NOW()&lt;=tbl_MTG_Set[[#This Row],[Buy Window End]])</f>
        <v/>
      </c>
      <c r="O28">
        <f>_xlfn.XLOOKUP(tbl_MTG_Set[[#This Row],[Type Name]], tbl_MTG_Set_Type[Set Type], tbl_MTG_Set_Type[Heavy Printing Window Month Start], "(Set Type not found)", 0, 1)</f>
        <v/>
      </c>
      <c r="P28" s="3">
        <f>tbl_MTG_Set[[#This Row],[Released On]]+tbl_MTG_Set[[#This Row],[Heavy Printing Window Month Start]]*365.25/12</f>
        <v/>
      </c>
      <c r="Q28">
        <f>_xlfn.XLOOKUP(tbl_MTG_Set[[#This Row],[Type Name]], tbl_MTG_Set_Type[Set Type], tbl_MTG_Set_Type[Heavy Printing Window Month End], "(Set Type not found)", 0, 1)</f>
        <v/>
      </c>
      <c r="R28" s="3">
        <f>tbl_MTG_Set[[#This Row],[Released On]]+tbl_MTG_Set[[#This Row],[Heavy Printing Window Month End]]*365.25/12</f>
        <v/>
      </c>
      <c r="S28" s="3">
        <f>AND(NOW()&gt;=tbl_MTG_Set[[#This Row],[Heavy Printing Window Start]], NOW()&lt;=tbl_MTG_Set[[#This Row],[Heavy Printing Window End]])</f>
        <v/>
      </c>
      <c r="T28">
        <f>_xlfn.XLOOKUP(tbl_MTG_Set[[#This Row],[Type Name]], tbl_MTG_Set_Type[Set Type], tbl_MTG_Set_Type[Sell Window Month Start], "(Set Type not found)", 0, 1)</f>
        <v/>
      </c>
      <c r="U28" s="3">
        <f>tbl_MTG_Set[[#This Row],[Released On]]+tbl_MTG_Set[[#This Row],[Sell Window Month Start]]*365.25/12</f>
        <v/>
      </c>
      <c r="V28">
        <f>_xlfn.XLOOKUP(tbl_MTG_Set[[#This Row],[Type Name]], tbl_MTG_Set_Type[Set Type], tbl_MTG_Set_Type[Sell Window Month End], "(Set Type not found)", 0, 1)</f>
        <v/>
      </c>
      <c r="W28" s="3">
        <f>tbl_MTG_Set[[#This Row],[Released On]]+tbl_MTG_Set[[#This Row],[Sell Window Month End]]*365.25/12</f>
        <v/>
      </c>
      <c r="X28" s="3">
        <f>AND(NOW()&gt;=tbl_MTG_Set[[#This Row],[Sell Window Start]], NOW()&lt;=tbl_MTG_Set[[#This Row],[Sell Window End]])</f>
        <v/>
      </c>
      <c r="AG28" s="10" t="n"/>
      <c r="AH28" s="10" t="n"/>
      <c r="AM28" s="10">
        <f t="array" ref="AM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" s="10">
        <f t="array" ref="AN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" s="4">
        <f>_xlfn.XLOOKUP(tbl_MTG_Set[[#This Row],[Play Booster Box Product Id]], tbl_Product[Product Id], tbl_Product[Pack Size])</f>
        <v/>
      </c>
      <c r="AP28" s="10">
        <f>(tbl_MTG_Set[[#This Row],[Play Booster Box Cost]]+v_Item_Shipping_Cost_In)/tbl_MTG_Set[[#This Row],[Play Booster Box Size]]</f>
        <v/>
      </c>
      <c r="AQ28" s="10">
        <f t="array" ref="AQ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" s="10" t="n"/>
      <c r="AS28" s="10" t="n"/>
      <c r="AT28" s="17">
        <f>tbl_MTG_Set[[#This Row],[Play Booster CardMarket Profit]]/tbl_MTG_Set[[#This Row],[Play Booster Cost]]</f>
        <v/>
      </c>
      <c r="AU28" s="10">
        <f>_xlfn.XLOOKUP(tbl_MTG_Set[[#This Row],[Collector Booster Box Product Id]], tbl_Product[Product Id], tbl_Product[Min Cost])</f>
        <v/>
      </c>
      <c r="AV28" s="10">
        <f>_xlfn.XLOOKUP(tbl_MTG_Set[[#This Row],[Collector Booster Box Product Id]], tbl_Product[Product Id], tbl_Product[Best Source])</f>
        <v/>
      </c>
      <c r="AW28" s="4">
        <f>_xlfn.XLOOKUP(tbl_MTG_Set[[#This Row],[Collector Booster Box Product Id]], tbl_Product[Product Id], tbl_Product[Pack Size])</f>
        <v/>
      </c>
      <c r="AX28" s="10">
        <f>(tbl_MTG_Set[[#This Row],[Collector Booster Box Cost]] + v_Item_Shipping_Cost_In) / tbl_MTG_Set[[#This Row],[Collector Booster Box Size]]</f>
        <v/>
      </c>
      <c r="AY28" s="10">
        <f t="array" ref="AY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" s="10" t="n"/>
      <c r="BA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" s="17">
        <f>tbl_MTG_Set[[#This Row],[Collector Booster CardMarket Profit]]/tbl_MTG_Set[[#This Row],[Collector Booster Cost]]</f>
        <v/>
      </c>
      <c r="BC28" s="10" t="n"/>
      <c r="BF28" s="10">
        <f>tbl_MTG_Set[[#This Row],[Play Booster Sell Price CardMarket]]*tbl_MTG_Set[[#This Row],[Play Booster Expected Market Value]]/tbl_MTG_Set[[#This Row],[Play Boost Sealed Market Value]]</f>
        <v/>
      </c>
      <c r="BG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" s="10">
        <f>tbl_MTG_Set[[#This Row],[Play Singles CardMarket Profit]]/tbl_MTG_Set[[#This Row],[Play Booster Cost]]</f>
        <v/>
      </c>
      <c r="BI28" s="10">
        <f>tbl_MTG_Set[[#This Row],[Play Singles CardMarket Profit]]&gt;0</f>
        <v/>
      </c>
      <c r="BJ28" s="10" t="n"/>
      <c r="BK28" s="10" t="n"/>
      <c r="BL28" s="10">
        <f>tbl_MTG_Set[[#This Row],[Collector Booster Sell Price CardMarket]]*tbl_MTG_Set[[#This Row],[Collector Booster Expected Market Value]]/tbl_MTG_Set[[#This Row],[Collector Boost Sealed Market Value]]</f>
        <v/>
      </c>
      <c r="BM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" s="10">
        <f>tbl_MTG_Set[[#This Row],[Collector Singles CardMarket Profit]]/tbl_MTG_Set[[#This Row],[Collector Booster Cost]]</f>
        <v/>
      </c>
      <c r="BO28" s="10">
        <f>tbl_MTG_Set[[#This Row],[Collector Singles CardMarket Profit]]&gt;0</f>
        <v/>
      </c>
      <c r="BP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">
      <c r="A29" t="n">
        <v>27</v>
      </c>
      <c r="B29" t="inlineStr">
        <is>
          <t>2023 Heroes of the Realm PH23</t>
        </is>
      </c>
      <c r="C29" t="n">
        <v>1</v>
      </c>
      <c r="D29" s="3" t="n">
        <v>45893</v>
      </c>
      <c r="F29" t="inlineStr">
        <is>
          <t>en es fr de it pt ja ko ru 汉语 漢語</t>
        </is>
      </c>
      <c r="G29" t="n">
        <v>28</v>
      </c>
      <c r="H29">
        <f>MONTH(NOW())+12*YEAR(NOW())-MONTH(tbl_MTG_Set[[#This Row],[Released On]])-12*YEAR(tbl_MTG_Set[[#This Row],[Released On]])</f>
        <v/>
      </c>
      <c r="I29">
        <f>_xlfn.XLOOKUP(tbl_MTG_Set[[#This Row],[Type Name]], tbl_MTG_Set_Type[Set Type], tbl_MTG_Set_Type[Index], "(Set Type not found)")</f>
        <v/>
      </c>
      <c r="J29">
        <f>_xlfn.XLOOKUP(tbl_MTG_Set[[#This Row],[Type Name]], tbl_MTG_Set_Type[Set Type], tbl_MTG_Set_Type[Buy Window Month Start], "(Set Type not found)")</f>
        <v/>
      </c>
      <c r="K29" s="3">
        <f>tbl_MTG_Set[[#This Row],[Released On]]+tbl_MTG_Set[[#This Row],[Buy Window Month Start]]*365.25/12</f>
        <v/>
      </c>
      <c r="L29">
        <f>_xlfn.XLOOKUP(tbl_MTG_Set[[#This Row],[Type Name]], tbl_MTG_Set_Type[Set Type], tbl_MTG_Set_Type[Buy Window Month End], "(Set Type not found)", 0, 1)</f>
        <v/>
      </c>
      <c r="M29" s="3">
        <f>tbl_MTG_Set[[#This Row],[Released On]]+tbl_MTG_Set[[#This Row],[Buy Window Month End]]*365.25/12</f>
        <v/>
      </c>
      <c r="N29" s="3">
        <f>AND(NOW()&gt;=tbl_MTG_Set[[#This Row],[Buy Window Start]], NOW()&lt;=tbl_MTG_Set[[#This Row],[Buy Window End]])</f>
        <v/>
      </c>
      <c r="O29">
        <f>_xlfn.XLOOKUP(tbl_MTG_Set[[#This Row],[Type Name]], tbl_MTG_Set_Type[Set Type], tbl_MTG_Set_Type[Heavy Printing Window Month Start], "(Set Type not found)", 0, 1)</f>
        <v/>
      </c>
      <c r="P29" s="3">
        <f>tbl_MTG_Set[[#This Row],[Released On]]+tbl_MTG_Set[[#This Row],[Heavy Printing Window Month Start]]*365.25/12</f>
        <v/>
      </c>
      <c r="Q29">
        <f>_xlfn.XLOOKUP(tbl_MTG_Set[[#This Row],[Type Name]], tbl_MTG_Set_Type[Set Type], tbl_MTG_Set_Type[Heavy Printing Window Month End], "(Set Type not found)", 0, 1)</f>
        <v/>
      </c>
      <c r="R29" s="3">
        <f>tbl_MTG_Set[[#This Row],[Released On]]+tbl_MTG_Set[[#This Row],[Heavy Printing Window Month End]]*365.25/12</f>
        <v/>
      </c>
      <c r="S29" s="3">
        <f>AND(NOW()&gt;=tbl_MTG_Set[[#This Row],[Heavy Printing Window Start]], NOW()&lt;=tbl_MTG_Set[[#This Row],[Heavy Printing Window End]])</f>
        <v/>
      </c>
      <c r="T29">
        <f>_xlfn.XLOOKUP(tbl_MTG_Set[[#This Row],[Type Name]], tbl_MTG_Set_Type[Set Type], tbl_MTG_Set_Type[Sell Window Month Start], "(Set Type not found)", 0, 1)</f>
        <v/>
      </c>
      <c r="U29" s="3">
        <f>tbl_MTG_Set[[#This Row],[Released On]]+tbl_MTG_Set[[#This Row],[Sell Window Month Start]]*365.25/12</f>
        <v/>
      </c>
      <c r="V29">
        <f>_xlfn.XLOOKUP(tbl_MTG_Set[[#This Row],[Type Name]], tbl_MTG_Set_Type[Set Type], tbl_MTG_Set_Type[Sell Window Month End], "(Set Type not found)", 0, 1)</f>
        <v/>
      </c>
      <c r="W29" s="3">
        <f>tbl_MTG_Set[[#This Row],[Released On]]+tbl_MTG_Set[[#This Row],[Sell Window Month End]]*365.25/12</f>
        <v/>
      </c>
      <c r="X29" s="3">
        <f>AND(NOW()&gt;=tbl_MTG_Set[[#This Row],[Sell Window Start]], NOW()&lt;=tbl_MTG_Set[[#This Row],[Sell Window End]])</f>
        <v/>
      </c>
      <c r="AG29" s="10" t="n"/>
      <c r="AH29" s="10" t="n"/>
      <c r="AM29" s="10">
        <f t="array" ref="AM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" s="10">
        <f t="array" ref="AN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" s="4">
        <f>_xlfn.XLOOKUP(tbl_MTG_Set[[#This Row],[Play Booster Box Product Id]], tbl_Product[Product Id], tbl_Product[Pack Size])</f>
        <v/>
      </c>
      <c r="AP29" s="10">
        <f>(tbl_MTG_Set[[#This Row],[Play Booster Box Cost]]+v_Item_Shipping_Cost_In)/tbl_MTG_Set[[#This Row],[Play Booster Box Size]]</f>
        <v/>
      </c>
      <c r="AQ29" s="10">
        <f t="array" ref="AQ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" s="10" t="n"/>
      <c r="AS29" s="10" t="n"/>
      <c r="AT29" s="17">
        <f>tbl_MTG_Set[[#This Row],[Play Booster CardMarket Profit]]/tbl_MTG_Set[[#This Row],[Play Booster Cost]]</f>
        <v/>
      </c>
      <c r="AU29" s="10">
        <f>_xlfn.XLOOKUP(tbl_MTG_Set[[#This Row],[Collector Booster Box Product Id]], tbl_Product[Product Id], tbl_Product[Min Cost])</f>
        <v/>
      </c>
      <c r="AV29" s="10">
        <f>_xlfn.XLOOKUP(tbl_MTG_Set[[#This Row],[Collector Booster Box Product Id]], tbl_Product[Product Id], tbl_Product[Best Source])</f>
        <v/>
      </c>
      <c r="AW29" s="4">
        <f>_xlfn.XLOOKUP(tbl_MTG_Set[[#This Row],[Collector Booster Box Product Id]], tbl_Product[Product Id], tbl_Product[Pack Size])</f>
        <v/>
      </c>
      <c r="AX29" s="10">
        <f>(tbl_MTG_Set[[#This Row],[Collector Booster Box Cost]] + v_Item_Shipping_Cost_In) / tbl_MTG_Set[[#This Row],[Collector Booster Box Size]]</f>
        <v/>
      </c>
      <c r="AY29" s="10">
        <f t="array" ref="AY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" s="10" t="n"/>
      <c r="BA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" s="17">
        <f>tbl_MTG_Set[[#This Row],[Collector Booster CardMarket Profit]]/tbl_MTG_Set[[#This Row],[Collector Booster Cost]]</f>
        <v/>
      </c>
      <c r="BC29" s="10" t="n"/>
      <c r="BF29" s="10">
        <f>tbl_MTG_Set[[#This Row],[Play Booster Sell Price CardMarket]]*tbl_MTG_Set[[#This Row],[Play Booster Expected Market Value]]/tbl_MTG_Set[[#This Row],[Play Boost Sealed Market Value]]</f>
        <v/>
      </c>
      <c r="BG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" s="10">
        <f>tbl_MTG_Set[[#This Row],[Play Singles CardMarket Profit]]/tbl_MTG_Set[[#This Row],[Play Booster Cost]]</f>
        <v/>
      </c>
      <c r="BI29" s="10">
        <f>tbl_MTG_Set[[#This Row],[Play Singles CardMarket Profit]]&gt;0</f>
        <v/>
      </c>
      <c r="BJ29" s="10" t="n"/>
      <c r="BK29" s="10" t="n"/>
      <c r="BL29" s="10">
        <f>tbl_MTG_Set[[#This Row],[Collector Booster Sell Price CardMarket]]*tbl_MTG_Set[[#This Row],[Collector Booster Expected Market Value]]/tbl_MTG_Set[[#This Row],[Collector Boost Sealed Market Value]]</f>
        <v/>
      </c>
      <c r="BM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" s="10">
        <f>tbl_MTG_Set[[#This Row],[Collector Singles CardMarket Profit]]/tbl_MTG_Set[[#This Row],[Collector Booster Cost]]</f>
        <v/>
      </c>
      <c r="BO29" s="10">
        <f>tbl_MTG_Set[[#This Row],[Collector Singles CardMarket Profit]]&gt;0</f>
        <v/>
      </c>
      <c r="BP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">
      <c r="A30" t="n">
        <v>28</v>
      </c>
      <c r="B30" t="inlineStr">
        <is>
          <t>Arena Anthology 2 AA2</t>
        </is>
      </c>
      <c r="C30" t="n">
        <v>25</v>
      </c>
      <c r="D30" s="3" t="n">
        <v>45888</v>
      </c>
      <c r="F30" t="inlineStr">
        <is>
          <t>en es fr de it pt ja ko ru 汉语 漢語</t>
        </is>
      </c>
      <c r="G30" t="n">
        <v>29</v>
      </c>
      <c r="H30">
        <f>MONTH(NOW())+12*YEAR(NOW())-MONTH(tbl_MTG_Set[[#This Row],[Released On]])-12*YEAR(tbl_MTG_Set[[#This Row],[Released On]])</f>
        <v/>
      </c>
      <c r="I30">
        <f>_xlfn.XLOOKUP(tbl_MTG_Set[[#This Row],[Type Name]], tbl_MTG_Set_Type[Set Type], tbl_MTG_Set_Type[Index], "(Set Type not found)")</f>
        <v/>
      </c>
      <c r="J30">
        <f>_xlfn.XLOOKUP(tbl_MTG_Set[[#This Row],[Type Name]], tbl_MTG_Set_Type[Set Type], tbl_MTG_Set_Type[Buy Window Month Start], "(Set Type not found)")</f>
        <v/>
      </c>
      <c r="K30" s="3">
        <f>tbl_MTG_Set[[#This Row],[Released On]]+tbl_MTG_Set[[#This Row],[Buy Window Month Start]]*365.25/12</f>
        <v/>
      </c>
      <c r="L30">
        <f>_xlfn.XLOOKUP(tbl_MTG_Set[[#This Row],[Type Name]], tbl_MTG_Set_Type[Set Type], tbl_MTG_Set_Type[Buy Window Month End], "(Set Type not found)", 0, 1)</f>
        <v/>
      </c>
      <c r="M30" s="3">
        <f>tbl_MTG_Set[[#This Row],[Released On]]+tbl_MTG_Set[[#This Row],[Buy Window Month End]]*365.25/12</f>
        <v/>
      </c>
      <c r="N30" s="3">
        <f>AND(NOW()&gt;=tbl_MTG_Set[[#This Row],[Buy Window Start]], NOW()&lt;=tbl_MTG_Set[[#This Row],[Buy Window End]])</f>
        <v/>
      </c>
      <c r="O30">
        <f>_xlfn.XLOOKUP(tbl_MTG_Set[[#This Row],[Type Name]], tbl_MTG_Set_Type[Set Type], tbl_MTG_Set_Type[Heavy Printing Window Month Start], "(Set Type not found)", 0, 1)</f>
        <v/>
      </c>
      <c r="P30" s="3">
        <f>tbl_MTG_Set[[#This Row],[Released On]]+tbl_MTG_Set[[#This Row],[Heavy Printing Window Month Start]]*365.25/12</f>
        <v/>
      </c>
      <c r="Q30">
        <f>_xlfn.XLOOKUP(tbl_MTG_Set[[#This Row],[Type Name]], tbl_MTG_Set_Type[Set Type], tbl_MTG_Set_Type[Heavy Printing Window Month End], "(Set Type not found)", 0, 1)</f>
        <v/>
      </c>
      <c r="R30" s="3">
        <f>tbl_MTG_Set[[#This Row],[Released On]]+tbl_MTG_Set[[#This Row],[Heavy Printing Window Month End]]*365.25/12</f>
        <v/>
      </c>
      <c r="S30" s="3">
        <f>AND(NOW()&gt;=tbl_MTG_Set[[#This Row],[Heavy Printing Window Start]], NOW()&lt;=tbl_MTG_Set[[#This Row],[Heavy Printing Window End]])</f>
        <v/>
      </c>
      <c r="T30">
        <f>_xlfn.XLOOKUP(tbl_MTG_Set[[#This Row],[Type Name]], tbl_MTG_Set_Type[Set Type], tbl_MTG_Set_Type[Sell Window Month Start], "(Set Type not found)", 0, 1)</f>
        <v/>
      </c>
      <c r="U30" s="3">
        <f>tbl_MTG_Set[[#This Row],[Released On]]+tbl_MTG_Set[[#This Row],[Sell Window Month Start]]*365.25/12</f>
        <v/>
      </c>
      <c r="V30">
        <f>_xlfn.XLOOKUP(tbl_MTG_Set[[#This Row],[Type Name]], tbl_MTG_Set_Type[Set Type], tbl_MTG_Set_Type[Sell Window Month End], "(Set Type not found)", 0, 1)</f>
        <v/>
      </c>
      <c r="W30" s="3">
        <f>tbl_MTG_Set[[#This Row],[Released On]]+tbl_MTG_Set[[#This Row],[Sell Window Month End]]*365.25/12</f>
        <v/>
      </c>
      <c r="X30" s="3">
        <f>AND(NOW()&gt;=tbl_MTG_Set[[#This Row],[Sell Window Start]], NOW()&lt;=tbl_MTG_Set[[#This Row],[Sell Window End]])</f>
        <v/>
      </c>
      <c r="AG30" s="10" t="n"/>
      <c r="AH30" s="10" t="n"/>
      <c r="AM30" s="10">
        <f t="array" ref="AM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" s="10">
        <f t="array" ref="AN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" s="4">
        <f>_xlfn.XLOOKUP(tbl_MTG_Set[[#This Row],[Play Booster Box Product Id]], tbl_Product[Product Id], tbl_Product[Pack Size])</f>
        <v/>
      </c>
      <c r="AP30" s="10">
        <f>(tbl_MTG_Set[[#This Row],[Play Booster Box Cost]]+v_Item_Shipping_Cost_In)/tbl_MTG_Set[[#This Row],[Play Booster Box Size]]</f>
        <v/>
      </c>
      <c r="AQ30" s="10">
        <f t="array" ref="AQ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" s="10" t="n"/>
      <c r="AS30" s="10" t="n"/>
      <c r="AT30" s="17">
        <f>tbl_MTG_Set[[#This Row],[Play Booster CardMarket Profit]]/tbl_MTG_Set[[#This Row],[Play Booster Cost]]</f>
        <v/>
      </c>
      <c r="AU30" s="10">
        <f>_xlfn.XLOOKUP(tbl_MTG_Set[[#This Row],[Collector Booster Box Product Id]], tbl_Product[Product Id], tbl_Product[Min Cost])</f>
        <v/>
      </c>
      <c r="AV30" s="10">
        <f>_xlfn.XLOOKUP(tbl_MTG_Set[[#This Row],[Collector Booster Box Product Id]], tbl_Product[Product Id], tbl_Product[Best Source])</f>
        <v/>
      </c>
      <c r="AW30" s="4">
        <f>_xlfn.XLOOKUP(tbl_MTG_Set[[#This Row],[Collector Booster Box Product Id]], tbl_Product[Product Id], tbl_Product[Pack Size])</f>
        <v/>
      </c>
      <c r="AX30" s="10">
        <f>(tbl_MTG_Set[[#This Row],[Collector Booster Box Cost]] + v_Item_Shipping_Cost_In) / tbl_MTG_Set[[#This Row],[Collector Booster Box Size]]</f>
        <v/>
      </c>
      <c r="AY30" s="10">
        <f t="array" ref="AY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" s="10" t="n"/>
      <c r="BA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" s="17">
        <f>tbl_MTG_Set[[#This Row],[Collector Booster CardMarket Profit]]/tbl_MTG_Set[[#This Row],[Collector Booster Cost]]</f>
        <v/>
      </c>
      <c r="BC30" s="10" t="n"/>
      <c r="BF30" s="10">
        <f>tbl_MTG_Set[[#This Row],[Play Booster Sell Price CardMarket]]*tbl_MTG_Set[[#This Row],[Play Booster Expected Market Value]]/tbl_MTG_Set[[#This Row],[Play Boost Sealed Market Value]]</f>
        <v/>
      </c>
      <c r="BG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" s="10">
        <f>tbl_MTG_Set[[#This Row],[Play Singles CardMarket Profit]]/tbl_MTG_Set[[#This Row],[Play Booster Cost]]</f>
        <v/>
      </c>
      <c r="BI30" s="10">
        <f>tbl_MTG_Set[[#This Row],[Play Singles CardMarket Profit]]&gt;0</f>
        <v/>
      </c>
      <c r="BJ30" s="10" t="n"/>
      <c r="BK30" s="10" t="n"/>
      <c r="BL30" s="10">
        <f>tbl_MTG_Set[[#This Row],[Collector Booster Sell Price CardMarket]]*tbl_MTG_Set[[#This Row],[Collector Booster Expected Market Value]]/tbl_MTG_Set[[#This Row],[Collector Boost Sealed Market Value]]</f>
        <v/>
      </c>
      <c r="BM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" s="10">
        <f>tbl_MTG_Set[[#This Row],[Collector Singles CardMarket Profit]]/tbl_MTG_Set[[#This Row],[Collector Booster Cost]]</f>
        <v/>
      </c>
      <c r="BO30" s="10">
        <f>tbl_MTG_Set[[#This Row],[Collector Singles CardMarket Profit]]&gt;0</f>
        <v/>
      </c>
      <c r="BP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">
      <c r="A31" t="n">
        <v>29</v>
      </c>
      <c r="B31" t="inlineStr">
        <is>
          <t>Arena Anthology 1 AA1</t>
        </is>
      </c>
      <c r="C31" t="n">
        <v>26</v>
      </c>
      <c r="D31" s="3" t="n">
        <v>45888</v>
      </c>
      <c r="F31" t="inlineStr">
        <is>
          <t>en es fr de it pt ja ko ru 汉语 漢語</t>
        </is>
      </c>
      <c r="G31" t="n">
        <v>30</v>
      </c>
      <c r="H31">
        <f>MONTH(NOW())+12*YEAR(NOW())-MONTH(tbl_MTG_Set[[#This Row],[Released On]])-12*YEAR(tbl_MTG_Set[[#This Row],[Released On]])</f>
        <v/>
      </c>
      <c r="I31">
        <f>_xlfn.XLOOKUP(tbl_MTG_Set[[#This Row],[Type Name]], tbl_MTG_Set_Type[Set Type], tbl_MTG_Set_Type[Index], "(Set Type not found)")</f>
        <v/>
      </c>
      <c r="J31">
        <f>_xlfn.XLOOKUP(tbl_MTG_Set[[#This Row],[Type Name]], tbl_MTG_Set_Type[Set Type], tbl_MTG_Set_Type[Buy Window Month Start], "(Set Type not found)")</f>
        <v/>
      </c>
      <c r="K31" s="3">
        <f>tbl_MTG_Set[[#This Row],[Released On]]+tbl_MTG_Set[[#This Row],[Buy Window Month Start]]*365.25/12</f>
        <v/>
      </c>
      <c r="L31">
        <f>_xlfn.XLOOKUP(tbl_MTG_Set[[#This Row],[Type Name]], tbl_MTG_Set_Type[Set Type], tbl_MTG_Set_Type[Buy Window Month End], "(Set Type not found)", 0, 1)</f>
        <v/>
      </c>
      <c r="M31" s="3">
        <f>tbl_MTG_Set[[#This Row],[Released On]]+tbl_MTG_Set[[#This Row],[Buy Window Month End]]*365.25/12</f>
        <v/>
      </c>
      <c r="N31" s="3">
        <f>AND(NOW()&gt;=tbl_MTG_Set[[#This Row],[Buy Window Start]], NOW()&lt;=tbl_MTG_Set[[#This Row],[Buy Window End]])</f>
        <v/>
      </c>
      <c r="O31">
        <f>_xlfn.XLOOKUP(tbl_MTG_Set[[#This Row],[Type Name]], tbl_MTG_Set_Type[Set Type], tbl_MTG_Set_Type[Heavy Printing Window Month Start], "(Set Type not found)", 0, 1)</f>
        <v/>
      </c>
      <c r="P31" s="3">
        <f>tbl_MTG_Set[[#This Row],[Released On]]+tbl_MTG_Set[[#This Row],[Heavy Printing Window Month Start]]*365.25/12</f>
        <v/>
      </c>
      <c r="Q31">
        <f>_xlfn.XLOOKUP(tbl_MTG_Set[[#This Row],[Type Name]], tbl_MTG_Set_Type[Set Type], tbl_MTG_Set_Type[Heavy Printing Window Month End], "(Set Type not found)", 0, 1)</f>
        <v/>
      </c>
      <c r="R31" s="3">
        <f>tbl_MTG_Set[[#This Row],[Released On]]+tbl_MTG_Set[[#This Row],[Heavy Printing Window Month End]]*365.25/12</f>
        <v/>
      </c>
      <c r="S31" s="3">
        <f>AND(NOW()&gt;=tbl_MTG_Set[[#This Row],[Heavy Printing Window Start]], NOW()&lt;=tbl_MTG_Set[[#This Row],[Heavy Printing Window End]])</f>
        <v/>
      </c>
      <c r="T31">
        <f>_xlfn.XLOOKUP(tbl_MTG_Set[[#This Row],[Type Name]], tbl_MTG_Set_Type[Set Type], tbl_MTG_Set_Type[Sell Window Month Start], "(Set Type not found)", 0, 1)</f>
        <v/>
      </c>
      <c r="U31" s="3">
        <f>tbl_MTG_Set[[#This Row],[Released On]]+tbl_MTG_Set[[#This Row],[Sell Window Month Start]]*365.25/12</f>
        <v/>
      </c>
      <c r="V31">
        <f>_xlfn.XLOOKUP(tbl_MTG_Set[[#This Row],[Type Name]], tbl_MTG_Set_Type[Set Type], tbl_MTG_Set_Type[Sell Window Month End], "(Set Type not found)", 0, 1)</f>
        <v/>
      </c>
      <c r="W31" s="3">
        <f>tbl_MTG_Set[[#This Row],[Released On]]+tbl_MTG_Set[[#This Row],[Sell Window Month End]]*365.25/12</f>
        <v/>
      </c>
      <c r="X31" s="3">
        <f>AND(NOW()&gt;=tbl_MTG_Set[[#This Row],[Sell Window Start]], NOW()&lt;=tbl_MTG_Set[[#This Row],[Sell Window End]])</f>
        <v/>
      </c>
      <c r="AG31" s="10" t="n"/>
      <c r="AH31" s="10" t="n"/>
      <c r="AM31" s="10">
        <f t="array" ref="AM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" s="10">
        <f t="array" ref="AN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" s="4">
        <f>_xlfn.XLOOKUP(tbl_MTG_Set[[#This Row],[Play Booster Box Product Id]], tbl_Product[Product Id], tbl_Product[Pack Size])</f>
        <v/>
      </c>
      <c r="AP31" s="10">
        <f>(tbl_MTG_Set[[#This Row],[Play Booster Box Cost]]+v_Item_Shipping_Cost_In)/tbl_MTG_Set[[#This Row],[Play Booster Box Size]]</f>
        <v/>
      </c>
      <c r="AQ31" s="10">
        <f t="array" ref="AQ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" s="10" t="n"/>
      <c r="AS31" s="10" t="n"/>
      <c r="AT31" s="17">
        <f>tbl_MTG_Set[[#This Row],[Play Booster CardMarket Profit]]/tbl_MTG_Set[[#This Row],[Play Booster Cost]]</f>
        <v/>
      </c>
      <c r="AU31" s="10">
        <f>_xlfn.XLOOKUP(tbl_MTG_Set[[#This Row],[Collector Booster Box Product Id]], tbl_Product[Product Id], tbl_Product[Min Cost])</f>
        <v/>
      </c>
      <c r="AV31" s="10">
        <f>_xlfn.XLOOKUP(tbl_MTG_Set[[#This Row],[Collector Booster Box Product Id]], tbl_Product[Product Id], tbl_Product[Best Source])</f>
        <v/>
      </c>
      <c r="AW31" s="4">
        <f>_xlfn.XLOOKUP(tbl_MTG_Set[[#This Row],[Collector Booster Box Product Id]], tbl_Product[Product Id], tbl_Product[Pack Size])</f>
        <v/>
      </c>
      <c r="AX31" s="10">
        <f>(tbl_MTG_Set[[#This Row],[Collector Booster Box Cost]] + v_Item_Shipping_Cost_In) / tbl_MTG_Set[[#This Row],[Collector Booster Box Size]]</f>
        <v/>
      </c>
      <c r="AY31" s="10">
        <f t="array" ref="AY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" s="10" t="n"/>
      <c r="BA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" s="17">
        <f>tbl_MTG_Set[[#This Row],[Collector Booster CardMarket Profit]]/tbl_MTG_Set[[#This Row],[Collector Booster Cost]]</f>
        <v/>
      </c>
      <c r="BC31" s="10" t="n"/>
      <c r="BF31" s="10">
        <f>tbl_MTG_Set[[#This Row],[Play Booster Sell Price CardMarket]]*tbl_MTG_Set[[#This Row],[Play Booster Expected Market Value]]/tbl_MTG_Set[[#This Row],[Play Boost Sealed Market Value]]</f>
        <v/>
      </c>
      <c r="BG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" s="10">
        <f>tbl_MTG_Set[[#This Row],[Play Singles CardMarket Profit]]/tbl_MTG_Set[[#This Row],[Play Booster Cost]]</f>
        <v/>
      </c>
      <c r="BI31" s="10">
        <f>tbl_MTG_Set[[#This Row],[Play Singles CardMarket Profit]]&gt;0</f>
        <v/>
      </c>
      <c r="BJ31" s="10" t="n"/>
      <c r="BK31" s="10" t="n"/>
      <c r="BL31" s="10">
        <f>tbl_MTG_Set[[#This Row],[Collector Booster Sell Price CardMarket]]*tbl_MTG_Set[[#This Row],[Collector Booster Expected Market Value]]/tbl_MTG_Set[[#This Row],[Collector Boost Sealed Market Value]]</f>
        <v/>
      </c>
      <c r="BM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" s="10">
        <f>tbl_MTG_Set[[#This Row],[Collector Singles CardMarket Profit]]/tbl_MTG_Set[[#This Row],[Collector Booster Cost]]</f>
        <v/>
      </c>
      <c r="BO31" s="10">
        <f>tbl_MTG_Set[[#This Row],[Collector Singles CardMarket Profit]]&gt;0</f>
        <v/>
      </c>
      <c r="BP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">
      <c r="A32" t="n">
        <v>30</v>
      </c>
      <c r="B32" t="inlineStr">
        <is>
          <t>Edge of Eternities EOE</t>
        </is>
      </c>
      <c r="C32" t="n">
        <v>399</v>
      </c>
      <c r="D32" s="3" t="n">
        <v>45870</v>
      </c>
      <c r="E32" t="inlineStr">
        <is>
          <t>Standard Expansion</t>
        </is>
      </c>
      <c r="F32" t="inlineStr">
        <is>
          <t>en es fr de it pt ja ko ru 汉语 漢語</t>
        </is>
      </c>
      <c r="G32" t="n">
        <v>31</v>
      </c>
      <c r="H32">
        <f>MONTH(NOW())+12*YEAR(NOW())-MONTH(tbl_MTG_Set[[#This Row],[Released On]])-12*YEAR(tbl_MTG_Set[[#This Row],[Released On]])</f>
        <v/>
      </c>
      <c r="I32">
        <f>_xlfn.XLOOKUP(tbl_MTG_Set[[#This Row],[Type Name]], tbl_MTG_Set_Type[Set Type], tbl_MTG_Set_Type[Index], "(Set Type not found)")</f>
        <v/>
      </c>
      <c r="J32">
        <f>_xlfn.XLOOKUP(tbl_MTG_Set[[#This Row],[Type Name]], tbl_MTG_Set_Type[Set Type], tbl_MTG_Set_Type[Buy Window Month Start], "(Set Type not found)")</f>
        <v/>
      </c>
      <c r="K32" s="3">
        <f>tbl_MTG_Set[[#This Row],[Released On]]+tbl_MTG_Set[[#This Row],[Buy Window Month Start]]*365.25/12</f>
        <v/>
      </c>
      <c r="L32">
        <f>_xlfn.XLOOKUP(tbl_MTG_Set[[#This Row],[Type Name]], tbl_MTG_Set_Type[Set Type], tbl_MTG_Set_Type[Buy Window Month End], "(Set Type not found)", 0, 1)</f>
        <v/>
      </c>
      <c r="M32" s="3">
        <f>tbl_MTG_Set[[#This Row],[Released On]]+tbl_MTG_Set[[#This Row],[Buy Window Month End]]*365.25/12</f>
        <v/>
      </c>
      <c r="N32" s="3">
        <f>AND(NOW()&gt;=tbl_MTG_Set[[#This Row],[Buy Window Start]], NOW()&lt;=tbl_MTG_Set[[#This Row],[Buy Window End]])</f>
        <v/>
      </c>
      <c r="O32">
        <f>_xlfn.XLOOKUP(tbl_MTG_Set[[#This Row],[Type Name]], tbl_MTG_Set_Type[Set Type], tbl_MTG_Set_Type[Heavy Printing Window Month Start], "(Set Type not found)", 0, 1)</f>
        <v/>
      </c>
      <c r="P32" s="3">
        <f>tbl_MTG_Set[[#This Row],[Released On]]+tbl_MTG_Set[[#This Row],[Heavy Printing Window Month Start]]*365.25/12</f>
        <v/>
      </c>
      <c r="Q32">
        <f>_xlfn.XLOOKUP(tbl_MTG_Set[[#This Row],[Type Name]], tbl_MTG_Set_Type[Set Type], tbl_MTG_Set_Type[Heavy Printing Window Month End], "(Set Type not found)", 0, 1)</f>
        <v/>
      </c>
      <c r="R32" s="3">
        <f>tbl_MTG_Set[[#This Row],[Released On]]+tbl_MTG_Set[[#This Row],[Heavy Printing Window Month End]]*365.25/12</f>
        <v/>
      </c>
      <c r="S32" s="3">
        <f>AND(NOW()&gt;=tbl_MTG_Set[[#This Row],[Heavy Printing Window Start]], NOW()&lt;=tbl_MTG_Set[[#This Row],[Heavy Printing Window End]])</f>
        <v/>
      </c>
      <c r="T32">
        <f>_xlfn.XLOOKUP(tbl_MTG_Set[[#This Row],[Type Name]], tbl_MTG_Set_Type[Set Type], tbl_MTG_Set_Type[Sell Window Month Start], "(Set Type not found)", 0, 1)</f>
        <v/>
      </c>
      <c r="U32" s="3">
        <f>tbl_MTG_Set[[#This Row],[Released On]]+tbl_MTG_Set[[#This Row],[Sell Window Month Start]]*365.25/12</f>
        <v/>
      </c>
      <c r="V32">
        <f>_xlfn.XLOOKUP(tbl_MTG_Set[[#This Row],[Type Name]], tbl_MTG_Set_Type[Set Type], tbl_MTG_Set_Type[Sell Window Month End], "(Set Type not found)", 0, 1)</f>
        <v/>
      </c>
      <c r="W32" s="3">
        <f>tbl_MTG_Set[[#This Row],[Released On]]+tbl_MTG_Set[[#This Row],[Sell Window Month End]]*365.25/12</f>
        <v/>
      </c>
      <c r="X32" s="3">
        <f>AND(NOW()&gt;=tbl_MTG_Set[[#This Row],[Sell Window Start]], NOW()&lt;=tbl_MTG_Set[[#This Row],[Sell Window End]])</f>
        <v/>
      </c>
      <c r="Y32" s="10" t="n">
        <v>126</v>
      </c>
      <c r="Z32" s="10" t="n">
        <v>120</v>
      </c>
      <c r="AD32" s="10">
        <f>(Y32+96/20)/30</f>
        <v/>
      </c>
      <c r="AE32" s="10">
        <f>(Z32+96/20)/30</f>
        <v/>
      </c>
      <c r="AG32" s="10" t="n"/>
      <c r="AH32" s="10" t="n"/>
      <c r="AI32" s="4" t="n">
        <v>65</v>
      </c>
      <c r="AJ32" s="4" t="n">
        <v>20</v>
      </c>
      <c r="AK32" s="4" t="n">
        <v>98</v>
      </c>
      <c r="AL32" s="4" t="n">
        <v>97</v>
      </c>
      <c r="AM32" s="10">
        <f t="array" ref="AM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" s="10">
        <f t="array" ref="AN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" s="4">
        <f>_xlfn.XLOOKUP(tbl_MTG_Set[[#This Row],[Play Booster Box Product Id]], tbl_Product[Product Id], tbl_Product[Pack Size])</f>
        <v/>
      </c>
      <c r="AP32" s="10">
        <f>(tbl_MTG_Set[[#This Row],[Play Booster Box Cost]]+v_Item_Shipping_Cost_In)/tbl_MTG_Set[[#This Row],[Play Booster Box Size]]</f>
        <v/>
      </c>
      <c r="AQ32" s="10">
        <f t="array" ref="AQ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" s="10" t="n">
        <v>5</v>
      </c>
      <c r="AS3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2" s="17">
        <f>tbl_MTG_Set[[#This Row],[Play Booster CardMarket Profit]]/tbl_MTG_Set[[#This Row],[Play Booster Cost]]</f>
        <v/>
      </c>
      <c r="AU32" s="10">
        <f>_xlfn.XLOOKUP(tbl_MTG_Set[[#This Row],[Collector Booster Box Product Id]], tbl_Product[Product Id], tbl_Product[Min Cost])</f>
        <v/>
      </c>
      <c r="AV32" s="10">
        <f>_xlfn.XLOOKUP(tbl_MTG_Set[[#This Row],[Collector Booster Box Product Id]], tbl_Product[Product Id], tbl_Product[Best Source])</f>
        <v/>
      </c>
      <c r="AW32" s="4">
        <f>_xlfn.XLOOKUP(tbl_MTG_Set[[#This Row],[Collector Booster Box Product Id]], tbl_Product[Product Id], tbl_Product[Pack Size])</f>
        <v/>
      </c>
      <c r="AX32" s="10">
        <f>(tbl_MTG_Set[[#This Row],[Collector Booster Box Cost]] + v_Item_Shipping_Cost_In) / tbl_MTG_Set[[#This Row],[Collector Booster Box Size]]</f>
        <v/>
      </c>
      <c r="AY32" s="10">
        <f t="array" ref="AY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" s="10" t="n"/>
      <c r="BA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" s="17">
        <f>tbl_MTG_Set[[#This Row],[Collector Booster CardMarket Profit]]/tbl_MTG_Set[[#This Row],[Collector Booster Cost]]</f>
        <v/>
      </c>
      <c r="BC32" s="15" t="inlineStr">
        <is>
          <t>https://www.mtgstocks.com/sets/2231-edge-of-eternities#ev</t>
        </is>
      </c>
      <c r="BD32" s="11" t="n">
        <v>5.42</v>
      </c>
      <c r="BE32" s="11" t="n">
        <v>6.58</v>
      </c>
      <c r="BF32" s="10">
        <f>tbl_MTG_Set[[#This Row],[Play Booster Sell Price CardMarket]]*tbl_MTG_Set[[#This Row],[Play Booster Expected Market Value]]/tbl_MTG_Set[[#This Row],[Play Boost Sealed Market Value]]</f>
        <v/>
      </c>
      <c r="BG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" s="17">
        <f>tbl_MTG_Set[[#This Row],[Play Singles CardMarket Profit]]/tbl_MTG_Set[[#This Row],[Play Booster Cost]]</f>
        <v/>
      </c>
      <c r="BI32" s="10">
        <f>tbl_MTG_Set[[#This Row],[Play Singles CardMarket Profit]]&gt;0</f>
        <v/>
      </c>
      <c r="BJ32" s="10" t="n">
        <v>29.8</v>
      </c>
      <c r="BK32" s="10" t="n">
        <v>40.07</v>
      </c>
      <c r="BL32" s="10">
        <f>tbl_MTG_Set[[#This Row],[Collector Booster Sell Price CardMarket]]*tbl_MTG_Set[[#This Row],[Collector Booster Expected Market Value]]/tbl_MTG_Set[[#This Row],[Collector Boost Sealed Market Value]]</f>
        <v/>
      </c>
      <c r="BM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" s="17">
        <f>tbl_MTG_Set[[#This Row],[Collector Singles CardMarket Profit]]/tbl_MTG_Set[[#This Row],[Collector Booster Cost]]</f>
        <v/>
      </c>
      <c r="BO32" s="10">
        <f>tbl_MTG_Set[[#This Row],[Collector Singles CardMarket Profit]]&gt;0</f>
        <v/>
      </c>
      <c r="BP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">
      <c r="A33" t="n">
        <v>31</v>
      </c>
      <c r="B33" t="inlineStr">
        <is>
          <t>Edge of Eternities: Stellar Sights EOS</t>
        </is>
      </c>
      <c r="C33" t="n">
        <v>180</v>
      </c>
      <c r="D33" s="3" t="n">
        <v>45870</v>
      </c>
      <c r="E33" t="inlineStr">
        <is>
          <t>Standard Expansion</t>
        </is>
      </c>
      <c r="F33" t="inlineStr">
        <is>
          <t>en es fr de it pt ja ko ru 汉语 漢語</t>
        </is>
      </c>
      <c r="G33" t="n">
        <v>32</v>
      </c>
      <c r="H33">
        <f>MONTH(NOW())+12*YEAR(NOW())-MONTH(tbl_MTG_Set[[#This Row],[Released On]])-12*YEAR(tbl_MTG_Set[[#This Row],[Released On]])</f>
        <v/>
      </c>
      <c r="I33">
        <f>_xlfn.XLOOKUP(tbl_MTG_Set[[#This Row],[Type Name]], tbl_MTG_Set_Type[Set Type], tbl_MTG_Set_Type[Index], "(Set Type not found)")</f>
        <v/>
      </c>
      <c r="J33">
        <f>_xlfn.XLOOKUP(tbl_MTG_Set[[#This Row],[Type Name]], tbl_MTG_Set_Type[Set Type], tbl_MTG_Set_Type[Buy Window Month Start], "(Set Type not found)")</f>
        <v/>
      </c>
      <c r="K33" s="3">
        <f>tbl_MTG_Set[[#This Row],[Released On]]+tbl_MTG_Set[[#This Row],[Buy Window Month Start]]*365.25/12</f>
        <v/>
      </c>
      <c r="L33">
        <f>_xlfn.XLOOKUP(tbl_MTG_Set[[#This Row],[Type Name]], tbl_MTG_Set_Type[Set Type], tbl_MTG_Set_Type[Buy Window Month End], "(Set Type not found)", 0, 1)</f>
        <v/>
      </c>
      <c r="M33" s="3">
        <f>tbl_MTG_Set[[#This Row],[Released On]]+tbl_MTG_Set[[#This Row],[Buy Window Month End]]*365.25/12</f>
        <v/>
      </c>
      <c r="N33" s="3">
        <f>AND(NOW()&gt;=tbl_MTG_Set[[#This Row],[Buy Window Start]], NOW()&lt;=tbl_MTG_Set[[#This Row],[Buy Window End]])</f>
        <v/>
      </c>
      <c r="O33">
        <f>_xlfn.XLOOKUP(tbl_MTG_Set[[#This Row],[Type Name]], tbl_MTG_Set_Type[Set Type], tbl_MTG_Set_Type[Heavy Printing Window Month Start], "(Set Type not found)", 0, 1)</f>
        <v/>
      </c>
      <c r="P33" s="3">
        <f>tbl_MTG_Set[[#This Row],[Released On]]+tbl_MTG_Set[[#This Row],[Heavy Printing Window Month Start]]*365.25/12</f>
        <v/>
      </c>
      <c r="Q33">
        <f>_xlfn.XLOOKUP(tbl_MTG_Set[[#This Row],[Type Name]], tbl_MTG_Set_Type[Set Type], tbl_MTG_Set_Type[Heavy Printing Window Month End], "(Set Type not found)", 0, 1)</f>
        <v/>
      </c>
      <c r="R33" s="3">
        <f>tbl_MTG_Set[[#This Row],[Released On]]+tbl_MTG_Set[[#This Row],[Heavy Printing Window Month End]]*365.25/12</f>
        <v/>
      </c>
      <c r="S33" s="3">
        <f>AND(NOW()&gt;=tbl_MTG_Set[[#This Row],[Heavy Printing Window Start]], NOW()&lt;=tbl_MTG_Set[[#This Row],[Heavy Printing Window End]])</f>
        <v/>
      </c>
      <c r="T33">
        <f>_xlfn.XLOOKUP(tbl_MTG_Set[[#This Row],[Type Name]], tbl_MTG_Set_Type[Set Type], tbl_MTG_Set_Type[Sell Window Month Start], "(Set Type not found)", 0, 1)</f>
        <v/>
      </c>
      <c r="U33" s="3">
        <f>tbl_MTG_Set[[#This Row],[Released On]]+tbl_MTG_Set[[#This Row],[Sell Window Month Start]]*365.25/12</f>
        <v/>
      </c>
      <c r="V33">
        <f>_xlfn.XLOOKUP(tbl_MTG_Set[[#This Row],[Type Name]], tbl_MTG_Set_Type[Set Type], tbl_MTG_Set_Type[Sell Window Month End], "(Set Type not found)", 0, 1)</f>
        <v/>
      </c>
      <c r="W33" s="3">
        <f>tbl_MTG_Set[[#This Row],[Released On]]+tbl_MTG_Set[[#This Row],[Sell Window Month End]]*365.25/12</f>
        <v/>
      </c>
      <c r="X33" s="3">
        <f>AND(NOW()&gt;=tbl_MTG_Set[[#This Row],[Sell Window Start]], NOW()&lt;=tbl_MTG_Set[[#This Row],[Sell Window End]])</f>
        <v/>
      </c>
      <c r="AG33" s="10" t="n"/>
      <c r="AH33" s="10" t="n"/>
      <c r="AM33" s="10">
        <f t="array" ref="AM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" s="10">
        <f t="array" ref="AN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" s="4">
        <f>_xlfn.XLOOKUP(tbl_MTG_Set[[#This Row],[Play Booster Box Product Id]], tbl_Product[Product Id], tbl_Product[Pack Size])</f>
        <v/>
      </c>
      <c r="AP33" s="10">
        <f>(tbl_MTG_Set[[#This Row],[Play Booster Box Cost]]+v_Item_Shipping_Cost_In)/tbl_MTG_Set[[#This Row],[Play Booster Box Size]]</f>
        <v/>
      </c>
      <c r="AQ33" s="10">
        <f t="array" ref="AQ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" s="10" t="n"/>
      <c r="AS33" s="10" t="n"/>
      <c r="AT33" s="17">
        <f>tbl_MTG_Set[[#This Row],[Play Booster CardMarket Profit]]/tbl_MTG_Set[[#This Row],[Play Booster Cost]]</f>
        <v/>
      </c>
      <c r="AU33" s="10">
        <f>_xlfn.XLOOKUP(tbl_MTG_Set[[#This Row],[Collector Booster Box Product Id]], tbl_Product[Product Id], tbl_Product[Min Cost])</f>
        <v/>
      </c>
      <c r="AV33" s="10">
        <f>_xlfn.XLOOKUP(tbl_MTG_Set[[#This Row],[Collector Booster Box Product Id]], tbl_Product[Product Id], tbl_Product[Best Source])</f>
        <v/>
      </c>
      <c r="AW33" s="4">
        <f>_xlfn.XLOOKUP(tbl_MTG_Set[[#This Row],[Collector Booster Box Product Id]], tbl_Product[Product Id], tbl_Product[Pack Size])</f>
        <v/>
      </c>
      <c r="AX33" s="10">
        <f>(tbl_MTG_Set[[#This Row],[Collector Booster Box Cost]] + v_Item_Shipping_Cost_In) / tbl_MTG_Set[[#This Row],[Collector Booster Box Size]]</f>
        <v/>
      </c>
      <c r="AY33" s="10">
        <f t="array" ref="AY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" s="10" t="n"/>
      <c r="BA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" s="17">
        <f>tbl_MTG_Set[[#This Row],[Collector Booster CardMarket Profit]]/tbl_MTG_Set[[#This Row],[Collector Booster Cost]]</f>
        <v/>
      </c>
      <c r="BC33" s="10" t="n"/>
      <c r="BF33" s="10">
        <f>tbl_MTG_Set[[#This Row],[Play Booster Sell Price CardMarket]]*tbl_MTG_Set[[#This Row],[Play Booster Expected Market Value]]/tbl_MTG_Set[[#This Row],[Play Boost Sealed Market Value]]</f>
        <v/>
      </c>
      <c r="BG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" s="10">
        <f>tbl_MTG_Set[[#This Row],[Play Singles CardMarket Profit]]/tbl_MTG_Set[[#This Row],[Play Booster Cost]]</f>
        <v/>
      </c>
      <c r="BI33" s="10">
        <f>tbl_MTG_Set[[#This Row],[Play Singles CardMarket Profit]]&gt;0</f>
        <v/>
      </c>
      <c r="BJ33" s="10" t="n"/>
      <c r="BK33" s="10" t="n"/>
      <c r="BL33" s="10">
        <f>tbl_MTG_Set[[#This Row],[Collector Booster Sell Price CardMarket]]*tbl_MTG_Set[[#This Row],[Collector Booster Expected Market Value]]/tbl_MTG_Set[[#This Row],[Collector Boost Sealed Market Value]]</f>
        <v/>
      </c>
      <c r="BM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" s="10">
        <f>tbl_MTG_Set[[#This Row],[Collector Singles CardMarket Profit]]/tbl_MTG_Set[[#This Row],[Collector Booster Cost]]</f>
        <v/>
      </c>
      <c r="BO33" s="10">
        <f>tbl_MTG_Set[[#This Row],[Collector Singles CardMarket Profit]]&gt;0</f>
        <v/>
      </c>
      <c r="BP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">
      <c r="A34" t="n">
        <v>32</v>
      </c>
      <c r="B34" t="inlineStr">
        <is>
          <t>Edge of Eternities Promos PEOE</t>
        </is>
      </c>
      <c r="C34" t="n">
        <v>160</v>
      </c>
      <c r="D34" s="3" t="n">
        <v>45870</v>
      </c>
      <c r="E34" t="inlineStr">
        <is>
          <t>Standard Expansion</t>
        </is>
      </c>
      <c r="F34" t="inlineStr">
        <is>
          <t>en es fr de it pt ja ko ru 汉语 漢語</t>
        </is>
      </c>
      <c r="G34" t="n">
        <v>33</v>
      </c>
      <c r="H34">
        <f>MONTH(NOW())+12*YEAR(NOW())-MONTH(tbl_MTG_Set[[#This Row],[Released On]])-12*YEAR(tbl_MTG_Set[[#This Row],[Released On]])</f>
        <v/>
      </c>
      <c r="I34">
        <f>_xlfn.XLOOKUP(tbl_MTG_Set[[#This Row],[Type Name]], tbl_MTG_Set_Type[Set Type], tbl_MTG_Set_Type[Index], "(Set Type not found)")</f>
        <v/>
      </c>
      <c r="J34">
        <f>_xlfn.XLOOKUP(tbl_MTG_Set[[#This Row],[Type Name]], tbl_MTG_Set_Type[Set Type], tbl_MTG_Set_Type[Buy Window Month Start], "(Set Type not found)")</f>
        <v/>
      </c>
      <c r="K34" s="3">
        <f>tbl_MTG_Set[[#This Row],[Released On]]+tbl_MTG_Set[[#This Row],[Buy Window Month Start]]*365.25/12</f>
        <v/>
      </c>
      <c r="L34">
        <f>_xlfn.XLOOKUP(tbl_MTG_Set[[#This Row],[Type Name]], tbl_MTG_Set_Type[Set Type], tbl_MTG_Set_Type[Buy Window Month End], "(Set Type not found)", 0, 1)</f>
        <v/>
      </c>
      <c r="M34" s="3">
        <f>tbl_MTG_Set[[#This Row],[Released On]]+tbl_MTG_Set[[#This Row],[Buy Window Month End]]*365.25/12</f>
        <v/>
      </c>
      <c r="N34" s="3">
        <f>AND(NOW()&gt;=tbl_MTG_Set[[#This Row],[Buy Window Start]], NOW()&lt;=tbl_MTG_Set[[#This Row],[Buy Window End]])</f>
        <v/>
      </c>
      <c r="O34">
        <f>_xlfn.XLOOKUP(tbl_MTG_Set[[#This Row],[Type Name]], tbl_MTG_Set_Type[Set Type], tbl_MTG_Set_Type[Heavy Printing Window Month Start], "(Set Type not found)", 0, 1)</f>
        <v/>
      </c>
      <c r="P34" s="3">
        <f>tbl_MTG_Set[[#This Row],[Released On]]+tbl_MTG_Set[[#This Row],[Heavy Printing Window Month Start]]*365.25/12</f>
        <v/>
      </c>
      <c r="Q34">
        <f>_xlfn.XLOOKUP(tbl_MTG_Set[[#This Row],[Type Name]], tbl_MTG_Set_Type[Set Type], tbl_MTG_Set_Type[Heavy Printing Window Month End], "(Set Type not found)", 0, 1)</f>
        <v/>
      </c>
      <c r="R34" s="3">
        <f>tbl_MTG_Set[[#This Row],[Released On]]+tbl_MTG_Set[[#This Row],[Heavy Printing Window Month End]]*365.25/12</f>
        <v/>
      </c>
      <c r="S34" s="3">
        <f>AND(NOW()&gt;=tbl_MTG_Set[[#This Row],[Heavy Printing Window Start]], NOW()&lt;=tbl_MTG_Set[[#This Row],[Heavy Printing Window End]])</f>
        <v/>
      </c>
      <c r="T34">
        <f>_xlfn.XLOOKUP(tbl_MTG_Set[[#This Row],[Type Name]], tbl_MTG_Set_Type[Set Type], tbl_MTG_Set_Type[Sell Window Month Start], "(Set Type not found)", 0, 1)</f>
        <v/>
      </c>
      <c r="U34" s="3">
        <f>tbl_MTG_Set[[#This Row],[Released On]]+tbl_MTG_Set[[#This Row],[Sell Window Month Start]]*365.25/12</f>
        <v/>
      </c>
      <c r="V34">
        <f>_xlfn.XLOOKUP(tbl_MTG_Set[[#This Row],[Type Name]], tbl_MTG_Set_Type[Set Type], tbl_MTG_Set_Type[Sell Window Month End], "(Set Type not found)", 0, 1)</f>
        <v/>
      </c>
      <c r="W34" s="3">
        <f>tbl_MTG_Set[[#This Row],[Released On]]+tbl_MTG_Set[[#This Row],[Sell Window Month End]]*365.25/12</f>
        <v/>
      </c>
      <c r="X34" s="3">
        <f>AND(NOW()&gt;=tbl_MTG_Set[[#This Row],[Sell Window Start]], NOW()&lt;=tbl_MTG_Set[[#This Row],[Sell Window End]])</f>
        <v/>
      </c>
      <c r="AG34" s="10" t="n"/>
      <c r="AH34" s="10" t="n"/>
      <c r="AM34" s="10">
        <f t="array" ref="AM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" s="10">
        <f t="array" ref="AN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" s="4">
        <f>_xlfn.XLOOKUP(tbl_MTG_Set[[#This Row],[Play Booster Box Product Id]], tbl_Product[Product Id], tbl_Product[Pack Size])</f>
        <v/>
      </c>
      <c r="AP34" s="10">
        <f>(tbl_MTG_Set[[#This Row],[Play Booster Box Cost]]+v_Item_Shipping_Cost_In)/tbl_MTG_Set[[#This Row],[Play Booster Box Size]]</f>
        <v/>
      </c>
      <c r="AQ34" s="10">
        <f t="array" ref="AQ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" s="10" t="n"/>
      <c r="AS34" s="10" t="n"/>
      <c r="AT34" s="17">
        <f>tbl_MTG_Set[[#This Row],[Play Booster CardMarket Profit]]/tbl_MTG_Set[[#This Row],[Play Booster Cost]]</f>
        <v/>
      </c>
      <c r="AU34" s="10">
        <f>_xlfn.XLOOKUP(tbl_MTG_Set[[#This Row],[Collector Booster Box Product Id]], tbl_Product[Product Id], tbl_Product[Min Cost])</f>
        <v/>
      </c>
      <c r="AV34" s="10">
        <f>_xlfn.XLOOKUP(tbl_MTG_Set[[#This Row],[Collector Booster Box Product Id]], tbl_Product[Product Id], tbl_Product[Best Source])</f>
        <v/>
      </c>
      <c r="AW34" s="4">
        <f>_xlfn.XLOOKUP(tbl_MTG_Set[[#This Row],[Collector Booster Box Product Id]], tbl_Product[Product Id], tbl_Product[Pack Size])</f>
        <v/>
      </c>
      <c r="AX34" s="10">
        <f>(tbl_MTG_Set[[#This Row],[Collector Booster Box Cost]] + v_Item_Shipping_Cost_In) / tbl_MTG_Set[[#This Row],[Collector Booster Box Size]]</f>
        <v/>
      </c>
      <c r="AY34" s="10">
        <f t="array" ref="AY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" s="10" t="n"/>
      <c r="BA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" s="17">
        <f>tbl_MTG_Set[[#This Row],[Collector Booster CardMarket Profit]]/tbl_MTG_Set[[#This Row],[Collector Booster Cost]]</f>
        <v/>
      </c>
      <c r="BC34" s="10" t="n"/>
      <c r="BF34" s="10">
        <f>tbl_MTG_Set[[#This Row],[Play Booster Sell Price CardMarket]]*tbl_MTG_Set[[#This Row],[Play Booster Expected Market Value]]/tbl_MTG_Set[[#This Row],[Play Boost Sealed Market Value]]</f>
        <v/>
      </c>
      <c r="BG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" s="10">
        <f>tbl_MTG_Set[[#This Row],[Play Singles CardMarket Profit]]/tbl_MTG_Set[[#This Row],[Play Booster Cost]]</f>
        <v/>
      </c>
      <c r="BI34" s="10">
        <f>tbl_MTG_Set[[#This Row],[Play Singles CardMarket Profit]]&gt;0</f>
        <v/>
      </c>
      <c r="BJ34" s="10" t="n"/>
      <c r="BK34" s="10" t="n"/>
      <c r="BL34" s="10">
        <f>tbl_MTG_Set[[#This Row],[Collector Booster Sell Price CardMarket]]*tbl_MTG_Set[[#This Row],[Collector Booster Expected Market Value]]/tbl_MTG_Set[[#This Row],[Collector Boost Sealed Market Value]]</f>
        <v/>
      </c>
      <c r="BM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" s="10">
        <f>tbl_MTG_Set[[#This Row],[Collector Singles CardMarket Profit]]/tbl_MTG_Set[[#This Row],[Collector Booster Cost]]</f>
        <v/>
      </c>
      <c r="BO34" s="10">
        <f>tbl_MTG_Set[[#This Row],[Collector Singles CardMarket Profit]]&gt;0</f>
        <v/>
      </c>
      <c r="BP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">
      <c r="A35" t="n">
        <v>33</v>
      </c>
      <c r="B35" t="inlineStr">
        <is>
          <t>Edge of Eternities Tokens TEOE</t>
        </is>
      </c>
      <c r="C35" t="n">
        <v>12</v>
      </c>
      <c r="D35" s="3" t="n">
        <v>45870</v>
      </c>
      <c r="E35" t="inlineStr">
        <is>
          <t>Standard Expansion</t>
        </is>
      </c>
      <c r="F35" t="inlineStr">
        <is>
          <t>en es fr de it pt ja ko ru 汉语 漢語</t>
        </is>
      </c>
      <c r="G35" t="n">
        <v>34</v>
      </c>
      <c r="H35">
        <f>MONTH(NOW())+12*YEAR(NOW())-MONTH(tbl_MTG_Set[[#This Row],[Released On]])-12*YEAR(tbl_MTG_Set[[#This Row],[Released On]])</f>
        <v/>
      </c>
      <c r="I35">
        <f>_xlfn.XLOOKUP(tbl_MTG_Set[[#This Row],[Type Name]], tbl_MTG_Set_Type[Set Type], tbl_MTG_Set_Type[Index], "(Set Type not found)")</f>
        <v/>
      </c>
      <c r="J35">
        <f>_xlfn.XLOOKUP(tbl_MTG_Set[[#This Row],[Type Name]], tbl_MTG_Set_Type[Set Type], tbl_MTG_Set_Type[Buy Window Month Start], "(Set Type not found)")</f>
        <v/>
      </c>
      <c r="K35" s="3">
        <f>tbl_MTG_Set[[#This Row],[Released On]]+tbl_MTG_Set[[#This Row],[Buy Window Month Start]]*365.25/12</f>
        <v/>
      </c>
      <c r="L35">
        <f>_xlfn.XLOOKUP(tbl_MTG_Set[[#This Row],[Type Name]], tbl_MTG_Set_Type[Set Type], tbl_MTG_Set_Type[Buy Window Month End], "(Set Type not found)", 0, 1)</f>
        <v/>
      </c>
      <c r="M35" s="3">
        <f>tbl_MTG_Set[[#This Row],[Released On]]+tbl_MTG_Set[[#This Row],[Buy Window Month End]]*365.25/12</f>
        <v/>
      </c>
      <c r="N35" s="3">
        <f>AND(NOW()&gt;=tbl_MTG_Set[[#This Row],[Buy Window Start]], NOW()&lt;=tbl_MTG_Set[[#This Row],[Buy Window End]])</f>
        <v/>
      </c>
      <c r="O35">
        <f>_xlfn.XLOOKUP(tbl_MTG_Set[[#This Row],[Type Name]], tbl_MTG_Set_Type[Set Type], tbl_MTG_Set_Type[Heavy Printing Window Month Start], "(Set Type not found)", 0, 1)</f>
        <v/>
      </c>
      <c r="P35" s="3">
        <f>tbl_MTG_Set[[#This Row],[Released On]]+tbl_MTG_Set[[#This Row],[Heavy Printing Window Month Start]]*365.25/12</f>
        <v/>
      </c>
      <c r="Q35">
        <f>_xlfn.XLOOKUP(tbl_MTG_Set[[#This Row],[Type Name]], tbl_MTG_Set_Type[Set Type], tbl_MTG_Set_Type[Heavy Printing Window Month End], "(Set Type not found)", 0, 1)</f>
        <v/>
      </c>
      <c r="R35" s="3">
        <f>tbl_MTG_Set[[#This Row],[Released On]]+tbl_MTG_Set[[#This Row],[Heavy Printing Window Month End]]*365.25/12</f>
        <v/>
      </c>
      <c r="S35" s="3">
        <f>AND(NOW()&gt;=tbl_MTG_Set[[#This Row],[Heavy Printing Window Start]], NOW()&lt;=tbl_MTG_Set[[#This Row],[Heavy Printing Window End]])</f>
        <v/>
      </c>
      <c r="T35">
        <f>_xlfn.XLOOKUP(tbl_MTG_Set[[#This Row],[Type Name]], tbl_MTG_Set_Type[Set Type], tbl_MTG_Set_Type[Sell Window Month Start], "(Set Type not found)", 0, 1)</f>
        <v/>
      </c>
      <c r="U35" s="3">
        <f>tbl_MTG_Set[[#This Row],[Released On]]+tbl_MTG_Set[[#This Row],[Sell Window Month Start]]*365.25/12</f>
        <v/>
      </c>
      <c r="V35">
        <f>_xlfn.XLOOKUP(tbl_MTG_Set[[#This Row],[Type Name]], tbl_MTG_Set_Type[Set Type], tbl_MTG_Set_Type[Sell Window Month End], "(Set Type not found)", 0, 1)</f>
        <v/>
      </c>
      <c r="W35" s="3">
        <f>tbl_MTG_Set[[#This Row],[Released On]]+tbl_MTG_Set[[#This Row],[Sell Window Month End]]*365.25/12</f>
        <v/>
      </c>
      <c r="X35" s="3">
        <f>AND(NOW()&gt;=tbl_MTG_Set[[#This Row],[Sell Window Start]], NOW()&lt;=tbl_MTG_Set[[#This Row],[Sell Window End]])</f>
        <v/>
      </c>
      <c r="AG35" s="10" t="n"/>
      <c r="AH35" s="10" t="n"/>
      <c r="AM35" s="10">
        <f t="array" ref="AM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" s="10">
        <f t="array" ref="AN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" s="4">
        <f>_xlfn.XLOOKUP(tbl_MTG_Set[[#This Row],[Play Booster Box Product Id]], tbl_Product[Product Id], tbl_Product[Pack Size])</f>
        <v/>
      </c>
      <c r="AP35" s="10">
        <f>(tbl_MTG_Set[[#This Row],[Play Booster Box Cost]]+v_Item_Shipping_Cost_In)/tbl_MTG_Set[[#This Row],[Play Booster Box Size]]</f>
        <v/>
      </c>
      <c r="AQ35" s="10">
        <f t="array" ref="AQ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" s="10" t="n"/>
      <c r="AS35" s="10" t="n"/>
      <c r="AT35" s="17">
        <f>tbl_MTG_Set[[#This Row],[Play Booster CardMarket Profit]]/tbl_MTG_Set[[#This Row],[Play Booster Cost]]</f>
        <v/>
      </c>
      <c r="AU35" s="10">
        <f>_xlfn.XLOOKUP(tbl_MTG_Set[[#This Row],[Collector Booster Box Product Id]], tbl_Product[Product Id], tbl_Product[Min Cost])</f>
        <v/>
      </c>
      <c r="AV35" s="10">
        <f>_xlfn.XLOOKUP(tbl_MTG_Set[[#This Row],[Collector Booster Box Product Id]], tbl_Product[Product Id], tbl_Product[Best Source])</f>
        <v/>
      </c>
      <c r="AW35" s="4">
        <f>_xlfn.XLOOKUP(tbl_MTG_Set[[#This Row],[Collector Booster Box Product Id]], tbl_Product[Product Id], tbl_Product[Pack Size])</f>
        <v/>
      </c>
      <c r="AX35" s="10">
        <f>(tbl_MTG_Set[[#This Row],[Collector Booster Box Cost]] + v_Item_Shipping_Cost_In) / tbl_MTG_Set[[#This Row],[Collector Booster Box Size]]</f>
        <v/>
      </c>
      <c r="AY35" s="10">
        <f t="array" ref="AY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" s="10" t="n"/>
      <c r="BA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" s="17">
        <f>tbl_MTG_Set[[#This Row],[Collector Booster CardMarket Profit]]/tbl_MTG_Set[[#This Row],[Collector Booster Cost]]</f>
        <v/>
      </c>
      <c r="BC35" s="10" t="n"/>
      <c r="BF35" s="10">
        <f>tbl_MTG_Set[[#This Row],[Play Booster Sell Price CardMarket]]*tbl_MTG_Set[[#This Row],[Play Booster Expected Market Value]]/tbl_MTG_Set[[#This Row],[Play Boost Sealed Market Value]]</f>
        <v/>
      </c>
      <c r="BG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" s="10">
        <f>tbl_MTG_Set[[#This Row],[Play Singles CardMarket Profit]]/tbl_MTG_Set[[#This Row],[Play Booster Cost]]</f>
        <v/>
      </c>
      <c r="BI35" s="10">
        <f>tbl_MTG_Set[[#This Row],[Play Singles CardMarket Profit]]&gt;0</f>
        <v/>
      </c>
      <c r="BJ35" s="10" t="n"/>
      <c r="BK35" s="10" t="n"/>
      <c r="BL35" s="10">
        <f>tbl_MTG_Set[[#This Row],[Collector Booster Sell Price CardMarket]]*tbl_MTG_Set[[#This Row],[Collector Booster Expected Market Value]]/tbl_MTG_Set[[#This Row],[Collector Boost Sealed Market Value]]</f>
        <v/>
      </c>
      <c r="BM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" s="10">
        <f>tbl_MTG_Set[[#This Row],[Collector Singles CardMarket Profit]]/tbl_MTG_Set[[#This Row],[Collector Booster Cost]]</f>
        <v/>
      </c>
      <c r="BO35" s="10">
        <f>tbl_MTG_Set[[#This Row],[Collector Singles CardMarket Profit]]&gt;0</f>
        <v/>
      </c>
      <c r="BP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">
      <c r="A36" t="n">
        <v>34</v>
      </c>
      <c r="B36" t="inlineStr">
        <is>
          <t>Alchemy: Edge of Eternities YEOE</t>
        </is>
      </c>
      <c r="C36" t="n">
        <v>40</v>
      </c>
      <c r="D36" s="3" t="n">
        <v>45888</v>
      </c>
      <c r="E36" t="inlineStr">
        <is>
          <t>Standard Expansion</t>
        </is>
      </c>
      <c r="F36" t="inlineStr">
        <is>
          <t>en es fr de it pt ja ko ru 汉语 漢語</t>
        </is>
      </c>
      <c r="G36" t="n">
        <v>35</v>
      </c>
      <c r="H36">
        <f>MONTH(NOW())+12*YEAR(NOW())-MONTH(tbl_MTG_Set[[#This Row],[Released On]])-12*YEAR(tbl_MTG_Set[[#This Row],[Released On]])</f>
        <v/>
      </c>
      <c r="I36">
        <f>_xlfn.XLOOKUP(tbl_MTG_Set[[#This Row],[Type Name]], tbl_MTG_Set_Type[Set Type], tbl_MTG_Set_Type[Index], "(Set Type not found)")</f>
        <v/>
      </c>
      <c r="J36">
        <f>_xlfn.XLOOKUP(tbl_MTG_Set[[#This Row],[Type Name]], tbl_MTG_Set_Type[Set Type], tbl_MTG_Set_Type[Buy Window Month Start], "(Set Type not found)")</f>
        <v/>
      </c>
      <c r="K36" s="3">
        <f>tbl_MTG_Set[[#This Row],[Released On]]+tbl_MTG_Set[[#This Row],[Buy Window Month Start]]*365.25/12</f>
        <v/>
      </c>
      <c r="L36">
        <f>_xlfn.XLOOKUP(tbl_MTG_Set[[#This Row],[Type Name]], tbl_MTG_Set_Type[Set Type], tbl_MTG_Set_Type[Buy Window Month End], "(Set Type not found)", 0, 1)</f>
        <v/>
      </c>
      <c r="M36" s="3">
        <f>tbl_MTG_Set[[#This Row],[Released On]]+tbl_MTG_Set[[#This Row],[Buy Window Month End]]*365.25/12</f>
        <v/>
      </c>
      <c r="N36" s="3">
        <f>AND(NOW()&gt;=tbl_MTG_Set[[#This Row],[Buy Window Start]], NOW()&lt;=tbl_MTG_Set[[#This Row],[Buy Window End]])</f>
        <v/>
      </c>
      <c r="O36">
        <f>_xlfn.XLOOKUP(tbl_MTG_Set[[#This Row],[Type Name]], tbl_MTG_Set_Type[Set Type], tbl_MTG_Set_Type[Heavy Printing Window Month Start], "(Set Type not found)", 0, 1)</f>
        <v/>
      </c>
      <c r="P36" s="3">
        <f>tbl_MTG_Set[[#This Row],[Released On]]+tbl_MTG_Set[[#This Row],[Heavy Printing Window Month Start]]*365.25/12</f>
        <v/>
      </c>
      <c r="Q36">
        <f>_xlfn.XLOOKUP(tbl_MTG_Set[[#This Row],[Type Name]], tbl_MTG_Set_Type[Set Type], tbl_MTG_Set_Type[Heavy Printing Window Month End], "(Set Type not found)", 0, 1)</f>
        <v/>
      </c>
      <c r="R36" s="3">
        <f>tbl_MTG_Set[[#This Row],[Released On]]+tbl_MTG_Set[[#This Row],[Heavy Printing Window Month End]]*365.25/12</f>
        <v/>
      </c>
      <c r="S36" s="3">
        <f>AND(NOW()&gt;=tbl_MTG_Set[[#This Row],[Heavy Printing Window Start]], NOW()&lt;=tbl_MTG_Set[[#This Row],[Heavy Printing Window End]])</f>
        <v/>
      </c>
      <c r="T36">
        <f>_xlfn.XLOOKUP(tbl_MTG_Set[[#This Row],[Type Name]], tbl_MTG_Set_Type[Set Type], tbl_MTG_Set_Type[Sell Window Month Start], "(Set Type not found)", 0, 1)</f>
        <v/>
      </c>
      <c r="U36" s="3">
        <f>tbl_MTG_Set[[#This Row],[Released On]]+tbl_MTG_Set[[#This Row],[Sell Window Month Start]]*365.25/12</f>
        <v/>
      </c>
      <c r="V36">
        <f>_xlfn.XLOOKUP(tbl_MTG_Set[[#This Row],[Type Name]], tbl_MTG_Set_Type[Set Type], tbl_MTG_Set_Type[Sell Window Month End], "(Set Type not found)", 0, 1)</f>
        <v/>
      </c>
      <c r="W36" s="3">
        <f>tbl_MTG_Set[[#This Row],[Released On]]+tbl_MTG_Set[[#This Row],[Sell Window Month End]]*365.25/12</f>
        <v/>
      </c>
      <c r="X36" s="3">
        <f>AND(NOW()&gt;=tbl_MTG_Set[[#This Row],[Sell Window Start]], NOW()&lt;=tbl_MTG_Set[[#This Row],[Sell Window End]])</f>
        <v/>
      </c>
      <c r="AG36" s="10" t="n"/>
      <c r="AH36" s="10" t="n"/>
      <c r="AM36" s="10">
        <f t="array" ref="AM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" s="10">
        <f t="array" ref="AN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" s="4">
        <f>_xlfn.XLOOKUP(tbl_MTG_Set[[#This Row],[Play Booster Box Product Id]], tbl_Product[Product Id], tbl_Product[Pack Size])</f>
        <v/>
      </c>
      <c r="AP36" s="10">
        <f>(tbl_MTG_Set[[#This Row],[Play Booster Box Cost]]+v_Item_Shipping_Cost_In)/tbl_MTG_Set[[#This Row],[Play Booster Box Size]]</f>
        <v/>
      </c>
      <c r="AQ36" s="10">
        <f t="array" ref="AQ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" s="10" t="n"/>
      <c r="AS36" s="10" t="n"/>
      <c r="AT36" s="17">
        <f>tbl_MTG_Set[[#This Row],[Play Booster CardMarket Profit]]/tbl_MTG_Set[[#This Row],[Play Booster Cost]]</f>
        <v/>
      </c>
      <c r="AU36" s="10">
        <f>_xlfn.XLOOKUP(tbl_MTG_Set[[#This Row],[Collector Booster Box Product Id]], tbl_Product[Product Id], tbl_Product[Min Cost])</f>
        <v/>
      </c>
      <c r="AV36" s="10">
        <f>_xlfn.XLOOKUP(tbl_MTG_Set[[#This Row],[Collector Booster Box Product Id]], tbl_Product[Product Id], tbl_Product[Best Source])</f>
        <v/>
      </c>
      <c r="AW36" s="4">
        <f>_xlfn.XLOOKUP(tbl_MTG_Set[[#This Row],[Collector Booster Box Product Id]], tbl_Product[Product Id], tbl_Product[Pack Size])</f>
        <v/>
      </c>
      <c r="AX36" s="10">
        <f>(tbl_MTG_Set[[#This Row],[Collector Booster Box Cost]] + v_Item_Shipping_Cost_In) / tbl_MTG_Set[[#This Row],[Collector Booster Box Size]]</f>
        <v/>
      </c>
      <c r="AY36" s="10">
        <f t="array" ref="AY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" s="10" t="n"/>
      <c r="BA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" s="17">
        <f>tbl_MTG_Set[[#This Row],[Collector Booster CardMarket Profit]]/tbl_MTG_Set[[#This Row],[Collector Booster Cost]]</f>
        <v/>
      </c>
      <c r="BC36" s="10" t="n"/>
      <c r="BF36" s="10">
        <f>tbl_MTG_Set[[#This Row],[Play Booster Sell Price CardMarket]]*tbl_MTG_Set[[#This Row],[Play Booster Expected Market Value]]/tbl_MTG_Set[[#This Row],[Play Boost Sealed Market Value]]</f>
        <v/>
      </c>
      <c r="BG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" s="10">
        <f>tbl_MTG_Set[[#This Row],[Play Singles CardMarket Profit]]/tbl_MTG_Set[[#This Row],[Play Booster Cost]]</f>
        <v/>
      </c>
      <c r="BI36" s="10">
        <f>tbl_MTG_Set[[#This Row],[Play Singles CardMarket Profit]]&gt;0</f>
        <v/>
      </c>
      <c r="BJ36" s="10" t="n"/>
      <c r="BK36" s="10" t="n"/>
      <c r="BL36" s="10">
        <f>tbl_MTG_Set[[#This Row],[Collector Booster Sell Price CardMarket]]*tbl_MTG_Set[[#This Row],[Collector Booster Expected Market Value]]/tbl_MTG_Set[[#This Row],[Collector Boost Sealed Market Value]]</f>
        <v/>
      </c>
      <c r="BM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" s="10">
        <f>tbl_MTG_Set[[#This Row],[Collector Singles CardMarket Profit]]/tbl_MTG_Set[[#This Row],[Collector Booster Cost]]</f>
        <v/>
      </c>
      <c r="BO36" s="10">
        <f>tbl_MTG_Set[[#This Row],[Collector Singles CardMarket Profit]]&gt;0</f>
        <v/>
      </c>
      <c r="BP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">
      <c r="A37" t="n">
        <v>35</v>
      </c>
      <c r="B37" t="inlineStr">
        <is>
          <t>Edge of Eternities Art Series AEOE</t>
        </is>
      </c>
      <c r="C37" t="n">
        <v>54</v>
      </c>
      <c r="D37" s="3" t="n">
        <v>45870</v>
      </c>
      <c r="E37" t="inlineStr">
        <is>
          <t>Standard Expansion</t>
        </is>
      </c>
      <c r="F37" t="inlineStr">
        <is>
          <t>en es fr de it pt ja ko ru 汉语 漢語</t>
        </is>
      </c>
      <c r="G37" t="n">
        <v>36</v>
      </c>
      <c r="H37">
        <f>MONTH(NOW())+12*YEAR(NOW())-MONTH(tbl_MTG_Set[[#This Row],[Released On]])-12*YEAR(tbl_MTG_Set[[#This Row],[Released On]])</f>
        <v/>
      </c>
      <c r="I37">
        <f>_xlfn.XLOOKUP(tbl_MTG_Set[[#This Row],[Type Name]], tbl_MTG_Set_Type[Set Type], tbl_MTG_Set_Type[Index], "(Set Type not found)")</f>
        <v/>
      </c>
      <c r="J37">
        <f>_xlfn.XLOOKUP(tbl_MTG_Set[[#This Row],[Type Name]], tbl_MTG_Set_Type[Set Type], tbl_MTG_Set_Type[Buy Window Month Start], "(Set Type not found)")</f>
        <v/>
      </c>
      <c r="K37" s="3">
        <f>tbl_MTG_Set[[#This Row],[Released On]]+tbl_MTG_Set[[#This Row],[Buy Window Month Start]]*365.25/12</f>
        <v/>
      </c>
      <c r="L37">
        <f>_xlfn.XLOOKUP(tbl_MTG_Set[[#This Row],[Type Name]], tbl_MTG_Set_Type[Set Type], tbl_MTG_Set_Type[Buy Window Month End], "(Set Type not found)", 0, 1)</f>
        <v/>
      </c>
      <c r="M37" s="3">
        <f>tbl_MTG_Set[[#This Row],[Released On]]+tbl_MTG_Set[[#This Row],[Buy Window Month End]]*365.25/12</f>
        <v/>
      </c>
      <c r="N37" s="3">
        <f>AND(NOW()&gt;=tbl_MTG_Set[[#This Row],[Buy Window Start]], NOW()&lt;=tbl_MTG_Set[[#This Row],[Buy Window End]])</f>
        <v/>
      </c>
      <c r="O37">
        <f>_xlfn.XLOOKUP(tbl_MTG_Set[[#This Row],[Type Name]], tbl_MTG_Set_Type[Set Type], tbl_MTG_Set_Type[Heavy Printing Window Month Start], "(Set Type not found)", 0, 1)</f>
        <v/>
      </c>
      <c r="P37" s="3">
        <f>tbl_MTG_Set[[#This Row],[Released On]]+tbl_MTG_Set[[#This Row],[Heavy Printing Window Month Start]]*365.25/12</f>
        <v/>
      </c>
      <c r="Q37">
        <f>_xlfn.XLOOKUP(tbl_MTG_Set[[#This Row],[Type Name]], tbl_MTG_Set_Type[Set Type], tbl_MTG_Set_Type[Heavy Printing Window Month End], "(Set Type not found)", 0, 1)</f>
        <v/>
      </c>
      <c r="R37" s="3">
        <f>tbl_MTG_Set[[#This Row],[Released On]]+tbl_MTG_Set[[#This Row],[Heavy Printing Window Month End]]*365.25/12</f>
        <v/>
      </c>
      <c r="S37" s="3">
        <f>AND(NOW()&gt;=tbl_MTG_Set[[#This Row],[Heavy Printing Window Start]], NOW()&lt;=tbl_MTG_Set[[#This Row],[Heavy Printing Window End]])</f>
        <v/>
      </c>
      <c r="T37">
        <f>_xlfn.XLOOKUP(tbl_MTG_Set[[#This Row],[Type Name]], tbl_MTG_Set_Type[Set Type], tbl_MTG_Set_Type[Sell Window Month Start], "(Set Type not found)", 0, 1)</f>
        <v/>
      </c>
      <c r="U37" s="3">
        <f>tbl_MTG_Set[[#This Row],[Released On]]+tbl_MTG_Set[[#This Row],[Sell Window Month Start]]*365.25/12</f>
        <v/>
      </c>
      <c r="V37">
        <f>_xlfn.XLOOKUP(tbl_MTG_Set[[#This Row],[Type Name]], tbl_MTG_Set_Type[Set Type], tbl_MTG_Set_Type[Sell Window Month End], "(Set Type not found)", 0, 1)</f>
        <v/>
      </c>
      <c r="W37" s="3">
        <f>tbl_MTG_Set[[#This Row],[Released On]]+tbl_MTG_Set[[#This Row],[Sell Window Month End]]*365.25/12</f>
        <v/>
      </c>
      <c r="X37" s="3">
        <f>AND(NOW()&gt;=tbl_MTG_Set[[#This Row],[Sell Window Start]], NOW()&lt;=tbl_MTG_Set[[#This Row],[Sell Window End]])</f>
        <v/>
      </c>
      <c r="AG37" s="10" t="n"/>
      <c r="AH37" s="10" t="n"/>
      <c r="AM37" s="10">
        <f t="array" ref="AM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" s="10">
        <f t="array" ref="AN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" s="4">
        <f>_xlfn.XLOOKUP(tbl_MTG_Set[[#This Row],[Play Booster Box Product Id]], tbl_Product[Product Id], tbl_Product[Pack Size])</f>
        <v/>
      </c>
      <c r="AP37" s="10">
        <f>(tbl_MTG_Set[[#This Row],[Play Booster Box Cost]]+v_Item_Shipping_Cost_In)/tbl_MTG_Set[[#This Row],[Play Booster Box Size]]</f>
        <v/>
      </c>
      <c r="AQ37" s="10">
        <f t="array" ref="AQ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" s="10" t="n"/>
      <c r="AS37" s="10" t="n"/>
      <c r="AT37" s="17">
        <f>tbl_MTG_Set[[#This Row],[Play Booster CardMarket Profit]]/tbl_MTG_Set[[#This Row],[Play Booster Cost]]</f>
        <v/>
      </c>
      <c r="AU37" s="10">
        <f>_xlfn.XLOOKUP(tbl_MTG_Set[[#This Row],[Collector Booster Box Product Id]], tbl_Product[Product Id], tbl_Product[Min Cost])</f>
        <v/>
      </c>
      <c r="AV37" s="10">
        <f>_xlfn.XLOOKUP(tbl_MTG_Set[[#This Row],[Collector Booster Box Product Id]], tbl_Product[Product Id], tbl_Product[Best Source])</f>
        <v/>
      </c>
      <c r="AW37" s="4">
        <f>_xlfn.XLOOKUP(tbl_MTG_Set[[#This Row],[Collector Booster Box Product Id]], tbl_Product[Product Id], tbl_Product[Pack Size])</f>
        <v/>
      </c>
      <c r="AX37" s="10">
        <f>(tbl_MTG_Set[[#This Row],[Collector Booster Box Cost]] + v_Item_Shipping_Cost_In) / tbl_MTG_Set[[#This Row],[Collector Booster Box Size]]</f>
        <v/>
      </c>
      <c r="AY37" s="10">
        <f t="array" ref="AY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" s="10" t="n"/>
      <c r="BA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" s="17">
        <f>tbl_MTG_Set[[#This Row],[Collector Booster CardMarket Profit]]/tbl_MTG_Set[[#This Row],[Collector Booster Cost]]</f>
        <v/>
      </c>
      <c r="BC37" s="10" t="n"/>
      <c r="BF37" s="10">
        <f>tbl_MTG_Set[[#This Row],[Play Booster Sell Price CardMarket]]*tbl_MTG_Set[[#This Row],[Play Booster Expected Market Value]]/tbl_MTG_Set[[#This Row],[Play Boost Sealed Market Value]]</f>
        <v/>
      </c>
      <c r="BG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" s="10">
        <f>tbl_MTG_Set[[#This Row],[Play Singles CardMarket Profit]]/tbl_MTG_Set[[#This Row],[Play Booster Cost]]</f>
        <v/>
      </c>
      <c r="BI37" s="10">
        <f>tbl_MTG_Set[[#This Row],[Play Singles CardMarket Profit]]&gt;0</f>
        <v/>
      </c>
      <c r="BJ37" s="10" t="n"/>
      <c r="BK37" s="10" t="n"/>
      <c r="BL37" s="10">
        <f>tbl_MTG_Set[[#This Row],[Collector Booster Sell Price CardMarket]]*tbl_MTG_Set[[#This Row],[Collector Booster Expected Market Value]]/tbl_MTG_Set[[#This Row],[Collector Boost Sealed Market Value]]</f>
        <v/>
      </c>
      <c r="BM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" s="10">
        <f>tbl_MTG_Set[[#This Row],[Collector Singles CardMarket Profit]]/tbl_MTG_Set[[#This Row],[Collector Booster Cost]]</f>
        <v/>
      </c>
      <c r="BO37" s="10">
        <f>tbl_MTG_Set[[#This Row],[Collector Singles CardMarket Profit]]&gt;0</f>
        <v/>
      </c>
      <c r="BP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">
      <c r="A38" t="n">
        <v>36</v>
      </c>
      <c r="B38" t="inlineStr">
        <is>
          <t>Edge of Eternities Commander EOC</t>
        </is>
      </c>
      <c r="C38" t="n">
        <v>191</v>
      </c>
      <c r="D38" s="3" t="n">
        <v>45870</v>
      </c>
      <c r="E38" t="inlineStr">
        <is>
          <t>Commander</t>
        </is>
      </c>
      <c r="F38" t="inlineStr">
        <is>
          <t>en es fr de it pt ja ko ru 汉语 漢語</t>
        </is>
      </c>
      <c r="G38" t="n">
        <v>37</v>
      </c>
      <c r="H38">
        <f>MONTH(NOW())+12*YEAR(NOW())-MONTH(tbl_MTG_Set[[#This Row],[Released On]])-12*YEAR(tbl_MTG_Set[[#This Row],[Released On]])</f>
        <v/>
      </c>
      <c r="I38">
        <f>_xlfn.XLOOKUP(tbl_MTG_Set[[#This Row],[Type Name]], tbl_MTG_Set_Type[Set Type], tbl_MTG_Set_Type[Index], "(Set Type not found)")</f>
        <v/>
      </c>
      <c r="J38">
        <f>_xlfn.XLOOKUP(tbl_MTG_Set[[#This Row],[Type Name]], tbl_MTG_Set_Type[Set Type], tbl_MTG_Set_Type[Buy Window Month Start], "(Set Type not found)")</f>
        <v/>
      </c>
      <c r="K38" s="3">
        <f>tbl_MTG_Set[[#This Row],[Released On]]+tbl_MTG_Set[[#This Row],[Buy Window Month Start]]*365.25/12</f>
        <v/>
      </c>
      <c r="L38">
        <f>_xlfn.XLOOKUP(tbl_MTG_Set[[#This Row],[Type Name]], tbl_MTG_Set_Type[Set Type], tbl_MTG_Set_Type[Buy Window Month End], "(Set Type not found)", 0, 1)</f>
        <v/>
      </c>
      <c r="M38" s="3">
        <f>tbl_MTG_Set[[#This Row],[Released On]]+tbl_MTG_Set[[#This Row],[Buy Window Month End]]*365.25/12</f>
        <v/>
      </c>
      <c r="N38" s="3">
        <f>AND(NOW()&gt;=tbl_MTG_Set[[#This Row],[Buy Window Start]], NOW()&lt;=tbl_MTG_Set[[#This Row],[Buy Window End]])</f>
        <v/>
      </c>
      <c r="O38">
        <f>_xlfn.XLOOKUP(tbl_MTG_Set[[#This Row],[Type Name]], tbl_MTG_Set_Type[Set Type], tbl_MTG_Set_Type[Heavy Printing Window Month Start], "(Set Type not found)", 0, 1)</f>
        <v/>
      </c>
      <c r="P38" s="3">
        <f>tbl_MTG_Set[[#This Row],[Released On]]+tbl_MTG_Set[[#This Row],[Heavy Printing Window Month Start]]*365.25/12</f>
        <v/>
      </c>
      <c r="Q38">
        <f>_xlfn.XLOOKUP(tbl_MTG_Set[[#This Row],[Type Name]], tbl_MTG_Set_Type[Set Type], tbl_MTG_Set_Type[Heavy Printing Window Month End], "(Set Type not found)", 0, 1)</f>
        <v/>
      </c>
      <c r="R38" s="3">
        <f>tbl_MTG_Set[[#This Row],[Released On]]+tbl_MTG_Set[[#This Row],[Heavy Printing Window Month End]]*365.25/12</f>
        <v/>
      </c>
      <c r="S38" s="3">
        <f>AND(NOW()&gt;=tbl_MTG_Set[[#This Row],[Heavy Printing Window Start]], NOW()&lt;=tbl_MTG_Set[[#This Row],[Heavy Printing Window End]])</f>
        <v/>
      </c>
      <c r="T38">
        <f>_xlfn.XLOOKUP(tbl_MTG_Set[[#This Row],[Type Name]], tbl_MTG_Set_Type[Set Type], tbl_MTG_Set_Type[Sell Window Month Start], "(Set Type not found)", 0, 1)</f>
        <v/>
      </c>
      <c r="U38" s="3">
        <f>tbl_MTG_Set[[#This Row],[Released On]]+tbl_MTG_Set[[#This Row],[Sell Window Month Start]]*365.25/12</f>
        <v/>
      </c>
      <c r="V38">
        <f>_xlfn.XLOOKUP(tbl_MTG_Set[[#This Row],[Type Name]], tbl_MTG_Set_Type[Set Type], tbl_MTG_Set_Type[Sell Window Month End], "(Set Type not found)", 0, 1)</f>
        <v/>
      </c>
      <c r="W38" s="3">
        <f>tbl_MTG_Set[[#This Row],[Released On]]+tbl_MTG_Set[[#This Row],[Sell Window Month End]]*365.25/12</f>
        <v/>
      </c>
      <c r="X38" s="3">
        <f>AND(NOW()&gt;=tbl_MTG_Set[[#This Row],[Sell Window Start]], NOW()&lt;=tbl_MTG_Set[[#This Row],[Sell Window End]])</f>
        <v/>
      </c>
      <c r="AG38" s="10" t="n"/>
      <c r="AH38" s="10" t="n"/>
      <c r="AM38" s="10">
        <f t="array" ref="AM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" s="10">
        <f t="array" ref="AN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" s="4">
        <f>_xlfn.XLOOKUP(tbl_MTG_Set[[#This Row],[Play Booster Box Product Id]], tbl_Product[Product Id], tbl_Product[Pack Size])</f>
        <v/>
      </c>
      <c r="AP38" s="10">
        <f>(tbl_MTG_Set[[#This Row],[Play Booster Box Cost]]+v_Item_Shipping_Cost_In)/tbl_MTG_Set[[#This Row],[Play Booster Box Size]]</f>
        <v/>
      </c>
      <c r="AQ38" s="10">
        <f t="array" ref="AQ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" s="10" t="n"/>
      <c r="AS38" s="10" t="n"/>
      <c r="AT38" s="17">
        <f>tbl_MTG_Set[[#This Row],[Play Booster CardMarket Profit]]/tbl_MTG_Set[[#This Row],[Play Booster Cost]]</f>
        <v/>
      </c>
      <c r="AU38" s="10">
        <f>_xlfn.XLOOKUP(tbl_MTG_Set[[#This Row],[Collector Booster Box Product Id]], tbl_Product[Product Id], tbl_Product[Min Cost])</f>
        <v/>
      </c>
      <c r="AV38" s="10">
        <f>_xlfn.XLOOKUP(tbl_MTG_Set[[#This Row],[Collector Booster Box Product Id]], tbl_Product[Product Id], tbl_Product[Best Source])</f>
        <v/>
      </c>
      <c r="AW38" s="4">
        <f>_xlfn.XLOOKUP(tbl_MTG_Set[[#This Row],[Collector Booster Box Product Id]], tbl_Product[Product Id], tbl_Product[Pack Size])</f>
        <v/>
      </c>
      <c r="AX38" s="10">
        <f>(tbl_MTG_Set[[#This Row],[Collector Booster Box Cost]] + v_Item_Shipping_Cost_In) / tbl_MTG_Set[[#This Row],[Collector Booster Box Size]]</f>
        <v/>
      </c>
      <c r="AY38" s="10">
        <f t="array" ref="AY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" s="10" t="n"/>
      <c r="BA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" s="17">
        <f>tbl_MTG_Set[[#This Row],[Collector Booster CardMarket Profit]]/tbl_MTG_Set[[#This Row],[Collector Booster Cost]]</f>
        <v/>
      </c>
      <c r="BC38" s="10" t="n"/>
      <c r="BF38" s="10">
        <f>tbl_MTG_Set[[#This Row],[Play Booster Sell Price CardMarket]]*tbl_MTG_Set[[#This Row],[Play Booster Expected Market Value]]/tbl_MTG_Set[[#This Row],[Play Boost Sealed Market Value]]</f>
        <v/>
      </c>
      <c r="BG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" s="10">
        <f>tbl_MTG_Set[[#This Row],[Play Singles CardMarket Profit]]/tbl_MTG_Set[[#This Row],[Play Booster Cost]]</f>
        <v/>
      </c>
      <c r="BI38" s="10">
        <f>tbl_MTG_Set[[#This Row],[Play Singles CardMarket Profit]]&gt;0</f>
        <v/>
      </c>
      <c r="BJ38" s="10" t="n"/>
      <c r="BK38" s="10" t="n"/>
      <c r="BL38" s="10">
        <f>tbl_MTG_Set[[#This Row],[Collector Booster Sell Price CardMarket]]*tbl_MTG_Set[[#This Row],[Collector Booster Expected Market Value]]/tbl_MTG_Set[[#This Row],[Collector Boost Sealed Market Value]]</f>
        <v/>
      </c>
      <c r="BM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" s="10">
        <f>tbl_MTG_Set[[#This Row],[Collector Singles CardMarket Profit]]/tbl_MTG_Set[[#This Row],[Collector Booster Cost]]</f>
        <v/>
      </c>
      <c r="BO38" s="10">
        <f>tbl_MTG_Set[[#This Row],[Collector Singles CardMarket Profit]]&gt;0</f>
        <v/>
      </c>
      <c r="BP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">
      <c r="A39" t="n">
        <v>37</v>
      </c>
      <c r="B39" t="inlineStr">
        <is>
          <t>Edge of Eternities Commander Tokens TEOC</t>
        </is>
      </c>
      <c r="C39" t="n">
        <v>16</v>
      </c>
      <c r="D39" s="3" t="n">
        <v>45870</v>
      </c>
      <c r="E39" t="inlineStr">
        <is>
          <t>Commander</t>
        </is>
      </c>
      <c r="F39" t="inlineStr">
        <is>
          <t>en es fr de it pt ja ko ru 汉语 漢語</t>
        </is>
      </c>
      <c r="G39" t="n">
        <v>38</v>
      </c>
      <c r="H39">
        <f>MONTH(NOW())+12*YEAR(NOW())-MONTH(tbl_MTG_Set[[#This Row],[Released On]])-12*YEAR(tbl_MTG_Set[[#This Row],[Released On]])</f>
        <v/>
      </c>
      <c r="I39">
        <f>_xlfn.XLOOKUP(tbl_MTG_Set[[#This Row],[Type Name]], tbl_MTG_Set_Type[Set Type], tbl_MTG_Set_Type[Index], "(Set Type not found)")</f>
        <v/>
      </c>
      <c r="J39">
        <f>_xlfn.XLOOKUP(tbl_MTG_Set[[#This Row],[Type Name]], tbl_MTG_Set_Type[Set Type], tbl_MTG_Set_Type[Buy Window Month Start], "(Set Type not found)")</f>
        <v/>
      </c>
      <c r="K39" s="3">
        <f>tbl_MTG_Set[[#This Row],[Released On]]+tbl_MTG_Set[[#This Row],[Buy Window Month Start]]*365.25/12</f>
        <v/>
      </c>
      <c r="L39">
        <f>_xlfn.XLOOKUP(tbl_MTG_Set[[#This Row],[Type Name]], tbl_MTG_Set_Type[Set Type], tbl_MTG_Set_Type[Buy Window Month End], "(Set Type not found)", 0, 1)</f>
        <v/>
      </c>
      <c r="M39" s="3">
        <f>tbl_MTG_Set[[#This Row],[Released On]]+tbl_MTG_Set[[#This Row],[Buy Window Month End]]*365.25/12</f>
        <v/>
      </c>
      <c r="N39" s="3">
        <f>AND(NOW()&gt;=tbl_MTG_Set[[#This Row],[Buy Window Start]], NOW()&lt;=tbl_MTG_Set[[#This Row],[Buy Window End]])</f>
        <v/>
      </c>
      <c r="O39">
        <f>_xlfn.XLOOKUP(tbl_MTG_Set[[#This Row],[Type Name]], tbl_MTG_Set_Type[Set Type], tbl_MTG_Set_Type[Heavy Printing Window Month Start], "(Set Type not found)", 0, 1)</f>
        <v/>
      </c>
      <c r="P39" s="3">
        <f>tbl_MTG_Set[[#This Row],[Released On]]+tbl_MTG_Set[[#This Row],[Heavy Printing Window Month Start]]*365.25/12</f>
        <v/>
      </c>
      <c r="Q39">
        <f>_xlfn.XLOOKUP(tbl_MTG_Set[[#This Row],[Type Name]], tbl_MTG_Set_Type[Set Type], tbl_MTG_Set_Type[Heavy Printing Window Month End], "(Set Type not found)", 0, 1)</f>
        <v/>
      </c>
      <c r="R39" s="3">
        <f>tbl_MTG_Set[[#This Row],[Released On]]+tbl_MTG_Set[[#This Row],[Heavy Printing Window Month End]]*365.25/12</f>
        <v/>
      </c>
      <c r="S39" s="3">
        <f>AND(NOW()&gt;=tbl_MTG_Set[[#This Row],[Heavy Printing Window Start]], NOW()&lt;=tbl_MTG_Set[[#This Row],[Heavy Printing Window End]])</f>
        <v/>
      </c>
      <c r="T39">
        <f>_xlfn.XLOOKUP(tbl_MTG_Set[[#This Row],[Type Name]], tbl_MTG_Set_Type[Set Type], tbl_MTG_Set_Type[Sell Window Month Start], "(Set Type not found)", 0, 1)</f>
        <v/>
      </c>
      <c r="U39" s="3">
        <f>tbl_MTG_Set[[#This Row],[Released On]]+tbl_MTG_Set[[#This Row],[Sell Window Month Start]]*365.25/12</f>
        <v/>
      </c>
      <c r="V39">
        <f>_xlfn.XLOOKUP(tbl_MTG_Set[[#This Row],[Type Name]], tbl_MTG_Set_Type[Set Type], tbl_MTG_Set_Type[Sell Window Month End], "(Set Type not found)", 0, 1)</f>
        <v/>
      </c>
      <c r="W39" s="3">
        <f>tbl_MTG_Set[[#This Row],[Released On]]+tbl_MTG_Set[[#This Row],[Sell Window Month End]]*365.25/12</f>
        <v/>
      </c>
      <c r="X39" s="3">
        <f>AND(NOW()&gt;=tbl_MTG_Set[[#This Row],[Sell Window Start]], NOW()&lt;=tbl_MTG_Set[[#This Row],[Sell Window End]])</f>
        <v/>
      </c>
      <c r="AG39" s="10" t="n"/>
      <c r="AH39" s="10" t="n"/>
      <c r="AM39" s="10">
        <f t="array" ref="AM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" s="10">
        <f t="array" ref="AN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" s="4">
        <f>_xlfn.XLOOKUP(tbl_MTG_Set[[#This Row],[Play Booster Box Product Id]], tbl_Product[Product Id], tbl_Product[Pack Size])</f>
        <v/>
      </c>
      <c r="AP39" s="10">
        <f>(tbl_MTG_Set[[#This Row],[Play Booster Box Cost]]+v_Item_Shipping_Cost_In)/tbl_MTG_Set[[#This Row],[Play Booster Box Size]]</f>
        <v/>
      </c>
      <c r="AQ39" s="10">
        <f t="array" ref="AQ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" s="10" t="n"/>
      <c r="AS39" s="10" t="n"/>
      <c r="AT39" s="17">
        <f>tbl_MTG_Set[[#This Row],[Play Booster CardMarket Profit]]/tbl_MTG_Set[[#This Row],[Play Booster Cost]]</f>
        <v/>
      </c>
      <c r="AU39" s="10">
        <f>_xlfn.XLOOKUP(tbl_MTG_Set[[#This Row],[Collector Booster Box Product Id]], tbl_Product[Product Id], tbl_Product[Min Cost])</f>
        <v/>
      </c>
      <c r="AV39" s="10">
        <f>_xlfn.XLOOKUP(tbl_MTG_Set[[#This Row],[Collector Booster Box Product Id]], tbl_Product[Product Id], tbl_Product[Best Source])</f>
        <v/>
      </c>
      <c r="AW39" s="4">
        <f>_xlfn.XLOOKUP(tbl_MTG_Set[[#This Row],[Collector Booster Box Product Id]], tbl_Product[Product Id], tbl_Product[Pack Size])</f>
        <v/>
      </c>
      <c r="AX39" s="10">
        <f>(tbl_MTG_Set[[#This Row],[Collector Booster Box Cost]] + v_Item_Shipping_Cost_In) / tbl_MTG_Set[[#This Row],[Collector Booster Box Size]]</f>
        <v/>
      </c>
      <c r="AY39" s="10">
        <f t="array" ref="AY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" s="10" t="n"/>
      <c r="BA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" s="17">
        <f>tbl_MTG_Set[[#This Row],[Collector Booster CardMarket Profit]]/tbl_MTG_Set[[#This Row],[Collector Booster Cost]]</f>
        <v/>
      </c>
      <c r="BC39" s="10" t="n"/>
      <c r="BF39" s="10">
        <f>tbl_MTG_Set[[#This Row],[Play Booster Sell Price CardMarket]]*tbl_MTG_Set[[#This Row],[Play Booster Expected Market Value]]/tbl_MTG_Set[[#This Row],[Play Boost Sealed Market Value]]</f>
        <v/>
      </c>
      <c r="BG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" s="10">
        <f>tbl_MTG_Set[[#This Row],[Play Singles CardMarket Profit]]/tbl_MTG_Set[[#This Row],[Play Booster Cost]]</f>
        <v/>
      </c>
      <c r="BI39" s="10">
        <f>tbl_MTG_Set[[#This Row],[Play Singles CardMarket Profit]]&gt;0</f>
        <v/>
      </c>
      <c r="BJ39" s="10" t="n"/>
      <c r="BK39" s="10" t="n"/>
      <c r="BL39" s="10">
        <f>tbl_MTG_Set[[#This Row],[Collector Booster Sell Price CardMarket]]*tbl_MTG_Set[[#This Row],[Collector Booster Expected Market Value]]/tbl_MTG_Set[[#This Row],[Collector Boost Sealed Market Value]]</f>
        <v/>
      </c>
      <c r="BM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" s="10">
        <f>tbl_MTG_Set[[#This Row],[Collector Singles CardMarket Profit]]/tbl_MTG_Set[[#This Row],[Collector Booster Cost]]</f>
        <v/>
      </c>
      <c r="BO39" s="10">
        <f>tbl_MTG_Set[[#This Row],[Collector Singles CardMarket Profit]]&gt;0</f>
        <v/>
      </c>
      <c r="BP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">
      <c r="A40" t="n">
        <v>38</v>
      </c>
      <c r="B40" t="inlineStr">
        <is>
          <t>Final Fantasy FIN</t>
        </is>
      </c>
      <c r="C40" t="n">
        <v>599</v>
      </c>
      <c r="D40" s="3" t="n">
        <v>45821</v>
      </c>
      <c r="E40" t="inlineStr">
        <is>
          <t>Universes Beyond</t>
        </is>
      </c>
      <c r="F40" t="inlineStr">
        <is>
          <t>en es fr de it pt ja ko ru 汉语 漢語</t>
        </is>
      </c>
      <c r="G40" t="n">
        <v>39</v>
      </c>
      <c r="H40">
        <f>MONTH(NOW())+12*YEAR(NOW())-MONTH(tbl_MTG_Set[[#This Row],[Released On]])-12*YEAR(tbl_MTG_Set[[#This Row],[Released On]])</f>
        <v/>
      </c>
      <c r="I40">
        <f>_xlfn.XLOOKUP(tbl_MTG_Set[[#This Row],[Type Name]], tbl_MTG_Set_Type[Set Type], tbl_MTG_Set_Type[Index], "(Set Type not found)")</f>
        <v/>
      </c>
      <c r="J40">
        <f>_xlfn.XLOOKUP(tbl_MTG_Set[[#This Row],[Type Name]], tbl_MTG_Set_Type[Set Type], tbl_MTG_Set_Type[Buy Window Month Start], "(Set Type not found)")</f>
        <v/>
      </c>
      <c r="K40" s="3">
        <f>tbl_MTG_Set[[#This Row],[Released On]]+tbl_MTG_Set[[#This Row],[Buy Window Month Start]]*365.25/12</f>
        <v/>
      </c>
      <c r="L40">
        <f>_xlfn.XLOOKUP(tbl_MTG_Set[[#This Row],[Type Name]], tbl_MTG_Set_Type[Set Type], tbl_MTG_Set_Type[Buy Window Month End], "(Set Type not found)", 0, 1)</f>
        <v/>
      </c>
      <c r="M40" s="3">
        <f>tbl_MTG_Set[[#This Row],[Released On]]+tbl_MTG_Set[[#This Row],[Buy Window Month End]]*365.25/12</f>
        <v/>
      </c>
      <c r="N40" s="3">
        <f>AND(NOW()&gt;=tbl_MTG_Set[[#This Row],[Buy Window Start]], NOW()&lt;=tbl_MTG_Set[[#This Row],[Buy Window End]])</f>
        <v/>
      </c>
      <c r="O40">
        <f>_xlfn.XLOOKUP(tbl_MTG_Set[[#This Row],[Type Name]], tbl_MTG_Set_Type[Set Type], tbl_MTG_Set_Type[Heavy Printing Window Month Start], "(Set Type not found)", 0, 1)</f>
        <v/>
      </c>
      <c r="P40" s="3">
        <f>tbl_MTG_Set[[#This Row],[Released On]]+tbl_MTG_Set[[#This Row],[Heavy Printing Window Month Start]]*365.25/12</f>
        <v/>
      </c>
      <c r="Q40">
        <f>_xlfn.XLOOKUP(tbl_MTG_Set[[#This Row],[Type Name]], tbl_MTG_Set_Type[Set Type], tbl_MTG_Set_Type[Heavy Printing Window Month End], "(Set Type not found)", 0, 1)</f>
        <v/>
      </c>
      <c r="R40" s="3">
        <f>tbl_MTG_Set[[#This Row],[Released On]]+tbl_MTG_Set[[#This Row],[Heavy Printing Window Month End]]*365.25/12</f>
        <v/>
      </c>
      <c r="S40" s="3">
        <f>AND(NOW()&gt;=tbl_MTG_Set[[#This Row],[Heavy Printing Window Start]], NOW()&lt;=tbl_MTG_Set[[#This Row],[Heavy Printing Window End]])</f>
        <v/>
      </c>
      <c r="T40">
        <f>_xlfn.XLOOKUP(tbl_MTG_Set[[#This Row],[Type Name]], tbl_MTG_Set_Type[Set Type], tbl_MTG_Set_Type[Sell Window Month Start], "(Set Type not found)", 0, 1)</f>
        <v/>
      </c>
      <c r="U40" s="3">
        <f>tbl_MTG_Set[[#This Row],[Released On]]+tbl_MTG_Set[[#This Row],[Sell Window Month Start]]*365.25/12</f>
        <v/>
      </c>
      <c r="V40">
        <f>_xlfn.XLOOKUP(tbl_MTG_Set[[#This Row],[Type Name]], tbl_MTG_Set_Type[Set Type], tbl_MTG_Set_Type[Sell Window Month End], "(Set Type not found)", 0, 1)</f>
        <v/>
      </c>
      <c r="W40" s="3">
        <f>tbl_MTG_Set[[#This Row],[Released On]]+tbl_MTG_Set[[#This Row],[Sell Window Month End]]*365.25/12</f>
        <v/>
      </c>
      <c r="X40" s="3">
        <f>AND(NOW()&gt;=tbl_MTG_Set[[#This Row],[Sell Window Start]], NOW()&lt;=tbl_MTG_Set[[#This Row],[Sell Window End]])</f>
        <v/>
      </c>
      <c r="Y40" s="10" t="n">
        <v>161</v>
      </c>
      <c r="Z40" s="10" t="n">
        <v>98</v>
      </c>
      <c r="AC40" s="10" t="n">
        <v>207</v>
      </c>
      <c r="AD40" s="10">
        <f>(Y40+96/20)/30</f>
        <v/>
      </c>
      <c r="AE40" s="10">
        <f>(Z40+96/20)/30</f>
        <v/>
      </c>
      <c r="AF40" s="10">
        <f>(AA40+96/20)/30</f>
        <v/>
      </c>
      <c r="AG40" s="10">
        <f>(AB40+96/20)/30</f>
        <v/>
      </c>
      <c r="AH40" s="10">
        <f>(AC40+96/20)/30</f>
        <v/>
      </c>
      <c r="AI40" s="4" t="n">
        <v>78</v>
      </c>
      <c r="AJ40" s="4" t="n">
        <v>33</v>
      </c>
      <c r="AK40" s="4" t="n">
        <v>100</v>
      </c>
      <c r="AL40" s="4" t="n">
        <v>99</v>
      </c>
      <c r="AM40" s="10">
        <f t="array" ref="AM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" s="10">
        <f t="array" ref="AN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" s="4">
        <f>_xlfn.XLOOKUP(tbl_MTG_Set[[#This Row],[Play Booster Box Product Id]], tbl_Product[Product Id], tbl_Product[Pack Size])</f>
        <v/>
      </c>
      <c r="AP40" s="10">
        <f>(tbl_MTG_Set[[#This Row],[Play Booster Box Cost]]+v_Item_Shipping_Cost_In)/tbl_MTG_Set[[#This Row],[Play Booster Box Size]]</f>
        <v/>
      </c>
      <c r="AQ40" s="10">
        <f t="array" ref="AQ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" s="10" t="n">
        <v>8</v>
      </c>
      <c r="AS4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40" s="17">
        <f>tbl_MTG_Set[[#This Row],[Play Booster CardMarket Profit]]/tbl_MTG_Set[[#This Row],[Play Booster Cost]]</f>
        <v/>
      </c>
      <c r="AU40" s="10">
        <f>_xlfn.XLOOKUP(tbl_MTG_Set[[#This Row],[Collector Booster Box Product Id]], tbl_Product[Product Id], tbl_Product[Min Cost])</f>
        <v/>
      </c>
      <c r="AV40" s="10">
        <f>_xlfn.XLOOKUP(tbl_MTG_Set[[#This Row],[Collector Booster Box Product Id]], tbl_Product[Product Id], tbl_Product[Best Source])</f>
        <v/>
      </c>
      <c r="AW40" s="4">
        <f>_xlfn.XLOOKUP(tbl_MTG_Set[[#This Row],[Collector Booster Box Product Id]], tbl_Product[Product Id], tbl_Product[Pack Size])</f>
        <v/>
      </c>
      <c r="AX40" s="10">
        <f>(tbl_MTG_Set[[#This Row],[Collector Booster Box Cost]] + v_Item_Shipping_Cost_In) / tbl_MTG_Set[[#This Row],[Collector Booster Box Size]]</f>
        <v/>
      </c>
      <c r="AY40" s="10">
        <f t="array" ref="AY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" s="10" t="n"/>
      <c r="BA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" s="17">
        <f>tbl_MTG_Set[[#This Row],[Collector Booster CardMarket Profit]]/tbl_MTG_Set[[#This Row],[Collector Booster Cost]]</f>
        <v/>
      </c>
      <c r="BC40" s="15" t="inlineStr">
        <is>
          <t>https://www.mtgstocks.com/sets/2197-universes-beyond-final-fantasy#ev</t>
        </is>
      </c>
      <c r="BD40" s="11" t="n">
        <v>5.86</v>
      </c>
      <c r="BE40" s="11" t="n">
        <v>5.7</v>
      </c>
      <c r="BF40" s="10">
        <f>tbl_MTG_Set[[#This Row],[Play Booster Sell Price CardMarket]]*tbl_MTG_Set[[#This Row],[Play Booster Expected Market Value]]/tbl_MTG_Set[[#This Row],[Play Boost Sealed Market Value]]</f>
        <v/>
      </c>
      <c r="BG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" s="17">
        <f>tbl_MTG_Set[[#This Row],[Play Singles CardMarket Profit]]/tbl_MTG_Set[[#This Row],[Play Booster Cost]]</f>
        <v/>
      </c>
      <c r="BI40" s="10">
        <f>tbl_MTG_Set[[#This Row],[Play Singles CardMarket Profit]]&gt;0</f>
        <v/>
      </c>
      <c r="BJ40" s="10" t="n">
        <v>80.83</v>
      </c>
      <c r="BK40" s="10" t="n">
        <v>108.23</v>
      </c>
      <c r="BL40" s="10">
        <f>tbl_MTG_Set[[#This Row],[Collector Booster Sell Price CardMarket]]*tbl_MTG_Set[[#This Row],[Collector Booster Expected Market Value]]/tbl_MTG_Set[[#This Row],[Collector Boost Sealed Market Value]]</f>
        <v/>
      </c>
      <c r="BM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" s="17">
        <f>tbl_MTG_Set[[#This Row],[Collector Singles CardMarket Profit]]/tbl_MTG_Set[[#This Row],[Collector Booster Cost]]</f>
        <v/>
      </c>
      <c r="BO40" s="10">
        <f>tbl_MTG_Set[[#This Row],[Collector Singles CardMarket Profit]]&gt;0</f>
        <v/>
      </c>
      <c r="BP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">
      <c r="A41" t="n">
        <v>39</v>
      </c>
      <c r="B41" t="inlineStr">
        <is>
          <t>Final Fantasy: Through the Ages FCA</t>
        </is>
      </c>
      <c r="C41" t="n">
        <v>66</v>
      </c>
      <c r="D41" s="3" t="n">
        <v>45821</v>
      </c>
      <c r="E41" t="inlineStr">
        <is>
          <t>Universes Beyond</t>
        </is>
      </c>
      <c r="F41" t="inlineStr">
        <is>
          <t>en es fr de it pt ja ko ru 汉语 漢語</t>
        </is>
      </c>
      <c r="G41" t="n">
        <v>40</v>
      </c>
      <c r="H41">
        <f>MONTH(NOW())+12*YEAR(NOW())-MONTH(tbl_MTG_Set[[#This Row],[Released On]])-12*YEAR(tbl_MTG_Set[[#This Row],[Released On]])</f>
        <v/>
      </c>
      <c r="I41">
        <f>_xlfn.XLOOKUP(tbl_MTG_Set[[#This Row],[Type Name]], tbl_MTG_Set_Type[Set Type], tbl_MTG_Set_Type[Index], "(Set Type not found)")</f>
        <v/>
      </c>
      <c r="J41">
        <f>_xlfn.XLOOKUP(tbl_MTG_Set[[#This Row],[Type Name]], tbl_MTG_Set_Type[Set Type], tbl_MTG_Set_Type[Buy Window Month Start], "(Set Type not found)")</f>
        <v/>
      </c>
      <c r="K41" s="3">
        <f>tbl_MTG_Set[[#This Row],[Released On]]+tbl_MTG_Set[[#This Row],[Buy Window Month Start]]*365.25/12</f>
        <v/>
      </c>
      <c r="L41">
        <f>_xlfn.XLOOKUP(tbl_MTG_Set[[#This Row],[Type Name]], tbl_MTG_Set_Type[Set Type], tbl_MTG_Set_Type[Buy Window Month End], "(Set Type not found)", 0, 1)</f>
        <v/>
      </c>
      <c r="M41" s="3">
        <f>tbl_MTG_Set[[#This Row],[Released On]]+tbl_MTG_Set[[#This Row],[Buy Window Month End]]*365.25/12</f>
        <v/>
      </c>
      <c r="N41" s="3">
        <f>AND(NOW()&gt;=tbl_MTG_Set[[#This Row],[Buy Window Start]], NOW()&lt;=tbl_MTG_Set[[#This Row],[Buy Window End]])</f>
        <v/>
      </c>
      <c r="O41">
        <f>_xlfn.XLOOKUP(tbl_MTG_Set[[#This Row],[Type Name]], tbl_MTG_Set_Type[Set Type], tbl_MTG_Set_Type[Heavy Printing Window Month Start], "(Set Type not found)", 0, 1)</f>
        <v/>
      </c>
      <c r="P41" s="3">
        <f>tbl_MTG_Set[[#This Row],[Released On]]+tbl_MTG_Set[[#This Row],[Heavy Printing Window Month Start]]*365.25/12</f>
        <v/>
      </c>
      <c r="Q41">
        <f>_xlfn.XLOOKUP(tbl_MTG_Set[[#This Row],[Type Name]], tbl_MTG_Set_Type[Set Type], tbl_MTG_Set_Type[Heavy Printing Window Month End], "(Set Type not found)", 0, 1)</f>
        <v/>
      </c>
      <c r="R41" s="3">
        <f>tbl_MTG_Set[[#This Row],[Released On]]+tbl_MTG_Set[[#This Row],[Heavy Printing Window Month End]]*365.25/12</f>
        <v/>
      </c>
      <c r="S41" s="3">
        <f>AND(NOW()&gt;=tbl_MTG_Set[[#This Row],[Heavy Printing Window Start]], NOW()&lt;=tbl_MTG_Set[[#This Row],[Heavy Printing Window End]])</f>
        <v/>
      </c>
      <c r="T41">
        <f>_xlfn.XLOOKUP(tbl_MTG_Set[[#This Row],[Type Name]], tbl_MTG_Set_Type[Set Type], tbl_MTG_Set_Type[Sell Window Month Start], "(Set Type not found)", 0, 1)</f>
        <v/>
      </c>
      <c r="U41" s="3">
        <f>tbl_MTG_Set[[#This Row],[Released On]]+tbl_MTG_Set[[#This Row],[Sell Window Month Start]]*365.25/12</f>
        <v/>
      </c>
      <c r="V41">
        <f>_xlfn.XLOOKUP(tbl_MTG_Set[[#This Row],[Type Name]], tbl_MTG_Set_Type[Set Type], tbl_MTG_Set_Type[Sell Window Month End], "(Set Type not found)", 0, 1)</f>
        <v/>
      </c>
      <c r="W41" s="3">
        <f>tbl_MTG_Set[[#This Row],[Released On]]+tbl_MTG_Set[[#This Row],[Sell Window Month End]]*365.25/12</f>
        <v/>
      </c>
      <c r="X41" s="3">
        <f>AND(NOW()&gt;=tbl_MTG_Set[[#This Row],[Sell Window Start]], NOW()&lt;=tbl_MTG_Set[[#This Row],[Sell Window End]])</f>
        <v/>
      </c>
      <c r="AG41" s="10" t="n"/>
      <c r="AH41" s="10" t="n"/>
      <c r="AM41" s="10">
        <f t="array" ref="AM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" s="10">
        <f t="array" ref="AN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" s="4">
        <f>_xlfn.XLOOKUP(tbl_MTG_Set[[#This Row],[Play Booster Box Product Id]], tbl_Product[Product Id], tbl_Product[Pack Size])</f>
        <v/>
      </c>
      <c r="AP41" s="10">
        <f>(tbl_MTG_Set[[#This Row],[Play Booster Box Cost]]+v_Item_Shipping_Cost_In)/tbl_MTG_Set[[#This Row],[Play Booster Box Size]]</f>
        <v/>
      </c>
      <c r="AQ41" s="10">
        <f t="array" ref="AQ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" s="10" t="n"/>
      <c r="AS41" s="10" t="n"/>
      <c r="AT41" s="17">
        <f>tbl_MTG_Set[[#This Row],[Play Booster CardMarket Profit]]/tbl_MTG_Set[[#This Row],[Play Booster Cost]]</f>
        <v/>
      </c>
      <c r="AU41" s="10">
        <f>_xlfn.XLOOKUP(tbl_MTG_Set[[#This Row],[Collector Booster Box Product Id]], tbl_Product[Product Id], tbl_Product[Min Cost])</f>
        <v/>
      </c>
      <c r="AV41" s="10">
        <f>_xlfn.XLOOKUP(tbl_MTG_Set[[#This Row],[Collector Booster Box Product Id]], tbl_Product[Product Id], tbl_Product[Best Source])</f>
        <v/>
      </c>
      <c r="AW41" s="4">
        <f>_xlfn.XLOOKUP(tbl_MTG_Set[[#This Row],[Collector Booster Box Product Id]], tbl_Product[Product Id], tbl_Product[Pack Size])</f>
        <v/>
      </c>
      <c r="AX41" s="10">
        <f>(tbl_MTG_Set[[#This Row],[Collector Booster Box Cost]] + v_Item_Shipping_Cost_In) / tbl_MTG_Set[[#This Row],[Collector Booster Box Size]]</f>
        <v/>
      </c>
      <c r="AY41" s="10">
        <f t="array" ref="AY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" s="10" t="n"/>
      <c r="BA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" s="17">
        <f>tbl_MTG_Set[[#This Row],[Collector Booster CardMarket Profit]]/tbl_MTG_Set[[#This Row],[Collector Booster Cost]]</f>
        <v/>
      </c>
      <c r="BC41" s="10" t="n"/>
      <c r="BF41" s="10">
        <f>tbl_MTG_Set[[#This Row],[Play Booster Sell Price CardMarket]]*tbl_MTG_Set[[#This Row],[Play Booster Expected Market Value]]/tbl_MTG_Set[[#This Row],[Play Boost Sealed Market Value]]</f>
        <v/>
      </c>
      <c r="BG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" s="10">
        <f>tbl_MTG_Set[[#This Row],[Play Singles CardMarket Profit]]/tbl_MTG_Set[[#This Row],[Play Booster Cost]]</f>
        <v/>
      </c>
      <c r="BI41" s="10">
        <f>tbl_MTG_Set[[#This Row],[Play Singles CardMarket Profit]]&gt;0</f>
        <v/>
      </c>
      <c r="BJ41" s="10" t="n"/>
      <c r="BK41" s="10" t="n"/>
      <c r="BL41" s="10">
        <f>tbl_MTG_Set[[#This Row],[Collector Booster Sell Price CardMarket]]*tbl_MTG_Set[[#This Row],[Collector Booster Expected Market Value]]/tbl_MTG_Set[[#This Row],[Collector Boost Sealed Market Value]]</f>
        <v/>
      </c>
      <c r="BM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" s="10">
        <f>tbl_MTG_Set[[#This Row],[Collector Singles CardMarket Profit]]/tbl_MTG_Set[[#This Row],[Collector Booster Cost]]</f>
        <v/>
      </c>
      <c r="BO41" s="10">
        <f>tbl_MTG_Set[[#This Row],[Collector Singles CardMarket Profit]]&gt;0</f>
        <v/>
      </c>
      <c r="BP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">
      <c r="A42" t="n">
        <v>40</v>
      </c>
      <c r="B42" t="inlineStr">
        <is>
          <t>Final Fantasy Promos PFIN</t>
        </is>
      </c>
      <c r="C42" t="n">
        <v>94</v>
      </c>
      <c r="D42" s="3" t="n">
        <v>45821</v>
      </c>
      <c r="E42" t="inlineStr">
        <is>
          <t>Universes Beyond</t>
        </is>
      </c>
      <c r="F42" t="inlineStr">
        <is>
          <t>en es fr de it pt ja ko ru 汉语 漢語</t>
        </is>
      </c>
      <c r="G42" t="n">
        <v>41</v>
      </c>
      <c r="H42">
        <f>MONTH(NOW())+12*YEAR(NOW())-MONTH(tbl_MTG_Set[[#This Row],[Released On]])-12*YEAR(tbl_MTG_Set[[#This Row],[Released On]])</f>
        <v/>
      </c>
      <c r="I42">
        <f>_xlfn.XLOOKUP(tbl_MTG_Set[[#This Row],[Type Name]], tbl_MTG_Set_Type[Set Type], tbl_MTG_Set_Type[Index], "(Set Type not found)")</f>
        <v/>
      </c>
      <c r="J42">
        <f>_xlfn.XLOOKUP(tbl_MTG_Set[[#This Row],[Type Name]], tbl_MTG_Set_Type[Set Type], tbl_MTG_Set_Type[Buy Window Month Start], "(Set Type not found)")</f>
        <v/>
      </c>
      <c r="K42" s="3">
        <f>tbl_MTG_Set[[#This Row],[Released On]]+tbl_MTG_Set[[#This Row],[Buy Window Month Start]]*365.25/12</f>
        <v/>
      </c>
      <c r="L42">
        <f>_xlfn.XLOOKUP(tbl_MTG_Set[[#This Row],[Type Name]], tbl_MTG_Set_Type[Set Type], tbl_MTG_Set_Type[Buy Window Month End], "(Set Type not found)", 0, 1)</f>
        <v/>
      </c>
      <c r="M42" s="3">
        <f>tbl_MTG_Set[[#This Row],[Released On]]+tbl_MTG_Set[[#This Row],[Buy Window Month End]]*365.25/12</f>
        <v/>
      </c>
      <c r="N42" s="3">
        <f>AND(NOW()&gt;=tbl_MTG_Set[[#This Row],[Buy Window Start]], NOW()&lt;=tbl_MTG_Set[[#This Row],[Buy Window End]])</f>
        <v/>
      </c>
      <c r="O42">
        <f>_xlfn.XLOOKUP(tbl_MTG_Set[[#This Row],[Type Name]], tbl_MTG_Set_Type[Set Type], tbl_MTG_Set_Type[Heavy Printing Window Month Start], "(Set Type not found)", 0, 1)</f>
        <v/>
      </c>
      <c r="P42" s="3">
        <f>tbl_MTG_Set[[#This Row],[Released On]]+tbl_MTG_Set[[#This Row],[Heavy Printing Window Month Start]]*365.25/12</f>
        <v/>
      </c>
      <c r="Q42">
        <f>_xlfn.XLOOKUP(tbl_MTG_Set[[#This Row],[Type Name]], tbl_MTG_Set_Type[Set Type], tbl_MTG_Set_Type[Heavy Printing Window Month End], "(Set Type not found)", 0, 1)</f>
        <v/>
      </c>
      <c r="R42" s="3">
        <f>tbl_MTG_Set[[#This Row],[Released On]]+tbl_MTG_Set[[#This Row],[Heavy Printing Window Month End]]*365.25/12</f>
        <v/>
      </c>
      <c r="S42" s="3">
        <f>AND(NOW()&gt;=tbl_MTG_Set[[#This Row],[Heavy Printing Window Start]], NOW()&lt;=tbl_MTG_Set[[#This Row],[Heavy Printing Window End]])</f>
        <v/>
      </c>
      <c r="T42">
        <f>_xlfn.XLOOKUP(tbl_MTG_Set[[#This Row],[Type Name]], tbl_MTG_Set_Type[Set Type], tbl_MTG_Set_Type[Sell Window Month Start], "(Set Type not found)", 0, 1)</f>
        <v/>
      </c>
      <c r="U42" s="3">
        <f>tbl_MTG_Set[[#This Row],[Released On]]+tbl_MTG_Set[[#This Row],[Sell Window Month Start]]*365.25/12</f>
        <v/>
      </c>
      <c r="V42">
        <f>_xlfn.XLOOKUP(tbl_MTG_Set[[#This Row],[Type Name]], tbl_MTG_Set_Type[Set Type], tbl_MTG_Set_Type[Sell Window Month End], "(Set Type not found)", 0, 1)</f>
        <v/>
      </c>
      <c r="W42" s="3">
        <f>tbl_MTG_Set[[#This Row],[Released On]]+tbl_MTG_Set[[#This Row],[Sell Window Month End]]*365.25/12</f>
        <v/>
      </c>
      <c r="X42" s="3">
        <f>AND(NOW()&gt;=tbl_MTG_Set[[#This Row],[Sell Window Start]], NOW()&lt;=tbl_MTG_Set[[#This Row],[Sell Window End]])</f>
        <v/>
      </c>
      <c r="AG42" s="10" t="n"/>
      <c r="AH42" s="10" t="n"/>
      <c r="AM42" s="10">
        <f t="array" ref="AM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" s="10">
        <f t="array" ref="AN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" s="4">
        <f>_xlfn.XLOOKUP(tbl_MTG_Set[[#This Row],[Play Booster Box Product Id]], tbl_Product[Product Id], tbl_Product[Pack Size])</f>
        <v/>
      </c>
      <c r="AP42" s="10">
        <f>(tbl_MTG_Set[[#This Row],[Play Booster Box Cost]]+v_Item_Shipping_Cost_In)/tbl_MTG_Set[[#This Row],[Play Booster Box Size]]</f>
        <v/>
      </c>
      <c r="AQ42" s="10">
        <f t="array" ref="AQ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" s="10" t="n"/>
      <c r="AS42" s="10" t="n"/>
      <c r="AT42" s="17">
        <f>tbl_MTG_Set[[#This Row],[Play Booster CardMarket Profit]]/tbl_MTG_Set[[#This Row],[Play Booster Cost]]</f>
        <v/>
      </c>
      <c r="AU42" s="10">
        <f>_xlfn.XLOOKUP(tbl_MTG_Set[[#This Row],[Collector Booster Box Product Id]], tbl_Product[Product Id], tbl_Product[Min Cost])</f>
        <v/>
      </c>
      <c r="AV42" s="10">
        <f>_xlfn.XLOOKUP(tbl_MTG_Set[[#This Row],[Collector Booster Box Product Id]], tbl_Product[Product Id], tbl_Product[Best Source])</f>
        <v/>
      </c>
      <c r="AW42" s="4">
        <f>_xlfn.XLOOKUP(tbl_MTG_Set[[#This Row],[Collector Booster Box Product Id]], tbl_Product[Product Id], tbl_Product[Pack Size])</f>
        <v/>
      </c>
      <c r="AX42" s="10">
        <f>(tbl_MTG_Set[[#This Row],[Collector Booster Box Cost]] + v_Item_Shipping_Cost_In) / tbl_MTG_Set[[#This Row],[Collector Booster Box Size]]</f>
        <v/>
      </c>
      <c r="AY42" s="10">
        <f t="array" ref="AY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" s="10" t="n"/>
      <c r="BA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" s="17">
        <f>tbl_MTG_Set[[#This Row],[Collector Booster CardMarket Profit]]/tbl_MTG_Set[[#This Row],[Collector Booster Cost]]</f>
        <v/>
      </c>
      <c r="BC42" s="10" t="n"/>
      <c r="BF42" s="10">
        <f>tbl_MTG_Set[[#This Row],[Play Booster Sell Price CardMarket]]*tbl_MTG_Set[[#This Row],[Play Booster Expected Market Value]]/tbl_MTG_Set[[#This Row],[Play Boost Sealed Market Value]]</f>
        <v/>
      </c>
      <c r="BG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" s="10">
        <f>tbl_MTG_Set[[#This Row],[Play Singles CardMarket Profit]]/tbl_MTG_Set[[#This Row],[Play Booster Cost]]</f>
        <v/>
      </c>
      <c r="BI42" s="10">
        <f>tbl_MTG_Set[[#This Row],[Play Singles CardMarket Profit]]&gt;0</f>
        <v/>
      </c>
      <c r="BJ42" s="10" t="n"/>
      <c r="BK42" s="10" t="n"/>
      <c r="BL42" s="10">
        <f>tbl_MTG_Set[[#This Row],[Collector Booster Sell Price CardMarket]]*tbl_MTG_Set[[#This Row],[Collector Booster Expected Market Value]]/tbl_MTG_Set[[#This Row],[Collector Boost Sealed Market Value]]</f>
        <v/>
      </c>
      <c r="BM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" s="10">
        <f>tbl_MTG_Set[[#This Row],[Collector Singles CardMarket Profit]]/tbl_MTG_Set[[#This Row],[Collector Booster Cost]]</f>
        <v/>
      </c>
      <c r="BO42" s="10">
        <f>tbl_MTG_Set[[#This Row],[Collector Singles CardMarket Profit]]&gt;0</f>
        <v/>
      </c>
      <c r="BP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">
      <c r="A43" t="n">
        <v>41</v>
      </c>
      <c r="B43" t="inlineStr">
        <is>
          <t>Final Fantasy Tokens TFIN</t>
        </is>
      </c>
      <c r="C43" t="n">
        <v>37</v>
      </c>
      <c r="D43" s="3" t="n">
        <v>45821</v>
      </c>
      <c r="E43" t="inlineStr">
        <is>
          <t>Universes Beyond</t>
        </is>
      </c>
      <c r="F43" t="inlineStr">
        <is>
          <t>en es fr de it pt ja ko ru 汉语 漢語</t>
        </is>
      </c>
      <c r="G43" t="n">
        <v>42</v>
      </c>
      <c r="H43">
        <f>MONTH(NOW())+12*YEAR(NOW())-MONTH(tbl_MTG_Set[[#This Row],[Released On]])-12*YEAR(tbl_MTG_Set[[#This Row],[Released On]])</f>
        <v/>
      </c>
      <c r="I43">
        <f>_xlfn.XLOOKUP(tbl_MTG_Set[[#This Row],[Type Name]], tbl_MTG_Set_Type[Set Type], tbl_MTG_Set_Type[Index], "(Set Type not found)")</f>
        <v/>
      </c>
      <c r="J43">
        <f>_xlfn.XLOOKUP(tbl_MTG_Set[[#This Row],[Type Name]], tbl_MTG_Set_Type[Set Type], tbl_MTG_Set_Type[Buy Window Month Start], "(Set Type not found)")</f>
        <v/>
      </c>
      <c r="K43" s="3">
        <f>tbl_MTG_Set[[#This Row],[Released On]]+tbl_MTG_Set[[#This Row],[Buy Window Month Start]]*365.25/12</f>
        <v/>
      </c>
      <c r="L43">
        <f>_xlfn.XLOOKUP(tbl_MTG_Set[[#This Row],[Type Name]], tbl_MTG_Set_Type[Set Type], tbl_MTG_Set_Type[Buy Window Month End], "(Set Type not found)", 0, 1)</f>
        <v/>
      </c>
      <c r="M43" s="3">
        <f>tbl_MTG_Set[[#This Row],[Released On]]+tbl_MTG_Set[[#This Row],[Buy Window Month End]]*365.25/12</f>
        <v/>
      </c>
      <c r="N43" s="3">
        <f>AND(NOW()&gt;=tbl_MTG_Set[[#This Row],[Buy Window Start]], NOW()&lt;=tbl_MTG_Set[[#This Row],[Buy Window End]])</f>
        <v/>
      </c>
      <c r="O43">
        <f>_xlfn.XLOOKUP(tbl_MTG_Set[[#This Row],[Type Name]], tbl_MTG_Set_Type[Set Type], tbl_MTG_Set_Type[Heavy Printing Window Month Start], "(Set Type not found)", 0, 1)</f>
        <v/>
      </c>
      <c r="P43" s="3">
        <f>tbl_MTG_Set[[#This Row],[Released On]]+tbl_MTG_Set[[#This Row],[Heavy Printing Window Month Start]]*365.25/12</f>
        <v/>
      </c>
      <c r="Q43">
        <f>_xlfn.XLOOKUP(tbl_MTG_Set[[#This Row],[Type Name]], tbl_MTG_Set_Type[Set Type], tbl_MTG_Set_Type[Heavy Printing Window Month End], "(Set Type not found)", 0, 1)</f>
        <v/>
      </c>
      <c r="R43" s="3">
        <f>tbl_MTG_Set[[#This Row],[Released On]]+tbl_MTG_Set[[#This Row],[Heavy Printing Window Month End]]*365.25/12</f>
        <v/>
      </c>
      <c r="S43" s="3">
        <f>AND(NOW()&gt;=tbl_MTG_Set[[#This Row],[Heavy Printing Window Start]], NOW()&lt;=tbl_MTG_Set[[#This Row],[Heavy Printing Window End]])</f>
        <v/>
      </c>
      <c r="T43">
        <f>_xlfn.XLOOKUP(tbl_MTG_Set[[#This Row],[Type Name]], tbl_MTG_Set_Type[Set Type], tbl_MTG_Set_Type[Sell Window Month Start], "(Set Type not found)", 0, 1)</f>
        <v/>
      </c>
      <c r="U43" s="3">
        <f>tbl_MTG_Set[[#This Row],[Released On]]+tbl_MTG_Set[[#This Row],[Sell Window Month Start]]*365.25/12</f>
        <v/>
      </c>
      <c r="V43">
        <f>_xlfn.XLOOKUP(tbl_MTG_Set[[#This Row],[Type Name]], tbl_MTG_Set_Type[Set Type], tbl_MTG_Set_Type[Sell Window Month End], "(Set Type not found)", 0, 1)</f>
        <v/>
      </c>
      <c r="W43" s="3">
        <f>tbl_MTG_Set[[#This Row],[Released On]]+tbl_MTG_Set[[#This Row],[Sell Window Month End]]*365.25/12</f>
        <v/>
      </c>
      <c r="X43" s="3">
        <f>AND(NOW()&gt;=tbl_MTG_Set[[#This Row],[Sell Window Start]], NOW()&lt;=tbl_MTG_Set[[#This Row],[Sell Window End]])</f>
        <v/>
      </c>
      <c r="AG43" s="10" t="n"/>
      <c r="AH43" s="10" t="n"/>
      <c r="AM43" s="10">
        <f t="array" ref="AM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" s="10">
        <f t="array" ref="AN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" s="4">
        <f>_xlfn.XLOOKUP(tbl_MTG_Set[[#This Row],[Play Booster Box Product Id]], tbl_Product[Product Id], tbl_Product[Pack Size])</f>
        <v/>
      </c>
      <c r="AP43" s="10">
        <f>(tbl_MTG_Set[[#This Row],[Play Booster Box Cost]]+v_Item_Shipping_Cost_In)/tbl_MTG_Set[[#This Row],[Play Booster Box Size]]</f>
        <v/>
      </c>
      <c r="AQ43" s="10">
        <f t="array" ref="AQ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" s="10" t="n"/>
      <c r="AS43" s="10" t="n"/>
      <c r="AT43" s="17">
        <f>tbl_MTG_Set[[#This Row],[Play Booster CardMarket Profit]]/tbl_MTG_Set[[#This Row],[Play Booster Cost]]</f>
        <v/>
      </c>
      <c r="AU43" s="10">
        <f>_xlfn.XLOOKUP(tbl_MTG_Set[[#This Row],[Collector Booster Box Product Id]], tbl_Product[Product Id], tbl_Product[Min Cost])</f>
        <v/>
      </c>
      <c r="AV43" s="10">
        <f>_xlfn.XLOOKUP(tbl_MTG_Set[[#This Row],[Collector Booster Box Product Id]], tbl_Product[Product Id], tbl_Product[Best Source])</f>
        <v/>
      </c>
      <c r="AW43" s="4">
        <f>_xlfn.XLOOKUP(tbl_MTG_Set[[#This Row],[Collector Booster Box Product Id]], tbl_Product[Product Id], tbl_Product[Pack Size])</f>
        <v/>
      </c>
      <c r="AX43" s="10">
        <f>(tbl_MTG_Set[[#This Row],[Collector Booster Box Cost]] + v_Item_Shipping_Cost_In) / tbl_MTG_Set[[#This Row],[Collector Booster Box Size]]</f>
        <v/>
      </c>
      <c r="AY43" s="10">
        <f t="array" ref="AY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" s="10" t="n"/>
      <c r="BA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" s="17">
        <f>tbl_MTG_Set[[#This Row],[Collector Booster CardMarket Profit]]/tbl_MTG_Set[[#This Row],[Collector Booster Cost]]</f>
        <v/>
      </c>
      <c r="BC43" s="10" t="n"/>
      <c r="BF43" s="10">
        <f>tbl_MTG_Set[[#This Row],[Play Booster Sell Price CardMarket]]*tbl_MTG_Set[[#This Row],[Play Booster Expected Market Value]]/tbl_MTG_Set[[#This Row],[Play Boost Sealed Market Value]]</f>
        <v/>
      </c>
      <c r="BG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" s="10">
        <f>tbl_MTG_Set[[#This Row],[Play Singles CardMarket Profit]]/tbl_MTG_Set[[#This Row],[Play Booster Cost]]</f>
        <v/>
      </c>
      <c r="BI43" s="10">
        <f>tbl_MTG_Set[[#This Row],[Play Singles CardMarket Profit]]&gt;0</f>
        <v/>
      </c>
      <c r="BJ43" s="10" t="n"/>
      <c r="BK43" s="10" t="n"/>
      <c r="BL43" s="10">
        <f>tbl_MTG_Set[[#This Row],[Collector Booster Sell Price CardMarket]]*tbl_MTG_Set[[#This Row],[Collector Booster Expected Market Value]]/tbl_MTG_Set[[#This Row],[Collector Boost Sealed Market Value]]</f>
        <v/>
      </c>
      <c r="BM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" s="10">
        <f>tbl_MTG_Set[[#This Row],[Collector Singles CardMarket Profit]]/tbl_MTG_Set[[#This Row],[Collector Booster Cost]]</f>
        <v/>
      </c>
      <c r="BO43" s="10">
        <f>tbl_MTG_Set[[#This Row],[Collector Singles CardMarket Profit]]&gt;0</f>
        <v/>
      </c>
      <c r="BP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">
      <c r="A44" t="n">
        <v>42</v>
      </c>
      <c r="B44" t="inlineStr">
        <is>
          <t>Final Fantasy Regional Promos RFIN</t>
        </is>
      </c>
      <c r="C44" t="n">
        <v>2</v>
      </c>
      <c r="D44" s="3" t="n">
        <v>45821</v>
      </c>
      <c r="E44" t="inlineStr">
        <is>
          <t>Universes Beyond</t>
        </is>
      </c>
      <c r="F44" t="inlineStr">
        <is>
          <t>en es fr de it pt ja ko ru 汉语 漢語</t>
        </is>
      </c>
      <c r="G44" t="n">
        <v>43</v>
      </c>
      <c r="H44">
        <f>MONTH(NOW())+12*YEAR(NOW())-MONTH(tbl_MTG_Set[[#This Row],[Released On]])-12*YEAR(tbl_MTG_Set[[#This Row],[Released On]])</f>
        <v/>
      </c>
      <c r="I44">
        <f>_xlfn.XLOOKUP(tbl_MTG_Set[[#This Row],[Type Name]], tbl_MTG_Set_Type[Set Type], tbl_MTG_Set_Type[Index], "(Set Type not found)")</f>
        <v/>
      </c>
      <c r="J44">
        <f>_xlfn.XLOOKUP(tbl_MTG_Set[[#This Row],[Type Name]], tbl_MTG_Set_Type[Set Type], tbl_MTG_Set_Type[Buy Window Month Start], "(Set Type not found)")</f>
        <v/>
      </c>
      <c r="K44" s="3">
        <f>tbl_MTG_Set[[#This Row],[Released On]]+tbl_MTG_Set[[#This Row],[Buy Window Month Start]]*365.25/12</f>
        <v/>
      </c>
      <c r="L44">
        <f>_xlfn.XLOOKUP(tbl_MTG_Set[[#This Row],[Type Name]], tbl_MTG_Set_Type[Set Type], tbl_MTG_Set_Type[Buy Window Month End], "(Set Type not found)", 0, 1)</f>
        <v/>
      </c>
      <c r="M44" s="3">
        <f>tbl_MTG_Set[[#This Row],[Released On]]+tbl_MTG_Set[[#This Row],[Buy Window Month End]]*365.25/12</f>
        <v/>
      </c>
      <c r="N44" s="3">
        <f>AND(NOW()&gt;=tbl_MTG_Set[[#This Row],[Buy Window Start]], NOW()&lt;=tbl_MTG_Set[[#This Row],[Buy Window End]])</f>
        <v/>
      </c>
      <c r="O44">
        <f>_xlfn.XLOOKUP(tbl_MTG_Set[[#This Row],[Type Name]], tbl_MTG_Set_Type[Set Type], tbl_MTG_Set_Type[Heavy Printing Window Month Start], "(Set Type not found)", 0, 1)</f>
        <v/>
      </c>
      <c r="P44" s="3">
        <f>tbl_MTG_Set[[#This Row],[Released On]]+tbl_MTG_Set[[#This Row],[Heavy Printing Window Month Start]]*365.25/12</f>
        <v/>
      </c>
      <c r="Q44">
        <f>_xlfn.XLOOKUP(tbl_MTG_Set[[#This Row],[Type Name]], tbl_MTG_Set_Type[Set Type], tbl_MTG_Set_Type[Heavy Printing Window Month End], "(Set Type not found)", 0, 1)</f>
        <v/>
      </c>
      <c r="R44" s="3">
        <f>tbl_MTG_Set[[#This Row],[Released On]]+tbl_MTG_Set[[#This Row],[Heavy Printing Window Month End]]*365.25/12</f>
        <v/>
      </c>
      <c r="S44" s="3">
        <f>AND(NOW()&gt;=tbl_MTG_Set[[#This Row],[Heavy Printing Window Start]], NOW()&lt;=tbl_MTG_Set[[#This Row],[Heavy Printing Window End]])</f>
        <v/>
      </c>
      <c r="T44">
        <f>_xlfn.XLOOKUP(tbl_MTG_Set[[#This Row],[Type Name]], tbl_MTG_Set_Type[Set Type], tbl_MTG_Set_Type[Sell Window Month Start], "(Set Type not found)", 0, 1)</f>
        <v/>
      </c>
      <c r="U44" s="3">
        <f>tbl_MTG_Set[[#This Row],[Released On]]+tbl_MTG_Set[[#This Row],[Sell Window Month Start]]*365.25/12</f>
        <v/>
      </c>
      <c r="V44">
        <f>_xlfn.XLOOKUP(tbl_MTG_Set[[#This Row],[Type Name]], tbl_MTG_Set_Type[Set Type], tbl_MTG_Set_Type[Sell Window Month End], "(Set Type not found)", 0, 1)</f>
        <v/>
      </c>
      <c r="W44" s="3">
        <f>tbl_MTG_Set[[#This Row],[Released On]]+tbl_MTG_Set[[#This Row],[Sell Window Month End]]*365.25/12</f>
        <v/>
      </c>
      <c r="X44" s="3">
        <f>AND(NOW()&gt;=tbl_MTG_Set[[#This Row],[Sell Window Start]], NOW()&lt;=tbl_MTG_Set[[#This Row],[Sell Window End]])</f>
        <v/>
      </c>
      <c r="AG44" s="10" t="n"/>
      <c r="AH44" s="10" t="n"/>
      <c r="AM44" s="10">
        <f t="array" ref="AM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" s="10">
        <f t="array" ref="AN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" s="4">
        <f>_xlfn.XLOOKUP(tbl_MTG_Set[[#This Row],[Play Booster Box Product Id]], tbl_Product[Product Id], tbl_Product[Pack Size])</f>
        <v/>
      </c>
      <c r="AP44" s="10">
        <f>(tbl_MTG_Set[[#This Row],[Play Booster Box Cost]]+v_Item_Shipping_Cost_In)/tbl_MTG_Set[[#This Row],[Play Booster Box Size]]</f>
        <v/>
      </c>
      <c r="AQ44" s="10">
        <f t="array" ref="AQ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" s="10" t="n"/>
      <c r="AS44" s="10" t="n"/>
      <c r="AT44" s="17">
        <f>tbl_MTG_Set[[#This Row],[Play Booster CardMarket Profit]]/tbl_MTG_Set[[#This Row],[Play Booster Cost]]</f>
        <v/>
      </c>
      <c r="AU44" s="10">
        <f>_xlfn.XLOOKUP(tbl_MTG_Set[[#This Row],[Collector Booster Box Product Id]], tbl_Product[Product Id], tbl_Product[Min Cost])</f>
        <v/>
      </c>
      <c r="AV44" s="10">
        <f>_xlfn.XLOOKUP(tbl_MTG_Set[[#This Row],[Collector Booster Box Product Id]], tbl_Product[Product Id], tbl_Product[Best Source])</f>
        <v/>
      </c>
      <c r="AW44" s="4">
        <f>_xlfn.XLOOKUP(tbl_MTG_Set[[#This Row],[Collector Booster Box Product Id]], tbl_Product[Product Id], tbl_Product[Pack Size])</f>
        <v/>
      </c>
      <c r="AX44" s="10">
        <f>(tbl_MTG_Set[[#This Row],[Collector Booster Box Cost]] + v_Item_Shipping_Cost_In) / tbl_MTG_Set[[#This Row],[Collector Booster Box Size]]</f>
        <v/>
      </c>
      <c r="AY44" s="10">
        <f t="array" ref="AY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" s="10" t="n"/>
      <c r="BA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" s="17">
        <f>tbl_MTG_Set[[#This Row],[Collector Booster CardMarket Profit]]/tbl_MTG_Set[[#This Row],[Collector Booster Cost]]</f>
        <v/>
      </c>
      <c r="BC44" s="10" t="n"/>
      <c r="BF44" s="10">
        <f>tbl_MTG_Set[[#This Row],[Play Booster Sell Price CardMarket]]*tbl_MTG_Set[[#This Row],[Play Booster Expected Market Value]]/tbl_MTG_Set[[#This Row],[Play Boost Sealed Market Value]]</f>
        <v/>
      </c>
      <c r="BG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" s="10">
        <f>tbl_MTG_Set[[#This Row],[Play Singles CardMarket Profit]]/tbl_MTG_Set[[#This Row],[Play Booster Cost]]</f>
        <v/>
      </c>
      <c r="BI44" s="10">
        <f>tbl_MTG_Set[[#This Row],[Play Singles CardMarket Profit]]&gt;0</f>
        <v/>
      </c>
      <c r="BJ44" s="10" t="n"/>
      <c r="BK44" s="10" t="n"/>
      <c r="BL44" s="10">
        <f>tbl_MTG_Set[[#This Row],[Collector Booster Sell Price CardMarket]]*tbl_MTG_Set[[#This Row],[Collector Booster Expected Market Value]]/tbl_MTG_Set[[#This Row],[Collector Boost Sealed Market Value]]</f>
        <v/>
      </c>
      <c r="BM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" s="10">
        <f>tbl_MTG_Set[[#This Row],[Collector Singles CardMarket Profit]]/tbl_MTG_Set[[#This Row],[Collector Booster Cost]]</f>
        <v/>
      </c>
      <c r="BO44" s="10">
        <f>tbl_MTG_Set[[#This Row],[Collector Singles CardMarket Profit]]&gt;0</f>
        <v/>
      </c>
      <c r="BP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">
      <c r="A45" t="n">
        <v>43</v>
      </c>
      <c r="B45" t="inlineStr">
        <is>
          <t>Final Fantasy Art Series AFIN</t>
        </is>
      </c>
      <c r="C45" t="n">
        <v>53</v>
      </c>
      <c r="D45" s="3" t="n">
        <v>45821</v>
      </c>
      <c r="E45" t="inlineStr">
        <is>
          <t>Universes Beyond</t>
        </is>
      </c>
      <c r="F45" t="inlineStr">
        <is>
          <t>en es fr de it pt ja ko ru 汉语 漢語</t>
        </is>
      </c>
      <c r="G45" t="n">
        <v>44</v>
      </c>
      <c r="H45">
        <f>MONTH(NOW())+12*YEAR(NOW())-MONTH(tbl_MTG_Set[[#This Row],[Released On]])-12*YEAR(tbl_MTG_Set[[#This Row],[Released On]])</f>
        <v/>
      </c>
      <c r="I45">
        <f>_xlfn.XLOOKUP(tbl_MTG_Set[[#This Row],[Type Name]], tbl_MTG_Set_Type[Set Type], tbl_MTG_Set_Type[Index], "(Set Type not found)")</f>
        <v/>
      </c>
      <c r="J45">
        <f>_xlfn.XLOOKUP(tbl_MTG_Set[[#This Row],[Type Name]], tbl_MTG_Set_Type[Set Type], tbl_MTG_Set_Type[Buy Window Month Start], "(Set Type not found)")</f>
        <v/>
      </c>
      <c r="K45" s="3">
        <f>tbl_MTG_Set[[#This Row],[Released On]]+tbl_MTG_Set[[#This Row],[Buy Window Month Start]]*365.25/12</f>
        <v/>
      </c>
      <c r="L45">
        <f>_xlfn.XLOOKUP(tbl_MTG_Set[[#This Row],[Type Name]], tbl_MTG_Set_Type[Set Type], tbl_MTG_Set_Type[Buy Window Month End], "(Set Type not found)", 0, 1)</f>
        <v/>
      </c>
      <c r="M45" s="3">
        <f>tbl_MTG_Set[[#This Row],[Released On]]+tbl_MTG_Set[[#This Row],[Buy Window Month End]]*365.25/12</f>
        <v/>
      </c>
      <c r="N45" s="3">
        <f>AND(NOW()&gt;=tbl_MTG_Set[[#This Row],[Buy Window Start]], NOW()&lt;=tbl_MTG_Set[[#This Row],[Buy Window End]])</f>
        <v/>
      </c>
      <c r="O45">
        <f>_xlfn.XLOOKUP(tbl_MTG_Set[[#This Row],[Type Name]], tbl_MTG_Set_Type[Set Type], tbl_MTG_Set_Type[Heavy Printing Window Month Start], "(Set Type not found)", 0, 1)</f>
        <v/>
      </c>
      <c r="P45" s="3">
        <f>tbl_MTG_Set[[#This Row],[Released On]]+tbl_MTG_Set[[#This Row],[Heavy Printing Window Month Start]]*365.25/12</f>
        <v/>
      </c>
      <c r="Q45">
        <f>_xlfn.XLOOKUP(tbl_MTG_Set[[#This Row],[Type Name]], tbl_MTG_Set_Type[Set Type], tbl_MTG_Set_Type[Heavy Printing Window Month End], "(Set Type not found)", 0, 1)</f>
        <v/>
      </c>
      <c r="R45" s="3">
        <f>tbl_MTG_Set[[#This Row],[Released On]]+tbl_MTG_Set[[#This Row],[Heavy Printing Window Month End]]*365.25/12</f>
        <v/>
      </c>
      <c r="S45" s="3">
        <f>AND(NOW()&gt;=tbl_MTG_Set[[#This Row],[Heavy Printing Window Start]], NOW()&lt;=tbl_MTG_Set[[#This Row],[Heavy Printing Window End]])</f>
        <v/>
      </c>
      <c r="T45">
        <f>_xlfn.XLOOKUP(tbl_MTG_Set[[#This Row],[Type Name]], tbl_MTG_Set_Type[Set Type], tbl_MTG_Set_Type[Sell Window Month Start], "(Set Type not found)", 0, 1)</f>
        <v/>
      </c>
      <c r="U45" s="3">
        <f>tbl_MTG_Set[[#This Row],[Released On]]+tbl_MTG_Set[[#This Row],[Sell Window Month Start]]*365.25/12</f>
        <v/>
      </c>
      <c r="V45">
        <f>_xlfn.XLOOKUP(tbl_MTG_Set[[#This Row],[Type Name]], tbl_MTG_Set_Type[Set Type], tbl_MTG_Set_Type[Sell Window Month End], "(Set Type not found)", 0, 1)</f>
        <v/>
      </c>
      <c r="W45" s="3">
        <f>tbl_MTG_Set[[#This Row],[Released On]]+tbl_MTG_Set[[#This Row],[Sell Window Month End]]*365.25/12</f>
        <v/>
      </c>
      <c r="X45" s="3">
        <f>AND(NOW()&gt;=tbl_MTG_Set[[#This Row],[Sell Window Start]], NOW()&lt;=tbl_MTG_Set[[#This Row],[Sell Window End]])</f>
        <v/>
      </c>
      <c r="AG45" s="10" t="n"/>
      <c r="AH45" s="10" t="n"/>
      <c r="AM45" s="10">
        <f t="array" ref="AM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" s="10">
        <f t="array" ref="AN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" s="4">
        <f>_xlfn.XLOOKUP(tbl_MTG_Set[[#This Row],[Play Booster Box Product Id]], tbl_Product[Product Id], tbl_Product[Pack Size])</f>
        <v/>
      </c>
      <c r="AP45" s="10">
        <f>(tbl_MTG_Set[[#This Row],[Play Booster Box Cost]]+v_Item_Shipping_Cost_In)/tbl_MTG_Set[[#This Row],[Play Booster Box Size]]</f>
        <v/>
      </c>
      <c r="AQ45" s="10">
        <f t="array" ref="AQ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" s="10" t="n"/>
      <c r="AS45" s="10" t="n"/>
      <c r="AT45" s="17">
        <f>tbl_MTG_Set[[#This Row],[Play Booster CardMarket Profit]]/tbl_MTG_Set[[#This Row],[Play Booster Cost]]</f>
        <v/>
      </c>
      <c r="AU45" s="10">
        <f>_xlfn.XLOOKUP(tbl_MTG_Set[[#This Row],[Collector Booster Box Product Id]], tbl_Product[Product Id], tbl_Product[Min Cost])</f>
        <v/>
      </c>
      <c r="AV45" s="10">
        <f>_xlfn.XLOOKUP(tbl_MTG_Set[[#This Row],[Collector Booster Box Product Id]], tbl_Product[Product Id], tbl_Product[Best Source])</f>
        <v/>
      </c>
      <c r="AW45" s="4">
        <f>_xlfn.XLOOKUP(tbl_MTG_Set[[#This Row],[Collector Booster Box Product Id]], tbl_Product[Product Id], tbl_Product[Pack Size])</f>
        <v/>
      </c>
      <c r="AX45" s="10">
        <f>(tbl_MTG_Set[[#This Row],[Collector Booster Box Cost]] + v_Item_Shipping_Cost_In) / tbl_MTG_Set[[#This Row],[Collector Booster Box Size]]</f>
        <v/>
      </c>
      <c r="AY45" s="10">
        <f t="array" ref="AY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" s="10" t="n"/>
      <c r="BA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" s="17">
        <f>tbl_MTG_Set[[#This Row],[Collector Booster CardMarket Profit]]/tbl_MTG_Set[[#This Row],[Collector Booster Cost]]</f>
        <v/>
      </c>
      <c r="BC45" s="10" t="n"/>
      <c r="BF45" s="10">
        <f>tbl_MTG_Set[[#This Row],[Play Booster Sell Price CardMarket]]*tbl_MTG_Set[[#This Row],[Play Booster Expected Market Value]]/tbl_MTG_Set[[#This Row],[Play Boost Sealed Market Value]]</f>
        <v/>
      </c>
      <c r="BG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" s="10">
        <f>tbl_MTG_Set[[#This Row],[Play Singles CardMarket Profit]]/tbl_MTG_Set[[#This Row],[Play Booster Cost]]</f>
        <v/>
      </c>
      <c r="BI45" s="10">
        <f>tbl_MTG_Set[[#This Row],[Play Singles CardMarket Profit]]&gt;0</f>
        <v/>
      </c>
      <c r="BJ45" s="10" t="n"/>
      <c r="BK45" s="10" t="n"/>
      <c r="BL45" s="10">
        <f>tbl_MTG_Set[[#This Row],[Collector Booster Sell Price CardMarket]]*tbl_MTG_Set[[#This Row],[Collector Booster Expected Market Value]]/tbl_MTG_Set[[#This Row],[Collector Boost Sealed Market Value]]</f>
        <v/>
      </c>
      <c r="BM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" s="10">
        <f>tbl_MTG_Set[[#This Row],[Collector Singles CardMarket Profit]]/tbl_MTG_Set[[#This Row],[Collector Booster Cost]]</f>
        <v/>
      </c>
      <c r="BO45" s="10">
        <f>tbl_MTG_Set[[#This Row],[Collector Singles CardMarket Profit]]&gt;0</f>
        <v/>
      </c>
      <c r="BP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">
      <c r="A46" t="n">
        <v>44</v>
      </c>
      <c r="B46" t="inlineStr">
        <is>
          <t>Final Fantasy Commander FIC</t>
        </is>
      </c>
      <c r="C46" t="n">
        <v>486</v>
      </c>
      <c r="D46" s="3" t="n">
        <v>45821</v>
      </c>
      <c r="E46" t="inlineStr">
        <is>
          <t>Commander</t>
        </is>
      </c>
      <c r="F46" t="inlineStr">
        <is>
          <t>en es fr de it pt ja ko ru 汉语 漢語</t>
        </is>
      </c>
      <c r="G46" t="n">
        <v>45</v>
      </c>
      <c r="H46">
        <f>MONTH(NOW())+12*YEAR(NOW())-MONTH(tbl_MTG_Set[[#This Row],[Released On]])-12*YEAR(tbl_MTG_Set[[#This Row],[Released On]])</f>
        <v/>
      </c>
      <c r="I46">
        <f>_xlfn.XLOOKUP(tbl_MTG_Set[[#This Row],[Type Name]], tbl_MTG_Set_Type[Set Type], tbl_MTG_Set_Type[Index], "(Set Type not found)")</f>
        <v/>
      </c>
      <c r="J46">
        <f>_xlfn.XLOOKUP(tbl_MTG_Set[[#This Row],[Type Name]], tbl_MTG_Set_Type[Set Type], tbl_MTG_Set_Type[Buy Window Month Start], "(Set Type not found)")</f>
        <v/>
      </c>
      <c r="K46" s="3">
        <f>tbl_MTG_Set[[#This Row],[Released On]]+tbl_MTG_Set[[#This Row],[Buy Window Month Start]]*365.25/12</f>
        <v/>
      </c>
      <c r="L46">
        <f>_xlfn.XLOOKUP(tbl_MTG_Set[[#This Row],[Type Name]], tbl_MTG_Set_Type[Set Type], tbl_MTG_Set_Type[Buy Window Month End], "(Set Type not found)", 0, 1)</f>
        <v/>
      </c>
      <c r="M46" s="3">
        <f>tbl_MTG_Set[[#This Row],[Released On]]+tbl_MTG_Set[[#This Row],[Buy Window Month End]]*365.25/12</f>
        <v/>
      </c>
      <c r="N46" s="3">
        <f>AND(NOW()&gt;=tbl_MTG_Set[[#This Row],[Buy Window Start]], NOW()&lt;=tbl_MTG_Set[[#This Row],[Buy Window End]])</f>
        <v/>
      </c>
      <c r="O46">
        <f>_xlfn.XLOOKUP(tbl_MTG_Set[[#This Row],[Type Name]], tbl_MTG_Set_Type[Set Type], tbl_MTG_Set_Type[Heavy Printing Window Month Start], "(Set Type not found)", 0, 1)</f>
        <v/>
      </c>
      <c r="P46" s="3">
        <f>tbl_MTG_Set[[#This Row],[Released On]]+tbl_MTG_Set[[#This Row],[Heavy Printing Window Month Start]]*365.25/12</f>
        <v/>
      </c>
      <c r="Q46">
        <f>_xlfn.XLOOKUP(tbl_MTG_Set[[#This Row],[Type Name]], tbl_MTG_Set_Type[Set Type], tbl_MTG_Set_Type[Heavy Printing Window Month End], "(Set Type not found)", 0, 1)</f>
        <v/>
      </c>
      <c r="R46" s="3">
        <f>tbl_MTG_Set[[#This Row],[Released On]]+tbl_MTG_Set[[#This Row],[Heavy Printing Window Month End]]*365.25/12</f>
        <v/>
      </c>
      <c r="S46" s="3">
        <f>AND(NOW()&gt;=tbl_MTG_Set[[#This Row],[Heavy Printing Window Start]], NOW()&lt;=tbl_MTG_Set[[#This Row],[Heavy Printing Window End]])</f>
        <v/>
      </c>
      <c r="T46">
        <f>_xlfn.XLOOKUP(tbl_MTG_Set[[#This Row],[Type Name]], tbl_MTG_Set_Type[Set Type], tbl_MTG_Set_Type[Sell Window Month Start], "(Set Type not found)", 0, 1)</f>
        <v/>
      </c>
      <c r="U46" s="3">
        <f>tbl_MTG_Set[[#This Row],[Released On]]+tbl_MTG_Set[[#This Row],[Sell Window Month Start]]*365.25/12</f>
        <v/>
      </c>
      <c r="V46">
        <f>_xlfn.XLOOKUP(tbl_MTG_Set[[#This Row],[Type Name]], tbl_MTG_Set_Type[Set Type], tbl_MTG_Set_Type[Sell Window Month End], "(Set Type not found)", 0, 1)</f>
        <v/>
      </c>
      <c r="W46" s="3">
        <f>tbl_MTG_Set[[#This Row],[Released On]]+tbl_MTG_Set[[#This Row],[Sell Window Month End]]*365.25/12</f>
        <v/>
      </c>
      <c r="X46" s="3">
        <f>AND(NOW()&gt;=tbl_MTG_Set[[#This Row],[Sell Window Start]], NOW()&lt;=tbl_MTG_Set[[#This Row],[Sell Window End]])</f>
        <v/>
      </c>
      <c r="AG46" s="10" t="n"/>
      <c r="AH46" s="10" t="n"/>
      <c r="AM46" s="10">
        <f t="array" ref="AM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" s="10">
        <f t="array" ref="AN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" s="4">
        <f>_xlfn.XLOOKUP(tbl_MTG_Set[[#This Row],[Play Booster Box Product Id]], tbl_Product[Product Id], tbl_Product[Pack Size])</f>
        <v/>
      </c>
      <c r="AP46" s="10">
        <f>(tbl_MTG_Set[[#This Row],[Play Booster Box Cost]]+v_Item_Shipping_Cost_In)/tbl_MTG_Set[[#This Row],[Play Booster Box Size]]</f>
        <v/>
      </c>
      <c r="AQ46" s="10">
        <f t="array" ref="AQ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" s="10" t="n"/>
      <c r="AS46" s="10" t="n"/>
      <c r="AT46" s="17">
        <f>tbl_MTG_Set[[#This Row],[Play Booster CardMarket Profit]]/tbl_MTG_Set[[#This Row],[Play Booster Cost]]</f>
        <v/>
      </c>
      <c r="AU46" s="10">
        <f>_xlfn.XLOOKUP(tbl_MTG_Set[[#This Row],[Collector Booster Box Product Id]], tbl_Product[Product Id], tbl_Product[Min Cost])</f>
        <v/>
      </c>
      <c r="AV46" s="10">
        <f>_xlfn.XLOOKUP(tbl_MTG_Set[[#This Row],[Collector Booster Box Product Id]], tbl_Product[Product Id], tbl_Product[Best Source])</f>
        <v/>
      </c>
      <c r="AW46" s="4">
        <f>_xlfn.XLOOKUP(tbl_MTG_Set[[#This Row],[Collector Booster Box Product Id]], tbl_Product[Product Id], tbl_Product[Pack Size])</f>
        <v/>
      </c>
      <c r="AX46" s="10">
        <f>(tbl_MTG_Set[[#This Row],[Collector Booster Box Cost]] + v_Item_Shipping_Cost_In) / tbl_MTG_Set[[#This Row],[Collector Booster Box Size]]</f>
        <v/>
      </c>
      <c r="AY46" s="10">
        <f t="array" ref="AY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" s="10" t="n"/>
      <c r="BA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" s="17">
        <f>tbl_MTG_Set[[#This Row],[Collector Booster CardMarket Profit]]/tbl_MTG_Set[[#This Row],[Collector Booster Cost]]</f>
        <v/>
      </c>
      <c r="BC46" s="10" t="n"/>
      <c r="BF46" s="10">
        <f>tbl_MTG_Set[[#This Row],[Play Booster Sell Price CardMarket]]*tbl_MTG_Set[[#This Row],[Play Booster Expected Market Value]]/tbl_MTG_Set[[#This Row],[Play Boost Sealed Market Value]]</f>
        <v/>
      </c>
      <c r="BG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" s="10">
        <f>tbl_MTG_Set[[#This Row],[Play Singles CardMarket Profit]]/tbl_MTG_Set[[#This Row],[Play Booster Cost]]</f>
        <v/>
      </c>
      <c r="BI46" s="10">
        <f>tbl_MTG_Set[[#This Row],[Play Singles CardMarket Profit]]&gt;0</f>
        <v/>
      </c>
      <c r="BJ46" s="10" t="n"/>
      <c r="BK46" s="10" t="n"/>
      <c r="BL46" s="10">
        <f>tbl_MTG_Set[[#This Row],[Collector Booster Sell Price CardMarket]]*tbl_MTG_Set[[#This Row],[Collector Booster Expected Market Value]]/tbl_MTG_Set[[#This Row],[Collector Boost Sealed Market Value]]</f>
        <v/>
      </c>
      <c r="BM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" s="10">
        <f>tbl_MTG_Set[[#This Row],[Collector Singles CardMarket Profit]]/tbl_MTG_Set[[#This Row],[Collector Booster Cost]]</f>
        <v/>
      </c>
      <c r="BO46" s="10">
        <f>tbl_MTG_Set[[#This Row],[Collector Singles CardMarket Profit]]&gt;0</f>
        <v/>
      </c>
      <c r="BP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">
      <c r="A47" t="n">
        <v>45</v>
      </c>
      <c r="B47" t="inlineStr">
        <is>
          <t>Final Fantasy Commander Tokens TFIC</t>
        </is>
      </c>
      <c r="C47" t="n">
        <v>11</v>
      </c>
      <c r="D47" s="3" t="n">
        <v>45821</v>
      </c>
      <c r="E47" t="inlineStr">
        <is>
          <t>Commander</t>
        </is>
      </c>
      <c r="F47" t="inlineStr">
        <is>
          <t>en es fr de it pt ja ko ru 汉语 漢語</t>
        </is>
      </c>
      <c r="G47" t="n">
        <v>46</v>
      </c>
      <c r="H47">
        <f>MONTH(NOW())+12*YEAR(NOW())-MONTH(tbl_MTG_Set[[#This Row],[Released On]])-12*YEAR(tbl_MTG_Set[[#This Row],[Released On]])</f>
        <v/>
      </c>
      <c r="I47">
        <f>_xlfn.XLOOKUP(tbl_MTG_Set[[#This Row],[Type Name]], tbl_MTG_Set_Type[Set Type], tbl_MTG_Set_Type[Index], "(Set Type not found)")</f>
        <v/>
      </c>
      <c r="J47">
        <f>_xlfn.XLOOKUP(tbl_MTG_Set[[#This Row],[Type Name]], tbl_MTG_Set_Type[Set Type], tbl_MTG_Set_Type[Buy Window Month Start], "(Set Type not found)")</f>
        <v/>
      </c>
      <c r="K47" s="3">
        <f>tbl_MTG_Set[[#This Row],[Released On]]+tbl_MTG_Set[[#This Row],[Buy Window Month Start]]*365.25/12</f>
        <v/>
      </c>
      <c r="L47">
        <f>_xlfn.XLOOKUP(tbl_MTG_Set[[#This Row],[Type Name]], tbl_MTG_Set_Type[Set Type], tbl_MTG_Set_Type[Buy Window Month End], "(Set Type not found)", 0, 1)</f>
        <v/>
      </c>
      <c r="M47" s="3">
        <f>tbl_MTG_Set[[#This Row],[Released On]]+tbl_MTG_Set[[#This Row],[Buy Window Month End]]*365.25/12</f>
        <v/>
      </c>
      <c r="N47" s="3">
        <f>AND(NOW()&gt;=tbl_MTG_Set[[#This Row],[Buy Window Start]], NOW()&lt;=tbl_MTG_Set[[#This Row],[Buy Window End]])</f>
        <v/>
      </c>
      <c r="O47">
        <f>_xlfn.XLOOKUP(tbl_MTG_Set[[#This Row],[Type Name]], tbl_MTG_Set_Type[Set Type], tbl_MTG_Set_Type[Heavy Printing Window Month Start], "(Set Type not found)", 0, 1)</f>
        <v/>
      </c>
      <c r="P47" s="3">
        <f>tbl_MTG_Set[[#This Row],[Released On]]+tbl_MTG_Set[[#This Row],[Heavy Printing Window Month Start]]*365.25/12</f>
        <v/>
      </c>
      <c r="Q47">
        <f>_xlfn.XLOOKUP(tbl_MTG_Set[[#This Row],[Type Name]], tbl_MTG_Set_Type[Set Type], tbl_MTG_Set_Type[Heavy Printing Window Month End], "(Set Type not found)", 0, 1)</f>
        <v/>
      </c>
      <c r="R47" s="3">
        <f>tbl_MTG_Set[[#This Row],[Released On]]+tbl_MTG_Set[[#This Row],[Heavy Printing Window Month End]]*365.25/12</f>
        <v/>
      </c>
      <c r="S47" s="3">
        <f>AND(NOW()&gt;=tbl_MTG_Set[[#This Row],[Heavy Printing Window Start]], NOW()&lt;=tbl_MTG_Set[[#This Row],[Heavy Printing Window End]])</f>
        <v/>
      </c>
      <c r="T47">
        <f>_xlfn.XLOOKUP(tbl_MTG_Set[[#This Row],[Type Name]], tbl_MTG_Set_Type[Set Type], tbl_MTG_Set_Type[Sell Window Month Start], "(Set Type not found)", 0, 1)</f>
        <v/>
      </c>
      <c r="U47" s="3">
        <f>tbl_MTG_Set[[#This Row],[Released On]]+tbl_MTG_Set[[#This Row],[Sell Window Month Start]]*365.25/12</f>
        <v/>
      </c>
      <c r="V47">
        <f>_xlfn.XLOOKUP(tbl_MTG_Set[[#This Row],[Type Name]], tbl_MTG_Set_Type[Set Type], tbl_MTG_Set_Type[Sell Window Month End], "(Set Type not found)", 0, 1)</f>
        <v/>
      </c>
      <c r="W47" s="3">
        <f>tbl_MTG_Set[[#This Row],[Released On]]+tbl_MTG_Set[[#This Row],[Sell Window Month End]]*365.25/12</f>
        <v/>
      </c>
      <c r="X47" s="3">
        <f>AND(NOW()&gt;=tbl_MTG_Set[[#This Row],[Sell Window Start]], NOW()&lt;=tbl_MTG_Set[[#This Row],[Sell Window End]])</f>
        <v/>
      </c>
      <c r="AG47" s="10" t="n"/>
      <c r="AH47" s="10" t="n"/>
      <c r="AM47" s="10">
        <f t="array" ref="AM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" s="10">
        <f t="array" ref="AN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" s="4">
        <f>_xlfn.XLOOKUP(tbl_MTG_Set[[#This Row],[Play Booster Box Product Id]], tbl_Product[Product Id], tbl_Product[Pack Size])</f>
        <v/>
      </c>
      <c r="AP47" s="10">
        <f>(tbl_MTG_Set[[#This Row],[Play Booster Box Cost]]+v_Item_Shipping_Cost_In)/tbl_MTG_Set[[#This Row],[Play Booster Box Size]]</f>
        <v/>
      </c>
      <c r="AQ47" s="10">
        <f t="array" ref="AQ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" s="10" t="n"/>
      <c r="AS47" s="10" t="n"/>
      <c r="AT47" s="17">
        <f>tbl_MTG_Set[[#This Row],[Play Booster CardMarket Profit]]/tbl_MTG_Set[[#This Row],[Play Booster Cost]]</f>
        <v/>
      </c>
      <c r="AU47" s="10">
        <f>_xlfn.XLOOKUP(tbl_MTG_Set[[#This Row],[Collector Booster Box Product Id]], tbl_Product[Product Id], tbl_Product[Min Cost])</f>
        <v/>
      </c>
      <c r="AV47" s="10">
        <f>_xlfn.XLOOKUP(tbl_MTG_Set[[#This Row],[Collector Booster Box Product Id]], tbl_Product[Product Id], tbl_Product[Best Source])</f>
        <v/>
      </c>
      <c r="AW47" s="4">
        <f>_xlfn.XLOOKUP(tbl_MTG_Set[[#This Row],[Collector Booster Box Product Id]], tbl_Product[Product Id], tbl_Product[Pack Size])</f>
        <v/>
      </c>
      <c r="AX47" s="10">
        <f>(tbl_MTG_Set[[#This Row],[Collector Booster Box Cost]] + v_Item_Shipping_Cost_In) / tbl_MTG_Set[[#This Row],[Collector Booster Box Size]]</f>
        <v/>
      </c>
      <c r="AY47" s="10">
        <f t="array" ref="AY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" s="10" t="n"/>
      <c r="BA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" s="17">
        <f>tbl_MTG_Set[[#This Row],[Collector Booster CardMarket Profit]]/tbl_MTG_Set[[#This Row],[Collector Booster Cost]]</f>
        <v/>
      </c>
      <c r="BC47" s="10" t="n"/>
      <c r="BF47" s="10">
        <f>tbl_MTG_Set[[#This Row],[Play Booster Sell Price CardMarket]]*tbl_MTG_Set[[#This Row],[Play Booster Expected Market Value]]/tbl_MTG_Set[[#This Row],[Play Boost Sealed Market Value]]</f>
        <v/>
      </c>
      <c r="BG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" s="10">
        <f>tbl_MTG_Set[[#This Row],[Play Singles CardMarket Profit]]/tbl_MTG_Set[[#This Row],[Play Booster Cost]]</f>
        <v/>
      </c>
      <c r="BI47" s="10">
        <f>tbl_MTG_Set[[#This Row],[Play Singles CardMarket Profit]]&gt;0</f>
        <v/>
      </c>
      <c r="BJ47" s="10" t="n"/>
      <c r="BK47" s="10" t="n"/>
      <c r="BL47" s="10">
        <f>tbl_MTG_Set[[#This Row],[Collector Booster Sell Price CardMarket]]*tbl_MTG_Set[[#This Row],[Collector Booster Expected Market Value]]/tbl_MTG_Set[[#This Row],[Collector Boost Sealed Market Value]]</f>
        <v/>
      </c>
      <c r="BM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" s="10">
        <f>tbl_MTG_Set[[#This Row],[Collector Singles CardMarket Profit]]/tbl_MTG_Set[[#This Row],[Collector Booster Cost]]</f>
        <v/>
      </c>
      <c r="BO47" s="10">
        <f>tbl_MTG_Set[[#This Row],[Collector Singles CardMarket Profit]]&gt;0</f>
        <v/>
      </c>
      <c r="BP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">
      <c r="A48" t="n">
        <v>46</v>
      </c>
      <c r="B48" t="inlineStr">
        <is>
          <t>FIN Asia WPN Promo Tokens WFIN</t>
        </is>
      </c>
      <c r="C48" t="n">
        <v>3</v>
      </c>
      <c r="D48" s="3" t="n">
        <v>45821</v>
      </c>
      <c r="E48" t="inlineStr">
        <is>
          <t>Universes Beyond</t>
        </is>
      </c>
      <c r="F48" t="inlineStr">
        <is>
          <t>en es fr de it pt ja ko ru 汉语 漢語</t>
        </is>
      </c>
      <c r="G48" t="n">
        <v>47</v>
      </c>
      <c r="H48">
        <f>MONTH(NOW())+12*YEAR(NOW())-MONTH(tbl_MTG_Set[[#This Row],[Released On]])-12*YEAR(tbl_MTG_Set[[#This Row],[Released On]])</f>
        <v/>
      </c>
      <c r="I48">
        <f>_xlfn.XLOOKUP(tbl_MTG_Set[[#This Row],[Type Name]], tbl_MTG_Set_Type[Set Type], tbl_MTG_Set_Type[Index], "(Set Type not found)")</f>
        <v/>
      </c>
      <c r="J48">
        <f>_xlfn.XLOOKUP(tbl_MTG_Set[[#This Row],[Type Name]], tbl_MTG_Set_Type[Set Type], tbl_MTG_Set_Type[Buy Window Month Start], "(Set Type not found)")</f>
        <v/>
      </c>
      <c r="K48" s="3">
        <f>tbl_MTG_Set[[#This Row],[Released On]]+tbl_MTG_Set[[#This Row],[Buy Window Month Start]]*365.25/12</f>
        <v/>
      </c>
      <c r="L48">
        <f>_xlfn.XLOOKUP(tbl_MTG_Set[[#This Row],[Type Name]], tbl_MTG_Set_Type[Set Type], tbl_MTG_Set_Type[Buy Window Month End], "(Set Type not found)", 0, 1)</f>
        <v/>
      </c>
      <c r="M48" s="3">
        <f>tbl_MTG_Set[[#This Row],[Released On]]+tbl_MTG_Set[[#This Row],[Buy Window Month End]]*365.25/12</f>
        <v/>
      </c>
      <c r="N48" s="3">
        <f>AND(NOW()&gt;=tbl_MTG_Set[[#This Row],[Buy Window Start]], NOW()&lt;=tbl_MTG_Set[[#This Row],[Buy Window End]])</f>
        <v/>
      </c>
      <c r="O48">
        <f>_xlfn.XLOOKUP(tbl_MTG_Set[[#This Row],[Type Name]], tbl_MTG_Set_Type[Set Type], tbl_MTG_Set_Type[Heavy Printing Window Month Start], "(Set Type not found)", 0, 1)</f>
        <v/>
      </c>
      <c r="P48" s="3">
        <f>tbl_MTG_Set[[#This Row],[Released On]]+tbl_MTG_Set[[#This Row],[Heavy Printing Window Month Start]]*365.25/12</f>
        <v/>
      </c>
      <c r="Q48">
        <f>_xlfn.XLOOKUP(tbl_MTG_Set[[#This Row],[Type Name]], tbl_MTG_Set_Type[Set Type], tbl_MTG_Set_Type[Heavy Printing Window Month End], "(Set Type not found)", 0, 1)</f>
        <v/>
      </c>
      <c r="R48" s="3">
        <f>tbl_MTG_Set[[#This Row],[Released On]]+tbl_MTG_Set[[#This Row],[Heavy Printing Window Month End]]*365.25/12</f>
        <v/>
      </c>
      <c r="S48" s="3">
        <f>AND(NOW()&gt;=tbl_MTG_Set[[#This Row],[Heavy Printing Window Start]], NOW()&lt;=tbl_MTG_Set[[#This Row],[Heavy Printing Window End]])</f>
        <v/>
      </c>
      <c r="T48">
        <f>_xlfn.XLOOKUP(tbl_MTG_Set[[#This Row],[Type Name]], tbl_MTG_Set_Type[Set Type], tbl_MTG_Set_Type[Sell Window Month Start], "(Set Type not found)", 0, 1)</f>
        <v/>
      </c>
      <c r="U48" s="3">
        <f>tbl_MTG_Set[[#This Row],[Released On]]+tbl_MTG_Set[[#This Row],[Sell Window Month Start]]*365.25/12</f>
        <v/>
      </c>
      <c r="V48">
        <f>_xlfn.XLOOKUP(tbl_MTG_Set[[#This Row],[Type Name]], tbl_MTG_Set_Type[Set Type], tbl_MTG_Set_Type[Sell Window Month End], "(Set Type not found)", 0, 1)</f>
        <v/>
      </c>
      <c r="W48" s="3">
        <f>tbl_MTG_Set[[#This Row],[Released On]]+tbl_MTG_Set[[#This Row],[Sell Window Month End]]*365.25/12</f>
        <v/>
      </c>
      <c r="X48" s="3">
        <f>AND(NOW()&gt;=tbl_MTG_Set[[#This Row],[Sell Window Start]], NOW()&lt;=tbl_MTG_Set[[#This Row],[Sell Window End]])</f>
        <v/>
      </c>
      <c r="AG48" s="10" t="n"/>
      <c r="AH48" s="10" t="n"/>
      <c r="AM48" s="10">
        <f t="array" ref="AM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" s="10">
        <f t="array" ref="AN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" s="4">
        <f>_xlfn.XLOOKUP(tbl_MTG_Set[[#This Row],[Play Booster Box Product Id]], tbl_Product[Product Id], tbl_Product[Pack Size])</f>
        <v/>
      </c>
      <c r="AP48" s="10">
        <f>(tbl_MTG_Set[[#This Row],[Play Booster Box Cost]]+v_Item_Shipping_Cost_In)/tbl_MTG_Set[[#This Row],[Play Booster Box Size]]</f>
        <v/>
      </c>
      <c r="AQ48" s="10">
        <f t="array" ref="AQ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" s="10" t="n"/>
      <c r="AS48" s="10" t="n"/>
      <c r="AT48" s="17">
        <f>tbl_MTG_Set[[#This Row],[Play Booster CardMarket Profit]]/tbl_MTG_Set[[#This Row],[Play Booster Cost]]</f>
        <v/>
      </c>
      <c r="AU48" s="10">
        <f>_xlfn.XLOOKUP(tbl_MTG_Set[[#This Row],[Collector Booster Box Product Id]], tbl_Product[Product Id], tbl_Product[Min Cost])</f>
        <v/>
      </c>
      <c r="AV48" s="10">
        <f>_xlfn.XLOOKUP(tbl_MTG_Set[[#This Row],[Collector Booster Box Product Id]], tbl_Product[Product Id], tbl_Product[Best Source])</f>
        <v/>
      </c>
      <c r="AW48" s="4">
        <f>_xlfn.XLOOKUP(tbl_MTG_Set[[#This Row],[Collector Booster Box Product Id]], tbl_Product[Product Id], tbl_Product[Pack Size])</f>
        <v/>
      </c>
      <c r="AX48" s="10">
        <f>(tbl_MTG_Set[[#This Row],[Collector Booster Box Cost]] + v_Item_Shipping_Cost_In) / tbl_MTG_Set[[#This Row],[Collector Booster Box Size]]</f>
        <v/>
      </c>
      <c r="AY48" s="10">
        <f t="array" ref="AY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" s="10" t="n"/>
      <c r="BA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" s="17">
        <f>tbl_MTG_Set[[#This Row],[Collector Booster CardMarket Profit]]/tbl_MTG_Set[[#This Row],[Collector Booster Cost]]</f>
        <v/>
      </c>
      <c r="BC48" s="10" t="n"/>
      <c r="BF48" s="10">
        <f>tbl_MTG_Set[[#This Row],[Play Booster Sell Price CardMarket]]*tbl_MTG_Set[[#This Row],[Play Booster Expected Market Value]]/tbl_MTG_Set[[#This Row],[Play Boost Sealed Market Value]]</f>
        <v/>
      </c>
      <c r="BG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" s="10">
        <f>tbl_MTG_Set[[#This Row],[Play Singles CardMarket Profit]]/tbl_MTG_Set[[#This Row],[Play Booster Cost]]</f>
        <v/>
      </c>
      <c r="BI48" s="10">
        <f>tbl_MTG_Set[[#This Row],[Play Singles CardMarket Profit]]&gt;0</f>
        <v/>
      </c>
      <c r="BJ48" s="10" t="n"/>
      <c r="BK48" s="10" t="n"/>
      <c r="BL48" s="10">
        <f>tbl_MTG_Set[[#This Row],[Collector Booster Sell Price CardMarket]]*tbl_MTG_Set[[#This Row],[Collector Booster Expected Market Value]]/tbl_MTG_Set[[#This Row],[Collector Boost Sealed Market Value]]</f>
        <v/>
      </c>
      <c r="BM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" s="10">
        <f>tbl_MTG_Set[[#This Row],[Collector Singles CardMarket Profit]]/tbl_MTG_Set[[#This Row],[Collector Booster Cost]]</f>
        <v/>
      </c>
      <c r="BO48" s="10">
        <f>tbl_MTG_Set[[#This Row],[Collector Singles CardMarket Profit]]&gt;0</f>
        <v/>
      </c>
      <c r="BP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">
      <c r="A49" t="n">
        <v>47</v>
      </c>
      <c r="B49" t="inlineStr">
        <is>
          <t>FIN Standard Showdown PSS5</t>
        </is>
      </c>
      <c r="C49" t="n">
        <v>2</v>
      </c>
      <c r="D49" s="3" t="n">
        <v>45821</v>
      </c>
      <c r="E49" t="inlineStr">
        <is>
          <t>Universes Beyond</t>
        </is>
      </c>
      <c r="F49" t="inlineStr">
        <is>
          <t>en es fr de it pt ja ko ru 汉语 漢語</t>
        </is>
      </c>
      <c r="G49" t="n">
        <v>48</v>
      </c>
      <c r="H49">
        <f>MONTH(NOW())+12*YEAR(NOW())-MONTH(tbl_MTG_Set[[#This Row],[Released On]])-12*YEAR(tbl_MTG_Set[[#This Row],[Released On]])</f>
        <v/>
      </c>
      <c r="I49">
        <f>_xlfn.XLOOKUP(tbl_MTG_Set[[#This Row],[Type Name]], tbl_MTG_Set_Type[Set Type], tbl_MTG_Set_Type[Index], "(Set Type not found)")</f>
        <v/>
      </c>
      <c r="J49">
        <f>_xlfn.XLOOKUP(tbl_MTG_Set[[#This Row],[Type Name]], tbl_MTG_Set_Type[Set Type], tbl_MTG_Set_Type[Buy Window Month Start], "(Set Type not found)")</f>
        <v/>
      </c>
      <c r="K49" s="3">
        <f>tbl_MTG_Set[[#This Row],[Released On]]+tbl_MTG_Set[[#This Row],[Buy Window Month Start]]*365.25/12</f>
        <v/>
      </c>
      <c r="L49">
        <f>_xlfn.XLOOKUP(tbl_MTG_Set[[#This Row],[Type Name]], tbl_MTG_Set_Type[Set Type], tbl_MTG_Set_Type[Buy Window Month End], "(Set Type not found)", 0, 1)</f>
        <v/>
      </c>
      <c r="M49" s="3">
        <f>tbl_MTG_Set[[#This Row],[Released On]]+tbl_MTG_Set[[#This Row],[Buy Window Month End]]*365.25/12</f>
        <v/>
      </c>
      <c r="N49" s="3">
        <f>AND(NOW()&gt;=tbl_MTG_Set[[#This Row],[Buy Window Start]], NOW()&lt;=tbl_MTG_Set[[#This Row],[Buy Window End]])</f>
        <v/>
      </c>
      <c r="O49">
        <f>_xlfn.XLOOKUP(tbl_MTG_Set[[#This Row],[Type Name]], tbl_MTG_Set_Type[Set Type], tbl_MTG_Set_Type[Heavy Printing Window Month Start], "(Set Type not found)", 0, 1)</f>
        <v/>
      </c>
      <c r="P49" s="3">
        <f>tbl_MTG_Set[[#This Row],[Released On]]+tbl_MTG_Set[[#This Row],[Heavy Printing Window Month Start]]*365.25/12</f>
        <v/>
      </c>
      <c r="Q49">
        <f>_xlfn.XLOOKUP(tbl_MTG_Set[[#This Row],[Type Name]], tbl_MTG_Set_Type[Set Type], tbl_MTG_Set_Type[Heavy Printing Window Month End], "(Set Type not found)", 0, 1)</f>
        <v/>
      </c>
      <c r="R49" s="3">
        <f>tbl_MTG_Set[[#This Row],[Released On]]+tbl_MTG_Set[[#This Row],[Heavy Printing Window Month End]]*365.25/12</f>
        <v/>
      </c>
      <c r="S49" s="3">
        <f>AND(NOW()&gt;=tbl_MTG_Set[[#This Row],[Heavy Printing Window Start]], NOW()&lt;=tbl_MTG_Set[[#This Row],[Heavy Printing Window End]])</f>
        <v/>
      </c>
      <c r="T49">
        <f>_xlfn.XLOOKUP(tbl_MTG_Set[[#This Row],[Type Name]], tbl_MTG_Set_Type[Set Type], tbl_MTG_Set_Type[Sell Window Month Start], "(Set Type not found)", 0, 1)</f>
        <v/>
      </c>
      <c r="U49" s="3">
        <f>tbl_MTG_Set[[#This Row],[Released On]]+tbl_MTG_Set[[#This Row],[Sell Window Month Start]]*365.25/12</f>
        <v/>
      </c>
      <c r="V49">
        <f>_xlfn.XLOOKUP(tbl_MTG_Set[[#This Row],[Type Name]], tbl_MTG_Set_Type[Set Type], tbl_MTG_Set_Type[Sell Window Month End], "(Set Type not found)", 0, 1)</f>
        <v/>
      </c>
      <c r="W49" s="3">
        <f>tbl_MTG_Set[[#This Row],[Released On]]+tbl_MTG_Set[[#This Row],[Sell Window Month End]]*365.25/12</f>
        <v/>
      </c>
      <c r="X49" s="3">
        <f>AND(NOW()&gt;=tbl_MTG_Set[[#This Row],[Sell Window Start]], NOW()&lt;=tbl_MTG_Set[[#This Row],[Sell Window End]])</f>
        <v/>
      </c>
      <c r="AG49" s="10" t="n"/>
      <c r="AH49" s="10" t="n"/>
      <c r="AM49" s="10">
        <f t="array" ref="AM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" s="10">
        <f t="array" ref="AN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" s="4">
        <f>_xlfn.XLOOKUP(tbl_MTG_Set[[#This Row],[Play Booster Box Product Id]], tbl_Product[Product Id], tbl_Product[Pack Size])</f>
        <v/>
      </c>
      <c r="AP49" s="10">
        <f>(tbl_MTG_Set[[#This Row],[Play Booster Box Cost]]+v_Item_Shipping_Cost_In)/tbl_MTG_Set[[#This Row],[Play Booster Box Size]]</f>
        <v/>
      </c>
      <c r="AQ49" s="10">
        <f t="array" ref="AQ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" s="10" t="n"/>
      <c r="AS49" s="10" t="n"/>
      <c r="AT49" s="17">
        <f>tbl_MTG_Set[[#This Row],[Play Booster CardMarket Profit]]/tbl_MTG_Set[[#This Row],[Play Booster Cost]]</f>
        <v/>
      </c>
      <c r="AU49" s="10">
        <f>_xlfn.XLOOKUP(tbl_MTG_Set[[#This Row],[Collector Booster Box Product Id]], tbl_Product[Product Id], tbl_Product[Min Cost])</f>
        <v/>
      </c>
      <c r="AV49" s="10">
        <f>_xlfn.XLOOKUP(tbl_MTG_Set[[#This Row],[Collector Booster Box Product Id]], tbl_Product[Product Id], tbl_Product[Best Source])</f>
        <v/>
      </c>
      <c r="AW49" s="4">
        <f>_xlfn.XLOOKUP(tbl_MTG_Set[[#This Row],[Collector Booster Box Product Id]], tbl_Product[Product Id], tbl_Product[Pack Size])</f>
        <v/>
      </c>
      <c r="AX49" s="10">
        <f>(tbl_MTG_Set[[#This Row],[Collector Booster Box Cost]] + v_Item_Shipping_Cost_In) / tbl_MTG_Set[[#This Row],[Collector Booster Box Size]]</f>
        <v/>
      </c>
      <c r="AY49" s="10">
        <f t="array" ref="AY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" s="10" t="n"/>
      <c r="BA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" s="17">
        <f>tbl_MTG_Set[[#This Row],[Collector Booster CardMarket Profit]]/tbl_MTG_Set[[#This Row],[Collector Booster Cost]]</f>
        <v/>
      </c>
      <c r="BC49" s="10" t="n"/>
      <c r="BF49" s="10">
        <f>tbl_MTG_Set[[#This Row],[Play Booster Sell Price CardMarket]]*tbl_MTG_Set[[#This Row],[Play Booster Expected Market Value]]/tbl_MTG_Set[[#This Row],[Play Boost Sealed Market Value]]</f>
        <v/>
      </c>
      <c r="BG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" s="10">
        <f>tbl_MTG_Set[[#This Row],[Play Singles CardMarket Profit]]/tbl_MTG_Set[[#This Row],[Play Booster Cost]]</f>
        <v/>
      </c>
      <c r="BI49" s="10">
        <f>tbl_MTG_Set[[#This Row],[Play Singles CardMarket Profit]]&gt;0</f>
        <v/>
      </c>
      <c r="BJ49" s="10" t="n"/>
      <c r="BK49" s="10" t="n"/>
      <c r="BL49" s="10">
        <f>tbl_MTG_Set[[#This Row],[Collector Booster Sell Price CardMarket]]*tbl_MTG_Set[[#This Row],[Collector Booster Expected Market Value]]/tbl_MTG_Set[[#This Row],[Collector Boost Sealed Market Value]]</f>
        <v/>
      </c>
      <c r="BM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" s="10">
        <f>tbl_MTG_Set[[#This Row],[Collector Singles CardMarket Profit]]/tbl_MTG_Set[[#This Row],[Collector Booster Cost]]</f>
        <v/>
      </c>
      <c r="BO49" s="10">
        <f>tbl_MTG_Set[[#This Row],[Collector Singles CardMarket Profit]]&gt;0</f>
        <v/>
      </c>
      <c r="BP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">
      <c r="A50" t="n">
        <v>48</v>
      </c>
      <c r="B50" t="inlineStr">
        <is>
          <t>Pioneer Anthology 1 PA1</t>
        </is>
      </c>
      <c r="C50" t="n">
        <v>11</v>
      </c>
      <c r="D50" s="3" t="n">
        <v>45782</v>
      </c>
      <c r="F50" t="inlineStr">
        <is>
          <t>en es fr de it pt ja ko ru 汉语 漢語</t>
        </is>
      </c>
      <c r="G50" t="n">
        <v>49</v>
      </c>
      <c r="H50">
        <f>MONTH(NOW())+12*YEAR(NOW())-MONTH(tbl_MTG_Set[[#This Row],[Released On]])-12*YEAR(tbl_MTG_Set[[#This Row],[Released On]])</f>
        <v/>
      </c>
      <c r="I50">
        <f>_xlfn.XLOOKUP(tbl_MTG_Set[[#This Row],[Type Name]], tbl_MTG_Set_Type[Set Type], tbl_MTG_Set_Type[Index], "(Set Type not found)")</f>
        <v/>
      </c>
      <c r="J50">
        <f>_xlfn.XLOOKUP(tbl_MTG_Set[[#This Row],[Type Name]], tbl_MTG_Set_Type[Set Type], tbl_MTG_Set_Type[Buy Window Month Start], "(Set Type not found)")</f>
        <v/>
      </c>
      <c r="K50" s="3">
        <f>tbl_MTG_Set[[#This Row],[Released On]]+tbl_MTG_Set[[#This Row],[Buy Window Month Start]]*365.25/12</f>
        <v/>
      </c>
      <c r="L50">
        <f>_xlfn.XLOOKUP(tbl_MTG_Set[[#This Row],[Type Name]], tbl_MTG_Set_Type[Set Type], tbl_MTG_Set_Type[Buy Window Month End], "(Set Type not found)", 0, 1)</f>
        <v/>
      </c>
      <c r="M50" s="3">
        <f>tbl_MTG_Set[[#This Row],[Released On]]+tbl_MTG_Set[[#This Row],[Buy Window Month End]]*365.25/12</f>
        <v/>
      </c>
      <c r="N50" s="3">
        <f>AND(NOW()&gt;=tbl_MTG_Set[[#This Row],[Buy Window Start]], NOW()&lt;=tbl_MTG_Set[[#This Row],[Buy Window End]])</f>
        <v/>
      </c>
      <c r="O50">
        <f>_xlfn.XLOOKUP(tbl_MTG_Set[[#This Row],[Type Name]], tbl_MTG_Set_Type[Set Type], tbl_MTG_Set_Type[Heavy Printing Window Month Start], "(Set Type not found)", 0, 1)</f>
        <v/>
      </c>
      <c r="P50" s="3">
        <f>tbl_MTG_Set[[#This Row],[Released On]]+tbl_MTG_Set[[#This Row],[Heavy Printing Window Month Start]]*365.25/12</f>
        <v/>
      </c>
      <c r="Q50">
        <f>_xlfn.XLOOKUP(tbl_MTG_Set[[#This Row],[Type Name]], tbl_MTG_Set_Type[Set Type], tbl_MTG_Set_Type[Heavy Printing Window Month End], "(Set Type not found)", 0, 1)</f>
        <v/>
      </c>
      <c r="R50" s="3">
        <f>tbl_MTG_Set[[#This Row],[Released On]]+tbl_MTG_Set[[#This Row],[Heavy Printing Window Month End]]*365.25/12</f>
        <v/>
      </c>
      <c r="S50" s="3">
        <f>AND(NOW()&gt;=tbl_MTG_Set[[#This Row],[Heavy Printing Window Start]], NOW()&lt;=tbl_MTG_Set[[#This Row],[Heavy Printing Window End]])</f>
        <v/>
      </c>
      <c r="T50">
        <f>_xlfn.XLOOKUP(tbl_MTG_Set[[#This Row],[Type Name]], tbl_MTG_Set_Type[Set Type], tbl_MTG_Set_Type[Sell Window Month Start], "(Set Type not found)", 0, 1)</f>
        <v/>
      </c>
      <c r="U50" s="3">
        <f>tbl_MTG_Set[[#This Row],[Released On]]+tbl_MTG_Set[[#This Row],[Sell Window Month Start]]*365.25/12</f>
        <v/>
      </c>
      <c r="V50">
        <f>_xlfn.XLOOKUP(tbl_MTG_Set[[#This Row],[Type Name]], tbl_MTG_Set_Type[Set Type], tbl_MTG_Set_Type[Sell Window Month End], "(Set Type not found)", 0, 1)</f>
        <v/>
      </c>
      <c r="W50" s="3">
        <f>tbl_MTG_Set[[#This Row],[Released On]]+tbl_MTG_Set[[#This Row],[Sell Window Month End]]*365.25/12</f>
        <v/>
      </c>
      <c r="X50" s="3">
        <f>AND(NOW()&gt;=tbl_MTG_Set[[#This Row],[Sell Window Start]], NOW()&lt;=tbl_MTG_Set[[#This Row],[Sell Window End]])</f>
        <v/>
      </c>
      <c r="AG50" s="10" t="n"/>
      <c r="AH50" s="10" t="n"/>
      <c r="AM50" s="10">
        <f t="array" ref="AM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" s="10">
        <f t="array" ref="AN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" s="4">
        <f>_xlfn.XLOOKUP(tbl_MTG_Set[[#This Row],[Play Booster Box Product Id]], tbl_Product[Product Id], tbl_Product[Pack Size])</f>
        <v/>
      </c>
      <c r="AP50" s="10">
        <f>(tbl_MTG_Set[[#This Row],[Play Booster Box Cost]]+v_Item_Shipping_Cost_In)/tbl_MTG_Set[[#This Row],[Play Booster Box Size]]</f>
        <v/>
      </c>
      <c r="AQ50" s="10">
        <f t="array" ref="AQ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" s="10" t="n"/>
      <c r="AS50" s="10" t="n"/>
      <c r="AT50" s="17">
        <f>tbl_MTG_Set[[#This Row],[Play Booster CardMarket Profit]]/tbl_MTG_Set[[#This Row],[Play Booster Cost]]</f>
        <v/>
      </c>
      <c r="AU50" s="10">
        <f>_xlfn.XLOOKUP(tbl_MTG_Set[[#This Row],[Collector Booster Box Product Id]], tbl_Product[Product Id], tbl_Product[Min Cost])</f>
        <v/>
      </c>
      <c r="AV50" s="10">
        <f>_xlfn.XLOOKUP(tbl_MTG_Set[[#This Row],[Collector Booster Box Product Id]], tbl_Product[Product Id], tbl_Product[Best Source])</f>
        <v/>
      </c>
      <c r="AW50" s="4">
        <f>_xlfn.XLOOKUP(tbl_MTG_Set[[#This Row],[Collector Booster Box Product Id]], tbl_Product[Product Id], tbl_Product[Pack Size])</f>
        <v/>
      </c>
      <c r="AX50" s="10">
        <f>(tbl_MTG_Set[[#This Row],[Collector Booster Box Cost]] + v_Item_Shipping_Cost_In) / tbl_MTG_Set[[#This Row],[Collector Booster Box Size]]</f>
        <v/>
      </c>
      <c r="AY50" s="10">
        <f t="array" ref="AY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" s="10" t="n"/>
      <c r="BA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" s="17">
        <f>tbl_MTG_Set[[#This Row],[Collector Booster CardMarket Profit]]/tbl_MTG_Set[[#This Row],[Collector Booster Cost]]</f>
        <v/>
      </c>
      <c r="BC50" s="10" t="n"/>
      <c r="BF50" s="10">
        <f>tbl_MTG_Set[[#This Row],[Play Booster Sell Price CardMarket]]*tbl_MTG_Set[[#This Row],[Play Booster Expected Market Value]]/tbl_MTG_Set[[#This Row],[Play Boost Sealed Market Value]]</f>
        <v/>
      </c>
      <c r="BG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" s="10">
        <f>tbl_MTG_Set[[#This Row],[Play Singles CardMarket Profit]]/tbl_MTG_Set[[#This Row],[Play Booster Cost]]</f>
        <v/>
      </c>
      <c r="BI50" s="10">
        <f>tbl_MTG_Set[[#This Row],[Play Singles CardMarket Profit]]&gt;0</f>
        <v/>
      </c>
      <c r="BJ50" s="10" t="n"/>
      <c r="BK50" s="10" t="n"/>
      <c r="BL50" s="10">
        <f>tbl_MTG_Set[[#This Row],[Collector Booster Sell Price CardMarket]]*tbl_MTG_Set[[#This Row],[Collector Booster Expected Market Value]]/tbl_MTG_Set[[#This Row],[Collector Boost Sealed Market Value]]</f>
        <v/>
      </c>
      <c r="BM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" s="10">
        <f>tbl_MTG_Set[[#This Row],[Collector Singles CardMarket Profit]]/tbl_MTG_Set[[#This Row],[Collector Booster Cost]]</f>
        <v/>
      </c>
      <c r="BO50" s="10">
        <f>tbl_MTG_Set[[#This Row],[Collector Singles CardMarket Profit]]&gt;0</f>
        <v/>
      </c>
      <c r="BP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">
      <c r="A51" t="n">
        <v>49</v>
      </c>
      <c r="B51" t="inlineStr">
        <is>
          <t>Tarkir: Dragonstorm TDM</t>
        </is>
      </c>
      <c r="C51" t="n">
        <v>427</v>
      </c>
      <c r="D51" s="3" t="n">
        <v>45758</v>
      </c>
      <c r="E51" t="inlineStr">
        <is>
          <t>Standard Expansion</t>
        </is>
      </c>
      <c r="F51" t="inlineStr">
        <is>
          <t>en es fr de it pt ja ko ru 汉语 漢語</t>
        </is>
      </c>
      <c r="G51" t="n">
        <v>50</v>
      </c>
      <c r="H51">
        <f>MONTH(NOW())+12*YEAR(NOW())-MONTH(tbl_MTG_Set[[#This Row],[Released On]])-12*YEAR(tbl_MTG_Set[[#This Row],[Released On]])</f>
        <v/>
      </c>
      <c r="I51">
        <f>_xlfn.XLOOKUP(tbl_MTG_Set[[#This Row],[Type Name]], tbl_MTG_Set_Type[Set Type], tbl_MTG_Set_Type[Index], "(Set Type not found)")</f>
        <v/>
      </c>
      <c r="J51">
        <f>_xlfn.XLOOKUP(tbl_MTG_Set[[#This Row],[Type Name]], tbl_MTG_Set_Type[Set Type], tbl_MTG_Set_Type[Buy Window Month Start], "(Set Type not found)")</f>
        <v/>
      </c>
      <c r="K51" s="3">
        <f>tbl_MTG_Set[[#This Row],[Released On]]+tbl_MTG_Set[[#This Row],[Buy Window Month Start]]*365.25/12</f>
        <v/>
      </c>
      <c r="L51">
        <f>_xlfn.XLOOKUP(tbl_MTG_Set[[#This Row],[Type Name]], tbl_MTG_Set_Type[Set Type], tbl_MTG_Set_Type[Buy Window Month End], "(Set Type not found)", 0, 1)</f>
        <v/>
      </c>
      <c r="M51" s="3">
        <f>tbl_MTG_Set[[#This Row],[Released On]]+tbl_MTG_Set[[#This Row],[Buy Window Month End]]*365.25/12</f>
        <v/>
      </c>
      <c r="N51" s="3">
        <f>AND(NOW()&gt;=tbl_MTG_Set[[#This Row],[Buy Window Start]], NOW()&lt;=tbl_MTG_Set[[#This Row],[Buy Window End]])</f>
        <v/>
      </c>
      <c r="O51">
        <f>_xlfn.XLOOKUP(tbl_MTG_Set[[#This Row],[Type Name]], tbl_MTG_Set_Type[Set Type], tbl_MTG_Set_Type[Heavy Printing Window Month Start], "(Set Type not found)", 0, 1)</f>
        <v/>
      </c>
      <c r="P51" s="3">
        <f>tbl_MTG_Set[[#This Row],[Released On]]+tbl_MTG_Set[[#This Row],[Heavy Printing Window Month Start]]*365.25/12</f>
        <v/>
      </c>
      <c r="Q51">
        <f>_xlfn.XLOOKUP(tbl_MTG_Set[[#This Row],[Type Name]], tbl_MTG_Set_Type[Set Type], tbl_MTG_Set_Type[Heavy Printing Window Month End], "(Set Type not found)", 0, 1)</f>
        <v/>
      </c>
      <c r="R51" s="3">
        <f>tbl_MTG_Set[[#This Row],[Released On]]+tbl_MTG_Set[[#This Row],[Heavy Printing Window Month End]]*365.25/12</f>
        <v/>
      </c>
      <c r="S51" s="3">
        <f>AND(NOW()&gt;=tbl_MTG_Set[[#This Row],[Heavy Printing Window Start]], NOW()&lt;=tbl_MTG_Set[[#This Row],[Heavy Printing Window End]])</f>
        <v/>
      </c>
      <c r="T51">
        <f>_xlfn.XLOOKUP(tbl_MTG_Set[[#This Row],[Type Name]], tbl_MTG_Set_Type[Set Type], tbl_MTG_Set_Type[Sell Window Month Start], "(Set Type not found)", 0, 1)</f>
        <v/>
      </c>
      <c r="U51" s="3">
        <f>tbl_MTG_Set[[#This Row],[Released On]]+tbl_MTG_Set[[#This Row],[Sell Window Month Start]]*365.25/12</f>
        <v/>
      </c>
      <c r="V51">
        <f>_xlfn.XLOOKUP(tbl_MTG_Set[[#This Row],[Type Name]], tbl_MTG_Set_Type[Set Type], tbl_MTG_Set_Type[Sell Window Month End], "(Set Type not found)", 0, 1)</f>
        <v/>
      </c>
      <c r="W51" s="3">
        <f>tbl_MTG_Set[[#This Row],[Released On]]+tbl_MTG_Set[[#This Row],[Sell Window Month End]]*365.25/12</f>
        <v/>
      </c>
      <c r="X51" s="3">
        <f>AND(NOW()&gt;=tbl_MTG_Set[[#This Row],[Sell Window Start]], NOW()&lt;=tbl_MTG_Set[[#This Row],[Sell Window End]])</f>
        <v/>
      </c>
      <c r="Y51" s="10" t="n">
        <v>103</v>
      </c>
      <c r="Z51" s="10" t="n">
        <v>107</v>
      </c>
      <c r="AD51" s="10">
        <f>(Y51+ 96/20)/30</f>
        <v/>
      </c>
      <c r="AE51" s="10">
        <f>(Z51+ 96/20)/30</f>
        <v/>
      </c>
      <c r="AG51" s="10" t="n"/>
      <c r="AH51" s="10" t="n"/>
      <c r="AI51" s="4" t="n">
        <v>42</v>
      </c>
      <c r="AJ51" s="4" t="n">
        <v>27</v>
      </c>
      <c r="AK51" s="4" t="n">
        <v>136</v>
      </c>
      <c r="AL51" s="4" t="n">
        <v>135</v>
      </c>
      <c r="AM51" s="10">
        <f t="array" ref="AM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" s="10">
        <f t="array" ref="AN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" s="4">
        <f>_xlfn.XLOOKUP(tbl_MTG_Set[[#This Row],[Play Booster Box Product Id]], tbl_Product[Product Id], tbl_Product[Pack Size])</f>
        <v/>
      </c>
      <c r="AP51" s="10">
        <f>(tbl_MTG_Set[[#This Row],[Play Booster Box Cost]]+v_Item_Shipping_Cost_In)/tbl_MTG_Set[[#This Row],[Play Booster Box Size]]</f>
        <v/>
      </c>
      <c r="AQ51" s="10">
        <f t="array" ref="AQ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" s="10" t="n">
        <v>5.5</v>
      </c>
      <c r="AS5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51" s="17">
        <f>tbl_MTG_Set[[#This Row],[Play Booster CardMarket Profit]]/tbl_MTG_Set[[#This Row],[Play Booster Cost]]</f>
        <v/>
      </c>
      <c r="AU51" s="10">
        <f>_xlfn.XLOOKUP(tbl_MTG_Set[[#This Row],[Collector Booster Box Product Id]], tbl_Product[Product Id], tbl_Product[Min Cost])</f>
        <v/>
      </c>
      <c r="AV51" s="10">
        <f>_xlfn.XLOOKUP(tbl_MTG_Set[[#This Row],[Collector Booster Box Product Id]], tbl_Product[Product Id], tbl_Product[Best Source])</f>
        <v/>
      </c>
      <c r="AW51" s="4">
        <f>_xlfn.XLOOKUP(tbl_MTG_Set[[#This Row],[Collector Booster Box Product Id]], tbl_Product[Product Id], tbl_Product[Pack Size])</f>
        <v/>
      </c>
      <c r="AX51" s="10">
        <f>(tbl_MTG_Set[[#This Row],[Collector Booster Box Cost]] + v_Item_Shipping_Cost_In) / tbl_MTG_Set[[#This Row],[Collector Booster Box Size]]</f>
        <v/>
      </c>
      <c r="AY51" s="10">
        <f t="array" ref="AY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" s="10" t="n"/>
      <c r="BA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" s="17">
        <f>tbl_MTG_Set[[#This Row],[Collector Booster CardMarket Profit]]/tbl_MTG_Set[[#This Row],[Collector Booster Cost]]</f>
        <v/>
      </c>
      <c r="BC51" s="15" t="inlineStr">
        <is>
          <t>https://www.mtgstocks.com/sets/2229-tarkir-dragonstorm#ev</t>
        </is>
      </c>
      <c r="BD51" s="11" t="n">
        <v>3.06</v>
      </c>
      <c r="BE51" s="11" t="n">
        <v>4.78</v>
      </c>
      <c r="BF51" s="10">
        <f>tbl_MTG_Set[[#This Row],[Play Booster Sell Price CardMarket]]*tbl_MTG_Set[[#This Row],[Play Booster Expected Market Value]]/tbl_MTG_Set[[#This Row],[Play Boost Sealed Market Value]]</f>
        <v/>
      </c>
      <c r="BG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" s="17">
        <f>tbl_MTG_Set[[#This Row],[Play Singles CardMarket Profit]]/tbl_MTG_Set[[#This Row],[Play Booster Cost]]</f>
        <v/>
      </c>
      <c r="BI51" s="10">
        <f>tbl_MTG_Set[[#This Row],[Play Singles CardMarket Profit]]&gt;0</f>
        <v/>
      </c>
      <c r="BJ51" s="10" t="n">
        <v>22.14</v>
      </c>
      <c r="BK51" s="10" t="n">
        <v>30.78</v>
      </c>
      <c r="BL51" s="10">
        <f>tbl_MTG_Set[[#This Row],[Collector Booster Sell Price CardMarket]]*tbl_MTG_Set[[#This Row],[Collector Booster Expected Market Value]]/tbl_MTG_Set[[#This Row],[Collector Boost Sealed Market Value]]</f>
        <v/>
      </c>
      <c r="BM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" s="17">
        <f>tbl_MTG_Set[[#This Row],[Collector Singles CardMarket Profit]]/tbl_MTG_Set[[#This Row],[Collector Booster Cost]]</f>
        <v/>
      </c>
      <c r="BO51" s="10">
        <f>tbl_MTG_Set[[#This Row],[Collector Singles CardMarket Profit]]&gt;0</f>
        <v/>
      </c>
      <c r="BP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">
      <c r="A52" t="n">
        <v>50</v>
      </c>
      <c r="B52" t="inlineStr">
        <is>
          <t>Tarkir: Dragonstorm Promos PTDM</t>
        </is>
      </c>
      <c r="C52" t="n">
        <v>160</v>
      </c>
      <c r="D52" s="3" t="n">
        <v>45758</v>
      </c>
      <c r="E52" t="inlineStr">
        <is>
          <t>Standard Expansion</t>
        </is>
      </c>
      <c r="F52" t="inlineStr">
        <is>
          <t>en es fr de it pt ja ko ru 汉语 漢語</t>
        </is>
      </c>
      <c r="G52" t="n">
        <v>51</v>
      </c>
      <c r="H52">
        <f>MONTH(NOW())+12*YEAR(NOW())-MONTH(tbl_MTG_Set[[#This Row],[Released On]])-12*YEAR(tbl_MTG_Set[[#This Row],[Released On]])</f>
        <v/>
      </c>
      <c r="I52">
        <f>_xlfn.XLOOKUP(tbl_MTG_Set[[#This Row],[Type Name]], tbl_MTG_Set_Type[Set Type], tbl_MTG_Set_Type[Index], "(Set Type not found)")</f>
        <v/>
      </c>
      <c r="J52">
        <f>_xlfn.XLOOKUP(tbl_MTG_Set[[#This Row],[Type Name]], tbl_MTG_Set_Type[Set Type], tbl_MTG_Set_Type[Buy Window Month Start], "(Set Type not found)")</f>
        <v/>
      </c>
      <c r="K52" s="3">
        <f>tbl_MTG_Set[[#This Row],[Released On]]+tbl_MTG_Set[[#This Row],[Buy Window Month Start]]*365.25/12</f>
        <v/>
      </c>
      <c r="L52">
        <f>_xlfn.XLOOKUP(tbl_MTG_Set[[#This Row],[Type Name]], tbl_MTG_Set_Type[Set Type], tbl_MTG_Set_Type[Buy Window Month End], "(Set Type not found)", 0, 1)</f>
        <v/>
      </c>
      <c r="M52" s="3">
        <f>tbl_MTG_Set[[#This Row],[Released On]]+tbl_MTG_Set[[#This Row],[Buy Window Month End]]*365.25/12</f>
        <v/>
      </c>
      <c r="N52" s="3">
        <f>AND(NOW()&gt;=tbl_MTG_Set[[#This Row],[Buy Window Start]], NOW()&lt;=tbl_MTG_Set[[#This Row],[Buy Window End]])</f>
        <v/>
      </c>
      <c r="O52">
        <f>_xlfn.XLOOKUP(tbl_MTG_Set[[#This Row],[Type Name]], tbl_MTG_Set_Type[Set Type], tbl_MTG_Set_Type[Heavy Printing Window Month Start], "(Set Type not found)", 0, 1)</f>
        <v/>
      </c>
      <c r="P52" s="3">
        <f>tbl_MTG_Set[[#This Row],[Released On]]+tbl_MTG_Set[[#This Row],[Heavy Printing Window Month Start]]*365.25/12</f>
        <v/>
      </c>
      <c r="Q52">
        <f>_xlfn.XLOOKUP(tbl_MTG_Set[[#This Row],[Type Name]], tbl_MTG_Set_Type[Set Type], tbl_MTG_Set_Type[Heavy Printing Window Month End], "(Set Type not found)", 0, 1)</f>
        <v/>
      </c>
      <c r="R52" s="3">
        <f>tbl_MTG_Set[[#This Row],[Released On]]+tbl_MTG_Set[[#This Row],[Heavy Printing Window Month End]]*365.25/12</f>
        <v/>
      </c>
      <c r="S52" s="3">
        <f>AND(NOW()&gt;=tbl_MTG_Set[[#This Row],[Heavy Printing Window Start]], NOW()&lt;=tbl_MTG_Set[[#This Row],[Heavy Printing Window End]])</f>
        <v/>
      </c>
      <c r="T52">
        <f>_xlfn.XLOOKUP(tbl_MTG_Set[[#This Row],[Type Name]], tbl_MTG_Set_Type[Set Type], tbl_MTG_Set_Type[Sell Window Month Start], "(Set Type not found)", 0, 1)</f>
        <v/>
      </c>
      <c r="U52" s="3">
        <f>tbl_MTG_Set[[#This Row],[Released On]]+tbl_MTG_Set[[#This Row],[Sell Window Month Start]]*365.25/12</f>
        <v/>
      </c>
      <c r="V52">
        <f>_xlfn.XLOOKUP(tbl_MTG_Set[[#This Row],[Type Name]], tbl_MTG_Set_Type[Set Type], tbl_MTG_Set_Type[Sell Window Month End], "(Set Type not found)", 0, 1)</f>
        <v/>
      </c>
      <c r="W52" s="3">
        <f>tbl_MTG_Set[[#This Row],[Released On]]+tbl_MTG_Set[[#This Row],[Sell Window Month End]]*365.25/12</f>
        <v/>
      </c>
      <c r="X52" s="3">
        <f>AND(NOW()&gt;=tbl_MTG_Set[[#This Row],[Sell Window Start]], NOW()&lt;=tbl_MTG_Set[[#This Row],[Sell Window End]])</f>
        <v/>
      </c>
      <c r="AG52" s="10" t="n"/>
      <c r="AH52" s="10" t="n"/>
      <c r="AM52" s="10">
        <f t="array" ref="AM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" s="10">
        <f t="array" ref="AN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" s="4">
        <f>_xlfn.XLOOKUP(tbl_MTG_Set[[#This Row],[Play Booster Box Product Id]], tbl_Product[Product Id], tbl_Product[Pack Size])</f>
        <v/>
      </c>
      <c r="AP52" s="10">
        <f>(tbl_MTG_Set[[#This Row],[Play Booster Box Cost]]+v_Item_Shipping_Cost_In)/tbl_MTG_Set[[#This Row],[Play Booster Box Size]]</f>
        <v/>
      </c>
      <c r="AQ52" s="10">
        <f t="array" ref="AQ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" s="10" t="n"/>
      <c r="AS52" s="10" t="n"/>
      <c r="AT52" s="17">
        <f>tbl_MTG_Set[[#This Row],[Play Booster CardMarket Profit]]/tbl_MTG_Set[[#This Row],[Play Booster Cost]]</f>
        <v/>
      </c>
      <c r="AU52" s="10">
        <f>_xlfn.XLOOKUP(tbl_MTG_Set[[#This Row],[Collector Booster Box Product Id]], tbl_Product[Product Id], tbl_Product[Min Cost])</f>
        <v/>
      </c>
      <c r="AV52" s="10">
        <f>_xlfn.XLOOKUP(tbl_MTG_Set[[#This Row],[Collector Booster Box Product Id]], tbl_Product[Product Id], tbl_Product[Best Source])</f>
        <v/>
      </c>
      <c r="AW52" s="4">
        <f>_xlfn.XLOOKUP(tbl_MTG_Set[[#This Row],[Collector Booster Box Product Id]], tbl_Product[Product Id], tbl_Product[Pack Size])</f>
        <v/>
      </c>
      <c r="AX52" s="10">
        <f>(tbl_MTG_Set[[#This Row],[Collector Booster Box Cost]] + v_Item_Shipping_Cost_In) / tbl_MTG_Set[[#This Row],[Collector Booster Box Size]]</f>
        <v/>
      </c>
      <c r="AY52" s="10">
        <f t="array" ref="AY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" s="10" t="n"/>
      <c r="BA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" s="17">
        <f>tbl_MTG_Set[[#This Row],[Collector Booster CardMarket Profit]]/tbl_MTG_Set[[#This Row],[Collector Booster Cost]]</f>
        <v/>
      </c>
      <c r="BC52" s="10" t="n"/>
      <c r="BF52" s="10">
        <f>tbl_MTG_Set[[#This Row],[Play Booster Sell Price CardMarket]]*tbl_MTG_Set[[#This Row],[Play Booster Expected Market Value]]/tbl_MTG_Set[[#This Row],[Play Boost Sealed Market Value]]</f>
        <v/>
      </c>
      <c r="BG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" s="10">
        <f>tbl_MTG_Set[[#This Row],[Play Singles CardMarket Profit]]/tbl_MTG_Set[[#This Row],[Play Booster Cost]]</f>
        <v/>
      </c>
      <c r="BI52" s="10">
        <f>tbl_MTG_Set[[#This Row],[Play Singles CardMarket Profit]]&gt;0</f>
        <v/>
      </c>
      <c r="BJ52" s="10" t="n"/>
      <c r="BK52" s="10" t="n"/>
      <c r="BL52" s="10">
        <f>tbl_MTG_Set[[#This Row],[Collector Booster Sell Price CardMarket]]*tbl_MTG_Set[[#This Row],[Collector Booster Expected Market Value]]/tbl_MTG_Set[[#This Row],[Collector Boost Sealed Market Value]]</f>
        <v/>
      </c>
      <c r="BM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" s="10">
        <f>tbl_MTG_Set[[#This Row],[Collector Singles CardMarket Profit]]/tbl_MTG_Set[[#This Row],[Collector Booster Cost]]</f>
        <v/>
      </c>
      <c r="BO52" s="10">
        <f>tbl_MTG_Set[[#This Row],[Collector Singles CardMarket Profit]]&gt;0</f>
        <v/>
      </c>
      <c r="BP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">
      <c r="A53" t="n">
        <v>51</v>
      </c>
      <c r="B53" t="inlineStr">
        <is>
          <t>Tarkir: Dragonstorm Tokens TTDM</t>
        </is>
      </c>
      <c r="C53" t="n">
        <v>16</v>
      </c>
      <c r="D53" s="3" t="n">
        <v>45758</v>
      </c>
      <c r="E53" t="inlineStr">
        <is>
          <t>Standard Expansion</t>
        </is>
      </c>
      <c r="F53" t="inlineStr">
        <is>
          <t>en es fr de it pt ja ko ru 汉语 漢語</t>
        </is>
      </c>
      <c r="G53" t="n">
        <v>52</v>
      </c>
      <c r="H53">
        <f>MONTH(NOW())+12*YEAR(NOW())-MONTH(tbl_MTG_Set[[#This Row],[Released On]])-12*YEAR(tbl_MTG_Set[[#This Row],[Released On]])</f>
        <v/>
      </c>
      <c r="I53">
        <f>_xlfn.XLOOKUP(tbl_MTG_Set[[#This Row],[Type Name]], tbl_MTG_Set_Type[Set Type], tbl_MTG_Set_Type[Index], "(Set Type not found)")</f>
        <v/>
      </c>
      <c r="J53">
        <f>_xlfn.XLOOKUP(tbl_MTG_Set[[#This Row],[Type Name]], tbl_MTG_Set_Type[Set Type], tbl_MTG_Set_Type[Buy Window Month Start], "(Set Type not found)")</f>
        <v/>
      </c>
      <c r="K53" s="3">
        <f>tbl_MTG_Set[[#This Row],[Released On]]+tbl_MTG_Set[[#This Row],[Buy Window Month Start]]*365.25/12</f>
        <v/>
      </c>
      <c r="L53">
        <f>_xlfn.XLOOKUP(tbl_MTG_Set[[#This Row],[Type Name]], tbl_MTG_Set_Type[Set Type], tbl_MTG_Set_Type[Buy Window Month End], "(Set Type not found)", 0, 1)</f>
        <v/>
      </c>
      <c r="M53" s="3">
        <f>tbl_MTG_Set[[#This Row],[Released On]]+tbl_MTG_Set[[#This Row],[Buy Window Month End]]*365.25/12</f>
        <v/>
      </c>
      <c r="N53" s="3">
        <f>AND(NOW()&gt;=tbl_MTG_Set[[#This Row],[Buy Window Start]], NOW()&lt;=tbl_MTG_Set[[#This Row],[Buy Window End]])</f>
        <v/>
      </c>
      <c r="O53">
        <f>_xlfn.XLOOKUP(tbl_MTG_Set[[#This Row],[Type Name]], tbl_MTG_Set_Type[Set Type], tbl_MTG_Set_Type[Heavy Printing Window Month Start], "(Set Type not found)", 0, 1)</f>
        <v/>
      </c>
      <c r="P53" s="3">
        <f>tbl_MTG_Set[[#This Row],[Released On]]+tbl_MTG_Set[[#This Row],[Heavy Printing Window Month Start]]*365.25/12</f>
        <v/>
      </c>
      <c r="Q53">
        <f>_xlfn.XLOOKUP(tbl_MTG_Set[[#This Row],[Type Name]], tbl_MTG_Set_Type[Set Type], tbl_MTG_Set_Type[Heavy Printing Window Month End], "(Set Type not found)", 0, 1)</f>
        <v/>
      </c>
      <c r="R53" s="3">
        <f>tbl_MTG_Set[[#This Row],[Released On]]+tbl_MTG_Set[[#This Row],[Heavy Printing Window Month End]]*365.25/12</f>
        <v/>
      </c>
      <c r="S53" s="3">
        <f>AND(NOW()&gt;=tbl_MTG_Set[[#This Row],[Heavy Printing Window Start]], NOW()&lt;=tbl_MTG_Set[[#This Row],[Heavy Printing Window End]])</f>
        <v/>
      </c>
      <c r="T53">
        <f>_xlfn.XLOOKUP(tbl_MTG_Set[[#This Row],[Type Name]], tbl_MTG_Set_Type[Set Type], tbl_MTG_Set_Type[Sell Window Month Start], "(Set Type not found)", 0, 1)</f>
        <v/>
      </c>
      <c r="U53" s="3">
        <f>tbl_MTG_Set[[#This Row],[Released On]]+tbl_MTG_Set[[#This Row],[Sell Window Month Start]]*365.25/12</f>
        <v/>
      </c>
      <c r="V53">
        <f>_xlfn.XLOOKUP(tbl_MTG_Set[[#This Row],[Type Name]], tbl_MTG_Set_Type[Set Type], tbl_MTG_Set_Type[Sell Window Month End], "(Set Type not found)", 0, 1)</f>
        <v/>
      </c>
      <c r="W53" s="3">
        <f>tbl_MTG_Set[[#This Row],[Released On]]+tbl_MTG_Set[[#This Row],[Sell Window Month End]]*365.25/12</f>
        <v/>
      </c>
      <c r="X53" s="3">
        <f>AND(NOW()&gt;=tbl_MTG_Set[[#This Row],[Sell Window Start]], NOW()&lt;=tbl_MTG_Set[[#This Row],[Sell Window End]])</f>
        <v/>
      </c>
      <c r="AG53" s="10" t="n"/>
      <c r="AH53" s="10" t="n"/>
      <c r="AM53" s="10">
        <f t="array" ref="AM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" s="10">
        <f t="array" ref="AN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" s="4">
        <f>_xlfn.XLOOKUP(tbl_MTG_Set[[#This Row],[Play Booster Box Product Id]], tbl_Product[Product Id], tbl_Product[Pack Size])</f>
        <v/>
      </c>
      <c r="AP53" s="10">
        <f>(tbl_MTG_Set[[#This Row],[Play Booster Box Cost]]+v_Item_Shipping_Cost_In)/tbl_MTG_Set[[#This Row],[Play Booster Box Size]]</f>
        <v/>
      </c>
      <c r="AQ53" s="10">
        <f t="array" ref="AQ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" s="10" t="n"/>
      <c r="AS53" s="10" t="n"/>
      <c r="AT53" s="17">
        <f>tbl_MTG_Set[[#This Row],[Play Booster CardMarket Profit]]/tbl_MTG_Set[[#This Row],[Play Booster Cost]]</f>
        <v/>
      </c>
      <c r="AU53" s="10">
        <f>_xlfn.XLOOKUP(tbl_MTG_Set[[#This Row],[Collector Booster Box Product Id]], tbl_Product[Product Id], tbl_Product[Min Cost])</f>
        <v/>
      </c>
      <c r="AV53" s="10">
        <f>_xlfn.XLOOKUP(tbl_MTG_Set[[#This Row],[Collector Booster Box Product Id]], tbl_Product[Product Id], tbl_Product[Best Source])</f>
        <v/>
      </c>
      <c r="AW53" s="4">
        <f>_xlfn.XLOOKUP(tbl_MTG_Set[[#This Row],[Collector Booster Box Product Id]], tbl_Product[Product Id], tbl_Product[Pack Size])</f>
        <v/>
      </c>
      <c r="AX53" s="10">
        <f>(tbl_MTG_Set[[#This Row],[Collector Booster Box Cost]] + v_Item_Shipping_Cost_In) / tbl_MTG_Set[[#This Row],[Collector Booster Box Size]]</f>
        <v/>
      </c>
      <c r="AY53" s="10">
        <f t="array" ref="AY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" s="10" t="n"/>
      <c r="BA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" s="17">
        <f>tbl_MTG_Set[[#This Row],[Collector Booster CardMarket Profit]]/tbl_MTG_Set[[#This Row],[Collector Booster Cost]]</f>
        <v/>
      </c>
      <c r="BC53" s="10" t="n"/>
      <c r="BF53" s="10">
        <f>tbl_MTG_Set[[#This Row],[Play Booster Sell Price CardMarket]]*tbl_MTG_Set[[#This Row],[Play Booster Expected Market Value]]/tbl_MTG_Set[[#This Row],[Play Boost Sealed Market Value]]</f>
        <v/>
      </c>
      <c r="BG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" s="10">
        <f>tbl_MTG_Set[[#This Row],[Play Singles CardMarket Profit]]/tbl_MTG_Set[[#This Row],[Play Booster Cost]]</f>
        <v/>
      </c>
      <c r="BI53" s="10">
        <f>tbl_MTG_Set[[#This Row],[Play Singles CardMarket Profit]]&gt;0</f>
        <v/>
      </c>
      <c r="BJ53" s="10" t="n"/>
      <c r="BK53" s="10" t="n"/>
      <c r="BL53" s="10">
        <f>tbl_MTG_Set[[#This Row],[Collector Booster Sell Price CardMarket]]*tbl_MTG_Set[[#This Row],[Collector Booster Expected Market Value]]/tbl_MTG_Set[[#This Row],[Collector Boost Sealed Market Value]]</f>
        <v/>
      </c>
      <c r="BM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" s="10">
        <f>tbl_MTG_Set[[#This Row],[Collector Singles CardMarket Profit]]/tbl_MTG_Set[[#This Row],[Collector Booster Cost]]</f>
        <v/>
      </c>
      <c r="BO53" s="10">
        <f>tbl_MTG_Set[[#This Row],[Collector Singles CardMarket Profit]]&gt;0</f>
        <v/>
      </c>
      <c r="BP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">
      <c r="A54" t="n">
        <v>52</v>
      </c>
      <c r="B54" t="inlineStr">
        <is>
          <t>Alchemy: Tarkir YTDM</t>
        </is>
      </c>
      <c r="C54" t="n">
        <v>30</v>
      </c>
      <c r="D54" s="3" t="n">
        <v>45776</v>
      </c>
      <c r="E54" t="inlineStr">
        <is>
          <t>Standard Expansion</t>
        </is>
      </c>
      <c r="F54" t="inlineStr">
        <is>
          <t>en es fr de it pt ja ko ru 汉语 漢語</t>
        </is>
      </c>
      <c r="G54" t="n">
        <v>53</v>
      </c>
      <c r="H54">
        <f>MONTH(NOW())+12*YEAR(NOW())-MONTH(tbl_MTG_Set[[#This Row],[Released On]])-12*YEAR(tbl_MTG_Set[[#This Row],[Released On]])</f>
        <v/>
      </c>
      <c r="I54">
        <f>_xlfn.XLOOKUP(tbl_MTG_Set[[#This Row],[Type Name]], tbl_MTG_Set_Type[Set Type], tbl_MTG_Set_Type[Index], "(Set Type not found)")</f>
        <v/>
      </c>
      <c r="J54">
        <f>_xlfn.XLOOKUP(tbl_MTG_Set[[#This Row],[Type Name]], tbl_MTG_Set_Type[Set Type], tbl_MTG_Set_Type[Buy Window Month Start], "(Set Type not found)")</f>
        <v/>
      </c>
      <c r="K54" s="3">
        <f>tbl_MTG_Set[[#This Row],[Released On]]+tbl_MTG_Set[[#This Row],[Buy Window Month Start]]*365.25/12</f>
        <v/>
      </c>
      <c r="L54">
        <f>_xlfn.XLOOKUP(tbl_MTG_Set[[#This Row],[Type Name]], tbl_MTG_Set_Type[Set Type], tbl_MTG_Set_Type[Buy Window Month End], "(Set Type not found)", 0, 1)</f>
        <v/>
      </c>
      <c r="M54" s="3">
        <f>tbl_MTG_Set[[#This Row],[Released On]]+tbl_MTG_Set[[#This Row],[Buy Window Month End]]*365.25/12</f>
        <v/>
      </c>
      <c r="N54" s="3">
        <f>AND(NOW()&gt;=tbl_MTG_Set[[#This Row],[Buy Window Start]], NOW()&lt;=tbl_MTG_Set[[#This Row],[Buy Window End]])</f>
        <v/>
      </c>
      <c r="O54">
        <f>_xlfn.XLOOKUP(tbl_MTG_Set[[#This Row],[Type Name]], tbl_MTG_Set_Type[Set Type], tbl_MTG_Set_Type[Heavy Printing Window Month Start], "(Set Type not found)", 0, 1)</f>
        <v/>
      </c>
      <c r="P54" s="3">
        <f>tbl_MTG_Set[[#This Row],[Released On]]+tbl_MTG_Set[[#This Row],[Heavy Printing Window Month Start]]*365.25/12</f>
        <v/>
      </c>
      <c r="Q54">
        <f>_xlfn.XLOOKUP(tbl_MTG_Set[[#This Row],[Type Name]], tbl_MTG_Set_Type[Set Type], tbl_MTG_Set_Type[Heavy Printing Window Month End], "(Set Type not found)", 0, 1)</f>
        <v/>
      </c>
      <c r="R54" s="3">
        <f>tbl_MTG_Set[[#This Row],[Released On]]+tbl_MTG_Set[[#This Row],[Heavy Printing Window Month End]]*365.25/12</f>
        <v/>
      </c>
      <c r="S54" s="3">
        <f>AND(NOW()&gt;=tbl_MTG_Set[[#This Row],[Heavy Printing Window Start]], NOW()&lt;=tbl_MTG_Set[[#This Row],[Heavy Printing Window End]])</f>
        <v/>
      </c>
      <c r="T54">
        <f>_xlfn.XLOOKUP(tbl_MTG_Set[[#This Row],[Type Name]], tbl_MTG_Set_Type[Set Type], tbl_MTG_Set_Type[Sell Window Month Start], "(Set Type not found)", 0, 1)</f>
        <v/>
      </c>
      <c r="U54" s="3">
        <f>tbl_MTG_Set[[#This Row],[Released On]]+tbl_MTG_Set[[#This Row],[Sell Window Month Start]]*365.25/12</f>
        <v/>
      </c>
      <c r="V54">
        <f>_xlfn.XLOOKUP(tbl_MTG_Set[[#This Row],[Type Name]], tbl_MTG_Set_Type[Set Type], tbl_MTG_Set_Type[Sell Window Month End], "(Set Type not found)", 0, 1)</f>
        <v/>
      </c>
      <c r="W54" s="3">
        <f>tbl_MTG_Set[[#This Row],[Released On]]+tbl_MTG_Set[[#This Row],[Sell Window Month End]]*365.25/12</f>
        <v/>
      </c>
      <c r="X54" s="3">
        <f>AND(NOW()&gt;=tbl_MTG_Set[[#This Row],[Sell Window Start]], NOW()&lt;=tbl_MTG_Set[[#This Row],[Sell Window End]])</f>
        <v/>
      </c>
      <c r="AG54" s="10" t="n"/>
      <c r="AH54" s="10" t="n"/>
      <c r="AM54" s="10">
        <f t="array" ref="AM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" s="10">
        <f t="array" ref="AN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" s="4">
        <f>_xlfn.XLOOKUP(tbl_MTG_Set[[#This Row],[Play Booster Box Product Id]], tbl_Product[Product Id], tbl_Product[Pack Size])</f>
        <v/>
      </c>
      <c r="AP54" s="10">
        <f>(tbl_MTG_Set[[#This Row],[Play Booster Box Cost]]+v_Item_Shipping_Cost_In)/tbl_MTG_Set[[#This Row],[Play Booster Box Size]]</f>
        <v/>
      </c>
      <c r="AQ54" s="10">
        <f t="array" ref="AQ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" s="10" t="n"/>
      <c r="AS54" s="10" t="n"/>
      <c r="AT54" s="17">
        <f>tbl_MTG_Set[[#This Row],[Play Booster CardMarket Profit]]/tbl_MTG_Set[[#This Row],[Play Booster Cost]]</f>
        <v/>
      </c>
      <c r="AU54" s="10">
        <f>_xlfn.XLOOKUP(tbl_MTG_Set[[#This Row],[Collector Booster Box Product Id]], tbl_Product[Product Id], tbl_Product[Min Cost])</f>
        <v/>
      </c>
      <c r="AV54" s="10">
        <f>_xlfn.XLOOKUP(tbl_MTG_Set[[#This Row],[Collector Booster Box Product Id]], tbl_Product[Product Id], tbl_Product[Best Source])</f>
        <v/>
      </c>
      <c r="AW54" s="4">
        <f>_xlfn.XLOOKUP(tbl_MTG_Set[[#This Row],[Collector Booster Box Product Id]], tbl_Product[Product Id], tbl_Product[Pack Size])</f>
        <v/>
      </c>
      <c r="AX54" s="10">
        <f>(tbl_MTG_Set[[#This Row],[Collector Booster Box Cost]] + v_Item_Shipping_Cost_In) / tbl_MTG_Set[[#This Row],[Collector Booster Box Size]]</f>
        <v/>
      </c>
      <c r="AY54" s="10">
        <f t="array" ref="AY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" s="10" t="n"/>
      <c r="BA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" s="17">
        <f>tbl_MTG_Set[[#This Row],[Collector Booster CardMarket Profit]]/tbl_MTG_Set[[#This Row],[Collector Booster Cost]]</f>
        <v/>
      </c>
      <c r="BC54" s="10" t="n"/>
      <c r="BF54" s="10">
        <f>tbl_MTG_Set[[#This Row],[Play Booster Sell Price CardMarket]]*tbl_MTG_Set[[#This Row],[Play Booster Expected Market Value]]/tbl_MTG_Set[[#This Row],[Play Boost Sealed Market Value]]</f>
        <v/>
      </c>
      <c r="BG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" s="10">
        <f>tbl_MTG_Set[[#This Row],[Play Singles CardMarket Profit]]/tbl_MTG_Set[[#This Row],[Play Booster Cost]]</f>
        <v/>
      </c>
      <c r="BI54" s="10">
        <f>tbl_MTG_Set[[#This Row],[Play Singles CardMarket Profit]]&gt;0</f>
        <v/>
      </c>
      <c r="BJ54" s="10" t="n"/>
      <c r="BK54" s="10" t="n"/>
      <c r="BL54" s="10">
        <f>tbl_MTG_Set[[#This Row],[Collector Booster Sell Price CardMarket]]*tbl_MTG_Set[[#This Row],[Collector Booster Expected Market Value]]/tbl_MTG_Set[[#This Row],[Collector Boost Sealed Market Value]]</f>
        <v/>
      </c>
      <c r="BM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" s="10">
        <f>tbl_MTG_Set[[#This Row],[Collector Singles CardMarket Profit]]/tbl_MTG_Set[[#This Row],[Collector Booster Cost]]</f>
        <v/>
      </c>
      <c r="BO54" s="10">
        <f>tbl_MTG_Set[[#This Row],[Collector Singles CardMarket Profit]]&gt;0</f>
        <v/>
      </c>
      <c r="BP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">
      <c r="A55" t="n">
        <v>53</v>
      </c>
      <c r="B55" t="inlineStr">
        <is>
          <t>Tarkir: Dragonstorm Art Series ATDM</t>
        </is>
      </c>
      <c r="C55" t="n">
        <v>54</v>
      </c>
      <c r="D55" s="3" t="n">
        <v>45758</v>
      </c>
      <c r="E55" t="inlineStr">
        <is>
          <t>Standard Expansion</t>
        </is>
      </c>
      <c r="F55" t="inlineStr">
        <is>
          <t>en es fr de it pt ja ko ru 汉语 漢語</t>
        </is>
      </c>
      <c r="G55" t="n">
        <v>54</v>
      </c>
      <c r="H55">
        <f>MONTH(NOW())+12*YEAR(NOW())-MONTH(tbl_MTG_Set[[#This Row],[Released On]])-12*YEAR(tbl_MTG_Set[[#This Row],[Released On]])</f>
        <v/>
      </c>
      <c r="I55">
        <f>_xlfn.XLOOKUP(tbl_MTG_Set[[#This Row],[Type Name]], tbl_MTG_Set_Type[Set Type], tbl_MTG_Set_Type[Index], "(Set Type not found)")</f>
        <v/>
      </c>
      <c r="J55">
        <f>_xlfn.XLOOKUP(tbl_MTG_Set[[#This Row],[Type Name]], tbl_MTG_Set_Type[Set Type], tbl_MTG_Set_Type[Buy Window Month Start], "(Set Type not found)")</f>
        <v/>
      </c>
      <c r="K55" s="3">
        <f>tbl_MTG_Set[[#This Row],[Released On]]+tbl_MTG_Set[[#This Row],[Buy Window Month Start]]*365.25/12</f>
        <v/>
      </c>
      <c r="L55">
        <f>_xlfn.XLOOKUP(tbl_MTG_Set[[#This Row],[Type Name]], tbl_MTG_Set_Type[Set Type], tbl_MTG_Set_Type[Buy Window Month End], "(Set Type not found)", 0, 1)</f>
        <v/>
      </c>
      <c r="M55" s="3">
        <f>tbl_MTG_Set[[#This Row],[Released On]]+tbl_MTG_Set[[#This Row],[Buy Window Month End]]*365.25/12</f>
        <v/>
      </c>
      <c r="N55" s="3">
        <f>AND(NOW()&gt;=tbl_MTG_Set[[#This Row],[Buy Window Start]], NOW()&lt;=tbl_MTG_Set[[#This Row],[Buy Window End]])</f>
        <v/>
      </c>
      <c r="O55">
        <f>_xlfn.XLOOKUP(tbl_MTG_Set[[#This Row],[Type Name]], tbl_MTG_Set_Type[Set Type], tbl_MTG_Set_Type[Heavy Printing Window Month Start], "(Set Type not found)", 0, 1)</f>
        <v/>
      </c>
      <c r="P55" s="3">
        <f>tbl_MTG_Set[[#This Row],[Released On]]+tbl_MTG_Set[[#This Row],[Heavy Printing Window Month Start]]*365.25/12</f>
        <v/>
      </c>
      <c r="Q55">
        <f>_xlfn.XLOOKUP(tbl_MTG_Set[[#This Row],[Type Name]], tbl_MTG_Set_Type[Set Type], tbl_MTG_Set_Type[Heavy Printing Window Month End], "(Set Type not found)", 0, 1)</f>
        <v/>
      </c>
      <c r="R55" s="3">
        <f>tbl_MTG_Set[[#This Row],[Released On]]+tbl_MTG_Set[[#This Row],[Heavy Printing Window Month End]]*365.25/12</f>
        <v/>
      </c>
      <c r="S55" s="3">
        <f>AND(NOW()&gt;=tbl_MTG_Set[[#This Row],[Heavy Printing Window Start]], NOW()&lt;=tbl_MTG_Set[[#This Row],[Heavy Printing Window End]])</f>
        <v/>
      </c>
      <c r="T55">
        <f>_xlfn.XLOOKUP(tbl_MTG_Set[[#This Row],[Type Name]], tbl_MTG_Set_Type[Set Type], tbl_MTG_Set_Type[Sell Window Month Start], "(Set Type not found)", 0, 1)</f>
        <v/>
      </c>
      <c r="U55" s="3">
        <f>tbl_MTG_Set[[#This Row],[Released On]]+tbl_MTG_Set[[#This Row],[Sell Window Month Start]]*365.25/12</f>
        <v/>
      </c>
      <c r="V55">
        <f>_xlfn.XLOOKUP(tbl_MTG_Set[[#This Row],[Type Name]], tbl_MTG_Set_Type[Set Type], tbl_MTG_Set_Type[Sell Window Month End], "(Set Type not found)", 0, 1)</f>
        <v/>
      </c>
      <c r="W55" s="3">
        <f>tbl_MTG_Set[[#This Row],[Released On]]+tbl_MTG_Set[[#This Row],[Sell Window Month End]]*365.25/12</f>
        <v/>
      </c>
      <c r="X55" s="3">
        <f>AND(NOW()&gt;=tbl_MTG_Set[[#This Row],[Sell Window Start]], NOW()&lt;=tbl_MTG_Set[[#This Row],[Sell Window End]])</f>
        <v/>
      </c>
      <c r="AG55" s="10" t="n"/>
      <c r="AH55" s="10" t="n"/>
      <c r="AM55" s="10">
        <f t="array" ref="AM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" s="10">
        <f t="array" ref="AN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" s="4">
        <f>_xlfn.XLOOKUP(tbl_MTG_Set[[#This Row],[Play Booster Box Product Id]], tbl_Product[Product Id], tbl_Product[Pack Size])</f>
        <v/>
      </c>
      <c r="AP55" s="10">
        <f>(tbl_MTG_Set[[#This Row],[Play Booster Box Cost]]+v_Item_Shipping_Cost_In)/tbl_MTG_Set[[#This Row],[Play Booster Box Size]]</f>
        <v/>
      </c>
      <c r="AQ55" s="10">
        <f t="array" ref="AQ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" s="10" t="n"/>
      <c r="AS55" s="10" t="n"/>
      <c r="AT55" s="17">
        <f>tbl_MTG_Set[[#This Row],[Play Booster CardMarket Profit]]/tbl_MTG_Set[[#This Row],[Play Booster Cost]]</f>
        <v/>
      </c>
      <c r="AU55" s="10">
        <f>_xlfn.XLOOKUP(tbl_MTG_Set[[#This Row],[Collector Booster Box Product Id]], tbl_Product[Product Id], tbl_Product[Min Cost])</f>
        <v/>
      </c>
      <c r="AV55" s="10">
        <f>_xlfn.XLOOKUP(tbl_MTG_Set[[#This Row],[Collector Booster Box Product Id]], tbl_Product[Product Id], tbl_Product[Best Source])</f>
        <v/>
      </c>
      <c r="AW55" s="4">
        <f>_xlfn.XLOOKUP(tbl_MTG_Set[[#This Row],[Collector Booster Box Product Id]], tbl_Product[Product Id], tbl_Product[Pack Size])</f>
        <v/>
      </c>
      <c r="AX55" s="10">
        <f>(tbl_MTG_Set[[#This Row],[Collector Booster Box Cost]] + v_Item_Shipping_Cost_In) / tbl_MTG_Set[[#This Row],[Collector Booster Box Size]]</f>
        <v/>
      </c>
      <c r="AY55" s="10">
        <f t="array" ref="AY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" s="10" t="n"/>
      <c r="BA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" s="17">
        <f>tbl_MTG_Set[[#This Row],[Collector Booster CardMarket Profit]]/tbl_MTG_Set[[#This Row],[Collector Booster Cost]]</f>
        <v/>
      </c>
      <c r="BC55" s="10" t="n"/>
      <c r="BF55" s="10">
        <f>tbl_MTG_Set[[#This Row],[Play Booster Sell Price CardMarket]]*tbl_MTG_Set[[#This Row],[Play Booster Expected Market Value]]/tbl_MTG_Set[[#This Row],[Play Boost Sealed Market Value]]</f>
        <v/>
      </c>
      <c r="BG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" s="10">
        <f>tbl_MTG_Set[[#This Row],[Play Singles CardMarket Profit]]/tbl_MTG_Set[[#This Row],[Play Booster Cost]]</f>
        <v/>
      </c>
      <c r="BI55" s="10">
        <f>tbl_MTG_Set[[#This Row],[Play Singles CardMarket Profit]]&gt;0</f>
        <v/>
      </c>
      <c r="BJ55" s="10" t="n"/>
      <c r="BK55" s="10" t="n"/>
      <c r="BL55" s="10">
        <f>tbl_MTG_Set[[#This Row],[Collector Booster Sell Price CardMarket]]*tbl_MTG_Set[[#This Row],[Collector Booster Expected Market Value]]/tbl_MTG_Set[[#This Row],[Collector Boost Sealed Market Value]]</f>
        <v/>
      </c>
      <c r="BM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" s="10">
        <f>tbl_MTG_Set[[#This Row],[Collector Singles CardMarket Profit]]/tbl_MTG_Set[[#This Row],[Collector Booster Cost]]</f>
        <v/>
      </c>
      <c r="BO55" s="10">
        <f>tbl_MTG_Set[[#This Row],[Collector Singles CardMarket Profit]]&gt;0</f>
        <v/>
      </c>
      <c r="BP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">
      <c r="A56" t="n">
        <v>54</v>
      </c>
      <c r="B56" t="inlineStr">
        <is>
          <t>Tarkir: Dragonstorm Commander TDC</t>
        </is>
      </c>
      <c r="C56" t="n">
        <v>413</v>
      </c>
      <c r="D56" s="3" t="n">
        <v>45758</v>
      </c>
      <c r="E56" t="inlineStr">
        <is>
          <t>Commander</t>
        </is>
      </c>
      <c r="F56" t="inlineStr">
        <is>
          <t>en es fr de it pt ja ko ru 汉语 漢語</t>
        </is>
      </c>
      <c r="G56" t="n">
        <v>55</v>
      </c>
      <c r="H56">
        <f>MONTH(NOW())+12*YEAR(NOW())-MONTH(tbl_MTG_Set[[#This Row],[Released On]])-12*YEAR(tbl_MTG_Set[[#This Row],[Released On]])</f>
        <v/>
      </c>
      <c r="I56">
        <f>_xlfn.XLOOKUP(tbl_MTG_Set[[#This Row],[Type Name]], tbl_MTG_Set_Type[Set Type], tbl_MTG_Set_Type[Index], "(Set Type not found)")</f>
        <v/>
      </c>
      <c r="J56">
        <f>_xlfn.XLOOKUP(tbl_MTG_Set[[#This Row],[Type Name]], tbl_MTG_Set_Type[Set Type], tbl_MTG_Set_Type[Buy Window Month Start], "(Set Type not found)")</f>
        <v/>
      </c>
      <c r="K56" s="3">
        <f>tbl_MTG_Set[[#This Row],[Released On]]+tbl_MTG_Set[[#This Row],[Buy Window Month Start]]*365.25/12</f>
        <v/>
      </c>
      <c r="L56">
        <f>_xlfn.XLOOKUP(tbl_MTG_Set[[#This Row],[Type Name]], tbl_MTG_Set_Type[Set Type], tbl_MTG_Set_Type[Buy Window Month End], "(Set Type not found)", 0, 1)</f>
        <v/>
      </c>
      <c r="M56" s="3">
        <f>tbl_MTG_Set[[#This Row],[Released On]]+tbl_MTG_Set[[#This Row],[Buy Window Month End]]*365.25/12</f>
        <v/>
      </c>
      <c r="N56" s="3">
        <f>AND(NOW()&gt;=tbl_MTG_Set[[#This Row],[Buy Window Start]], NOW()&lt;=tbl_MTG_Set[[#This Row],[Buy Window End]])</f>
        <v/>
      </c>
      <c r="O56">
        <f>_xlfn.XLOOKUP(tbl_MTG_Set[[#This Row],[Type Name]], tbl_MTG_Set_Type[Set Type], tbl_MTG_Set_Type[Heavy Printing Window Month Start], "(Set Type not found)", 0, 1)</f>
        <v/>
      </c>
      <c r="P56" s="3">
        <f>tbl_MTG_Set[[#This Row],[Released On]]+tbl_MTG_Set[[#This Row],[Heavy Printing Window Month Start]]*365.25/12</f>
        <v/>
      </c>
      <c r="Q56">
        <f>_xlfn.XLOOKUP(tbl_MTG_Set[[#This Row],[Type Name]], tbl_MTG_Set_Type[Set Type], tbl_MTG_Set_Type[Heavy Printing Window Month End], "(Set Type not found)", 0, 1)</f>
        <v/>
      </c>
      <c r="R56" s="3">
        <f>tbl_MTG_Set[[#This Row],[Released On]]+tbl_MTG_Set[[#This Row],[Heavy Printing Window Month End]]*365.25/12</f>
        <v/>
      </c>
      <c r="S56" s="3">
        <f>AND(NOW()&gt;=tbl_MTG_Set[[#This Row],[Heavy Printing Window Start]], NOW()&lt;=tbl_MTG_Set[[#This Row],[Heavy Printing Window End]])</f>
        <v/>
      </c>
      <c r="T56">
        <f>_xlfn.XLOOKUP(tbl_MTG_Set[[#This Row],[Type Name]], tbl_MTG_Set_Type[Set Type], tbl_MTG_Set_Type[Sell Window Month Start], "(Set Type not found)", 0, 1)</f>
        <v/>
      </c>
      <c r="U56" s="3">
        <f>tbl_MTG_Set[[#This Row],[Released On]]+tbl_MTG_Set[[#This Row],[Sell Window Month Start]]*365.25/12</f>
        <v/>
      </c>
      <c r="V56">
        <f>_xlfn.XLOOKUP(tbl_MTG_Set[[#This Row],[Type Name]], tbl_MTG_Set_Type[Set Type], tbl_MTG_Set_Type[Sell Window Month End], "(Set Type not found)", 0, 1)</f>
        <v/>
      </c>
      <c r="W56" s="3">
        <f>tbl_MTG_Set[[#This Row],[Released On]]+tbl_MTG_Set[[#This Row],[Sell Window Month End]]*365.25/12</f>
        <v/>
      </c>
      <c r="X56" s="3">
        <f>AND(NOW()&gt;=tbl_MTG_Set[[#This Row],[Sell Window Start]], NOW()&lt;=tbl_MTG_Set[[#This Row],[Sell Window End]])</f>
        <v/>
      </c>
      <c r="AG56" s="10" t="n"/>
      <c r="AH56" s="10" t="n"/>
      <c r="AM56" s="10">
        <f t="array" ref="AM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" s="10">
        <f t="array" ref="AN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" s="4">
        <f>_xlfn.XLOOKUP(tbl_MTG_Set[[#This Row],[Play Booster Box Product Id]], tbl_Product[Product Id], tbl_Product[Pack Size])</f>
        <v/>
      </c>
      <c r="AP56" s="10">
        <f>(tbl_MTG_Set[[#This Row],[Play Booster Box Cost]]+v_Item_Shipping_Cost_In)/tbl_MTG_Set[[#This Row],[Play Booster Box Size]]</f>
        <v/>
      </c>
      <c r="AQ56" s="10">
        <f t="array" ref="AQ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" s="10" t="n"/>
      <c r="AS56" s="10" t="n"/>
      <c r="AT56" s="17">
        <f>tbl_MTG_Set[[#This Row],[Play Booster CardMarket Profit]]/tbl_MTG_Set[[#This Row],[Play Booster Cost]]</f>
        <v/>
      </c>
      <c r="AU56" s="10">
        <f>_xlfn.XLOOKUP(tbl_MTG_Set[[#This Row],[Collector Booster Box Product Id]], tbl_Product[Product Id], tbl_Product[Min Cost])</f>
        <v/>
      </c>
      <c r="AV56" s="10">
        <f>_xlfn.XLOOKUP(tbl_MTG_Set[[#This Row],[Collector Booster Box Product Id]], tbl_Product[Product Id], tbl_Product[Best Source])</f>
        <v/>
      </c>
      <c r="AW56" s="4">
        <f>_xlfn.XLOOKUP(tbl_MTG_Set[[#This Row],[Collector Booster Box Product Id]], tbl_Product[Product Id], tbl_Product[Pack Size])</f>
        <v/>
      </c>
      <c r="AX56" s="10">
        <f>(tbl_MTG_Set[[#This Row],[Collector Booster Box Cost]] + v_Item_Shipping_Cost_In) / tbl_MTG_Set[[#This Row],[Collector Booster Box Size]]</f>
        <v/>
      </c>
      <c r="AY56" s="10">
        <f t="array" ref="AY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" s="10" t="n"/>
      <c r="BA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" s="17">
        <f>tbl_MTG_Set[[#This Row],[Collector Booster CardMarket Profit]]/tbl_MTG_Set[[#This Row],[Collector Booster Cost]]</f>
        <v/>
      </c>
      <c r="BC56" s="10" t="n"/>
      <c r="BF56" s="10">
        <f>tbl_MTG_Set[[#This Row],[Play Booster Sell Price CardMarket]]*tbl_MTG_Set[[#This Row],[Play Booster Expected Market Value]]/tbl_MTG_Set[[#This Row],[Play Boost Sealed Market Value]]</f>
        <v/>
      </c>
      <c r="BG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" s="10">
        <f>tbl_MTG_Set[[#This Row],[Play Singles CardMarket Profit]]/tbl_MTG_Set[[#This Row],[Play Booster Cost]]</f>
        <v/>
      </c>
      <c r="BI56" s="10">
        <f>tbl_MTG_Set[[#This Row],[Play Singles CardMarket Profit]]&gt;0</f>
        <v/>
      </c>
      <c r="BJ56" s="10" t="n"/>
      <c r="BK56" s="10" t="n"/>
      <c r="BL56" s="10">
        <f>tbl_MTG_Set[[#This Row],[Collector Booster Sell Price CardMarket]]*tbl_MTG_Set[[#This Row],[Collector Booster Expected Market Value]]/tbl_MTG_Set[[#This Row],[Collector Boost Sealed Market Value]]</f>
        <v/>
      </c>
      <c r="BM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" s="10">
        <f>tbl_MTG_Set[[#This Row],[Collector Singles CardMarket Profit]]/tbl_MTG_Set[[#This Row],[Collector Booster Cost]]</f>
        <v/>
      </c>
      <c r="BO56" s="10">
        <f>tbl_MTG_Set[[#This Row],[Collector Singles CardMarket Profit]]&gt;0</f>
        <v/>
      </c>
      <c r="BP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">
      <c r="A57" t="n">
        <v>55</v>
      </c>
      <c r="B57" t="inlineStr">
        <is>
          <t>Tarkir: Dragonstorm Commander Tokens TTDC</t>
        </is>
      </c>
      <c r="C57" t="n">
        <v>34</v>
      </c>
      <c r="D57" s="3" t="n">
        <v>45758</v>
      </c>
      <c r="E57" t="inlineStr">
        <is>
          <t>Commander</t>
        </is>
      </c>
      <c r="F57" t="inlineStr">
        <is>
          <t>en es fr de it pt ja ko ru 汉语 漢語</t>
        </is>
      </c>
      <c r="G57" t="n">
        <v>56</v>
      </c>
      <c r="H57">
        <f>MONTH(NOW())+12*YEAR(NOW())-MONTH(tbl_MTG_Set[[#This Row],[Released On]])-12*YEAR(tbl_MTG_Set[[#This Row],[Released On]])</f>
        <v/>
      </c>
      <c r="I57">
        <f>_xlfn.XLOOKUP(tbl_MTG_Set[[#This Row],[Type Name]], tbl_MTG_Set_Type[Set Type], tbl_MTG_Set_Type[Index], "(Set Type not found)")</f>
        <v/>
      </c>
      <c r="J57">
        <f>_xlfn.XLOOKUP(tbl_MTG_Set[[#This Row],[Type Name]], tbl_MTG_Set_Type[Set Type], tbl_MTG_Set_Type[Buy Window Month Start], "(Set Type not found)")</f>
        <v/>
      </c>
      <c r="K57" s="3">
        <f>tbl_MTG_Set[[#This Row],[Released On]]+tbl_MTG_Set[[#This Row],[Buy Window Month Start]]*365.25/12</f>
        <v/>
      </c>
      <c r="L57">
        <f>_xlfn.XLOOKUP(tbl_MTG_Set[[#This Row],[Type Name]], tbl_MTG_Set_Type[Set Type], tbl_MTG_Set_Type[Buy Window Month End], "(Set Type not found)", 0, 1)</f>
        <v/>
      </c>
      <c r="M57" s="3">
        <f>tbl_MTG_Set[[#This Row],[Released On]]+tbl_MTG_Set[[#This Row],[Buy Window Month End]]*365.25/12</f>
        <v/>
      </c>
      <c r="N57" s="3">
        <f>AND(NOW()&gt;=tbl_MTG_Set[[#This Row],[Buy Window Start]], NOW()&lt;=tbl_MTG_Set[[#This Row],[Buy Window End]])</f>
        <v/>
      </c>
      <c r="O57">
        <f>_xlfn.XLOOKUP(tbl_MTG_Set[[#This Row],[Type Name]], tbl_MTG_Set_Type[Set Type], tbl_MTG_Set_Type[Heavy Printing Window Month Start], "(Set Type not found)", 0, 1)</f>
        <v/>
      </c>
      <c r="P57" s="3">
        <f>tbl_MTG_Set[[#This Row],[Released On]]+tbl_MTG_Set[[#This Row],[Heavy Printing Window Month Start]]*365.25/12</f>
        <v/>
      </c>
      <c r="Q57">
        <f>_xlfn.XLOOKUP(tbl_MTG_Set[[#This Row],[Type Name]], tbl_MTG_Set_Type[Set Type], tbl_MTG_Set_Type[Heavy Printing Window Month End], "(Set Type not found)", 0, 1)</f>
        <v/>
      </c>
      <c r="R57" s="3">
        <f>tbl_MTG_Set[[#This Row],[Released On]]+tbl_MTG_Set[[#This Row],[Heavy Printing Window Month End]]*365.25/12</f>
        <v/>
      </c>
      <c r="S57" s="3">
        <f>AND(NOW()&gt;=tbl_MTG_Set[[#This Row],[Heavy Printing Window Start]], NOW()&lt;=tbl_MTG_Set[[#This Row],[Heavy Printing Window End]])</f>
        <v/>
      </c>
      <c r="T57">
        <f>_xlfn.XLOOKUP(tbl_MTG_Set[[#This Row],[Type Name]], tbl_MTG_Set_Type[Set Type], tbl_MTG_Set_Type[Sell Window Month Start], "(Set Type not found)", 0, 1)</f>
        <v/>
      </c>
      <c r="U57" s="3">
        <f>tbl_MTG_Set[[#This Row],[Released On]]+tbl_MTG_Set[[#This Row],[Sell Window Month Start]]*365.25/12</f>
        <v/>
      </c>
      <c r="V57">
        <f>_xlfn.XLOOKUP(tbl_MTG_Set[[#This Row],[Type Name]], tbl_MTG_Set_Type[Set Type], tbl_MTG_Set_Type[Sell Window Month End], "(Set Type not found)", 0, 1)</f>
        <v/>
      </c>
      <c r="W57" s="3">
        <f>tbl_MTG_Set[[#This Row],[Released On]]+tbl_MTG_Set[[#This Row],[Sell Window Month End]]*365.25/12</f>
        <v/>
      </c>
      <c r="X57" s="3">
        <f>AND(NOW()&gt;=tbl_MTG_Set[[#This Row],[Sell Window Start]], NOW()&lt;=tbl_MTG_Set[[#This Row],[Sell Window End]])</f>
        <v/>
      </c>
      <c r="AG57" s="10" t="n"/>
      <c r="AH57" s="10" t="n"/>
      <c r="AM57" s="10">
        <f t="array" ref="AM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" s="10">
        <f t="array" ref="AN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" s="4">
        <f>_xlfn.XLOOKUP(tbl_MTG_Set[[#This Row],[Play Booster Box Product Id]], tbl_Product[Product Id], tbl_Product[Pack Size])</f>
        <v/>
      </c>
      <c r="AP57" s="10">
        <f>(tbl_MTG_Set[[#This Row],[Play Booster Box Cost]]+v_Item_Shipping_Cost_In)/tbl_MTG_Set[[#This Row],[Play Booster Box Size]]</f>
        <v/>
      </c>
      <c r="AQ57" s="10">
        <f t="array" ref="AQ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" s="10" t="n"/>
      <c r="AS57" s="10" t="n"/>
      <c r="AT57" s="17">
        <f>tbl_MTG_Set[[#This Row],[Play Booster CardMarket Profit]]/tbl_MTG_Set[[#This Row],[Play Booster Cost]]</f>
        <v/>
      </c>
      <c r="AU57" s="10">
        <f>_xlfn.XLOOKUP(tbl_MTG_Set[[#This Row],[Collector Booster Box Product Id]], tbl_Product[Product Id], tbl_Product[Min Cost])</f>
        <v/>
      </c>
      <c r="AV57" s="10">
        <f>_xlfn.XLOOKUP(tbl_MTG_Set[[#This Row],[Collector Booster Box Product Id]], tbl_Product[Product Id], tbl_Product[Best Source])</f>
        <v/>
      </c>
      <c r="AW57" s="4">
        <f>_xlfn.XLOOKUP(tbl_MTG_Set[[#This Row],[Collector Booster Box Product Id]], tbl_Product[Product Id], tbl_Product[Pack Size])</f>
        <v/>
      </c>
      <c r="AX57" s="10">
        <f>(tbl_MTG_Set[[#This Row],[Collector Booster Box Cost]] + v_Item_Shipping_Cost_In) / tbl_MTG_Set[[#This Row],[Collector Booster Box Size]]</f>
        <v/>
      </c>
      <c r="AY57" s="10">
        <f t="array" ref="AY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" s="10" t="n"/>
      <c r="BA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" s="17">
        <f>tbl_MTG_Set[[#This Row],[Collector Booster CardMarket Profit]]/tbl_MTG_Set[[#This Row],[Collector Booster Cost]]</f>
        <v/>
      </c>
      <c r="BC57" s="10" t="n"/>
      <c r="BF57" s="10">
        <f>tbl_MTG_Set[[#This Row],[Play Booster Sell Price CardMarket]]*tbl_MTG_Set[[#This Row],[Play Booster Expected Market Value]]/tbl_MTG_Set[[#This Row],[Play Boost Sealed Market Value]]</f>
        <v/>
      </c>
      <c r="BG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" s="10">
        <f>tbl_MTG_Set[[#This Row],[Play Singles CardMarket Profit]]/tbl_MTG_Set[[#This Row],[Play Booster Cost]]</f>
        <v/>
      </c>
      <c r="BI57" s="10">
        <f>tbl_MTG_Set[[#This Row],[Play Singles CardMarket Profit]]&gt;0</f>
        <v/>
      </c>
      <c r="BJ57" s="10" t="n"/>
      <c r="BK57" s="10" t="n"/>
      <c r="BL57" s="10">
        <f>tbl_MTG_Set[[#This Row],[Collector Booster Sell Price CardMarket]]*tbl_MTG_Set[[#This Row],[Collector Booster Expected Market Value]]/tbl_MTG_Set[[#This Row],[Collector Boost Sealed Market Value]]</f>
        <v/>
      </c>
      <c r="BM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" s="10">
        <f>tbl_MTG_Set[[#This Row],[Collector Singles CardMarket Profit]]/tbl_MTG_Set[[#This Row],[Collector Booster Cost]]</f>
        <v/>
      </c>
      <c r="BO57" s="10">
        <f>tbl_MTG_Set[[#This Row],[Collector Singles CardMarket Profit]]&gt;0</f>
        <v/>
      </c>
      <c r="BP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">
      <c r="A58" t="n">
        <v>56</v>
      </c>
      <c r="B58" t="inlineStr">
        <is>
          <t>Love Your LGS 2025 PLG25</t>
        </is>
      </c>
      <c r="C58" t="n">
        <v>2</v>
      </c>
      <c r="D58" s="3" t="n">
        <v>45742</v>
      </c>
      <c r="F58" t="inlineStr">
        <is>
          <t>en es fr de it pt ja ko ru 汉语 漢語</t>
        </is>
      </c>
      <c r="G58" t="n">
        <v>58</v>
      </c>
      <c r="H58">
        <f>MONTH(NOW())+12*YEAR(NOW())-MONTH(tbl_MTG_Set[[#This Row],[Released On]])-12*YEAR(tbl_MTG_Set[[#This Row],[Released On]])</f>
        <v/>
      </c>
      <c r="I58">
        <f>_xlfn.XLOOKUP(tbl_MTG_Set[[#This Row],[Type Name]], tbl_MTG_Set_Type[Set Type], tbl_MTG_Set_Type[Index], "(Set Type not found)")</f>
        <v/>
      </c>
      <c r="J58">
        <f>_xlfn.XLOOKUP(tbl_MTG_Set[[#This Row],[Type Name]], tbl_MTG_Set_Type[Set Type], tbl_MTG_Set_Type[Buy Window Month Start], "(Set Type not found)")</f>
        <v/>
      </c>
      <c r="K58" s="3">
        <f>tbl_MTG_Set[[#This Row],[Released On]]+tbl_MTG_Set[[#This Row],[Buy Window Month Start]]*365.25/12</f>
        <v/>
      </c>
      <c r="L58">
        <f>_xlfn.XLOOKUP(tbl_MTG_Set[[#This Row],[Type Name]], tbl_MTG_Set_Type[Set Type], tbl_MTG_Set_Type[Buy Window Month End], "(Set Type not found)", 0, 1)</f>
        <v/>
      </c>
      <c r="M58" s="3">
        <f>tbl_MTG_Set[[#This Row],[Released On]]+tbl_MTG_Set[[#This Row],[Buy Window Month End]]*365.25/12</f>
        <v/>
      </c>
      <c r="N58" s="3">
        <f>AND(NOW()&gt;=tbl_MTG_Set[[#This Row],[Buy Window Start]], NOW()&lt;=tbl_MTG_Set[[#This Row],[Buy Window End]])</f>
        <v/>
      </c>
      <c r="O58">
        <f>_xlfn.XLOOKUP(tbl_MTG_Set[[#This Row],[Type Name]], tbl_MTG_Set_Type[Set Type], tbl_MTG_Set_Type[Heavy Printing Window Month Start], "(Set Type not found)", 0, 1)</f>
        <v/>
      </c>
      <c r="P58" s="3">
        <f>tbl_MTG_Set[[#This Row],[Released On]]+tbl_MTG_Set[[#This Row],[Heavy Printing Window Month Start]]*365.25/12</f>
        <v/>
      </c>
      <c r="Q58">
        <f>_xlfn.XLOOKUP(tbl_MTG_Set[[#This Row],[Type Name]], tbl_MTG_Set_Type[Set Type], tbl_MTG_Set_Type[Heavy Printing Window Month End], "(Set Type not found)", 0, 1)</f>
        <v/>
      </c>
      <c r="R58" s="3">
        <f>tbl_MTG_Set[[#This Row],[Released On]]+tbl_MTG_Set[[#This Row],[Heavy Printing Window Month End]]*365.25/12</f>
        <v/>
      </c>
      <c r="S58" s="3">
        <f>AND(NOW()&gt;=tbl_MTG_Set[[#This Row],[Heavy Printing Window Start]], NOW()&lt;=tbl_MTG_Set[[#This Row],[Heavy Printing Window End]])</f>
        <v/>
      </c>
      <c r="T58">
        <f>_xlfn.XLOOKUP(tbl_MTG_Set[[#This Row],[Type Name]], tbl_MTG_Set_Type[Set Type], tbl_MTG_Set_Type[Sell Window Month Start], "(Set Type not found)", 0, 1)</f>
        <v/>
      </c>
      <c r="U58" s="3">
        <f>tbl_MTG_Set[[#This Row],[Released On]]+tbl_MTG_Set[[#This Row],[Sell Window Month Start]]*365.25/12</f>
        <v/>
      </c>
      <c r="V58">
        <f>_xlfn.XLOOKUP(tbl_MTG_Set[[#This Row],[Type Name]], tbl_MTG_Set_Type[Set Type], tbl_MTG_Set_Type[Sell Window Month End], "(Set Type not found)", 0, 1)</f>
        <v/>
      </c>
      <c r="W58" s="3">
        <f>tbl_MTG_Set[[#This Row],[Released On]]+tbl_MTG_Set[[#This Row],[Sell Window Month End]]*365.25/12</f>
        <v/>
      </c>
      <c r="X58" s="3">
        <f>AND(NOW()&gt;=tbl_MTG_Set[[#This Row],[Sell Window Start]], NOW()&lt;=tbl_MTG_Set[[#This Row],[Sell Window End]])</f>
        <v/>
      </c>
      <c r="AG58" s="10" t="n"/>
      <c r="AH58" s="10" t="n"/>
      <c r="AM58" s="10">
        <f t="array" ref="AM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" s="10">
        <f t="array" ref="AN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" s="4">
        <f>_xlfn.XLOOKUP(tbl_MTG_Set[[#This Row],[Play Booster Box Product Id]], tbl_Product[Product Id], tbl_Product[Pack Size])</f>
        <v/>
      </c>
      <c r="AP58" s="10">
        <f>(tbl_MTG_Set[[#This Row],[Play Booster Box Cost]]+v_Item_Shipping_Cost_In)/tbl_MTG_Set[[#This Row],[Play Booster Box Size]]</f>
        <v/>
      </c>
      <c r="AQ58" s="10">
        <f t="array" ref="AQ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" s="10" t="n"/>
      <c r="AS58" s="10" t="n"/>
      <c r="AT58" s="17">
        <f>tbl_MTG_Set[[#This Row],[Play Booster CardMarket Profit]]/tbl_MTG_Set[[#This Row],[Play Booster Cost]]</f>
        <v/>
      </c>
      <c r="AU58" s="10">
        <f>_xlfn.XLOOKUP(tbl_MTG_Set[[#This Row],[Collector Booster Box Product Id]], tbl_Product[Product Id], tbl_Product[Min Cost])</f>
        <v/>
      </c>
      <c r="AV58" s="10">
        <f>_xlfn.XLOOKUP(tbl_MTG_Set[[#This Row],[Collector Booster Box Product Id]], tbl_Product[Product Id], tbl_Product[Best Source])</f>
        <v/>
      </c>
      <c r="AW58" s="4">
        <f>_xlfn.XLOOKUP(tbl_MTG_Set[[#This Row],[Collector Booster Box Product Id]], tbl_Product[Product Id], tbl_Product[Pack Size])</f>
        <v/>
      </c>
      <c r="AX58" s="10">
        <f>(tbl_MTG_Set[[#This Row],[Collector Booster Box Cost]] + v_Item_Shipping_Cost_In) / tbl_MTG_Set[[#This Row],[Collector Booster Box Size]]</f>
        <v/>
      </c>
      <c r="AY58" s="10">
        <f t="array" ref="AY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" s="10" t="n"/>
      <c r="BA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" s="17">
        <f>tbl_MTG_Set[[#This Row],[Collector Booster CardMarket Profit]]/tbl_MTG_Set[[#This Row],[Collector Booster Cost]]</f>
        <v/>
      </c>
      <c r="BC58" s="10" t="n"/>
      <c r="BF58" s="10">
        <f>tbl_MTG_Set[[#This Row],[Play Booster Sell Price CardMarket]]*tbl_MTG_Set[[#This Row],[Play Booster Expected Market Value]]/tbl_MTG_Set[[#This Row],[Play Boost Sealed Market Value]]</f>
        <v/>
      </c>
      <c r="BG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" s="10">
        <f>tbl_MTG_Set[[#This Row],[Play Singles CardMarket Profit]]/tbl_MTG_Set[[#This Row],[Play Booster Cost]]</f>
        <v/>
      </c>
      <c r="BI58" s="10">
        <f>tbl_MTG_Set[[#This Row],[Play Singles CardMarket Profit]]&gt;0</f>
        <v/>
      </c>
      <c r="BJ58" s="10" t="n"/>
      <c r="BK58" s="10" t="n"/>
      <c r="BL58" s="10">
        <f>tbl_MTG_Set[[#This Row],[Collector Booster Sell Price CardMarket]]*tbl_MTG_Set[[#This Row],[Collector Booster Expected Market Value]]/tbl_MTG_Set[[#This Row],[Collector Boost Sealed Market Value]]</f>
        <v/>
      </c>
      <c r="BM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" s="10">
        <f>tbl_MTG_Set[[#This Row],[Collector Singles CardMarket Profit]]/tbl_MTG_Set[[#This Row],[Collector Booster Cost]]</f>
        <v/>
      </c>
      <c r="BO58" s="10">
        <f>tbl_MTG_Set[[#This Row],[Collector Singles CardMarket Profit]]&gt;0</f>
        <v/>
      </c>
      <c r="BP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">
      <c r="A59" t="n">
        <v>57</v>
      </c>
      <c r="B59" t="inlineStr">
        <is>
          <t>Year of the Snake 2025 PL25</t>
        </is>
      </c>
      <c r="C59" t="n">
        <v>6</v>
      </c>
      <c r="D59" s="3" t="n">
        <v>45702</v>
      </c>
      <c r="F59" t="inlineStr">
        <is>
          <t>en es fr de it pt ja ko ru 汉语 漢語</t>
        </is>
      </c>
      <c r="G59" t="n">
        <v>60</v>
      </c>
      <c r="H59">
        <f>MONTH(NOW())+12*YEAR(NOW())-MONTH(tbl_MTG_Set[[#This Row],[Released On]])-12*YEAR(tbl_MTG_Set[[#This Row],[Released On]])</f>
        <v/>
      </c>
      <c r="I59">
        <f>_xlfn.XLOOKUP(tbl_MTG_Set[[#This Row],[Type Name]], tbl_MTG_Set_Type[Set Type], tbl_MTG_Set_Type[Index], "(Set Type not found)")</f>
        <v/>
      </c>
      <c r="J59">
        <f>_xlfn.XLOOKUP(tbl_MTG_Set[[#This Row],[Type Name]], tbl_MTG_Set_Type[Set Type], tbl_MTG_Set_Type[Buy Window Month Start], "(Set Type not found)")</f>
        <v/>
      </c>
      <c r="K59" s="3">
        <f>tbl_MTG_Set[[#This Row],[Released On]]+tbl_MTG_Set[[#This Row],[Buy Window Month Start]]*365.25/12</f>
        <v/>
      </c>
      <c r="L59">
        <f>_xlfn.XLOOKUP(tbl_MTG_Set[[#This Row],[Type Name]], tbl_MTG_Set_Type[Set Type], tbl_MTG_Set_Type[Buy Window Month End], "(Set Type not found)", 0, 1)</f>
        <v/>
      </c>
      <c r="M59" s="3">
        <f>tbl_MTG_Set[[#This Row],[Released On]]+tbl_MTG_Set[[#This Row],[Buy Window Month End]]*365.25/12</f>
        <v/>
      </c>
      <c r="N59" s="3">
        <f>AND(NOW()&gt;=tbl_MTG_Set[[#This Row],[Buy Window Start]], NOW()&lt;=tbl_MTG_Set[[#This Row],[Buy Window End]])</f>
        <v/>
      </c>
      <c r="O59">
        <f>_xlfn.XLOOKUP(tbl_MTG_Set[[#This Row],[Type Name]], tbl_MTG_Set_Type[Set Type], tbl_MTG_Set_Type[Heavy Printing Window Month Start], "(Set Type not found)", 0, 1)</f>
        <v/>
      </c>
      <c r="P59" s="3">
        <f>tbl_MTG_Set[[#This Row],[Released On]]+tbl_MTG_Set[[#This Row],[Heavy Printing Window Month Start]]*365.25/12</f>
        <v/>
      </c>
      <c r="Q59">
        <f>_xlfn.XLOOKUP(tbl_MTG_Set[[#This Row],[Type Name]], tbl_MTG_Set_Type[Set Type], tbl_MTG_Set_Type[Heavy Printing Window Month End], "(Set Type not found)", 0, 1)</f>
        <v/>
      </c>
      <c r="R59" s="3">
        <f>tbl_MTG_Set[[#This Row],[Released On]]+tbl_MTG_Set[[#This Row],[Heavy Printing Window Month End]]*365.25/12</f>
        <v/>
      </c>
      <c r="S59" s="3">
        <f>AND(NOW()&gt;=tbl_MTG_Set[[#This Row],[Heavy Printing Window Start]], NOW()&lt;=tbl_MTG_Set[[#This Row],[Heavy Printing Window End]])</f>
        <v/>
      </c>
      <c r="T59">
        <f>_xlfn.XLOOKUP(tbl_MTG_Set[[#This Row],[Type Name]], tbl_MTG_Set_Type[Set Type], tbl_MTG_Set_Type[Sell Window Month Start], "(Set Type not found)", 0, 1)</f>
        <v/>
      </c>
      <c r="U59" s="3">
        <f>tbl_MTG_Set[[#This Row],[Released On]]+tbl_MTG_Set[[#This Row],[Sell Window Month Start]]*365.25/12</f>
        <v/>
      </c>
      <c r="V59">
        <f>_xlfn.XLOOKUP(tbl_MTG_Set[[#This Row],[Type Name]], tbl_MTG_Set_Type[Set Type], tbl_MTG_Set_Type[Sell Window Month End], "(Set Type not found)", 0, 1)</f>
        <v/>
      </c>
      <c r="W59" s="3">
        <f>tbl_MTG_Set[[#This Row],[Released On]]+tbl_MTG_Set[[#This Row],[Sell Window Month End]]*365.25/12</f>
        <v/>
      </c>
      <c r="X59" s="3">
        <f>AND(NOW()&gt;=tbl_MTG_Set[[#This Row],[Sell Window Start]], NOW()&lt;=tbl_MTG_Set[[#This Row],[Sell Window End]])</f>
        <v/>
      </c>
      <c r="AG59" s="10" t="n"/>
      <c r="AH59" s="10" t="n"/>
      <c r="AM59" s="10">
        <f t="array" ref="AM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" s="10">
        <f t="array" ref="AN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" s="4">
        <f>_xlfn.XLOOKUP(tbl_MTG_Set[[#This Row],[Play Booster Box Product Id]], tbl_Product[Product Id], tbl_Product[Pack Size])</f>
        <v/>
      </c>
      <c r="AP59" s="10">
        <f>(tbl_MTG_Set[[#This Row],[Play Booster Box Cost]]+v_Item_Shipping_Cost_In)/tbl_MTG_Set[[#This Row],[Play Booster Box Size]]</f>
        <v/>
      </c>
      <c r="AQ59" s="10">
        <f t="array" ref="AQ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" s="10" t="n"/>
      <c r="AS59" s="10" t="n"/>
      <c r="AT59" s="17">
        <f>tbl_MTG_Set[[#This Row],[Play Booster CardMarket Profit]]/tbl_MTG_Set[[#This Row],[Play Booster Cost]]</f>
        <v/>
      </c>
      <c r="AU59" s="10">
        <f>_xlfn.XLOOKUP(tbl_MTG_Set[[#This Row],[Collector Booster Box Product Id]], tbl_Product[Product Id], tbl_Product[Min Cost])</f>
        <v/>
      </c>
      <c r="AV59" s="10">
        <f>_xlfn.XLOOKUP(tbl_MTG_Set[[#This Row],[Collector Booster Box Product Id]], tbl_Product[Product Id], tbl_Product[Best Source])</f>
        <v/>
      </c>
      <c r="AW59" s="4">
        <f>_xlfn.XLOOKUP(tbl_MTG_Set[[#This Row],[Collector Booster Box Product Id]], tbl_Product[Product Id], tbl_Product[Pack Size])</f>
        <v/>
      </c>
      <c r="AX59" s="10">
        <f>(tbl_MTG_Set[[#This Row],[Collector Booster Box Cost]] + v_Item_Shipping_Cost_In) / tbl_MTG_Set[[#This Row],[Collector Booster Box Size]]</f>
        <v/>
      </c>
      <c r="AY59" s="10">
        <f t="array" ref="AY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" s="10" t="n"/>
      <c r="BA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" s="17">
        <f>tbl_MTG_Set[[#This Row],[Collector Booster CardMarket Profit]]/tbl_MTG_Set[[#This Row],[Collector Booster Cost]]</f>
        <v/>
      </c>
      <c r="BC59" s="10" t="n"/>
      <c r="BF59" s="10">
        <f>tbl_MTG_Set[[#This Row],[Play Booster Sell Price CardMarket]]*tbl_MTG_Set[[#This Row],[Play Booster Expected Market Value]]/tbl_MTG_Set[[#This Row],[Play Boost Sealed Market Value]]</f>
        <v/>
      </c>
      <c r="BG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" s="10">
        <f>tbl_MTG_Set[[#This Row],[Play Singles CardMarket Profit]]/tbl_MTG_Set[[#This Row],[Play Booster Cost]]</f>
        <v/>
      </c>
      <c r="BI59" s="10">
        <f>tbl_MTG_Set[[#This Row],[Play Singles CardMarket Profit]]&gt;0</f>
        <v/>
      </c>
      <c r="BJ59" s="10" t="n"/>
      <c r="BK59" s="10" t="n"/>
      <c r="BL59" s="10">
        <f>tbl_MTG_Set[[#This Row],[Collector Booster Sell Price CardMarket]]*tbl_MTG_Set[[#This Row],[Collector Booster Expected Market Value]]/tbl_MTG_Set[[#This Row],[Collector Boost Sealed Market Value]]</f>
        <v/>
      </c>
      <c r="BM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" s="10">
        <f>tbl_MTG_Set[[#This Row],[Collector Singles CardMarket Profit]]/tbl_MTG_Set[[#This Row],[Collector Booster Cost]]</f>
        <v/>
      </c>
      <c r="BO59" s="10">
        <f>tbl_MTG_Set[[#This Row],[Collector Singles CardMarket Profit]]&gt;0</f>
        <v/>
      </c>
      <c r="BP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">
      <c r="A60" t="n">
        <v>58</v>
      </c>
      <c r="B60" t="inlineStr">
        <is>
          <t>Aetherdrift DFT</t>
        </is>
      </c>
      <c r="C60" t="n">
        <v>553</v>
      </c>
      <c r="D60" s="3" t="n">
        <v>45702</v>
      </c>
      <c r="E60" t="inlineStr">
        <is>
          <t>Standard Expansion</t>
        </is>
      </c>
      <c r="F60" t="inlineStr">
        <is>
          <t>en es fr de it pt ja ko ru 汉语 漢語</t>
        </is>
      </c>
      <c r="G60" t="n">
        <v>62</v>
      </c>
      <c r="H60">
        <f>MONTH(NOW())+12*YEAR(NOW())-MONTH(tbl_MTG_Set[[#This Row],[Released On]])-12*YEAR(tbl_MTG_Set[[#This Row],[Released On]])</f>
        <v/>
      </c>
      <c r="I60">
        <f>_xlfn.XLOOKUP(tbl_MTG_Set[[#This Row],[Type Name]], tbl_MTG_Set_Type[Set Type], tbl_MTG_Set_Type[Index], "(Set Type not found)")</f>
        <v/>
      </c>
      <c r="J60">
        <f>_xlfn.XLOOKUP(tbl_MTG_Set[[#This Row],[Type Name]], tbl_MTG_Set_Type[Set Type], tbl_MTG_Set_Type[Buy Window Month Start], "(Set Type not found)")</f>
        <v/>
      </c>
      <c r="K60" s="3">
        <f>tbl_MTG_Set[[#This Row],[Released On]]+tbl_MTG_Set[[#This Row],[Buy Window Month Start]]*365.25/12</f>
        <v/>
      </c>
      <c r="L60">
        <f>_xlfn.XLOOKUP(tbl_MTG_Set[[#This Row],[Type Name]], tbl_MTG_Set_Type[Set Type], tbl_MTG_Set_Type[Buy Window Month End], "(Set Type not found)", 0, 1)</f>
        <v/>
      </c>
      <c r="M60" s="3">
        <f>tbl_MTG_Set[[#This Row],[Released On]]+tbl_MTG_Set[[#This Row],[Buy Window Month End]]*365.25/12</f>
        <v/>
      </c>
      <c r="N60" s="3">
        <f>AND(NOW()&gt;=tbl_MTG_Set[[#This Row],[Buy Window Start]], NOW()&lt;=tbl_MTG_Set[[#This Row],[Buy Window End]])</f>
        <v/>
      </c>
      <c r="O60">
        <f>_xlfn.XLOOKUP(tbl_MTG_Set[[#This Row],[Type Name]], tbl_MTG_Set_Type[Set Type], tbl_MTG_Set_Type[Heavy Printing Window Month Start], "(Set Type not found)", 0, 1)</f>
        <v/>
      </c>
      <c r="P60" s="3">
        <f>tbl_MTG_Set[[#This Row],[Released On]]+tbl_MTG_Set[[#This Row],[Heavy Printing Window Month Start]]*365.25/12</f>
        <v/>
      </c>
      <c r="Q60">
        <f>_xlfn.XLOOKUP(tbl_MTG_Set[[#This Row],[Type Name]], tbl_MTG_Set_Type[Set Type], tbl_MTG_Set_Type[Heavy Printing Window Month End], "(Set Type not found)", 0, 1)</f>
        <v/>
      </c>
      <c r="R60" s="3">
        <f>tbl_MTG_Set[[#This Row],[Released On]]+tbl_MTG_Set[[#This Row],[Heavy Printing Window Month End]]*365.25/12</f>
        <v/>
      </c>
      <c r="S60" s="3">
        <f>AND(NOW()&gt;=tbl_MTG_Set[[#This Row],[Heavy Printing Window Start]], NOW()&lt;=tbl_MTG_Set[[#This Row],[Heavy Printing Window End]])</f>
        <v/>
      </c>
      <c r="T60">
        <f>_xlfn.XLOOKUP(tbl_MTG_Set[[#This Row],[Type Name]], tbl_MTG_Set_Type[Set Type], tbl_MTG_Set_Type[Sell Window Month Start], "(Set Type not found)", 0, 1)</f>
        <v/>
      </c>
      <c r="U60" s="3">
        <f>tbl_MTG_Set[[#This Row],[Released On]]+tbl_MTG_Set[[#This Row],[Sell Window Month Start]]*365.25/12</f>
        <v/>
      </c>
      <c r="V60">
        <f>_xlfn.XLOOKUP(tbl_MTG_Set[[#This Row],[Type Name]], tbl_MTG_Set_Type[Set Type], tbl_MTG_Set_Type[Sell Window Month End], "(Set Type not found)", 0, 1)</f>
        <v/>
      </c>
      <c r="W60" s="3">
        <f>tbl_MTG_Set[[#This Row],[Released On]]+tbl_MTG_Set[[#This Row],[Sell Window Month End]]*365.25/12</f>
        <v/>
      </c>
      <c r="X60" s="3">
        <f>AND(NOW()&gt;=tbl_MTG_Set[[#This Row],[Sell Window Start]], NOW()&lt;=tbl_MTG_Set[[#This Row],[Sell Window End]])</f>
        <v/>
      </c>
      <c r="Y60" s="10" t="n">
        <v>83</v>
      </c>
      <c r="Z60" s="10" t="n">
        <v>113</v>
      </c>
      <c r="AA60" s="10" t="n">
        <v>100</v>
      </c>
      <c r="AC60" s="10" t="n">
        <v>107</v>
      </c>
      <c r="AD60" s="10">
        <f>(Y60+96/20)/30</f>
        <v/>
      </c>
      <c r="AE60" s="10">
        <f>(Z60+96/20)/30</f>
        <v/>
      </c>
      <c r="AF60" s="10">
        <f>($AA$30+96/20)/30</f>
        <v/>
      </c>
      <c r="AG60" s="10" t="n"/>
      <c r="AH60" s="10" t="n"/>
      <c r="AI60" s="4" t="n">
        <v>70</v>
      </c>
      <c r="AJ60" s="4" t="n">
        <v>25</v>
      </c>
      <c r="AK60" s="4" t="n">
        <v>84</v>
      </c>
      <c r="AL60" s="4" t="n">
        <v>83</v>
      </c>
      <c r="AM60" s="10">
        <f t="array" ref="AM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" s="10">
        <f t="array" ref="AN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" s="4">
        <f>_xlfn.XLOOKUP(tbl_MTG_Set[[#This Row],[Play Booster Box Product Id]], tbl_Product[Product Id], tbl_Product[Pack Size])</f>
        <v/>
      </c>
      <c r="AP60" s="10">
        <f>(tbl_MTG_Set[[#This Row],[Play Booster Box Cost]]+v_Item_Shipping_Cost_In)/tbl_MTG_Set[[#This Row],[Play Booster Box Size]]</f>
        <v/>
      </c>
      <c r="AQ60" s="10">
        <f t="array" ref="AQ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" s="10" t="n">
        <v>4.5</v>
      </c>
      <c r="AS6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60" s="17">
        <f>tbl_MTG_Set[[#This Row],[Play Booster CardMarket Profit]]/tbl_MTG_Set[[#This Row],[Play Booster Cost]]</f>
        <v/>
      </c>
      <c r="AU60" s="12">
        <f>_xlfn.XLOOKUP(tbl_MTG_Set[[#This Row],[Collector Booster Box Product Id]], tbl_Product[Product Id], tbl_Product[Min Cost])</f>
        <v/>
      </c>
      <c r="AV60" s="10">
        <f>_xlfn.XLOOKUP(tbl_MTG_Set[[#This Row],[Collector Booster Box Product Id]], tbl_Product[Product Id], tbl_Product[Best Source])</f>
        <v/>
      </c>
      <c r="AW60" s="4">
        <f>_xlfn.XLOOKUP(tbl_MTG_Set[[#This Row],[Collector Booster Box Product Id]], tbl_Product[Product Id], tbl_Product[Pack Size])</f>
        <v/>
      </c>
      <c r="AX60" s="10">
        <f>(tbl_MTG_Set[[#This Row],[Collector Booster Box Cost]] + v_Item_Shipping_Cost_In) / tbl_MTG_Set[[#This Row],[Collector Booster Box Size]]</f>
        <v/>
      </c>
      <c r="AY60" s="12">
        <f t="array" ref="AY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" s="10" t="n"/>
      <c r="BA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" s="17">
        <f>tbl_MTG_Set[[#This Row],[Collector Booster CardMarket Profit]]/tbl_MTG_Set[[#This Row],[Collector Booster Cost]]</f>
        <v/>
      </c>
      <c r="BC60" s="15" t="inlineStr">
        <is>
          <t>https://www.mtgstocks.com/sets/2097-aetherdrift#ev</t>
        </is>
      </c>
      <c r="BD60" s="11" t="n">
        <v>4.62</v>
      </c>
      <c r="BE60" s="11" t="n">
        <v>3.61</v>
      </c>
      <c r="BF60" s="10">
        <f>tbl_MTG_Set[[#This Row],[Play Booster Sell Price CardMarket]]*tbl_MTG_Set[[#This Row],[Play Booster Expected Market Value]]/tbl_MTG_Set[[#This Row],[Play Boost Sealed Market Value]]</f>
        <v/>
      </c>
      <c r="BG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" s="17">
        <f>tbl_MTG_Set[[#This Row],[Play Singles CardMarket Profit]]/tbl_MTG_Set[[#This Row],[Play Booster Cost]]</f>
        <v/>
      </c>
      <c r="BI60" s="10">
        <f>tbl_MTG_Set[[#This Row],[Play Singles CardMarket Profit]]&gt;0</f>
        <v/>
      </c>
      <c r="BJ60" s="10" t="n">
        <v>11.09</v>
      </c>
      <c r="BK60" s="10" t="n">
        <v>17.87</v>
      </c>
      <c r="BL60" s="10">
        <f>tbl_MTG_Set[[#This Row],[Collector Booster Sell Price CardMarket]]*tbl_MTG_Set[[#This Row],[Collector Booster Expected Market Value]]/tbl_MTG_Set[[#This Row],[Collector Boost Sealed Market Value]]</f>
        <v/>
      </c>
      <c r="BM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" s="17">
        <f>tbl_MTG_Set[[#This Row],[Collector Singles CardMarket Profit]]/tbl_MTG_Set[[#This Row],[Collector Booster Cost]]</f>
        <v/>
      </c>
      <c r="BO60" s="10">
        <f>tbl_MTG_Set[[#This Row],[Collector Singles CardMarket Profit]]&gt;0</f>
        <v/>
      </c>
      <c r="BP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">
      <c r="A61" t="n">
        <v>59</v>
      </c>
      <c r="B61" t="inlineStr">
        <is>
          <t>Aetherdrift Promos PDFT</t>
        </is>
      </c>
      <c r="C61" t="n">
        <v>160</v>
      </c>
      <c r="D61" s="3" t="n">
        <v>45702</v>
      </c>
      <c r="E61" t="inlineStr">
        <is>
          <t>Standard Expansion</t>
        </is>
      </c>
      <c r="F61" t="inlineStr">
        <is>
          <t>en es fr de it pt ja ko ru 汉语 漢語</t>
        </is>
      </c>
      <c r="G61" t="n">
        <v>64</v>
      </c>
      <c r="H61">
        <f>MONTH(NOW())+12*YEAR(NOW())-MONTH(tbl_MTG_Set[[#This Row],[Released On]])-12*YEAR(tbl_MTG_Set[[#This Row],[Released On]])</f>
        <v/>
      </c>
      <c r="I61">
        <f>_xlfn.XLOOKUP(tbl_MTG_Set[[#This Row],[Type Name]], tbl_MTG_Set_Type[Set Type], tbl_MTG_Set_Type[Index], "(Set Type not found)")</f>
        <v/>
      </c>
      <c r="J61">
        <f>_xlfn.XLOOKUP(tbl_MTG_Set[[#This Row],[Type Name]], tbl_MTG_Set_Type[Set Type], tbl_MTG_Set_Type[Buy Window Month Start], "(Set Type not found)")</f>
        <v/>
      </c>
      <c r="K61" s="3">
        <f>tbl_MTG_Set[[#This Row],[Released On]]+tbl_MTG_Set[[#This Row],[Buy Window Month Start]]*365.25/12</f>
        <v/>
      </c>
      <c r="L61">
        <f>_xlfn.XLOOKUP(tbl_MTG_Set[[#This Row],[Type Name]], tbl_MTG_Set_Type[Set Type], tbl_MTG_Set_Type[Buy Window Month End], "(Set Type not found)", 0, 1)</f>
        <v/>
      </c>
      <c r="M61" s="3">
        <f>tbl_MTG_Set[[#This Row],[Released On]]+tbl_MTG_Set[[#This Row],[Buy Window Month End]]*365.25/12</f>
        <v/>
      </c>
      <c r="N61" s="3">
        <f>AND(NOW()&gt;=tbl_MTG_Set[[#This Row],[Buy Window Start]], NOW()&lt;=tbl_MTG_Set[[#This Row],[Buy Window End]])</f>
        <v/>
      </c>
      <c r="O61">
        <f>_xlfn.XLOOKUP(tbl_MTG_Set[[#This Row],[Type Name]], tbl_MTG_Set_Type[Set Type], tbl_MTG_Set_Type[Heavy Printing Window Month Start], "(Set Type not found)", 0, 1)</f>
        <v/>
      </c>
      <c r="P61" s="3">
        <f>tbl_MTG_Set[[#This Row],[Released On]]+tbl_MTG_Set[[#This Row],[Heavy Printing Window Month Start]]*365.25/12</f>
        <v/>
      </c>
      <c r="Q61">
        <f>_xlfn.XLOOKUP(tbl_MTG_Set[[#This Row],[Type Name]], tbl_MTG_Set_Type[Set Type], tbl_MTG_Set_Type[Heavy Printing Window Month End], "(Set Type not found)", 0, 1)</f>
        <v/>
      </c>
      <c r="R61" s="3">
        <f>tbl_MTG_Set[[#This Row],[Released On]]+tbl_MTG_Set[[#This Row],[Heavy Printing Window Month End]]*365.25/12</f>
        <v/>
      </c>
      <c r="S61" s="3">
        <f>AND(NOW()&gt;=tbl_MTG_Set[[#This Row],[Heavy Printing Window Start]], NOW()&lt;=tbl_MTG_Set[[#This Row],[Heavy Printing Window End]])</f>
        <v/>
      </c>
      <c r="T61">
        <f>_xlfn.XLOOKUP(tbl_MTG_Set[[#This Row],[Type Name]], tbl_MTG_Set_Type[Set Type], tbl_MTG_Set_Type[Sell Window Month Start], "(Set Type not found)", 0, 1)</f>
        <v/>
      </c>
      <c r="U61" s="3">
        <f>tbl_MTG_Set[[#This Row],[Released On]]+tbl_MTG_Set[[#This Row],[Sell Window Month Start]]*365.25/12</f>
        <v/>
      </c>
      <c r="V61">
        <f>_xlfn.XLOOKUP(tbl_MTG_Set[[#This Row],[Type Name]], tbl_MTG_Set_Type[Set Type], tbl_MTG_Set_Type[Sell Window Month End], "(Set Type not found)", 0, 1)</f>
        <v/>
      </c>
      <c r="W61" s="3">
        <f>tbl_MTG_Set[[#This Row],[Released On]]+tbl_MTG_Set[[#This Row],[Sell Window Month End]]*365.25/12</f>
        <v/>
      </c>
      <c r="X61" s="3">
        <f>AND(NOW()&gt;=tbl_MTG_Set[[#This Row],[Sell Window Start]], NOW()&lt;=tbl_MTG_Set[[#This Row],[Sell Window End]])</f>
        <v/>
      </c>
      <c r="AG61" s="10" t="n"/>
      <c r="AH61" s="10" t="n"/>
      <c r="AM61" s="10">
        <f t="array" ref="AM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" s="10">
        <f t="array" ref="AN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" s="4">
        <f>_xlfn.XLOOKUP(tbl_MTG_Set[[#This Row],[Play Booster Box Product Id]], tbl_Product[Product Id], tbl_Product[Pack Size])</f>
        <v/>
      </c>
      <c r="AP61" s="10">
        <f>(tbl_MTG_Set[[#This Row],[Play Booster Box Cost]]+v_Item_Shipping_Cost_In)/tbl_MTG_Set[[#This Row],[Play Booster Box Size]]</f>
        <v/>
      </c>
      <c r="AQ61" s="10">
        <f t="array" ref="AQ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" s="10" t="n"/>
      <c r="AS61" s="10" t="n"/>
      <c r="AT61" s="17">
        <f>tbl_MTG_Set[[#This Row],[Play Booster CardMarket Profit]]/tbl_MTG_Set[[#This Row],[Play Booster Cost]]</f>
        <v/>
      </c>
      <c r="AU61" s="10">
        <f>_xlfn.XLOOKUP(tbl_MTG_Set[[#This Row],[Collector Booster Box Product Id]], tbl_Product[Product Id], tbl_Product[Min Cost])</f>
        <v/>
      </c>
      <c r="AV61" s="10">
        <f>_xlfn.XLOOKUP(tbl_MTG_Set[[#This Row],[Collector Booster Box Product Id]], tbl_Product[Product Id], tbl_Product[Best Source])</f>
        <v/>
      </c>
      <c r="AW61" s="4">
        <f>_xlfn.XLOOKUP(tbl_MTG_Set[[#This Row],[Collector Booster Box Product Id]], tbl_Product[Product Id], tbl_Product[Pack Size])</f>
        <v/>
      </c>
      <c r="AX61" s="10">
        <f>(tbl_MTG_Set[[#This Row],[Collector Booster Box Cost]] + v_Item_Shipping_Cost_In) / tbl_MTG_Set[[#This Row],[Collector Booster Box Size]]</f>
        <v/>
      </c>
      <c r="AY61" s="10">
        <f t="array" ref="AY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" s="10" t="n"/>
      <c r="BA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" s="17">
        <f>tbl_MTG_Set[[#This Row],[Collector Booster CardMarket Profit]]/tbl_MTG_Set[[#This Row],[Collector Booster Cost]]</f>
        <v/>
      </c>
      <c r="BC61" s="10" t="n"/>
      <c r="BF61" s="10">
        <f>tbl_MTG_Set[[#This Row],[Play Booster Sell Price CardMarket]]*tbl_MTG_Set[[#This Row],[Play Booster Expected Market Value]]/tbl_MTG_Set[[#This Row],[Play Boost Sealed Market Value]]</f>
        <v/>
      </c>
      <c r="BG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" s="10">
        <f>tbl_MTG_Set[[#This Row],[Play Singles CardMarket Profit]]/tbl_MTG_Set[[#This Row],[Play Booster Cost]]</f>
        <v/>
      </c>
      <c r="BI61" s="10">
        <f>tbl_MTG_Set[[#This Row],[Play Singles CardMarket Profit]]&gt;0</f>
        <v/>
      </c>
      <c r="BJ61" s="10" t="n"/>
      <c r="BK61" s="10" t="n"/>
      <c r="BL61" s="10">
        <f>tbl_MTG_Set[[#This Row],[Collector Booster Sell Price CardMarket]]*tbl_MTG_Set[[#This Row],[Collector Booster Expected Market Value]]/tbl_MTG_Set[[#This Row],[Collector Boost Sealed Market Value]]</f>
        <v/>
      </c>
      <c r="BM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" s="10">
        <f>tbl_MTG_Set[[#This Row],[Collector Singles CardMarket Profit]]/tbl_MTG_Set[[#This Row],[Collector Booster Cost]]</f>
        <v/>
      </c>
      <c r="BO61" s="10">
        <f>tbl_MTG_Set[[#This Row],[Collector Singles CardMarket Profit]]&gt;0</f>
        <v/>
      </c>
      <c r="BP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">
      <c r="A62" t="n">
        <v>60</v>
      </c>
      <c r="B62" t="inlineStr">
        <is>
          <t>Aetherdrift Tokens TDFT</t>
        </is>
      </c>
      <c r="C62" t="n">
        <v>14</v>
      </c>
      <c r="D62" s="3" t="n">
        <v>45702</v>
      </c>
      <c r="E62" t="inlineStr">
        <is>
          <t>Standard Expansion</t>
        </is>
      </c>
      <c r="F62" t="inlineStr">
        <is>
          <t>en es fr de it pt ja ko ru 汉语 漢語</t>
        </is>
      </c>
      <c r="G62" t="n">
        <v>66</v>
      </c>
      <c r="H62">
        <f>MONTH(NOW())+12*YEAR(NOW())-MONTH(tbl_MTG_Set[[#This Row],[Released On]])-12*YEAR(tbl_MTG_Set[[#This Row],[Released On]])</f>
        <v/>
      </c>
      <c r="I62">
        <f>_xlfn.XLOOKUP(tbl_MTG_Set[[#This Row],[Type Name]], tbl_MTG_Set_Type[Set Type], tbl_MTG_Set_Type[Index], "(Set Type not found)")</f>
        <v/>
      </c>
      <c r="J62">
        <f>_xlfn.XLOOKUP(tbl_MTG_Set[[#This Row],[Type Name]], tbl_MTG_Set_Type[Set Type], tbl_MTG_Set_Type[Buy Window Month Start], "(Set Type not found)")</f>
        <v/>
      </c>
      <c r="K62" s="3">
        <f>tbl_MTG_Set[[#This Row],[Released On]]+tbl_MTG_Set[[#This Row],[Buy Window Month Start]]*365.25/12</f>
        <v/>
      </c>
      <c r="L62">
        <f>_xlfn.XLOOKUP(tbl_MTG_Set[[#This Row],[Type Name]], tbl_MTG_Set_Type[Set Type], tbl_MTG_Set_Type[Buy Window Month End], "(Set Type not found)", 0, 1)</f>
        <v/>
      </c>
      <c r="M62" s="3">
        <f>tbl_MTG_Set[[#This Row],[Released On]]+tbl_MTG_Set[[#This Row],[Buy Window Month End]]*365.25/12</f>
        <v/>
      </c>
      <c r="N62" s="3">
        <f>AND(NOW()&gt;=tbl_MTG_Set[[#This Row],[Buy Window Start]], NOW()&lt;=tbl_MTG_Set[[#This Row],[Buy Window End]])</f>
        <v/>
      </c>
      <c r="O62">
        <f>_xlfn.XLOOKUP(tbl_MTG_Set[[#This Row],[Type Name]], tbl_MTG_Set_Type[Set Type], tbl_MTG_Set_Type[Heavy Printing Window Month Start], "(Set Type not found)", 0, 1)</f>
        <v/>
      </c>
      <c r="P62" s="3">
        <f>tbl_MTG_Set[[#This Row],[Released On]]+tbl_MTG_Set[[#This Row],[Heavy Printing Window Month Start]]*365.25/12</f>
        <v/>
      </c>
      <c r="Q62">
        <f>_xlfn.XLOOKUP(tbl_MTG_Set[[#This Row],[Type Name]], tbl_MTG_Set_Type[Set Type], tbl_MTG_Set_Type[Heavy Printing Window Month End], "(Set Type not found)", 0, 1)</f>
        <v/>
      </c>
      <c r="R62" s="3">
        <f>tbl_MTG_Set[[#This Row],[Released On]]+tbl_MTG_Set[[#This Row],[Heavy Printing Window Month End]]*365.25/12</f>
        <v/>
      </c>
      <c r="S62" s="3">
        <f>AND(NOW()&gt;=tbl_MTG_Set[[#This Row],[Heavy Printing Window Start]], NOW()&lt;=tbl_MTG_Set[[#This Row],[Heavy Printing Window End]])</f>
        <v/>
      </c>
      <c r="T62">
        <f>_xlfn.XLOOKUP(tbl_MTG_Set[[#This Row],[Type Name]], tbl_MTG_Set_Type[Set Type], tbl_MTG_Set_Type[Sell Window Month Start], "(Set Type not found)", 0, 1)</f>
        <v/>
      </c>
      <c r="U62" s="3">
        <f>tbl_MTG_Set[[#This Row],[Released On]]+tbl_MTG_Set[[#This Row],[Sell Window Month Start]]*365.25/12</f>
        <v/>
      </c>
      <c r="V62">
        <f>_xlfn.XLOOKUP(tbl_MTG_Set[[#This Row],[Type Name]], tbl_MTG_Set_Type[Set Type], tbl_MTG_Set_Type[Sell Window Month End], "(Set Type not found)", 0, 1)</f>
        <v/>
      </c>
      <c r="W62" s="3">
        <f>tbl_MTG_Set[[#This Row],[Released On]]+tbl_MTG_Set[[#This Row],[Sell Window Month End]]*365.25/12</f>
        <v/>
      </c>
      <c r="X62" s="3">
        <f>AND(NOW()&gt;=tbl_MTG_Set[[#This Row],[Sell Window Start]], NOW()&lt;=tbl_MTG_Set[[#This Row],[Sell Window End]])</f>
        <v/>
      </c>
      <c r="AG62" s="10" t="n"/>
      <c r="AH62" s="10" t="n"/>
      <c r="AM62" s="10">
        <f t="array" ref="AM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" s="10">
        <f t="array" ref="AN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" s="4">
        <f>_xlfn.XLOOKUP(tbl_MTG_Set[[#This Row],[Play Booster Box Product Id]], tbl_Product[Product Id], tbl_Product[Pack Size])</f>
        <v/>
      </c>
      <c r="AP62" s="10">
        <f>(tbl_MTG_Set[[#This Row],[Play Booster Box Cost]]+v_Item_Shipping_Cost_In)/tbl_MTG_Set[[#This Row],[Play Booster Box Size]]</f>
        <v/>
      </c>
      <c r="AQ62" s="10">
        <f t="array" ref="AQ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" s="10" t="n"/>
      <c r="AS62" s="10" t="n"/>
      <c r="AT62" s="17">
        <f>tbl_MTG_Set[[#This Row],[Play Booster CardMarket Profit]]/tbl_MTG_Set[[#This Row],[Play Booster Cost]]</f>
        <v/>
      </c>
      <c r="AU62" s="10">
        <f>_xlfn.XLOOKUP(tbl_MTG_Set[[#This Row],[Collector Booster Box Product Id]], tbl_Product[Product Id], tbl_Product[Min Cost])</f>
        <v/>
      </c>
      <c r="AV62" s="10">
        <f>_xlfn.XLOOKUP(tbl_MTG_Set[[#This Row],[Collector Booster Box Product Id]], tbl_Product[Product Id], tbl_Product[Best Source])</f>
        <v/>
      </c>
      <c r="AW62" s="4">
        <f>_xlfn.XLOOKUP(tbl_MTG_Set[[#This Row],[Collector Booster Box Product Id]], tbl_Product[Product Id], tbl_Product[Pack Size])</f>
        <v/>
      </c>
      <c r="AX62" s="10">
        <f>(tbl_MTG_Set[[#This Row],[Collector Booster Box Cost]] + v_Item_Shipping_Cost_In) / tbl_MTG_Set[[#This Row],[Collector Booster Box Size]]</f>
        <v/>
      </c>
      <c r="AY62" s="10">
        <f t="array" ref="AY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" s="10" t="n"/>
      <c r="BA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" s="17">
        <f>tbl_MTG_Set[[#This Row],[Collector Booster CardMarket Profit]]/tbl_MTG_Set[[#This Row],[Collector Booster Cost]]</f>
        <v/>
      </c>
      <c r="BC62" s="10" t="n"/>
      <c r="BF62" s="10">
        <f>tbl_MTG_Set[[#This Row],[Play Booster Sell Price CardMarket]]*tbl_MTG_Set[[#This Row],[Play Booster Expected Market Value]]/tbl_MTG_Set[[#This Row],[Play Boost Sealed Market Value]]</f>
        <v/>
      </c>
      <c r="BG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" s="10">
        <f>tbl_MTG_Set[[#This Row],[Play Singles CardMarket Profit]]/tbl_MTG_Set[[#This Row],[Play Booster Cost]]</f>
        <v/>
      </c>
      <c r="BI62" s="10">
        <f>tbl_MTG_Set[[#This Row],[Play Singles CardMarket Profit]]&gt;0</f>
        <v/>
      </c>
      <c r="BJ62" s="10" t="n"/>
      <c r="BK62" s="10" t="n"/>
      <c r="BL62" s="10">
        <f>tbl_MTG_Set[[#This Row],[Collector Booster Sell Price CardMarket]]*tbl_MTG_Set[[#This Row],[Collector Booster Expected Market Value]]/tbl_MTG_Set[[#This Row],[Collector Boost Sealed Market Value]]</f>
        <v/>
      </c>
      <c r="BM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" s="10">
        <f>tbl_MTG_Set[[#This Row],[Collector Singles CardMarket Profit]]/tbl_MTG_Set[[#This Row],[Collector Booster Cost]]</f>
        <v/>
      </c>
      <c r="BO62" s="10">
        <f>tbl_MTG_Set[[#This Row],[Collector Singles CardMarket Profit]]&gt;0</f>
        <v/>
      </c>
      <c r="BP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">
      <c r="A63" t="n">
        <v>61</v>
      </c>
      <c r="B63" t="inlineStr">
        <is>
          <t>Alchemy: Aetherdrift YDFT</t>
        </is>
      </c>
      <c r="C63" t="n">
        <v>30</v>
      </c>
      <c r="D63" s="3" t="n">
        <v>45720</v>
      </c>
      <c r="E63" t="inlineStr">
        <is>
          <t>Standard Expansion</t>
        </is>
      </c>
      <c r="F63" t="inlineStr">
        <is>
          <t>en es fr de it pt ja ko ru 汉语 漢語</t>
        </is>
      </c>
      <c r="G63" t="n">
        <v>68</v>
      </c>
      <c r="H63">
        <f>MONTH(NOW())+12*YEAR(NOW())-MONTH(tbl_MTG_Set[[#This Row],[Released On]])-12*YEAR(tbl_MTG_Set[[#This Row],[Released On]])</f>
        <v/>
      </c>
      <c r="I63">
        <f>_xlfn.XLOOKUP(tbl_MTG_Set[[#This Row],[Type Name]], tbl_MTG_Set_Type[Set Type], tbl_MTG_Set_Type[Index], "(Set Type not found)")</f>
        <v/>
      </c>
      <c r="J63">
        <f>_xlfn.XLOOKUP(tbl_MTG_Set[[#This Row],[Type Name]], tbl_MTG_Set_Type[Set Type], tbl_MTG_Set_Type[Buy Window Month Start], "(Set Type not found)")</f>
        <v/>
      </c>
      <c r="K63" s="3">
        <f>tbl_MTG_Set[[#This Row],[Released On]]+tbl_MTG_Set[[#This Row],[Buy Window Month Start]]*365.25/12</f>
        <v/>
      </c>
      <c r="L63">
        <f>_xlfn.XLOOKUP(tbl_MTG_Set[[#This Row],[Type Name]], tbl_MTG_Set_Type[Set Type], tbl_MTG_Set_Type[Buy Window Month End], "(Set Type not found)", 0, 1)</f>
        <v/>
      </c>
      <c r="M63" s="3">
        <f>tbl_MTG_Set[[#This Row],[Released On]]+tbl_MTG_Set[[#This Row],[Buy Window Month End]]*365.25/12</f>
        <v/>
      </c>
      <c r="N63" s="3">
        <f>AND(NOW()&gt;=tbl_MTG_Set[[#This Row],[Buy Window Start]], NOW()&lt;=tbl_MTG_Set[[#This Row],[Buy Window End]])</f>
        <v/>
      </c>
      <c r="O63">
        <f>_xlfn.XLOOKUP(tbl_MTG_Set[[#This Row],[Type Name]], tbl_MTG_Set_Type[Set Type], tbl_MTG_Set_Type[Heavy Printing Window Month Start], "(Set Type not found)", 0, 1)</f>
        <v/>
      </c>
      <c r="P63" s="3">
        <f>tbl_MTG_Set[[#This Row],[Released On]]+tbl_MTG_Set[[#This Row],[Heavy Printing Window Month Start]]*365.25/12</f>
        <v/>
      </c>
      <c r="Q63">
        <f>_xlfn.XLOOKUP(tbl_MTG_Set[[#This Row],[Type Name]], tbl_MTG_Set_Type[Set Type], tbl_MTG_Set_Type[Heavy Printing Window Month End], "(Set Type not found)", 0, 1)</f>
        <v/>
      </c>
      <c r="R63" s="3">
        <f>tbl_MTG_Set[[#This Row],[Released On]]+tbl_MTG_Set[[#This Row],[Heavy Printing Window Month End]]*365.25/12</f>
        <v/>
      </c>
      <c r="S63" s="3">
        <f>AND(NOW()&gt;=tbl_MTG_Set[[#This Row],[Heavy Printing Window Start]], NOW()&lt;=tbl_MTG_Set[[#This Row],[Heavy Printing Window End]])</f>
        <v/>
      </c>
      <c r="T63">
        <f>_xlfn.XLOOKUP(tbl_MTG_Set[[#This Row],[Type Name]], tbl_MTG_Set_Type[Set Type], tbl_MTG_Set_Type[Sell Window Month Start], "(Set Type not found)", 0, 1)</f>
        <v/>
      </c>
      <c r="U63" s="3">
        <f>tbl_MTG_Set[[#This Row],[Released On]]+tbl_MTG_Set[[#This Row],[Sell Window Month Start]]*365.25/12</f>
        <v/>
      </c>
      <c r="V63">
        <f>_xlfn.XLOOKUP(tbl_MTG_Set[[#This Row],[Type Name]], tbl_MTG_Set_Type[Set Type], tbl_MTG_Set_Type[Sell Window Month End], "(Set Type not found)", 0, 1)</f>
        <v/>
      </c>
      <c r="W63" s="3">
        <f>tbl_MTG_Set[[#This Row],[Released On]]+tbl_MTG_Set[[#This Row],[Sell Window Month End]]*365.25/12</f>
        <v/>
      </c>
      <c r="X63" s="3">
        <f>AND(NOW()&gt;=tbl_MTG_Set[[#This Row],[Sell Window Start]], NOW()&lt;=tbl_MTG_Set[[#This Row],[Sell Window End]])</f>
        <v/>
      </c>
      <c r="AG63" s="10" t="n"/>
      <c r="AH63" s="10" t="n"/>
      <c r="AM63" s="10">
        <f t="array" ref="AM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" s="10">
        <f t="array" ref="AN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" s="4">
        <f>_xlfn.XLOOKUP(tbl_MTG_Set[[#This Row],[Play Booster Box Product Id]], tbl_Product[Product Id], tbl_Product[Pack Size])</f>
        <v/>
      </c>
      <c r="AP63" s="10">
        <f>(tbl_MTG_Set[[#This Row],[Play Booster Box Cost]]+v_Item_Shipping_Cost_In)/tbl_MTG_Set[[#This Row],[Play Booster Box Size]]</f>
        <v/>
      </c>
      <c r="AQ63" s="10">
        <f t="array" ref="AQ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" s="10" t="n"/>
      <c r="AS63" s="10" t="n"/>
      <c r="AT63" s="17">
        <f>tbl_MTG_Set[[#This Row],[Play Booster CardMarket Profit]]/tbl_MTG_Set[[#This Row],[Play Booster Cost]]</f>
        <v/>
      </c>
      <c r="AU63" s="10">
        <f>_xlfn.XLOOKUP(tbl_MTG_Set[[#This Row],[Collector Booster Box Product Id]], tbl_Product[Product Id], tbl_Product[Min Cost])</f>
        <v/>
      </c>
      <c r="AV63" s="10">
        <f>_xlfn.XLOOKUP(tbl_MTG_Set[[#This Row],[Collector Booster Box Product Id]], tbl_Product[Product Id], tbl_Product[Best Source])</f>
        <v/>
      </c>
      <c r="AW63" s="4">
        <f>_xlfn.XLOOKUP(tbl_MTG_Set[[#This Row],[Collector Booster Box Product Id]], tbl_Product[Product Id], tbl_Product[Pack Size])</f>
        <v/>
      </c>
      <c r="AX63" s="10">
        <f>(tbl_MTG_Set[[#This Row],[Collector Booster Box Cost]] + v_Item_Shipping_Cost_In) / tbl_MTG_Set[[#This Row],[Collector Booster Box Size]]</f>
        <v/>
      </c>
      <c r="AY63" s="10">
        <f t="array" ref="AY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" s="10" t="n"/>
      <c r="BA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" s="17">
        <f>tbl_MTG_Set[[#This Row],[Collector Booster CardMarket Profit]]/tbl_MTG_Set[[#This Row],[Collector Booster Cost]]</f>
        <v/>
      </c>
      <c r="BC63" s="10" t="n"/>
      <c r="BF63" s="10">
        <f>tbl_MTG_Set[[#This Row],[Play Booster Sell Price CardMarket]]*tbl_MTG_Set[[#This Row],[Play Booster Expected Market Value]]/tbl_MTG_Set[[#This Row],[Play Boost Sealed Market Value]]</f>
        <v/>
      </c>
      <c r="BG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" s="10">
        <f>tbl_MTG_Set[[#This Row],[Play Singles CardMarket Profit]]/tbl_MTG_Set[[#This Row],[Play Booster Cost]]</f>
        <v/>
      </c>
      <c r="BI63" s="10">
        <f>tbl_MTG_Set[[#This Row],[Play Singles CardMarket Profit]]&gt;0</f>
        <v/>
      </c>
      <c r="BJ63" s="10" t="n"/>
      <c r="BK63" s="10" t="n"/>
      <c r="BL63" s="10">
        <f>tbl_MTG_Set[[#This Row],[Collector Booster Sell Price CardMarket]]*tbl_MTG_Set[[#This Row],[Collector Booster Expected Market Value]]/tbl_MTG_Set[[#This Row],[Collector Boost Sealed Market Value]]</f>
        <v/>
      </c>
      <c r="BM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" s="10">
        <f>tbl_MTG_Set[[#This Row],[Collector Singles CardMarket Profit]]/tbl_MTG_Set[[#This Row],[Collector Booster Cost]]</f>
        <v/>
      </c>
      <c r="BO63" s="10">
        <f>tbl_MTG_Set[[#This Row],[Collector Singles CardMarket Profit]]&gt;0</f>
        <v/>
      </c>
      <c r="BP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">
      <c r="A64" t="n">
        <v>62</v>
      </c>
      <c r="B64" t="inlineStr">
        <is>
          <t>Aetherdrift Art Series ADFT</t>
        </is>
      </c>
      <c r="C64" t="n">
        <v>54</v>
      </c>
      <c r="D64" s="3" t="n">
        <v>45702</v>
      </c>
      <c r="E64" t="inlineStr">
        <is>
          <t>Standard Expansion</t>
        </is>
      </c>
      <c r="F64" t="inlineStr">
        <is>
          <t>en es fr de it pt ja ko ru 汉语 漢語</t>
        </is>
      </c>
      <c r="G64" t="n">
        <v>70</v>
      </c>
      <c r="H64">
        <f>MONTH(NOW())+12*YEAR(NOW())-MONTH(tbl_MTG_Set[[#This Row],[Released On]])-12*YEAR(tbl_MTG_Set[[#This Row],[Released On]])</f>
        <v/>
      </c>
      <c r="I64">
        <f>_xlfn.XLOOKUP(tbl_MTG_Set[[#This Row],[Type Name]], tbl_MTG_Set_Type[Set Type], tbl_MTG_Set_Type[Index], "(Set Type not found)")</f>
        <v/>
      </c>
      <c r="J64">
        <f>_xlfn.XLOOKUP(tbl_MTG_Set[[#This Row],[Type Name]], tbl_MTG_Set_Type[Set Type], tbl_MTG_Set_Type[Buy Window Month Start], "(Set Type not found)")</f>
        <v/>
      </c>
      <c r="K64" s="3">
        <f>tbl_MTG_Set[[#This Row],[Released On]]+tbl_MTG_Set[[#This Row],[Buy Window Month Start]]*365.25/12</f>
        <v/>
      </c>
      <c r="L64">
        <f>_xlfn.XLOOKUP(tbl_MTG_Set[[#This Row],[Type Name]], tbl_MTG_Set_Type[Set Type], tbl_MTG_Set_Type[Buy Window Month End], "(Set Type not found)", 0, 1)</f>
        <v/>
      </c>
      <c r="M64" s="3">
        <f>tbl_MTG_Set[[#This Row],[Released On]]+tbl_MTG_Set[[#This Row],[Buy Window Month End]]*365.25/12</f>
        <v/>
      </c>
      <c r="N64" s="3">
        <f>AND(NOW()&gt;=tbl_MTG_Set[[#This Row],[Buy Window Start]], NOW()&lt;=tbl_MTG_Set[[#This Row],[Buy Window End]])</f>
        <v/>
      </c>
      <c r="O64">
        <f>_xlfn.XLOOKUP(tbl_MTG_Set[[#This Row],[Type Name]], tbl_MTG_Set_Type[Set Type], tbl_MTG_Set_Type[Heavy Printing Window Month Start], "(Set Type not found)", 0, 1)</f>
        <v/>
      </c>
      <c r="P64" s="3">
        <f>tbl_MTG_Set[[#This Row],[Released On]]+tbl_MTG_Set[[#This Row],[Heavy Printing Window Month Start]]*365.25/12</f>
        <v/>
      </c>
      <c r="Q64">
        <f>_xlfn.XLOOKUP(tbl_MTG_Set[[#This Row],[Type Name]], tbl_MTG_Set_Type[Set Type], tbl_MTG_Set_Type[Heavy Printing Window Month End], "(Set Type not found)", 0, 1)</f>
        <v/>
      </c>
      <c r="R64" s="3">
        <f>tbl_MTG_Set[[#This Row],[Released On]]+tbl_MTG_Set[[#This Row],[Heavy Printing Window Month End]]*365.25/12</f>
        <v/>
      </c>
      <c r="S64" s="3">
        <f>AND(NOW()&gt;=tbl_MTG_Set[[#This Row],[Heavy Printing Window Start]], NOW()&lt;=tbl_MTG_Set[[#This Row],[Heavy Printing Window End]])</f>
        <v/>
      </c>
      <c r="T64">
        <f>_xlfn.XLOOKUP(tbl_MTG_Set[[#This Row],[Type Name]], tbl_MTG_Set_Type[Set Type], tbl_MTG_Set_Type[Sell Window Month Start], "(Set Type not found)", 0, 1)</f>
        <v/>
      </c>
      <c r="U64" s="3">
        <f>tbl_MTG_Set[[#This Row],[Released On]]+tbl_MTG_Set[[#This Row],[Sell Window Month Start]]*365.25/12</f>
        <v/>
      </c>
      <c r="V64">
        <f>_xlfn.XLOOKUP(tbl_MTG_Set[[#This Row],[Type Name]], tbl_MTG_Set_Type[Set Type], tbl_MTG_Set_Type[Sell Window Month End], "(Set Type not found)", 0, 1)</f>
        <v/>
      </c>
      <c r="W64" s="3">
        <f>tbl_MTG_Set[[#This Row],[Released On]]+tbl_MTG_Set[[#This Row],[Sell Window Month End]]*365.25/12</f>
        <v/>
      </c>
      <c r="X64" s="3">
        <f>AND(NOW()&gt;=tbl_MTG_Set[[#This Row],[Sell Window Start]], NOW()&lt;=tbl_MTG_Set[[#This Row],[Sell Window End]])</f>
        <v/>
      </c>
      <c r="AG64" s="10" t="n"/>
      <c r="AH64" s="10" t="n"/>
      <c r="AM64" s="10">
        <f t="array" ref="AM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" s="10">
        <f t="array" ref="AN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" s="4">
        <f>_xlfn.XLOOKUP(tbl_MTG_Set[[#This Row],[Play Booster Box Product Id]], tbl_Product[Product Id], tbl_Product[Pack Size])</f>
        <v/>
      </c>
      <c r="AP64" s="10">
        <f>(tbl_MTG_Set[[#This Row],[Play Booster Box Cost]]+v_Item_Shipping_Cost_In)/tbl_MTG_Set[[#This Row],[Play Booster Box Size]]</f>
        <v/>
      </c>
      <c r="AQ64" s="10">
        <f t="array" ref="AQ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" s="10" t="n"/>
      <c r="AS64" s="10" t="n"/>
      <c r="AT64" s="17">
        <f>tbl_MTG_Set[[#This Row],[Play Booster CardMarket Profit]]/tbl_MTG_Set[[#This Row],[Play Booster Cost]]</f>
        <v/>
      </c>
      <c r="AU64" s="10">
        <f>_xlfn.XLOOKUP(tbl_MTG_Set[[#This Row],[Collector Booster Box Product Id]], tbl_Product[Product Id], tbl_Product[Min Cost])</f>
        <v/>
      </c>
      <c r="AV64" s="10">
        <f>_xlfn.XLOOKUP(tbl_MTG_Set[[#This Row],[Collector Booster Box Product Id]], tbl_Product[Product Id], tbl_Product[Best Source])</f>
        <v/>
      </c>
      <c r="AW64" s="4">
        <f>_xlfn.XLOOKUP(tbl_MTG_Set[[#This Row],[Collector Booster Box Product Id]], tbl_Product[Product Id], tbl_Product[Pack Size])</f>
        <v/>
      </c>
      <c r="AX64" s="10">
        <f>(tbl_MTG_Set[[#This Row],[Collector Booster Box Cost]] + v_Item_Shipping_Cost_In) / tbl_MTG_Set[[#This Row],[Collector Booster Box Size]]</f>
        <v/>
      </c>
      <c r="AY64" s="10">
        <f t="array" ref="AY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" s="10" t="n"/>
      <c r="BA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" s="17">
        <f>tbl_MTG_Set[[#This Row],[Collector Booster CardMarket Profit]]/tbl_MTG_Set[[#This Row],[Collector Booster Cost]]</f>
        <v/>
      </c>
      <c r="BC64" s="10" t="n"/>
      <c r="BF64" s="10">
        <f>tbl_MTG_Set[[#This Row],[Play Booster Sell Price CardMarket]]*tbl_MTG_Set[[#This Row],[Play Booster Expected Market Value]]/tbl_MTG_Set[[#This Row],[Play Boost Sealed Market Value]]</f>
        <v/>
      </c>
      <c r="BG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" s="10">
        <f>tbl_MTG_Set[[#This Row],[Play Singles CardMarket Profit]]/tbl_MTG_Set[[#This Row],[Play Booster Cost]]</f>
        <v/>
      </c>
      <c r="BI64" s="10">
        <f>tbl_MTG_Set[[#This Row],[Play Singles CardMarket Profit]]&gt;0</f>
        <v/>
      </c>
      <c r="BJ64" s="10" t="n"/>
      <c r="BK64" s="10" t="n"/>
      <c r="BL64" s="10">
        <f>tbl_MTG_Set[[#This Row],[Collector Booster Sell Price CardMarket]]*tbl_MTG_Set[[#This Row],[Collector Booster Expected Market Value]]/tbl_MTG_Set[[#This Row],[Collector Boost Sealed Market Value]]</f>
        <v/>
      </c>
      <c r="BM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" s="10">
        <f>tbl_MTG_Set[[#This Row],[Collector Singles CardMarket Profit]]/tbl_MTG_Set[[#This Row],[Collector Booster Cost]]</f>
        <v/>
      </c>
      <c r="BO64" s="10">
        <f>tbl_MTG_Set[[#This Row],[Collector Singles CardMarket Profit]]&gt;0</f>
        <v/>
      </c>
      <c r="BP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">
      <c r="A65" t="n">
        <v>63</v>
      </c>
      <c r="B65" t="inlineStr">
        <is>
          <t>Aetherdrift Commander DRC</t>
        </is>
      </c>
      <c r="C65" t="n">
        <v>184</v>
      </c>
      <c r="D65" s="3" t="n">
        <v>45702</v>
      </c>
      <c r="E65" t="inlineStr">
        <is>
          <t>Commander</t>
        </is>
      </c>
      <c r="F65" t="inlineStr">
        <is>
          <t>en es fr de it pt ja ko ru 汉语 漢語</t>
        </is>
      </c>
      <c r="G65" t="n">
        <v>72</v>
      </c>
      <c r="H65">
        <f>MONTH(NOW())+12*YEAR(NOW())-MONTH(tbl_MTG_Set[[#This Row],[Released On]])-12*YEAR(tbl_MTG_Set[[#This Row],[Released On]])</f>
        <v/>
      </c>
      <c r="I65">
        <f>_xlfn.XLOOKUP(tbl_MTG_Set[[#This Row],[Type Name]], tbl_MTG_Set_Type[Set Type], tbl_MTG_Set_Type[Index], "(Set Type not found)")</f>
        <v/>
      </c>
      <c r="J65">
        <f>_xlfn.XLOOKUP(tbl_MTG_Set[[#This Row],[Type Name]], tbl_MTG_Set_Type[Set Type], tbl_MTG_Set_Type[Buy Window Month Start], "(Set Type not found)")</f>
        <v/>
      </c>
      <c r="K65" s="3">
        <f>tbl_MTG_Set[[#This Row],[Released On]]+tbl_MTG_Set[[#This Row],[Buy Window Month Start]]*365.25/12</f>
        <v/>
      </c>
      <c r="L65">
        <f>_xlfn.XLOOKUP(tbl_MTG_Set[[#This Row],[Type Name]], tbl_MTG_Set_Type[Set Type], tbl_MTG_Set_Type[Buy Window Month End], "(Set Type not found)", 0, 1)</f>
        <v/>
      </c>
      <c r="M65" s="3">
        <f>tbl_MTG_Set[[#This Row],[Released On]]+tbl_MTG_Set[[#This Row],[Buy Window Month End]]*365.25/12</f>
        <v/>
      </c>
      <c r="N65" s="3">
        <f>AND(NOW()&gt;=tbl_MTG_Set[[#This Row],[Buy Window Start]], NOW()&lt;=tbl_MTG_Set[[#This Row],[Buy Window End]])</f>
        <v/>
      </c>
      <c r="O65">
        <f>_xlfn.XLOOKUP(tbl_MTG_Set[[#This Row],[Type Name]], tbl_MTG_Set_Type[Set Type], tbl_MTG_Set_Type[Heavy Printing Window Month Start], "(Set Type not found)", 0, 1)</f>
        <v/>
      </c>
      <c r="P65" s="3">
        <f>tbl_MTG_Set[[#This Row],[Released On]]+tbl_MTG_Set[[#This Row],[Heavy Printing Window Month Start]]*365.25/12</f>
        <v/>
      </c>
      <c r="Q65">
        <f>_xlfn.XLOOKUP(tbl_MTG_Set[[#This Row],[Type Name]], tbl_MTG_Set_Type[Set Type], tbl_MTG_Set_Type[Heavy Printing Window Month End], "(Set Type not found)", 0, 1)</f>
        <v/>
      </c>
      <c r="R65" s="3">
        <f>tbl_MTG_Set[[#This Row],[Released On]]+tbl_MTG_Set[[#This Row],[Heavy Printing Window Month End]]*365.25/12</f>
        <v/>
      </c>
      <c r="S65" s="3">
        <f>AND(NOW()&gt;=tbl_MTG_Set[[#This Row],[Heavy Printing Window Start]], NOW()&lt;=tbl_MTG_Set[[#This Row],[Heavy Printing Window End]])</f>
        <v/>
      </c>
      <c r="T65">
        <f>_xlfn.XLOOKUP(tbl_MTG_Set[[#This Row],[Type Name]], tbl_MTG_Set_Type[Set Type], tbl_MTG_Set_Type[Sell Window Month Start], "(Set Type not found)", 0, 1)</f>
        <v/>
      </c>
      <c r="U65" s="3">
        <f>tbl_MTG_Set[[#This Row],[Released On]]+tbl_MTG_Set[[#This Row],[Sell Window Month Start]]*365.25/12</f>
        <v/>
      </c>
      <c r="V65">
        <f>_xlfn.XLOOKUP(tbl_MTG_Set[[#This Row],[Type Name]], tbl_MTG_Set_Type[Set Type], tbl_MTG_Set_Type[Sell Window Month End], "(Set Type not found)", 0, 1)</f>
        <v/>
      </c>
      <c r="W65" s="3">
        <f>tbl_MTG_Set[[#This Row],[Released On]]+tbl_MTG_Set[[#This Row],[Sell Window Month End]]*365.25/12</f>
        <v/>
      </c>
      <c r="X65" s="3">
        <f>AND(NOW()&gt;=tbl_MTG_Set[[#This Row],[Sell Window Start]], NOW()&lt;=tbl_MTG_Set[[#This Row],[Sell Window End]])</f>
        <v/>
      </c>
      <c r="AG65" s="10" t="n"/>
      <c r="AH65" s="10" t="n"/>
      <c r="AM65" s="10">
        <f t="array" ref="AM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" s="10">
        <f t="array" ref="AN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" s="4">
        <f>_xlfn.XLOOKUP(tbl_MTG_Set[[#This Row],[Play Booster Box Product Id]], tbl_Product[Product Id], tbl_Product[Pack Size])</f>
        <v/>
      </c>
      <c r="AP65" s="10">
        <f>(tbl_MTG_Set[[#This Row],[Play Booster Box Cost]]+v_Item_Shipping_Cost_In)/tbl_MTG_Set[[#This Row],[Play Booster Box Size]]</f>
        <v/>
      </c>
      <c r="AQ65" s="10">
        <f t="array" ref="AQ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" s="10" t="n"/>
      <c r="AS65" s="10" t="n"/>
      <c r="AT65" s="17">
        <f>tbl_MTG_Set[[#This Row],[Play Booster CardMarket Profit]]/tbl_MTG_Set[[#This Row],[Play Booster Cost]]</f>
        <v/>
      </c>
      <c r="AU65" s="10">
        <f>_xlfn.XLOOKUP(tbl_MTG_Set[[#This Row],[Collector Booster Box Product Id]], tbl_Product[Product Id], tbl_Product[Min Cost])</f>
        <v/>
      </c>
      <c r="AV65" s="10">
        <f>_xlfn.XLOOKUP(tbl_MTG_Set[[#This Row],[Collector Booster Box Product Id]], tbl_Product[Product Id], tbl_Product[Best Source])</f>
        <v/>
      </c>
      <c r="AW65" s="4">
        <f>_xlfn.XLOOKUP(tbl_MTG_Set[[#This Row],[Collector Booster Box Product Id]], tbl_Product[Product Id], tbl_Product[Pack Size])</f>
        <v/>
      </c>
      <c r="AX65" s="10">
        <f>(tbl_MTG_Set[[#This Row],[Collector Booster Box Cost]] + v_Item_Shipping_Cost_In) / tbl_MTG_Set[[#This Row],[Collector Booster Box Size]]</f>
        <v/>
      </c>
      <c r="AY65" s="10">
        <f t="array" ref="AY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" s="10" t="n"/>
      <c r="BA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" s="17">
        <f>tbl_MTG_Set[[#This Row],[Collector Booster CardMarket Profit]]/tbl_MTG_Set[[#This Row],[Collector Booster Cost]]</f>
        <v/>
      </c>
      <c r="BC65" s="10" t="n"/>
      <c r="BF65" s="10">
        <f>tbl_MTG_Set[[#This Row],[Play Booster Sell Price CardMarket]]*tbl_MTG_Set[[#This Row],[Play Booster Expected Market Value]]/tbl_MTG_Set[[#This Row],[Play Boost Sealed Market Value]]</f>
        <v/>
      </c>
      <c r="BG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" s="10">
        <f>tbl_MTG_Set[[#This Row],[Play Singles CardMarket Profit]]/tbl_MTG_Set[[#This Row],[Play Booster Cost]]</f>
        <v/>
      </c>
      <c r="BI65" s="10">
        <f>tbl_MTG_Set[[#This Row],[Play Singles CardMarket Profit]]&gt;0</f>
        <v/>
      </c>
      <c r="BJ65" s="10" t="n"/>
      <c r="BK65" s="10" t="n"/>
      <c r="BL65" s="10">
        <f>tbl_MTG_Set[[#This Row],[Collector Booster Sell Price CardMarket]]*tbl_MTG_Set[[#This Row],[Collector Booster Expected Market Value]]/tbl_MTG_Set[[#This Row],[Collector Boost Sealed Market Value]]</f>
        <v/>
      </c>
      <c r="BM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" s="10">
        <f>tbl_MTG_Set[[#This Row],[Collector Singles CardMarket Profit]]/tbl_MTG_Set[[#This Row],[Collector Booster Cost]]</f>
        <v/>
      </c>
      <c r="BO65" s="10">
        <f>tbl_MTG_Set[[#This Row],[Collector Singles CardMarket Profit]]&gt;0</f>
        <v/>
      </c>
      <c r="BP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">
      <c r="A66" t="n">
        <v>64</v>
      </c>
      <c r="B66" t="inlineStr">
        <is>
          <t>Aetherdrift Commander Tokens TDRC</t>
        </is>
      </c>
      <c r="C66" t="n">
        <v>17</v>
      </c>
      <c r="D66" s="3" t="n">
        <v>45702</v>
      </c>
      <c r="E66" t="inlineStr">
        <is>
          <t>Commander</t>
        </is>
      </c>
      <c r="F66" t="inlineStr">
        <is>
          <t>en es fr de it pt ja ko ru 汉语 漢語</t>
        </is>
      </c>
      <c r="G66" t="n">
        <v>74</v>
      </c>
      <c r="H66">
        <f>MONTH(NOW())+12*YEAR(NOW())-MONTH(tbl_MTG_Set[[#This Row],[Released On]])-12*YEAR(tbl_MTG_Set[[#This Row],[Released On]])</f>
        <v/>
      </c>
      <c r="I66">
        <f>_xlfn.XLOOKUP(tbl_MTG_Set[[#This Row],[Type Name]], tbl_MTG_Set_Type[Set Type], tbl_MTG_Set_Type[Index], "(Set Type not found)")</f>
        <v/>
      </c>
      <c r="J66">
        <f>_xlfn.XLOOKUP(tbl_MTG_Set[[#This Row],[Type Name]], tbl_MTG_Set_Type[Set Type], tbl_MTG_Set_Type[Buy Window Month Start], "(Set Type not found)")</f>
        <v/>
      </c>
      <c r="K66" s="3">
        <f>tbl_MTG_Set[[#This Row],[Released On]]+tbl_MTG_Set[[#This Row],[Buy Window Month Start]]*365.25/12</f>
        <v/>
      </c>
      <c r="L66">
        <f>_xlfn.XLOOKUP(tbl_MTG_Set[[#This Row],[Type Name]], tbl_MTG_Set_Type[Set Type], tbl_MTG_Set_Type[Buy Window Month End], "(Set Type not found)", 0, 1)</f>
        <v/>
      </c>
      <c r="M66" s="3">
        <f>tbl_MTG_Set[[#This Row],[Released On]]+tbl_MTG_Set[[#This Row],[Buy Window Month End]]*365.25/12</f>
        <v/>
      </c>
      <c r="N66" s="3">
        <f>AND(NOW()&gt;=tbl_MTG_Set[[#This Row],[Buy Window Start]], NOW()&lt;=tbl_MTG_Set[[#This Row],[Buy Window End]])</f>
        <v/>
      </c>
      <c r="O66">
        <f>_xlfn.XLOOKUP(tbl_MTG_Set[[#This Row],[Type Name]], tbl_MTG_Set_Type[Set Type], tbl_MTG_Set_Type[Heavy Printing Window Month Start], "(Set Type not found)", 0, 1)</f>
        <v/>
      </c>
      <c r="P66" s="3">
        <f>tbl_MTG_Set[[#This Row],[Released On]]+tbl_MTG_Set[[#This Row],[Heavy Printing Window Month Start]]*365.25/12</f>
        <v/>
      </c>
      <c r="Q66">
        <f>_xlfn.XLOOKUP(tbl_MTG_Set[[#This Row],[Type Name]], tbl_MTG_Set_Type[Set Type], tbl_MTG_Set_Type[Heavy Printing Window Month End], "(Set Type not found)", 0, 1)</f>
        <v/>
      </c>
      <c r="R66" s="3">
        <f>tbl_MTG_Set[[#This Row],[Released On]]+tbl_MTG_Set[[#This Row],[Heavy Printing Window Month End]]*365.25/12</f>
        <v/>
      </c>
      <c r="S66" s="3">
        <f>AND(NOW()&gt;=tbl_MTG_Set[[#This Row],[Heavy Printing Window Start]], NOW()&lt;=tbl_MTG_Set[[#This Row],[Heavy Printing Window End]])</f>
        <v/>
      </c>
      <c r="T66">
        <f>_xlfn.XLOOKUP(tbl_MTG_Set[[#This Row],[Type Name]], tbl_MTG_Set_Type[Set Type], tbl_MTG_Set_Type[Sell Window Month Start], "(Set Type not found)", 0, 1)</f>
        <v/>
      </c>
      <c r="U66" s="3">
        <f>tbl_MTG_Set[[#This Row],[Released On]]+tbl_MTG_Set[[#This Row],[Sell Window Month Start]]*365.25/12</f>
        <v/>
      </c>
      <c r="V66">
        <f>_xlfn.XLOOKUP(tbl_MTG_Set[[#This Row],[Type Name]], tbl_MTG_Set_Type[Set Type], tbl_MTG_Set_Type[Sell Window Month End], "(Set Type not found)", 0, 1)</f>
        <v/>
      </c>
      <c r="W66" s="3">
        <f>tbl_MTG_Set[[#This Row],[Released On]]+tbl_MTG_Set[[#This Row],[Sell Window Month End]]*365.25/12</f>
        <v/>
      </c>
      <c r="X66" s="3">
        <f>AND(NOW()&gt;=tbl_MTG_Set[[#This Row],[Sell Window Start]], NOW()&lt;=tbl_MTG_Set[[#This Row],[Sell Window End]])</f>
        <v/>
      </c>
      <c r="AG66" s="10" t="n"/>
      <c r="AH66" s="10" t="n"/>
      <c r="AM66" s="10">
        <f t="array" ref="AM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" s="10">
        <f t="array" ref="AN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" s="4">
        <f>_xlfn.XLOOKUP(tbl_MTG_Set[[#This Row],[Play Booster Box Product Id]], tbl_Product[Product Id], tbl_Product[Pack Size])</f>
        <v/>
      </c>
      <c r="AP66" s="10">
        <f>(tbl_MTG_Set[[#This Row],[Play Booster Box Cost]]+v_Item_Shipping_Cost_In)/tbl_MTG_Set[[#This Row],[Play Booster Box Size]]</f>
        <v/>
      </c>
      <c r="AQ66" s="10">
        <f t="array" ref="AQ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" s="10" t="n"/>
      <c r="AS66" s="10" t="n"/>
      <c r="AT66" s="17">
        <f>tbl_MTG_Set[[#This Row],[Play Booster CardMarket Profit]]/tbl_MTG_Set[[#This Row],[Play Booster Cost]]</f>
        <v/>
      </c>
      <c r="AU66" s="10">
        <f>_xlfn.XLOOKUP(tbl_MTG_Set[[#This Row],[Collector Booster Box Product Id]], tbl_Product[Product Id], tbl_Product[Min Cost])</f>
        <v/>
      </c>
      <c r="AV66" s="10">
        <f>_xlfn.XLOOKUP(tbl_MTG_Set[[#This Row],[Collector Booster Box Product Id]], tbl_Product[Product Id], tbl_Product[Best Source])</f>
        <v/>
      </c>
      <c r="AW66" s="4">
        <f>_xlfn.XLOOKUP(tbl_MTG_Set[[#This Row],[Collector Booster Box Product Id]], tbl_Product[Product Id], tbl_Product[Pack Size])</f>
        <v/>
      </c>
      <c r="AX66" s="10">
        <f>(tbl_MTG_Set[[#This Row],[Collector Booster Box Cost]] + v_Item_Shipping_Cost_In) / tbl_MTG_Set[[#This Row],[Collector Booster Box Size]]</f>
        <v/>
      </c>
      <c r="AY66" s="10">
        <f t="array" ref="AY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" s="10" t="n"/>
      <c r="BA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" s="17">
        <f>tbl_MTG_Set[[#This Row],[Collector Booster CardMarket Profit]]/tbl_MTG_Set[[#This Row],[Collector Booster Cost]]</f>
        <v/>
      </c>
      <c r="BC66" s="10" t="n"/>
      <c r="BF66" s="10">
        <f>tbl_MTG_Set[[#This Row],[Play Booster Sell Price CardMarket]]*tbl_MTG_Set[[#This Row],[Play Booster Expected Market Value]]/tbl_MTG_Set[[#This Row],[Play Boost Sealed Market Value]]</f>
        <v/>
      </c>
      <c r="BG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" s="10">
        <f>tbl_MTG_Set[[#This Row],[Play Singles CardMarket Profit]]/tbl_MTG_Set[[#This Row],[Play Booster Cost]]</f>
        <v/>
      </c>
      <c r="BI66" s="10">
        <f>tbl_MTG_Set[[#This Row],[Play Singles CardMarket Profit]]&gt;0</f>
        <v/>
      </c>
      <c r="BJ66" s="10" t="n"/>
      <c r="BK66" s="10" t="n"/>
      <c r="BL66" s="10">
        <f>tbl_MTG_Set[[#This Row],[Collector Booster Sell Price CardMarket]]*tbl_MTG_Set[[#This Row],[Collector Booster Expected Market Value]]/tbl_MTG_Set[[#This Row],[Collector Boost Sealed Market Value]]</f>
        <v/>
      </c>
      <c r="BM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" s="10">
        <f>tbl_MTG_Set[[#This Row],[Collector Singles CardMarket Profit]]/tbl_MTG_Set[[#This Row],[Collector Booster Cost]]</f>
        <v/>
      </c>
      <c r="BO66" s="10">
        <f>tbl_MTG_Set[[#This Row],[Collector Singles CardMarket Profit]]&gt;0</f>
        <v/>
      </c>
      <c r="BP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">
      <c r="A67" t="n">
        <v>65</v>
      </c>
      <c r="B67" t="inlineStr">
        <is>
          <t>Japan Standard Cup PJSC</t>
        </is>
      </c>
      <c r="C67" t="n">
        <v>2</v>
      </c>
      <c r="D67" s="3" t="n">
        <v>45697</v>
      </c>
      <c r="F67" t="inlineStr">
        <is>
          <t>en es fr de it pt ja ko ru 汉语 漢語</t>
        </is>
      </c>
      <c r="G67" t="n">
        <v>76</v>
      </c>
      <c r="H67">
        <f>MONTH(NOW())+12*YEAR(NOW())-MONTH(tbl_MTG_Set[[#This Row],[Released On]])-12*YEAR(tbl_MTG_Set[[#This Row],[Released On]])</f>
        <v/>
      </c>
      <c r="I67">
        <f>_xlfn.XLOOKUP(tbl_MTG_Set[[#This Row],[Type Name]], tbl_MTG_Set_Type[Set Type], tbl_MTG_Set_Type[Index], "(Set Type not found)")</f>
        <v/>
      </c>
      <c r="J67">
        <f>_xlfn.XLOOKUP(tbl_MTG_Set[[#This Row],[Type Name]], tbl_MTG_Set_Type[Set Type], tbl_MTG_Set_Type[Buy Window Month Start], "(Set Type not found)")</f>
        <v/>
      </c>
      <c r="K67" s="3">
        <f>tbl_MTG_Set[[#This Row],[Released On]]+tbl_MTG_Set[[#This Row],[Buy Window Month Start]]*365.25/12</f>
        <v/>
      </c>
      <c r="L67">
        <f>_xlfn.XLOOKUP(tbl_MTG_Set[[#This Row],[Type Name]], tbl_MTG_Set_Type[Set Type], tbl_MTG_Set_Type[Buy Window Month End], "(Set Type not found)", 0, 1)</f>
        <v/>
      </c>
      <c r="M67" s="3">
        <f>tbl_MTG_Set[[#This Row],[Released On]]+tbl_MTG_Set[[#This Row],[Buy Window Month End]]*365.25/12</f>
        <v/>
      </c>
      <c r="N67" s="3">
        <f>AND(NOW()&gt;=tbl_MTG_Set[[#This Row],[Buy Window Start]], NOW()&lt;=tbl_MTG_Set[[#This Row],[Buy Window End]])</f>
        <v/>
      </c>
      <c r="O67">
        <f>_xlfn.XLOOKUP(tbl_MTG_Set[[#This Row],[Type Name]], tbl_MTG_Set_Type[Set Type], tbl_MTG_Set_Type[Heavy Printing Window Month Start], "(Set Type not found)", 0, 1)</f>
        <v/>
      </c>
      <c r="P67" s="3">
        <f>tbl_MTG_Set[[#This Row],[Released On]]+tbl_MTG_Set[[#This Row],[Heavy Printing Window Month Start]]*365.25/12</f>
        <v/>
      </c>
      <c r="Q67">
        <f>_xlfn.XLOOKUP(tbl_MTG_Set[[#This Row],[Type Name]], tbl_MTG_Set_Type[Set Type], tbl_MTG_Set_Type[Heavy Printing Window Month End], "(Set Type not found)", 0, 1)</f>
        <v/>
      </c>
      <c r="R67" s="3">
        <f>tbl_MTG_Set[[#This Row],[Released On]]+tbl_MTG_Set[[#This Row],[Heavy Printing Window Month End]]*365.25/12</f>
        <v/>
      </c>
      <c r="S67" s="3">
        <f>AND(NOW()&gt;=tbl_MTG_Set[[#This Row],[Heavy Printing Window Start]], NOW()&lt;=tbl_MTG_Set[[#This Row],[Heavy Printing Window End]])</f>
        <v/>
      </c>
      <c r="T67">
        <f>_xlfn.XLOOKUP(tbl_MTG_Set[[#This Row],[Type Name]], tbl_MTG_Set_Type[Set Type], tbl_MTG_Set_Type[Sell Window Month Start], "(Set Type not found)", 0, 1)</f>
        <v/>
      </c>
      <c r="U67" s="3">
        <f>tbl_MTG_Set[[#This Row],[Released On]]+tbl_MTG_Set[[#This Row],[Sell Window Month Start]]*365.25/12</f>
        <v/>
      </c>
      <c r="V67">
        <f>_xlfn.XLOOKUP(tbl_MTG_Set[[#This Row],[Type Name]], tbl_MTG_Set_Type[Set Type], tbl_MTG_Set_Type[Sell Window Month End], "(Set Type not found)", 0, 1)</f>
        <v/>
      </c>
      <c r="W67" s="3">
        <f>tbl_MTG_Set[[#This Row],[Released On]]+tbl_MTG_Set[[#This Row],[Sell Window Month End]]*365.25/12</f>
        <v/>
      </c>
      <c r="X67" s="3">
        <f>AND(NOW()&gt;=tbl_MTG_Set[[#This Row],[Sell Window Start]], NOW()&lt;=tbl_MTG_Set[[#This Row],[Sell Window End]])</f>
        <v/>
      </c>
      <c r="AG67" s="10" t="n"/>
      <c r="AH67" s="10" t="n"/>
      <c r="AM67" s="10">
        <f t="array" ref="AM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" s="10">
        <f t="array" ref="AN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" s="4">
        <f>_xlfn.XLOOKUP(tbl_MTG_Set[[#This Row],[Play Booster Box Product Id]], tbl_Product[Product Id], tbl_Product[Pack Size])</f>
        <v/>
      </c>
      <c r="AP67" s="10">
        <f>(tbl_MTG_Set[[#This Row],[Play Booster Box Cost]]+v_Item_Shipping_Cost_In)/tbl_MTG_Set[[#This Row],[Play Booster Box Size]]</f>
        <v/>
      </c>
      <c r="AQ67" s="10">
        <f t="array" ref="AQ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" s="10" t="n"/>
      <c r="AS67" s="10" t="n"/>
      <c r="AT67" s="17">
        <f>tbl_MTG_Set[[#This Row],[Play Booster CardMarket Profit]]/tbl_MTG_Set[[#This Row],[Play Booster Cost]]</f>
        <v/>
      </c>
      <c r="AU67" s="10">
        <f>_xlfn.XLOOKUP(tbl_MTG_Set[[#This Row],[Collector Booster Box Product Id]], tbl_Product[Product Id], tbl_Product[Min Cost])</f>
        <v/>
      </c>
      <c r="AV67" s="10">
        <f>_xlfn.XLOOKUP(tbl_MTG_Set[[#This Row],[Collector Booster Box Product Id]], tbl_Product[Product Id], tbl_Product[Best Source])</f>
        <v/>
      </c>
      <c r="AW67" s="4">
        <f>_xlfn.XLOOKUP(tbl_MTG_Set[[#This Row],[Collector Booster Box Product Id]], tbl_Product[Product Id], tbl_Product[Pack Size])</f>
        <v/>
      </c>
      <c r="AX67" s="10">
        <f>(tbl_MTG_Set[[#This Row],[Collector Booster Box Cost]] + v_Item_Shipping_Cost_In) / tbl_MTG_Set[[#This Row],[Collector Booster Box Size]]</f>
        <v/>
      </c>
      <c r="AY67" s="10">
        <f t="array" ref="AY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" s="10" t="n"/>
      <c r="BA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" s="17">
        <f>tbl_MTG_Set[[#This Row],[Collector Booster CardMarket Profit]]/tbl_MTG_Set[[#This Row],[Collector Booster Cost]]</f>
        <v/>
      </c>
      <c r="BC67" s="10" t="n"/>
      <c r="BF67" s="10">
        <f>tbl_MTG_Set[[#This Row],[Play Booster Sell Price CardMarket]]*tbl_MTG_Set[[#This Row],[Play Booster Expected Market Value]]/tbl_MTG_Set[[#This Row],[Play Boost Sealed Market Value]]</f>
        <v/>
      </c>
      <c r="BG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" s="10">
        <f>tbl_MTG_Set[[#This Row],[Play Singles CardMarket Profit]]/tbl_MTG_Set[[#This Row],[Play Booster Cost]]</f>
        <v/>
      </c>
      <c r="BI67" s="10">
        <f>tbl_MTG_Set[[#This Row],[Play Singles CardMarket Profit]]&gt;0</f>
        <v/>
      </c>
      <c r="BJ67" s="10" t="n"/>
      <c r="BK67" s="10" t="n"/>
      <c r="BL67" s="10">
        <f>tbl_MTG_Set[[#This Row],[Collector Booster Sell Price CardMarket]]*tbl_MTG_Set[[#This Row],[Collector Booster Expected Market Value]]/tbl_MTG_Set[[#This Row],[Collector Boost Sealed Market Value]]</f>
        <v/>
      </c>
      <c r="BM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" s="10">
        <f>tbl_MTG_Set[[#This Row],[Collector Singles CardMarket Profit]]/tbl_MTG_Set[[#This Row],[Collector Booster Cost]]</f>
        <v/>
      </c>
      <c r="BO67" s="10">
        <f>tbl_MTG_Set[[#This Row],[Collector Singles CardMarket Profit]]&gt;0</f>
        <v/>
      </c>
      <c r="BP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">
      <c r="A68" t="n">
        <v>66</v>
      </c>
      <c r="B68" t="inlineStr">
        <is>
          <t>Innistrad Remastered INR</t>
        </is>
      </c>
      <c r="C68" t="n">
        <v>495</v>
      </c>
      <c r="D68" s="3" t="n">
        <v>45681</v>
      </c>
      <c r="E68" t="inlineStr">
        <is>
          <t>Remastered</t>
        </is>
      </c>
      <c r="F68" t="inlineStr">
        <is>
          <t>en es fr de it pt ja ko ru 汉语 漢語</t>
        </is>
      </c>
      <c r="G68" t="n">
        <v>78</v>
      </c>
      <c r="H68">
        <f>MONTH(NOW())+12*YEAR(NOW())-MONTH(tbl_MTG_Set[[#This Row],[Released On]])-12*YEAR(tbl_MTG_Set[[#This Row],[Released On]])</f>
        <v/>
      </c>
      <c r="I68">
        <f>_xlfn.XLOOKUP(tbl_MTG_Set[[#This Row],[Type Name]], tbl_MTG_Set_Type[Set Type], tbl_MTG_Set_Type[Index], "(Set Type not found)")</f>
        <v/>
      </c>
      <c r="J68">
        <f>_xlfn.XLOOKUP(tbl_MTG_Set[[#This Row],[Type Name]], tbl_MTG_Set_Type[Set Type], tbl_MTG_Set_Type[Buy Window Month Start], "(Set Type not found)")</f>
        <v/>
      </c>
      <c r="K68" s="3">
        <f>tbl_MTG_Set[[#This Row],[Released On]]+tbl_MTG_Set[[#This Row],[Buy Window Month Start]]*365.25/12</f>
        <v/>
      </c>
      <c r="L68">
        <f>_xlfn.XLOOKUP(tbl_MTG_Set[[#This Row],[Type Name]], tbl_MTG_Set_Type[Set Type], tbl_MTG_Set_Type[Buy Window Month End], "(Set Type not found)", 0, 1)</f>
        <v/>
      </c>
      <c r="M68" s="3">
        <f>tbl_MTG_Set[[#This Row],[Released On]]+tbl_MTG_Set[[#This Row],[Buy Window Month End]]*365.25/12</f>
        <v/>
      </c>
      <c r="N68" s="3">
        <f>AND(NOW()&gt;=tbl_MTG_Set[[#This Row],[Buy Window Start]], NOW()&lt;=tbl_MTG_Set[[#This Row],[Buy Window End]])</f>
        <v/>
      </c>
      <c r="O68">
        <f>_xlfn.XLOOKUP(tbl_MTG_Set[[#This Row],[Type Name]], tbl_MTG_Set_Type[Set Type], tbl_MTG_Set_Type[Heavy Printing Window Month Start], "(Set Type not found)", 0, 1)</f>
        <v/>
      </c>
      <c r="P68" s="3">
        <f>tbl_MTG_Set[[#This Row],[Released On]]+tbl_MTG_Set[[#This Row],[Heavy Printing Window Month Start]]*365.25/12</f>
        <v/>
      </c>
      <c r="Q68">
        <f>_xlfn.XLOOKUP(tbl_MTG_Set[[#This Row],[Type Name]], tbl_MTG_Set_Type[Set Type], tbl_MTG_Set_Type[Heavy Printing Window Month End], "(Set Type not found)", 0, 1)</f>
        <v/>
      </c>
      <c r="R68" s="3">
        <f>tbl_MTG_Set[[#This Row],[Released On]]+tbl_MTG_Set[[#This Row],[Heavy Printing Window Month End]]*365.25/12</f>
        <v/>
      </c>
      <c r="S68" s="3">
        <f>AND(NOW()&gt;=tbl_MTG_Set[[#This Row],[Heavy Printing Window Start]], NOW()&lt;=tbl_MTG_Set[[#This Row],[Heavy Printing Window End]])</f>
        <v/>
      </c>
      <c r="T68">
        <f>_xlfn.XLOOKUP(tbl_MTG_Set[[#This Row],[Type Name]], tbl_MTG_Set_Type[Set Type], tbl_MTG_Set_Type[Sell Window Month Start], "(Set Type not found)", 0, 1)</f>
        <v/>
      </c>
      <c r="U68" s="3">
        <f>tbl_MTG_Set[[#This Row],[Released On]]+tbl_MTG_Set[[#This Row],[Sell Window Month Start]]*365.25/12</f>
        <v/>
      </c>
      <c r="V68">
        <f>_xlfn.XLOOKUP(tbl_MTG_Set[[#This Row],[Type Name]], tbl_MTG_Set_Type[Set Type], tbl_MTG_Set_Type[Sell Window Month End], "(Set Type not found)", 0, 1)</f>
        <v/>
      </c>
      <c r="W68" s="3">
        <f>tbl_MTG_Set[[#This Row],[Released On]]+tbl_MTG_Set[[#This Row],[Sell Window Month End]]*365.25/12</f>
        <v/>
      </c>
      <c r="X68" s="3">
        <f>AND(NOW()&gt;=tbl_MTG_Set[[#This Row],[Sell Window Start]], NOW()&lt;=tbl_MTG_Set[[#This Row],[Sell Window End]])</f>
        <v/>
      </c>
      <c r="Y68" s="10" t="n">
        <v>123</v>
      </c>
      <c r="Z68" s="10" t="n">
        <v>195</v>
      </c>
      <c r="AA68" s="10" t="n">
        <v>165</v>
      </c>
      <c r="AC68" s="10" t="n">
        <v>180</v>
      </c>
      <c r="AD68" s="10">
        <f>(Y68+96/20)/36</f>
        <v/>
      </c>
      <c r="AE68" s="10">
        <f>(Z68+96/20)/36</f>
        <v/>
      </c>
      <c r="AF68" s="10">
        <f>($AA$447+96/20)/36</f>
        <v/>
      </c>
      <c r="AG68" s="10" t="n"/>
      <c r="AH68" s="10" t="n"/>
      <c r="AI68" s="4" t="n">
        <v>48</v>
      </c>
      <c r="AJ68" s="4" t="n">
        <v>3</v>
      </c>
      <c r="AK68" s="4" t="n">
        <v>106</v>
      </c>
      <c r="AL68" s="4" t="n">
        <v>105</v>
      </c>
      <c r="AM68" s="10">
        <f t="array" ref="AM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" s="10">
        <f t="array" ref="AN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" s="4">
        <f>_xlfn.XLOOKUP(tbl_MTG_Set[[#This Row],[Play Booster Box Product Id]], tbl_Product[Product Id], tbl_Product[Pack Size])</f>
        <v/>
      </c>
      <c r="AP68" s="10">
        <f>(tbl_MTG_Set[[#This Row],[Play Booster Box Cost]]+v_Item_Shipping_Cost_In)/tbl_MTG_Set[[#This Row],[Play Booster Box Size]]</f>
        <v/>
      </c>
      <c r="AQ68" s="10">
        <f t="array" ref="AQ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" s="10" t="n">
        <v>6.5</v>
      </c>
      <c r="AS6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68" s="17">
        <f>tbl_MTG_Set[[#This Row],[Play Booster CardMarket Profit]]/tbl_MTG_Set[[#This Row],[Play Booster Cost]]</f>
        <v/>
      </c>
      <c r="AU68" s="10">
        <f>_xlfn.XLOOKUP(tbl_MTG_Set[[#This Row],[Collector Booster Box Product Id]], tbl_Product[Product Id], tbl_Product[Min Cost])</f>
        <v/>
      </c>
      <c r="AV68" s="10">
        <f>_xlfn.XLOOKUP(tbl_MTG_Set[[#This Row],[Collector Booster Box Product Id]], tbl_Product[Product Id], tbl_Product[Best Source])</f>
        <v/>
      </c>
      <c r="AW68" s="4">
        <f>_xlfn.XLOOKUP(tbl_MTG_Set[[#This Row],[Collector Booster Box Product Id]], tbl_Product[Product Id], tbl_Product[Pack Size])</f>
        <v/>
      </c>
      <c r="AX68" s="10">
        <f>(tbl_MTG_Set[[#This Row],[Collector Booster Box Cost]] + v_Item_Shipping_Cost_In) / tbl_MTG_Set[[#This Row],[Collector Booster Box Size]]</f>
        <v/>
      </c>
      <c r="AY68" s="10">
        <f t="array" ref="AY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" s="10" t="n"/>
      <c r="BA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" s="17">
        <f>tbl_MTG_Set[[#This Row],[Collector Booster CardMarket Profit]]/tbl_MTG_Set[[#This Row],[Collector Booster Cost]]</f>
        <v/>
      </c>
      <c r="BC68" s="15" t="inlineStr">
        <is>
          <t>https://www.mtgstocks.com/sets/2098-innistrad-remastered#ev</t>
        </is>
      </c>
      <c r="BD68" s="11" t="n">
        <v>4.31</v>
      </c>
      <c r="BE68" s="11" t="n">
        <v>6.63</v>
      </c>
      <c r="BF68" s="10">
        <f>tbl_MTG_Set[[#This Row],[Play Booster Sell Price CardMarket]]*tbl_MTG_Set[[#This Row],[Play Booster Expected Market Value]]/tbl_MTG_Set[[#This Row],[Play Boost Sealed Market Value]]</f>
        <v/>
      </c>
      <c r="BG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" s="17">
        <f>tbl_MTG_Set[[#This Row],[Play Singles CardMarket Profit]]/tbl_MTG_Set[[#This Row],[Play Booster Cost]]</f>
        <v/>
      </c>
      <c r="BI68" s="10">
        <f>tbl_MTG_Set[[#This Row],[Play Singles CardMarket Profit]]&gt;0</f>
        <v/>
      </c>
      <c r="BJ68" s="10" t="n">
        <v>24.16</v>
      </c>
      <c r="BK68" s="10" t="n">
        <v>33.44</v>
      </c>
      <c r="BL68" s="10">
        <f>tbl_MTG_Set[[#This Row],[Collector Booster Sell Price CardMarket]]*tbl_MTG_Set[[#This Row],[Collector Booster Expected Market Value]]/tbl_MTG_Set[[#This Row],[Collector Boost Sealed Market Value]]</f>
        <v/>
      </c>
      <c r="BM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" s="17">
        <f>tbl_MTG_Set[[#This Row],[Collector Singles CardMarket Profit]]/tbl_MTG_Set[[#This Row],[Collector Booster Cost]]</f>
        <v/>
      </c>
      <c r="BO68" s="10">
        <f>tbl_MTG_Set[[#This Row],[Collector Singles CardMarket Profit]]&gt;0</f>
        <v/>
      </c>
      <c r="BP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">
      <c r="A69" t="n">
        <v>67</v>
      </c>
      <c r="B69" t="inlineStr">
        <is>
          <t>Innistrad Remastered Tokens TINR</t>
        </is>
      </c>
      <c r="C69" t="n">
        <v>27</v>
      </c>
      <c r="D69" s="3" t="n">
        <v>45681</v>
      </c>
      <c r="E69" t="inlineStr">
        <is>
          <t>Remastered</t>
        </is>
      </c>
      <c r="F69" t="inlineStr">
        <is>
          <t>en es fr de it pt ja ko ru 汉语 漢語</t>
        </is>
      </c>
      <c r="G69" t="n">
        <v>80</v>
      </c>
      <c r="H69">
        <f>MONTH(NOW())+12*YEAR(NOW())-MONTH(tbl_MTG_Set[[#This Row],[Released On]])-12*YEAR(tbl_MTG_Set[[#This Row],[Released On]])</f>
        <v/>
      </c>
      <c r="I69">
        <f>_xlfn.XLOOKUP(tbl_MTG_Set[[#This Row],[Type Name]], tbl_MTG_Set_Type[Set Type], tbl_MTG_Set_Type[Index], "(Set Type not found)")</f>
        <v/>
      </c>
      <c r="J69">
        <f>_xlfn.XLOOKUP(tbl_MTG_Set[[#This Row],[Type Name]], tbl_MTG_Set_Type[Set Type], tbl_MTG_Set_Type[Buy Window Month Start], "(Set Type not found)")</f>
        <v/>
      </c>
      <c r="K69" s="3">
        <f>tbl_MTG_Set[[#This Row],[Released On]]+tbl_MTG_Set[[#This Row],[Buy Window Month Start]]*365.25/12</f>
        <v/>
      </c>
      <c r="L69">
        <f>_xlfn.XLOOKUP(tbl_MTG_Set[[#This Row],[Type Name]], tbl_MTG_Set_Type[Set Type], tbl_MTG_Set_Type[Buy Window Month End], "(Set Type not found)", 0, 1)</f>
        <v/>
      </c>
      <c r="M69" s="3">
        <f>tbl_MTG_Set[[#This Row],[Released On]]+tbl_MTG_Set[[#This Row],[Buy Window Month End]]*365.25/12</f>
        <v/>
      </c>
      <c r="N69" s="3">
        <f>AND(NOW()&gt;=tbl_MTG_Set[[#This Row],[Buy Window Start]], NOW()&lt;=tbl_MTG_Set[[#This Row],[Buy Window End]])</f>
        <v/>
      </c>
      <c r="O69">
        <f>_xlfn.XLOOKUP(tbl_MTG_Set[[#This Row],[Type Name]], tbl_MTG_Set_Type[Set Type], tbl_MTG_Set_Type[Heavy Printing Window Month Start], "(Set Type not found)", 0, 1)</f>
        <v/>
      </c>
      <c r="P69" s="3">
        <f>tbl_MTG_Set[[#This Row],[Released On]]+tbl_MTG_Set[[#This Row],[Heavy Printing Window Month Start]]*365.25/12</f>
        <v/>
      </c>
      <c r="Q69">
        <f>_xlfn.XLOOKUP(tbl_MTG_Set[[#This Row],[Type Name]], tbl_MTG_Set_Type[Set Type], tbl_MTG_Set_Type[Heavy Printing Window Month End], "(Set Type not found)", 0, 1)</f>
        <v/>
      </c>
      <c r="R69" s="3">
        <f>tbl_MTG_Set[[#This Row],[Released On]]+tbl_MTG_Set[[#This Row],[Heavy Printing Window Month End]]*365.25/12</f>
        <v/>
      </c>
      <c r="S69" s="3">
        <f>AND(NOW()&gt;=tbl_MTG_Set[[#This Row],[Heavy Printing Window Start]], NOW()&lt;=tbl_MTG_Set[[#This Row],[Heavy Printing Window End]])</f>
        <v/>
      </c>
      <c r="T69">
        <f>_xlfn.XLOOKUP(tbl_MTG_Set[[#This Row],[Type Name]], tbl_MTG_Set_Type[Set Type], tbl_MTG_Set_Type[Sell Window Month Start], "(Set Type not found)", 0, 1)</f>
        <v/>
      </c>
      <c r="U69" s="3">
        <f>tbl_MTG_Set[[#This Row],[Released On]]+tbl_MTG_Set[[#This Row],[Sell Window Month Start]]*365.25/12</f>
        <v/>
      </c>
      <c r="V69">
        <f>_xlfn.XLOOKUP(tbl_MTG_Set[[#This Row],[Type Name]], tbl_MTG_Set_Type[Set Type], tbl_MTG_Set_Type[Sell Window Month End], "(Set Type not found)", 0, 1)</f>
        <v/>
      </c>
      <c r="W69" s="3">
        <f>tbl_MTG_Set[[#This Row],[Released On]]+tbl_MTG_Set[[#This Row],[Sell Window Month End]]*365.25/12</f>
        <v/>
      </c>
      <c r="X69" s="3">
        <f>AND(NOW()&gt;=tbl_MTG_Set[[#This Row],[Sell Window Start]], NOW()&lt;=tbl_MTG_Set[[#This Row],[Sell Window End]])</f>
        <v/>
      </c>
      <c r="AG69" s="10" t="n"/>
      <c r="AH69" s="10" t="n"/>
      <c r="AM69" s="10">
        <f t="array" ref="AM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" s="10">
        <f t="array" ref="AN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" s="4">
        <f>_xlfn.XLOOKUP(tbl_MTG_Set[[#This Row],[Play Booster Box Product Id]], tbl_Product[Product Id], tbl_Product[Pack Size])</f>
        <v/>
      </c>
      <c r="AP69" s="10">
        <f>(tbl_MTG_Set[[#This Row],[Play Booster Box Cost]]+v_Item_Shipping_Cost_In)/tbl_MTG_Set[[#This Row],[Play Booster Box Size]]</f>
        <v/>
      </c>
      <c r="AQ69" s="10">
        <f t="array" ref="AQ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" s="10" t="n"/>
      <c r="AS69" s="10" t="n"/>
      <c r="AT69" s="17">
        <f>tbl_MTG_Set[[#This Row],[Play Booster CardMarket Profit]]/tbl_MTG_Set[[#This Row],[Play Booster Cost]]</f>
        <v/>
      </c>
      <c r="AU69" s="10">
        <f>_xlfn.XLOOKUP(tbl_MTG_Set[[#This Row],[Collector Booster Box Product Id]], tbl_Product[Product Id], tbl_Product[Min Cost])</f>
        <v/>
      </c>
      <c r="AV69" s="10">
        <f>_xlfn.XLOOKUP(tbl_MTG_Set[[#This Row],[Collector Booster Box Product Id]], tbl_Product[Product Id], tbl_Product[Best Source])</f>
        <v/>
      </c>
      <c r="AW69" s="4">
        <f>_xlfn.XLOOKUP(tbl_MTG_Set[[#This Row],[Collector Booster Box Product Id]], tbl_Product[Product Id], tbl_Product[Pack Size])</f>
        <v/>
      </c>
      <c r="AX69" s="10">
        <f>(tbl_MTG_Set[[#This Row],[Collector Booster Box Cost]] + v_Item_Shipping_Cost_In) / tbl_MTG_Set[[#This Row],[Collector Booster Box Size]]</f>
        <v/>
      </c>
      <c r="AY69" s="10">
        <f t="array" ref="AY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" s="10" t="n"/>
      <c r="BA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" s="17">
        <f>tbl_MTG_Set[[#This Row],[Collector Booster CardMarket Profit]]/tbl_MTG_Set[[#This Row],[Collector Booster Cost]]</f>
        <v/>
      </c>
      <c r="BC69" s="10" t="n"/>
      <c r="BF69" s="10">
        <f>tbl_MTG_Set[[#This Row],[Play Booster Sell Price CardMarket]]*tbl_MTG_Set[[#This Row],[Play Booster Expected Market Value]]/tbl_MTG_Set[[#This Row],[Play Boost Sealed Market Value]]</f>
        <v/>
      </c>
      <c r="BG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" s="10">
        <f>tbl_MTG_Set[[#This Row],[Play Singles CardMarket Profit]]/tbl_MTG_Set[[#This Row],[Play Booster Cost]]</f>
        <v/>
      </c>
      <c r="BI69" s="10">
        <f>tbl_MTG_Set[[#This Row],[Play Singles CardMarket Profit]]&gt;0</f>
        <v/>
      </c>
      <c r="BJ69" s="10" t="n"/>
      <c r="BK69" s="10" t="n"/>
      <c r="BL69" s="10">
        <f>tbl_MTG_Set[[#This Row],[Collector Booster Sell Price CardMarket]]*tbl_MTG_Set[[#This Row],[Collector Booster Expected Market Value]]/tbl_MTG_Set[[#This Row],[Collector Boost Sealed Market Value]]</f>
        <v/>
      </c>
      <c r="BM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" s="10">
        <f>tbl_MTG_Set[[#This Row],[Collector Singles CardMarket Profit]]/tbl_MTG_Set[[#This Row],[Collector Booster Cost]]</f>
        <v/>
      </c>
      <c r="BO69" s="10">
        <f>tbl_MTG_Set[[#This Row],[Collector Singles CardMarket Profit]]&gt;0</f>
        <v/>
      </c>
      <c r="BP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">
      <c r="A70" t="n">
        <v>68</v>
      </c>
      <c r="B70" t="inlineStr">
        <is>
          <t>Innistrad Remastered Art Series AINR</t>
        </is>
      </c>
      <c r="C70" t="n">
        <v>25</v>
      </c>
      <c r="D70" s="3" t="n">
        <v>45681</v>
      </c>
      <c r="E70" t="inlineStr">
        <is>
          <t>Remastered</t>
        </is>
      </c>
      <c r="F70" t="inlineStr">
        <is>
          <t>en es fr de it pt ja ko ru 汉语 漢語</t>
        </is>
      </c>
      <c r="G70" t="n">
        <v>82</v>
      </c>
      <c r="H70">
        <f>MONTH(NOW())+12*YEAR(NOW())-MONTH(tbl_MTG_Set[[#This Row],[Released On]])-12*YEAR(tbl_MTG_Set[[#This Row],[Released On]])</f>
        <v/>
      </c>
      <c r="I70">
        <f>_xlfn.XLOOKUP(tbl_MTG_Set[[#This Row],[Type Name]], tbl_MTG_Set_Type[Set Type], tbl_MTG_Set_Type[Index], "(Set Type not found)")</f>
        <v/>
      </c>
      <c r="J70">
        <f>_xlfn.XLOOKUP(tbl_MTG_Set[[#This Row],[Type Name]], tbl_MTG_Set_Type[Set Type], tbl_MTG_Set_Type[Buy Window Month Start], "(Set Type not found)")</f>
        <v/>
      </c>
      <c r="K70" s="3">
        <f>tbl_MTG_Set[[#This Row],[Released On]]+tbl_MTG_Set[[#This Row],[Buy Window Month Start]]*365.25/12</f>
        <v/>
      </c>
      <c r="L70">
        <f>_xlfn.XLOOKUP(tbl_MTG_Set[[#This Row],[Type Name]], tbl_MTG_Set_Type[Set Type], tbl_MTG_Set_Type[Buy Window Month End], "(Set Type not found)", 0, 1)</f>
        <v/>
      </c>
      <c r="M70" s="3">
        <f>tbl_MTG_Set[[#This Row],[Released On]]+tbl_MTG_Set[[#This Row],[Buy Window Month End]]*365.25/12</f>
        <v/>
      </c>
      <c r="N70" s="3">
        <f>AND(NOW()&gt;=tbl_MTG_Set[[#This Row],[Buy Window Start]], NOW()&lt;=tbl_MTG_Set[[#This Row],[Buy Window End]])</f>
        <v/>
      </c>
      <c r="O70">
        <f>_xlfn.XLOOKUP(tbl_MTG_Set[[#This Row],[Type Name]], tbl_MTG_Set_Type[Set Type], tbl_MTG_Set_Type[Heavy Printing Window Month Start], "(Set Type not found)", 0, 1)</f>
        <v/>
      </c>
      <c r="P70" s="3">
        <f>tbl_MTG_Set[[#This Row],[Released On]]+tbl_MTG_Set[[#This Row],[Heavy Printing Window Month Start]]*365.25/12</f>
        <v/>
      </c>
      <c r="Q70">
        <f>_xlfn.XLOOKUP(tbl_MTG_Set[[#This Row],[Type Name]], tbl_MTG_Set_Type[Set Type], tbl_MTG_Set_Type[Heavy Printing Window Month End], "(Set Type not found)", 0, 1)</f>
        <v/>
      </c>
      <c r="R70" s="3">
        <f>tbl_MTG_Set[[#This Row],[Released On]]+tbl_MTG_Set[[#This Row],[Heavy Printing Window Month End]]*365.25/12</f>
        <v/>
      </c>
      <c r="S70" s="3">
        <f>AND(NOW()&gt;=tbl_MTG_Set[[#This Row],[Heavy Printing Window Start]], NOW()&lt;=tbl_MTG_Set[[#This Row],[Heavy Printing Window End]])</f>
        <v/>
      </c>
      <c r="T70">
        <f>_xlfn.XLOOKUP(tbl_MTG_Set[[#This Row],[Type Name]], tbl_MTG_Set_Type[Set Type], tbl_MTG_Set_Type[Sell Window Month Start], "(Set Type not found)", 0, 1)</f>
        <v/>
      </c>
      <c r="U70" s="3">
        <f>tbl_MTG_Set[[#This Row],[Released On]]+tbl_MTG_Set[[#This Row],[Sell Window Month Start]]*365.25/12</f>
        <v/>
      </c>
      <c r="V70">
        <f>_xlfn.XLOOKUP(tbl_MTG_Set[[#This Row],[Type Name]], tbl_MTG_Set_Type[Set Type], tbl_MTG_Set_Type[Sell Window Month End], "(Set Type not found)", 0, 1)</f>
        <v/>
      </c>
      <c r="W70" s="3">
        <f>tbl_MTG_Set[[#This Row],[Released On]]+tbl_MTG_Set[[#This Row],[Sell Window Month End]]*365.25/12</f>
        <v/>
      </c>
      <c r="X70" s="3">
        <f>AND(NOW()&gt;=tbl_MTG_Set[[#This Row],[Sell Window Start]], NOW()&lt;=tbl_MTG_Set[[#This Row],[Sell Window End]])</f>
        <v/>
      </c>
      <c r="AG70" s="10" t="n"/>
      <c r="AH70" s="10" t="n"/>
      <c r="AM70" s="10">
        <f t="array" ref="AM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" s="10">
        <f t="array" ref="AN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" s="4">
        <f>_xlfn.XLOOKUP(tbl_MTG_Set[[#This Row],[Play Booster Box Product Id]], tbl_Product[Product Id], tbl_Product[Pack Size])</f>
        <v/>
      </c>
      <c r="AP70" s="10">
        <f>(tbl_MTG_Set[[#This Row],[Play Booster Box Cost]]+v_Item_Shipping_Cost_In)/tbl_MTG_Set[[#This Row],[Play Booster Box Size]]</f>
        <v/>
      </c>
      <c r="AQ70" s="10">
        <f t="array" ref="AQ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" s="10" t="n"/>
      <c r="AS70" s="10" t="n"/>
      <c r="AT70" s="17">
        <f>tbl_MTG_Set[[#This Row],[Play Booster CardMarket Profit]]/tbl_MTG_Set[[#This Row],[Play Booster Cost]]</f>
        <v/>
      </c>
      <c r="AU70" s="10">
        <f>_xlfn.XLOOKUP(tbl_MTG_Set[[#This Row],[Collector Booster Box Product Id]], tbl_Product[Product Id], tbl_Product[Min Cost])</f>
        <v/>
      </c>
      <c r="AV70" s="10">
        <f>_xlfn.XLOOKUP(tbl_MTG_Set[[#This Row],[Collector Booster Box Product Id]], tbl_Product[Product Id], tbl_Product[Best Source])</f>
        <v/>
      </c>
      <c r="AW70" s="4">
        <f>_xlfn.XLOOKUP(tbl_MTG_Set[[#This Row],[Collector Booster Box Product Id]], tbl_Product[Product Id], tbl_Product[Pack Size])</f>
        <v/>
      </c>
      <c r="AX70" s="10">
        <f>(tbl_MTG_Set[[#This Row],[Collector Booster Box Cost]] + v_Item_Shipping_Cost_In) / tbl_MTG_Set[[#This Row],[Collector Booster Box Size]]</f>
        <v/>
      </c>
      <c r="AY70" s="10">
        <f t="array" ref="AY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" s="10" t="n"/>
      <c r="BA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" s="17">
        <f>tbl_MTG_Set[[#This Row],[Collector Booster CardMarket Profit]]/tbl_MTG_Set[[#This Row],[Collector Booster Cost]]</f>
        <v/>
      </c>
      <c r="BC70" s="10" t="n"/>
      <c r="BF70" s="10">
        <f>tbl_MTG_Set[[#This Row],[Play Booster Sell Price CardMarket]]*tbl_MTG_Set[[#This Row],[Play Booster Expected Market Value]]/tbl_MTG_Set[[#This Row],[Play Boost Sealed Market Value]]</f>
        <v/>
      </c>
      <c r="BG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" s="10">
        <f>tbl_MTG_Set[[#This Row],[Play Singles CardMarket Profit]]/tbl_MTG_Set[[#This Row],[Play Booster Cost]]</f>
        <v/>
      </c>
      <c r="BI70" s="10">
        <f>tbl_MTG_Set[[#This Row],[Play Singles CardMarket Profit]]&gt;0</f>
        <v/>
      </c>
      <c r="BJ70" s="10" t="n"/>
      <c r="BK70" s="10" t="n"/>
      <c r="BL70" s="10">
        <f>tbl_MTG_Set[[#This Row],[Collector Booster Sell Price CardMarket]]*tbl_MTG_Set[[#This Row],[Collector Booster Expected Market Value]]/tbl_MTG_Set[[#This Row],[Collector Boost Sealed Market Value]]</f>
        <v/>
      </c>
      <c r="BM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" s="10">
        <f>tbl_MTG_Set[[#This Row],[Collector Singles CardMarket Profit]]/tbl_MTG_Set[[#This Row],[Collector Booster Cost]]</f>
        <v/>
      </c>
      <c r="BO70" s="10">
        <f>tbl_MTG_Set[[#This Row],[Collector Singles CardMarket Profit]]&gt;0</f>
        <v/>
      </c>
      <c r="BP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">
      <c r="A71" t="n">
        <v>69</v>
      </c>
      <c r="B71" t="inlineStr">
        <is>
          <t>Spotlight Series PSPL</t>
        </is>
      </c>
      <c r="C71" t="n">
        <v>8</v>
      </c>
      <c r="D71" s="3" t="n">
        <v>45660</v>
      </c>
      <c r="F71" t="inlineStr">
        <is>
          <t>en es fr de it pt ja ko ru 汉语 漢語</t>
        </is>
      </c>
      <c r="G71" t="n">
        <v>84</v>
      </c>
      <c r="H71">
        <f>MONTH(NOW())+12*YEAR(NOW())-MONTH(tbl_MTG_Set[[#This Row],[Released On]])-12*YEAR(tbl_MTG_Set[[#This Row],[Released On]])</f>
        <v/>
      </c>
      <c r="I71">
        <f>_xlfn.XLOOKUP(tbl_MTG_Set[[#This Row],[Type Name]], tbl_MTG_Set_Type[Set Type], tbl_MTG_Set_Type[Index], "(Set Type not found)")</f>
        <v/>
      </c>
      <c r="J71">
        <f>_xlfn.XLOOKUP(tbl_MTG_Set[[#This Row],[Type Name]], tbl_MTG_Set_Type[Set Type], tbl_MTG_Set_Type[Buy Window Month Start], "(Set Type not found)")</f>
        <v/>
      </c>
      <c r="K71" s="3">
        <f>tbl_MTG_Set[[#This Row],[Released On]]+tbl_MTG_Set[[#This Row],[Buy Window Month Start]]*365.25/12</f>
        <v/>
      </c>
      <c r="L71">
        <f>_xlfn.XLOOKUP(tbl_MTG_Set[[#This Row],[Type Name]], tbl_MTG_Set_Type[Set Type], tbl_MTG_Set_Type[Buy Window Month End], "(Set Type not found)", 0, 1)</f>
        <v/>
      </c>
      <c r="M71" s="3">
        <f>tbl_MTG_Set[[#This Row],[Released On]]+tbl_MTG_Set[[#This Row],[Buy Window Month End]]*365.25/12</f>
        <v/>
      </c>
      <c r="N71" s="3">
        <f>AND(NOW()&gt;=tbl_MTG_Set[[#This Row],[Buy Window Start]], NOW()&lt;=tbl_MTG_Set[[#This Row],[Buy Window End]])</f>
        <v/>
      </c>
      <c r="O71">
        <f>_xlfn.XLOOKUP(tbl_MTG_Set[[#This Row],[Type Name]], tbl_MTG_Set_Type[Set Type], tbl_MTG_Set_Type[Heavy Printing Window Month Start], "(Set Type not found)", 0, 1)</f>
        <v/>
      </c>
      <c r="P71" s="3">
        <f>tbl_MTG_Set[[#This Row],[Released On]]+tbl_MTG_Set[[#This Row],[Heavy Printing Window Month Start]]*365.25/12</f>
        <v/>
      </c>
      <c r="Q71">
        <f>_xlfn.XLOOKUP(tbl_MTG_Set[[#This Row],[Type Name]], tbl_MTG_Set_Type[Set Type], tbl_MTG_Set_Type[Heavy Printing Window Month End], "(Set Type not found)", 0, 1)</f>
        <v/>
      </c>
      <c r="R71" s="3">
        <f>tbl_MTG_Set[[#This Row],[Released On]]+tbl_MTG_Set[[#This Row],[Heavy Printing Window Month End]]*365.25/12</f>
        <v/>
      </c>
      <c r="S71" s="3">
        <f>AND(NOW()&gt;=tbl_MTG_Set[[#This Row],[Heavy Printing Window Start]], NOW()&lt;=tbl_MTG_Set[[#This Row],[Heavy Printing Window End]])</f>
        <v/>
      </c>
      <c r="T71">
        <f>_xlfn.XLOOKUP(tbl_MTG_Set[[#This Row],[Type Name]], tbl_MTG_Set_Type[Set Type], tbl_MTG_Set_Type[Sell Window Month Start], "(Set Type not found)", 0, 1)</f>
        <v/>
      </c>
      <c r="U71" s="3">
        <f>tbl_MTG_Set[[#This Row],[Released On]]+tbl_MTG_Set[[#This Row],[Sell Window Month Start]]*365.25/12</f>
        <v/>
      </c>
      <c r="V71">
        <f>_xlfn.XLOOKUP(tbl_MTG_Set[[#This Row],[Type Name]], tbl_MTG_Set_Type[Set Type], tbl_MTG_Set_Type[Sell Window Month End], "(Set Type not found)", 0, 1)</f>
        <v/>
      </c>
      <c r="W71" s="3">
        <f>tbl_MTG_Set[[#This Row],[Released On]]+tbl_MTG_Set[[#This Row],[Sell Window Month End]]*365.25/12</f>
        <v/>
      </c>
      <c r="X71" s="3">
        <f>AND(NOW()&gt;=tbl_MTG_Set[[#This Row],[Sell Window Start]], NOW()&lt;=tbl_MTG_Set[[#This Row],[Sell Window End]])</f>
        <v/>
      </c>
      <c r="AG71" s="10" t="n"/>
      <c r="AH71" s="10" t="n"/>
      <c r="AM71" s="10">
        <f t="array" ref="AM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" s="10">
        <f t="array" ref="AN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" s="4">
        <f>_xlfn.XLOOKUP(tbl_MTG_Set[[#This Row],[Play Booster Box Product Id]], tbl_Product[Product Id], tbl_Product[Pack Size])</f>
        <v/>
      </c>
      <c r="AP71" s="10">
        <f>(tbl_MTG_Set[[#This Row],[Play Booster Box Cost]]+v_Item_Shipping_Cost_In)/tbl_MTG_Set[[#This Row],[Play Booster Box Size]]</f>
        <v/>
      </c>
      <c r="AQ71" s="10">
        <f t="array" ref="AQ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" s="10" t="n"/>
      <c r="AS71" s="10" t="n"/>
      <c r="AT71" s="17">
        <f>tbl_MTG_Set[[#This Row],[Play Booster CardMarket Profit]]/tbl_MTG_Set[[#This Row],[Play Booster Cost]]</f>
        <v/>
      </c>
      <c r="AU71" s="10">
        <f>_xlfn.XLOOKUP(tbl_MTG_Set[[#This Row],[Collector Booster Box Product Id]], tbl_Product[Product Id], tbl_Product[Min Cost])</f>
        <v/>
      </c>
      <c r="AV71" s="10">
        <f>_xlfn.XLOOKUP(tbl_MTG_Set[[#This Row],[Collector Booster Box Product Id]], tbl_Product[Product Id], tbl_Product[Best Source])</f>
        <v/>
      </c>
      <c r="AW71" s="4">
        <f>_xlfn.XLOOKUP(tbl_MTG_Set[[#This Row],[Collector Booster Box Product Id]], tbl_Product[Product Id], tbl_Product[Pack Size])</f>
        <v/>
      </c>
      <c r="AX71" s="10">
        <f>(tbl_MTG_Set[[#This Row],[Collector Booster Box Cost]] + v_Item_Shipping_Cost_In) / tbl_MTG_Set[[#This Row],[Collector Booster Box Size]]</f>
        <v/>
      </c>
      <c r="AY71" s="10">
        <f t="array" ref="AY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" s="10" t="n"/>
      <c r="BA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" s="17">
        <f>tbl_MTG_Set[[#This Row],[Collector Booster CardMarket Profit]]/tbl_MTG_Set[[#This Row],[Collector Booster Cost]]</f>
        <v/>
      </c>
      <c r="BC71" s="10" t="n"/>
      <c r="BF71" s="10">
        <f>tbl_MTG_Set[[#This Row],[Play Booster Sell Price CardMarket]]*tbl_MTG_Set[[#This Row],[Play Booster Expected Market Value]]/tbl_MTG_Set[[#This Row],[Play Boost Sealed Market Value]]</f>
        <v/>
      </c>
      <c r="BG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" s="10">
        <f>tbl_MTG_Set[[#This Row],[Play Singles CardMarket Profit]]/tbl_MTG_Set[[#This Row],[Play Booster Cost]]</f>
        <v/>
      </c>
      <c r="BI71" s="10">
        <f>tbl_MTG_Set[[#This Row],[Play Singles CardMarket Profit]]&gt;0</f>
        <v/>
      </c>
      <c r="BJ71" s="10" t="n"/>
      <c r="BK71" s="10" t="n"/>
      <c r="BL71" s="10">
        <f>tbl_MTG_Set[[#This Row],[Collector Booster Sell Price CardMarket]]*tbl_MTG_Set[[#This Row],[Collector Booster Expected Market Value]]/tbl_MTG_Set[[#This Row],[Collector Boost Sealed Market Value]]</f>
        <v/>
      </c>
      <c r="BM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" s="10">
        <f>tbl_MTG_Set[[#This Row],[Collector Singles CardMarket Profit]]/tbl_MTG_Set[[#This Row],[Collector Booster Cost]]</f>
        <v/>
      </c>
      <c r="BO71" s="10">
        <f>tbl_MTG_Set[[#This Row],[Collector Singles CardMarket Profit]]&gt;0</f>
        <v/>
      </c>
      <c r="BP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">
      <c r="A72" t="n">
        <v>70</v>
      </c>
      <c r="B72" t="inlineStr">
        <is>
          <t>MagicFest 2025 PF25</t>
        </is>
      </c>
      <c r="C72" t="n">
        <v>19</v>
      </c>
      <c r="D72" s="3" t="n">
        <v>45658</v>
      </c>
      <c r="F72" t="inlineStr">
        <is>
          <t>en es fr de it pt ja ko ru 汉语 漢語</t>
        </is>
      </c>
      <c r="G72" t="n">
        <v>86</v>
      </c>
      <c r="H72">
        <f>MONTH(NOW())+12*YEAR(NOW())-MONTH(tbl_MTG_Set[[#This Row],[Released On]])-12*YEAR(tbl_MTG_Set[[#This Row],[Released On]])</f>
        <v/>
      </c>
      <c r="I72">
        <f>_xlfn.XLOOKUP(tbl_MTG_Set[[#This Row],[Type Name]], tbl_MTG_Set_Type[Set Type], tbl_MTG_Set_Type[Index], "(Set Type not found)")</f>
        <v/>
      </c>
      <c r="J72">
        <f>_xlfn.XLOOKUP(tbl_MTG_Set[[#This Row],[Type Name]], tbl_MTG_Set_Type[Set Type], tbl_MTG_Set_Type[Buy Window Month Start], "(Set Type not found)")</f>
        <v/>
      </c>
      <c r="K72" s="3">
        <f>tbl_MTG_Set[[#This Row],[Released On]]+tbl_MTG_Set[[#This Row],[Buy Window Month Start]]*365.25/12</f>
        <v/>
      </c>
      <c r="L72">
        <f>_xlfn.XLOOKUP(tbl_MTG_Set[[#This Row],[Type Name]], tbl_MTG_Set_Type[Set Type], tbl_MTG_Set_Type[Buy Window Month End], "(Set Type not found)", 0, 1)</f>
        <v/>
      </c>
      <c r="M72" s="3">
        <f>tbl_MTG_Set[[#This Row],[Released On]]+tbl_MTG_Set[[#This Row],[Buy Window Month End]]*365.25/12</f>
        <v/>
      </c>
      <c r="N72" s="3">
        <f>AND(NOW()&gt;=tbl_MTG_Set[[#This Row],[Buy Window Start]], NOW()&lt;=tbl_MTG_Set[[#This Row],[Buy Window End]])</f>
        <v/>
      </c>
      <c r="O72">
        <f>_xlfn.XLOOKUP(tbl_MTG_Set[[#This Row],[Type Name]], tbl_MTG_Set_Type[Set Type], tbl_MTG_Set_Type[Heavy Printing Window Month Start], "(Set Type not found)", 0, 1)</f>
        <v/>
      </c>
      <c r="P72" s="3">
        <f>tbl_MTG_Set[[#This Row],[Released On]]+tbl_MTG_Set[[#This Row],[Heavy Printing Window Month Start]]*365.25/12</f>
        <v/>
      </c>
      <c r="Q72">
        <f>_xlfn.XLOOKUP(tbl_MTG_Set[[#This Row],[Type Name]], tbl_MTG_Set_Type[Set Type], tbl_MTG_Set_Type[Heavy Printing Window Month End], "(Set Type not found)", 0, 1)</f>
        <v/>
      </c>
      <c r="R72" s="3">
        <f>tbl_MTG_Set[[#This Row],[Released On]]+tbl_MTG_Set[[#This Row],[Heavy Printing Window Month End]]*365.25/12</f>
        <v/>
      </c>
      <c r="S72" s="3">
        <f>AND(NOW()&gt;=tbl_MTG_Set[[#This Row],[Heavy Printing Window Start]], NOW()&lt;=tbl_MTG_Set[[#This Row],[Heavy Printing Window End]])</f>
        <v/>
      </c>
      <c r="T72">
        <f>_xlfn.XLOOKUP(tbl_MTG_Set[[#This Row],[Type Name]], tbl_MTG_Set_Type[Set Type], tbl_MTG_Set_Type[Sell Window Month Start], "(Set Type not found)", 0, 1)</f>
        <v/>
      </c>
      <c r="U72" s="3">
        <f>tbl_MTG_Set[[#This Row],[Released On]]+tbl_MTG_Set[[#This Row],[Sell Window Month Start]]*365.25/12</f>
        <v/>
      </c>
      <c r="V72">
        <f>_xlfn.XLOOKUP(tbl_MTG_Set[[#This Row],[Type Name]], tbl_MTG_Set_Type[Set Type], tbl_MTG_Set_Type[Sell Window Month End], "(Set Type not found)", 0, 1)</f>
        <v/>
      </c>
      <c r="W72" s="3">
        <f>tbl_MTG_Set[[#This Row],[Released On]]+tbl_MTG_Set[[#This Row],[Sell Window Month End]]*365.25/12</f>
        <v/>
      </c>
      <c r="X72" s="3">
        <f>AND(NOW()&gt;=tbl_MTG_Set[[#This Row],[Sell Window Start]], NOW()&lt;=tbl_MTG_Set[[#This Row],[Sell Window End]])</f>
        <v/>
      </c>
      <c r="AG72" s="10" t="n"/>
      <c r="AH72" s="10" t="n"/>
      <c r="AM72" s="10">
        <f t="array" ref="AM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" s="10">
        <f t="array" ref="AN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" s="4">
        <f>_xlfn.XLOOKUP(tbl_MTG_Set[[#This Row],[Play Booster Box Product Id]], tbl_Product[Product Id], tbl_Product[Pack Size])</f>
        <v/>
      </c>
      <c r="AP72" s="10">
        <f>(tbl_MTG_Set[[#This Row],[Play Booster Box Cost]]+v_Item_Shipping_Cost_In)/tbl_MTG_Set[[#This Row],[Play Booster Box Size]]</f>
        <v/>
      </c>
      <c r="AQ72" s="10">
        <f t="array" ref="AQ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" s="10" t="n"/>
      <c r="AS72" s="10" t="n"/>
      <c r="AT72" s="17">
        <f>tbl_MTG_Set[[#This Row],[Play Booster CardMarket Profit]]/tbl_MTG_Set[[#This Row],[Play Booster Cost]]</f>
        <v/>
      </c>
      <c r="AU72" s="10">
        <f>_xlfn.XLOOKUP(tbl_MTG_Set[[#This Row],[Collector Booster Box Product Id]], tbl_Product[Product Id], tbl_Product[Min Cost])</f>
        <v/>
      </c>
      <c r="AV72" s="10">
        <f>_xlfn.XLOOKUP(tbl_MTG_Set[[#This Row],[Collector Booster Box Product Id]], tbl_Product[Product Id], tbl_Product[Best Source])</f>
        <v/>
      </c>
      <c r="AW72" s="4">
        <f>_xlfn.XLOOKUP(tbl_MTG_Set[[#This Row],[Collector Booster Box Product Id]], tbl_Product[Product Id], tbl_Product[Pack Size])</f>
        <v/>
      </c>
      <c r="AX72" s="10">
        <f>(tbl_MTG_Set[[#This Row],[Collector Booster Box Cost]] + v_Item_Shipping_Cost_In) / tbl_MTG_Set[[#This Row],[Collector Booster Box Size]]</f>
        <v/>
      </c>
      <c r="AY72" s="10">
        <f t="array" ref="AY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" s="10" t="n"/>
      <c r="BA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" s="17">
        <f>tbl_MTG_Set[[#This Row],[Collector Booster CardMarket Profit]]/tbl_MTG_Set[[#This Row],[Collector Booster Cost]]</f>
        <v/>
      </c>
      <c r="BC72" s="10" t="n"/>
      <c r="BF72" s="10">
        <f>tbl_MTG_Set[[#This Row],[Play Booster Sell Price CardMarket]]*tbl_MTG_Set[[#This Row],[Play Booster Expected Market Value]]/tbl_MTG_Set[[#This Row],[Play Boost Sealed Market Value]]</f>
        <v/>
      </c>
      <c r="BG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" s="10">
        <f>tbl_MTG_Set[[#This Row],[Play Singles CardMarket Profit]]/tbl_MTG_Set[[#This Row],[Play Booster Cost]]</f>
        <v/>
      </c>
      <c r="BI72" s="10">
        <f>tbl_MTG_Set[[#This Row],[Play Singles CardMarket Profit]]&gt;0</f>
        <v/>
      </c>
      <c r="BJ72" s="10" t="n"/>
      <c r="BK72" s="10" t="n"/>
      <c r="BL72" s="10">
        <f>tbl_MTG_Set[[#This Row],[Collector Booster Sell Price CardMarket]]*tbl_MTG_Set[[#This Row],[Collector Booster Expected Market Value]]/tbl_MTG_Set[[#This Row],[Collector Boost Sealed Market Value]]</f>
        <v/>
      </c>
      <c r="BM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" s="10">
        <f>tbl_MTG_Set[[#This Row],[Collector Singles CardMarket Profit]]/tbl_MTG_Set[[#This Row],[Collector Booster Cost]]</f>
        <v/>
      </c>
      <c r="BO72" s="10">
        <f>tbl_MTG_Set[[#This Row],[Collector Singles CardMarket Profit]]&gt;0</f>
        <v/>
      </c>
      <c r="BP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">
      <c r="A73" t="n">
        <v>71</v>
      </c>
      <c r="B73" t="inlineStr">
        <is>
          <t>Wizards Play Network 2025 PW25</t>
        </is>
      </c>
      <c r="C73" t="n">
        <v>17</v>
      </c>
      <c r="D73" s="3" t="n">
        <v>45658</v>
      </c>
      <c r="F73" t="inlineStr">
        <is>
          <t>en es fr de it pt ja ko ru 汉语 漢語</t>
        </is>
      </c>
      <c r="G73" t="n">
        <v>88</v>
      </c>
      <c r="H73">
        <f>MONTH(NOW())+12*YEAR(NOW())-MONTH(tbl_MTG_Set[[#This Row],[Released On]])-12*YEAR(tbl_MTG_Set[[#This Row],[Released On]])</f>
        <v/>
      </c>
      <c r="I73">
        <f>_xlfn.XLOOKUP(tbl_MTG_Set[[#This Row],[Type Name]], tbl_MTG_Set_Type[Set Type], tbl_MTG_Set_Type[Index], "(Set Type not found)")</f>
        <v/>
      </c>
      <c r="J73">
        <f>_xlfn.XLOOKUP(tbl_MTG_Set[[#This Row],[Type Name]], tbl_MTG_Set_Type[Set Type], tbl_MTG_Set_Type[Buy Window Month Start], "(Set Type not found)")</f>
        <v/>
      </c>
      <c r="K73" s="3">
        <f>tbl_MTG_Set[[#This Row],[Released On]]+tbl_MTG_Set[[#This Row],[Buy Window Month Start]]*365.25/12</f>
        <v/>
      </c>
      <c r="L73">
        <f>_xlfn.XLOOKUP(tbl_MTG_Set[[#This Row],[Type Name]], tbl_MTG_Set_Type[Set Type], tbl_MTG_Set_Type[Buy Window Month End], "(Set Type not found)", 0, 1)</f>
        <v/>
      </c>
      <c r="M73" s="3">
        <f>tbl_MTG_Set[[#This Row],[Released On]]+tbl_MTG_Set[[#This Row],[Buy Window Month End]]*365.25/12</f>
        <v/>
      </c>
      <c r="N73" s="3">
        <f>AND(NOW()&gt;=tbl_MTG_Set[[#This Row],[Buy Window Start]], NOW()&lt;=tbl_MTG_Set[[#This Row],[Buy Window End]])</f>
        <v/>
      </c>
      <c r="O73">
        <f>_xlfn.XLOOKUP(tbl_MTG_Set[[#This Row],[Type Name]], tbl_MTG_Set_Type[Set Type], tbl_MTG_Set_Type[Heavy Printing Window Month Start], "(Set Type not found)", 0, 1)</f>
        <v/>
      </c>
      <c r="P73" s="3">
        <f>tbl_MTG_Set[[#This Row],[Released On]]+tbl_MTG_Set[[#This Row],[Heavy Printing Window Month Start]]*365.25/12</f>
        <v/>
      </c>
      <c r="Q73">
        <f>_xlfn.XLOOKUP(tbl_MTG_Set[[#This Row],[Type Name]], tbl_MTG_Set_Type[Set Type], tbl_MTG_Set_Type[Heavy Printing Window Month End], "(Set Type not found)", 0, 1)</f>
        <v/>
      </c>
      <c r="R73" s="3">
        <f>tbl_MTG_Set[[#This Row],[Released On]]+tbl_MTG_Set[[#This Row],[Heavy Printing Window Month End]]*365.25/12</f>
        <v/>
      </c>
      <c r="S73" s="3">
        <f>AND(NOW()&gt;=tbl_MTG_Set[[#This Row],[Heavy Printing Window Start]], NOW()&lt;=tbl_MTG_Set[[#This Row],[Heavy Printing Window End]])</f>
        <v/>
      </c>
      <c r="T73">
        <f>_xlfn.XLOOKUP(tbl_MTG_Set[[#This Row],[Type Name]], tbl_MTG_Set_Type[Set Type], tbl_MTG_Set_Type[Sell Window Month Start], "(Set Type not found)", 0, 1)</f>
        <v/>
      </c>
      <c r="U73" s="3">
        <f>tbl_MTG_Set[[#This Row],[Released On]]+tbl_MTG_Set[[#This Row],[Sell Window Month Start]]*365.25/12</f>
        <v/>
      </c>
      <c r="V73">
        <f>_xlfn.XLOOKUP(tbl_MTG_Set[[#This Row],[Type Name]], tbl_MTG_Set_Type[Set Type], tbl_MTG_Set_Type[Sell Window Month End], "(Set Type not found)", 0, 1)</f>
        <v/>
      </c>
      <c r="W73" s="3">
        <f>tbl_MTG_Set[[#This Row],[Released On]]+tbl_MTG_Set[[#This Row],[Sell Window Month End]]*365.25/12</f>
        <v/>
      </c>
      <c r="X73" s="3">
        <f>AND(NOW()&gt;=tbl_MTG_Set[[#This Row],[Sell Window Start]], NOW()&lt;=tbl_MTG_Set[[#This Row],[Sell Window End]])</f>
        <v/>
      </c>
      <c r="AG73" s="10" t="n"/>
      <c r="AH73" s="10" t="n"/>
      <c r="AM73" s="10">
        <f t="array" ref="AM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" s="10">
        <f t="array" ref="AN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" s="4">
        <f>_xlfn.XLOOKUP(tbl_MTG_Set[[#This Row],[Play Booster Box Product Id]], tbl_Product[Product Id], tbl_Product[Pack Size])</f>
        <v/>
      </c>
      <c r="AP73" s="10">
        <f>(tbl_MTG_Set[[#This Row],[Play Booster Box Cost]]+v_Item_Shipping_Cost_In)/tbl_MTG_Set[[#This Row],[Play Booster Box Size]]</f>
        <v/>
      </c>
      <c r="AQ73" s="10">
        <f t="array" ref="AQ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" s="10" t="n"/>
      <c r="AS73" s="10" t="n"/>
      <c r="AT73" s="17">
        <f>tbl_MTG_Set[[#This Row],[Play Booster CardMarket Profit]]/tbl_MTG_Set[[#This Row],[Play Booster Cost]]</f>
        <v/>
      </c>
      <c r="AU73" s="10">
        <f>_xlfn.XLOOKUP(tbl_MTG_Set[[#This Row],[Collector Booster Box Product Id]], tbl_Product[Product Id], tbl_Product[Min Cost])</f>
        <v/>
      </c>
      <c r="AV73" s="10">
        <f>_xlfn.XLOOKUP(tbl_MTG_Set[[#This Row],[Collector Booster Box Product Id]], tbl_Product[Product Id], tbl_Product[Best Source])</f>
        <v/>
      </c>
      <c r="AW73" s="4">
        <f>_xlfn.XLOOKUP(tbl_MTG_Set[[#This Row],[Collector Booster Box Product Id]], tbl_Product[Product Id], tbl_Product[Pack Size])</f>
        <v/>
      </c>
      <c r="AX73" s="10">
        <f>(tbl_MTG_Set[[#This Row],[Collector Booster Box Cost]] + v_Item_Shipping_Cost_In) / tbl_MTG_Set[[#This Row],[Collector Booster Box Size]]</f>
        <v/>
      </c>
      <c r="AY73" s="10">
        <f t="array" ref="AY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" s="10" t="n"/>
      <c r="BA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" s="17">
        <f>tbl_MTG_Set[[#This Row],[Collector Booster CardMarket Profit]]/tbl_MTG_Set[[#This Row],[Collector Booster Cost]]</f>
        <v/>
      </c>
      <c r="BC73" s="10" t="n"/>
      <c r="BF73" s="10">
        <f>tbl_MTG_Set[[#This Row],[Play Booster Sell Price CardMarket]]*tbl_MTG_Set[[#This Row],[Play Booster Expected Market Value]]/tbl_MTG_Set[[#This Row],[Play Boost Sealed Market Value]]</f>
        <v/>
      </c>
      <c r="BG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" s="10">
        <f>tbl_MTG_Set[[#This Row],[Play Singles CardMarket Profit]]/tbl_MTG_Set[[#This Row],[Play Booster Cost]]</f>
        <v/>
      </c>
      <c r="BI73" s="10">
        <f>tbl_MTG_Set[[#This Row],[Play Singles CardMarket Profit]]&gt;0</f>
        <v/>
      </c>
      <c r="BJ73" s="10" t="n"/>
      <c r="BK73" s="10" t="n"/>
      <c r="BL73" s="10">
        <f>tbl_MTG_Set[[#This Row],[Collector Booster Sell Price CardMarket]]*tbl_MTG_Set[[#This Row],[Collector Booster Expected Market Value]]/tbl_MTG_Set[[#This Row],[Collector Boost Sealed Market Value]]</f>
        <v/>
      </c>
      <c r="BM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" s="10">
        <f>tbl_MTG_Set[[#This Row],[Collector Singles CardMarket Profit]]/tbl_MTG_Set[[#This Row],[Collector Booster Cost]]</f>
        <v/>
      </c>
      <c r="BO73" s="10">
        <f>tbl_MTG_Set[[#This Row],[Collector Singles CardMarket Profit]]&gt;0</f>
        <v/>
      </c>
      <c r="BP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">
      <c r="A74" t="n">
        <v>72</v>
      </c>
      <c r="B74" t="inlineStr">
        <is>
          <t>Pioneer Masters PIO</t>
        </is>
      </c>
      <c r="C74" t="n">
        <v>398</v>
      </c>
      <c r="D74" s="3" t="n">
        <v>45636</v>
      </c>
      <c r="F74" t="inlineStr">
        <is>
          <t>en es fr de it pt ja ko ru 汉语 漢語</t>
        </is>
      </c>
      <c r="G74" t="n">
        <v>90</v>
      </c>
      <c r="H74">
        <f>MONTH(NOW())+12*YEAR(NOW())-MONTH(tbl_MTG_Set[[#This Row],[Released On]])-12*YEAR(tbl_MTG_Set[[#This Row],[Released On]])</f>
        <v/>
      </c>
      <c r="I74">
        <f>_xlfn.XLOOKUP(tbl_MTG_Set[[#This Row],[Type Name]], tbl_MTG_Set_Type[Set Type], tbl_MTG_Set_Type[Index], "(Set Type not found)")</f>
        <v/>
      </c>
      <c r="J74">
        <f>_xlfn.XLOOKUP(tbl_MTG_Set[[#This Row],[Type Name]], tbl_MTG_Set_Type[Set Type], tbl_MTG_Set_Type[Buy Window Month Start], "(Set Type not found)")</f>
        <v/>
      </c>
      <c r="K74" s="3">
        <f>tbl_MTG_Set[[#This Row],[Released On]]+tbl_MTG_Set[[#This Row],[Buy Window Month Start]]*365.25/12</f>
        <v/>
      </c>
      <c r="L74">
        <f>_xlfn.XLOOKUP(tbl_MTG_Set[[#This Row],[Type Name]], tbl_MTG_Set_Type[Set Type], tbl_MTG_Set_Type[Buy Window Month End], "(Set Type not found)", 0, 1)</f>
        <v/>
      </c>
      <c r="M74" s="3">
        <f>tbl_MTG_Set[[#This Row],[Released On]]+tbl_MTG_Set[[#This Row],[Buy Window Month End]]*365.25/12</f>
        <v/>
      </c>
      <c r="N74" s="3">
        <f>AND(NOW()&gt;=tbl_MTG_Set[[#This Row],[Buy Window Start]], NOW()&lt;=tbl_MTG_Set[[#This Row],[Buy Window End]])</f>
        <v/>
      </c>
      <c r="O74">
        <f>_xlfn.XLOOKUP(tbl_MTG_Set[[#This Row],[Type Name]], tbl_MTG_Set_Type[Set Type], tbl_MTG_Set_Type[Heavy Printing Window Month Start], "(Set Type not found)", 0, 1)</f>
        <v/>
      </c>
      <c r="P74" s="3">
        <f>tbl_MTG_Set[[#This Row],[Released On]]+tbl_MTG_Set[[#This Row],[Heavy Printing Window Month Start]]*365.25/12</f>
        <v/>
      </c>
      <c r="Q74">
        <f>_xlfn.XLOOKUP(tbl_MTG_Set[[#This Row],[Type Name]], tbl_MTG_Set_Type[Set Type], tbl_MTG_Set_Type[Heavy Printing Window Month End], "(Set Type not found)", 0, 1)</f>
        <v/>
      </c>
      <c r="R74" s="3">
        <f>tbl_MTG_Set[[#This Row],[Released On]]+tbl_MTG_Set[[#This Row],[Heavy Printing Window Month End]]*365.25/12</f>
        <v/>
      </c>
      <c r="S74" s="3">
        <f>AND(NOW()&gt;=tbl_MTG_Set[[#This Row],[Heavy Printing Window Start]], NOW()&lt;=tbl_MTG_Set[[#This Row],[Heavy Printing Window End]])</f>
        <v/>
      </c>
      <c r="T74">
        <f>_xlfn.XLOOKUP(tbl_MTG_Set[[#This Row],[Type Name]], tbl_MTG_Set_Type[Set Type], tbl_MTG_Set_Type[Sell Window Month Start], "(Set Type not found)", 0, 1)</f>
        <v/>
      </c>
      <c r="U74" s="3">
        <f>tbl_MTG_Set[[#This Row],[Released On]]+tbl_MTG_Set[[#This Row],[Sell Window Month Start]]*365.25/12</f>
        <v/>
      </c>
      <c r="V74">
        <f>_xlfn.XLOOKUP(tbl_MTG_Set[[#This Row],[Type Name]], tbl_MTG_Set_Type[Set Type], tbl_MTG_Set_Type[Sell Window Month End], "(Set Type not found)", 0, 1)</f>
        <v/>
      </c>
      <c r="W74" s="3">
        <f>tbl_MTG_Set[[#This Row],[Released On]]+tbl_MTG_Set[[#This Row],[Sell Window Month End]]*365.25/12</f>
        <v/>
      </c>
      <c r="X74" s="3">
        <f>AND(NOW()&gt;=tbl_MTG_Set[[#This Row],[Sell Window Start]], NOW()&lt;=tbl_MTG_Set[[#This Row],[Sell Window End]])</f>
        <v/>
      </c>
      <c r="AG74" s="10" t="n"/>
      <c r="AH74" s="10" t="n"/>
      <c r="AM74" s="10">
        <f t="array" ref="AM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" s="10">
        <f t="array" ref="AN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" s="4">
        <f>_xlfn.XLOOKUP(tbl_MTG_Set[[#This Row],[Play Booster Box Product Id]], tbl_Product[Product Id], tbl_Product[Pack Size])</f>
        <v/>
      </c>
      <c r="AP74" s="10">
        <f>(tbl_MTG_Set[[#This Row],[Play Booster Box Cost]]+v_Item_Shipping_Cost_In)/tbl_MTG_Set[[#This Row],[Play Booster Box Size]]</f>
        <v/>
      </c>
      <c r="AQ74" s="10">
        <f t="array" ref="AQ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" s="10" t="n"/>
      <c r="AS74" s="10" t="n"/>
      <c r="AT74" s="17">
        <f>tbl_MTG_Set[[#This Row],[Play Booster CardMarket Profit]]/tbl_MTG_Set[[#This Row],[Play Booster Cost]]</f>
        <v/>
      </c>
      <c r="AU74" s="10">
        <f>_xlfn.XLOOKUP(tbl_MTG_Set[[#This Row],[Collector Booster Box Product Id]], tbl_Product[Product Id], tbl_Product[Min Cost])</f>
        <v/>
      </c>
      <c r="AV74" s="10">
        <f>_xlfn.XLOOKUP(tbl_MTG_Set[[#This Row],[Collector Booster Box Product Id]], tbl_Product[Product Id], tbl_Product[Best Source])</f>
        <v/>
      </c>
      <c r="AW74" s="4">
        <f>_xlfn.XLOOKUP(tbl_MTG_Set[[#This Row],[Collector Booster Box Product Id]], tbl_Product[Product Id], tbl_Product[Pack Size])</f>
        <v/>
      </c>
      <c r="AX74" s="10">
        <f>(tbl_MTG_Set[[#This Row],[Collector Booster Box Cost]] + v_Item_Shipping_Cost_In) / tbl_MTG_Set[[#This Row],[Collector Booster Box Size]]</f>
        <v/>
      </c>
      <c r="AY74" s="10">
        <f t="array" ref="AY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" s="10" t="n"/>
      <c r="BA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" s="17">
        <f>tbl_MTG_Set[[#This Row],[Collector Booster CardMarket Profit]]/tbl_MTG_Set[[#This Row],[Collector Booster Cost]]</f>
        <v/>
      </c>
      <c r="BC74" s="10" t="n"/>
      <c r="BF74" s="10">
        <f>tbl_MTG_Set[[#This Row],[Play Booster Sell Price CardMarket]]*tbl_MTG_Set[[#This Row],[Play Booster Expected Market Value]]/tbl_MTG_Set[[#This Row],[Play Boost Sealed Market Value]]</f>
        <v/>
      </c>
      <c r="BG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" s="10">
        <f>tbl_MTG_Set[[#This Row],[Play Singles CardMarket Profit]]/tbl_MTG_Set[[#This Row],[Play Booster Cost]]</f>
        <v/>
      </c>
      <c r="BI74" s="10">
        <f>tbl_MTG_Set[[#This Row],[Play Singles CardMarket Profit]]&gt;0</f>
        <v/>
      </c>
      <c r="BJ74" s="10" t="n"/>
      <c r="BK74" s="10" t="n"/>
      <c r="BL74" s="10">
        <f>tbl_MTG_Set[[#This Row],[Collector Booster Sell Price CardMarket]]*tbl_MTG_Set[[#This Row],[Collector Booster Expected Market Value]]/tbl_MTG_Set[[#This Row],[Collector Boost Sealed Market Value]]</f>
        <v/>
      </c>
      <c r="BM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" s="10">
        <f>tbl_MTG_Set[[#This Row],[Collector Singles CardMarket Profit]]/tbl_MTG_Set[[#This Row],[Collector Booster Cost]]</f>
        <v/>
      </c>
      <c r="BO74" s="10">
        <f>tbl_MTG_Set[[#This Row],[Collector Singles CardMarket Profit]]&gt;0</f>
        <v/>
      </c>
      <c r="BP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">
      <c r="A75" t="n">
        <v>73</v>
      </c>
      <c r="B75" t="inlineStr">
        <is>
          <t>Foundations FDN</t>
        </is>
      </c>
      <c r="C75" t="n">
        <v>730</v>
      </c>
      <c r="D75" s="3" t="n">
        <v>45611</v>
      </c>
      <c r="E75" t="inlineStr">
        <is>
          <t>Standard Expansion</t>
        </is>
      </c>
      <c r="F75" t="inlineStr">
        <is>
          <t>en es fr de it pt ja ko ru 汉语 漢語</t>
        </is>
      </c>
      <c r="G75" t="n">
        <v>92</v>
      </c>
      <c r="H75">
        <f>MONTH(NOW())+12*YEAR(NOW())-MONTH(tbl_MTG_Set[[#This Row],[Released On]])-12*YEAR(tbl_MTG_Set[[#This Row],[Released On]])</f>
        <v/>
      </c>
      <c r="I75">
        <f>_xlfn.XLOOKUP(tbl_MTG_Set[[#This Row],[Type Name]], tbl_MTG_Set_Type[Set Type], tbl_MTG_Set_Type[Index], "(Set Type not found)")</f>
        <v/>
      </c>
      <c r="J75">
        <f>_xlfn.XLOOKUP(tbl_MTG_Set[[#This Row],[Type Name]], tbl_MTG_Set_Type[Set Type], tbl_MTG_Set_Type[Buy Window Month Start], "(Set Type not found)")</f>
        <v/>
      </c>
      <c r="K75" s="3">
        <f>tbl_MTG_Set[[#This Row],[Released On]]+tbl_MTG_Set[[#This Row],[Buy Window Month Start]]*365.25/12</f>
        <v/>
      </c>
      <c r="L75">
        <f>_xlfn.XLOOKUP(tbl_MTG_Set[[#This Row],[Type Name]], tbl_MTG_Set_Type[Set Type], tbl_MTG_Set_Type[Buy Window Month End], "(Set Type not found)", 0, 1)</f>
        <v/>
      </c>
      <c r="M75" s="3">
        <f>tbl_MTG_Set[[#This Row],[Released On]]+tbl_MTG_Set[[#This Row],[Buy Window Month End]]*365.25/12</f>
        <v/>
      </c>
      <c r="N75" s="3">
        <f>AND(NOW()&gt;=tbl_MTG_Set[[#This Row],[Buy Window Start]], NOW()&lt;=tbl_MTG_Set[[#This Row],[Buy Window End]])</f>
        <v/>
      </c>
      <c r="O75">
        <f>_xlfn.XLOOKUP(tbl_MTG_Set[[#This Row],[Type Name]], tbl_MTG_Set_Type[Set Type], tbl_MTG_Set_Type[Heavy Printing Window Month Start], "(Set Type not found)", 0, 1)</f>
        <v/>
      </c>
      <c r="P75" s="3">
        <f>tbl_MTG_Set[[#This Row],[Released On]]+tbl_MTG_Set[[#This Row],[Heavy Printing Window Month Start]]*365.25/12</f>
        <v/>
      </c>
      <c r="Q75">
        <f>_xlfn.XLOOKUP(tbl_MTG_Set[[#This Row],[Type Name]], tbl_MTG_Set_Type[Set Type], tbl_MTG_Set_Type[Heavy Printing Window Month End], "(Set Type not found)", 0, 1)</f>
        <v/>
      </c>
      <c r="R75" s="3">
        <f>tbl_MTG_Set[[#This Row],[Released On]]+tbl_MTG_Set[[#This Row],[Heavy Printing Window Month End]]*365.25/12</f>
        <v/>
      </c>
      <c r="S75" s="3">
        <f>AND(NOW()&gt;=tbl_MTG_Set[[#This Row],[Heavy Printing Window Start]], NOW()&lt;=tbl_MTG_Set[[#This Row],[Heavy Printing Window End]])</f>
        <v/>
      </c>
      <c r="T75">
        <f>_xlfn.XLOOKUP(tbl_MTG_Set[[#This Row],[Type Name]], tbl_MTG_Set_Type[Set Type], tbl_MTG_Set_Type[Sell Window Month Start], "(Set Type not found)", 0, 1)</f>
        <v/>
      </c>
      <c r="U75" s="3">
        <f>tbl_MTG_Set[[#This Row],[Released On]]+tbl_MTG_Set[[#This Row],[Sell Window Month Start]]*365.25/12</f>
        <v/>
      </c>
      <c r="V75">
        <f>_xlfn.XLOOKUP(tbl_MTG_Set[[#This Row],[Type Name]], tbl_MTG_Set_Type[Set Type], tbl_MTG_Set_Type[Sell Window Month End], "(Set Type not found)", 0, 1)</f>
        <v/>
      </c>
      <c r="W75" s="3">
        <f>tbl_MTG_Set[[#This Row],[Released On]]+tbl_MTG_Set[[#This Row],[Sell Window Month End]]*365.25/12</f>
        <v/>
      </c>
      <c r="X75" s="3">
        <f>AND(NOW()&gt;=tbl_MTG_Set[[#This Row],[Sell Window Start]], NOW()&lt;=tbl_MTG_Set[[#This Row],[Sell Window End]])</f>
        <v/>
      </c>
      <c r="Y75" s="10" t="n">
        <v>144</v>
      </c>
      <c r="Z75" s="10" t="n">
        <v>130</v>
      </c>
      <c r="AB75" s="10">
        <f>140-96/20</f>
        <v/>
      </c>
      <c r="AC75" s="10" t="n">
        <v>119</v>
      </c>
      <c r="AD75" s="10">
        <f>(Y75+96/20)/30</f>
        <v/>
      </c>
      <c r="AE75" s="10">
        <f>(Z75+96/20)/30</f>
        <v/>
      </c>
      <c r="AF75" s="10">
        <f>(AA75+96/20)/30</f>
        <v/>
      </c>
      <c r="AG75" s="10">
        <f>(AB75+96/20)/30</f>
        <v/>
      </c>
      <c r="AH75" s="10">
        <f>(AC75+96/20)/30</f>
        <v/>
      </c>
      <c r="AI75" s="4" t="n">
        <v>61</v>
      </c>
      <c r="AJ75" s="4" t="n">
        <v>16</v>
      </c>
      <c r="AK75" s="4" t="n">
        <v>102</v>
      </c>
      <c r="AL75" s="4" t="n">
        <v>101</v>
      </c>
      <c r="AM75" s="10">
        <f t="array" ref="AM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" s="10">
        <f t="array" ref="AN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" s="4">
        <f>_xlfn.XLOOKUP(tbl_MTG_Set[[#This Row],[Play Booster Box Product Id]], tbl_Product[Product Id], tbl_Product[Pack Size])</f>
        <v/>
      </c>
      <c r="AP75" s="10">
        <f>(tbl_MTG_Set[[#This Row],[Play Booster Box Cost]]+v_Item_Shipping_Cost_In)/tbl_MTG_Set[[#This Row],[Play Booster Box Size]]</f>
        <v/>
      </c>
      <c r="AQ75" s="10">
        <f t="array" ref="AQ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" s="10" t="n">
        <v>5</v>
      </c>
      <c r="AS7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75" s="17">
        <f>tbl_MTG_Set[[#This Row],[Play Booster CardMarket Profit]]/tbl_MTG_Set[[#This Row],[Play Booster Cost]]</f>
        <v/>
      </c>
      <c r="AU75" s="10">
        <f>_xlfn.XLOOKUP(tbl_MTG_Set[[#This Row],[Collector Booster Box Product Id]], tbl_Product[Product Id], tbl_Product[Min Cost])</f>
        <v/>
      </c>
      <c r="AV75" s="10">
        <f>_xlfn.XLOOKUP(tbl_MTG_Set[[#This Row],[Collector Booster Box Product Id]], tbl_Product[Product Id], tbl_Product[Best Source])</f>
        <v/>
      </c>
      <c r="AW75" s="4">
        <f>_xlfn.XLOOKUP(tbl_MTG_Set[[#This Row],[Collector Booster Box Product Id]], tbl_Product[Product Id], tbl_Product[Pack Size])</f>
        <v/>
      </c>
      <c r="AX75" s="10">
        <f>(tbl_MTG_Set[[#This Row],[Collector Booster Box Cost]] + v_Item_Shipping_Cost_In) / tbl_MTG_Set[[#This Row],[Collector Booster Box Size]]</f>
        <v/>
      </c>
      <c r="AY75" s="10">
        <f t="array" ref="AY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" s="10" t="n"/>
      <c r="BA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" s="17">
        <f>tbl_MTG_Set[[#This Row],[Collector Booster CardMarket Profit]]/tbl_MTG_Set[[#This Row],[Collector Booster Cost]]</f>
        <v/>
      </c>
      <c r="BC75" s="10" t="n"/>
      <c r="BF75" s="10">
        <f>tbl_MTG_Set[[#This Row],[Play Booster Sell Price CardMarket]]*tbl_MTG_Set[[#This Row],[Play Booster Expected Market Value]]/tbl_MTG_Set[[#This Row],[Play Boost Sealed Market Value]]</f>
        <v/>
      </c>
      <c r="BG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" s="17">
        <f>tbl_MTG_Set[[#This Row],[Play Singles CardMarket Profit]]/tbl_MTG_Set[[#This Row],[Play Booster Cost]]</f>
        <v/>
      </c>
      <c r="BI75" s="10">
        <f>tbl_MTG_Set[[#This Row],[Play Singles CardMarket Profit]]&gt;0</f>
        <v/>
      </c>
      <c r="BJ75" s="10" t="n"/>
      <c r="BK75" s="10" t="n"/>
      <c r="BL75" s="10">
        <f>tbl_MTG_Set[[#This Row],[Collector Booster Sell Price CardMarket]]*tbl_MTG_Set[[#This Row],[Collector Booster Expected Market Value]]/tbl_MTG_Set[[#This Row],[Collector Boost Sealed Market Value]]</f>
        <v/>
      </c>
      <c r="BM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" s="17">
        <f>tbl_MTG_Set[[#This Row],[Collector Singles CardMarket Profit]]/tbl_MTG_Set[[#This Row],[Collector Booster Cost]]</f>
        <v/>
      </c>
      <c r="BO75" s="10">
        <f>tbl_MTG_Set[[#This Row],[Collector Singles CardMarket Profit]]&gt;0</f>
        <v/>
      </c>
      <c r="BP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">
      <c r="A76" t="n">
        <v>74</v>
      </c>
      <c r="B76" t="inlineStr">
        <is>
          <t>Foundations Promos PFDN</t>
        </is>
      </c>
      <c r="C76" t="n">
        <v>93</v>
      </c>
      <c r="D76" s="3" t="n">
        <v>45611</v>
      </c>
      <c r="E76" t="inlineStr">
        <is>
          <t>Standard Expansion</t>
        </is>
      </c>
      <c r="F76" t="inlineStr">
        <is>
          <t>en es fr de it pt ja ko ru 汉语 漢語</t>
        </is>
      </c>
      <c r="G76" t="n">
        <v>94</v>
      </c>
      <c r="H76">
        <f>MONTH(NOW())+12*YEAR(NOW())-MONTH(tbl_MTG_Set[[#This Row],[Released On]])-12*YEAR(tbl_MTG_Set[[#This Row],[Released On]])</f>
        <v/>
      </c>
      <c r="I76">
        <f>_xlfn.XLOOKUP(tbl_MTG_Set[[#This Row],[Type Name]], tbl_MTG_Set_Type[Set Type], tbl_MTG_Set_Type[Index], "(Set Type not found)")</f>
        <v/>
      </c>
      <c r="J76">
        <f>_xlfn.XLOOKUP(tbl_MTG_Set[[#This Row],[Type Name]], tbl_MTG_Set_Type[Set Type], tbl_MTG_Set_Type[Buy Window Month Start], "(Set Type not found)")</f>
        <v/>
      </c>
      <c r="K76" s="3">
        <f>tbl_MTG_Set[[#This Row],[Released On]]+tbl_MTG_Set[[#This Row],[Buy Window Month Start]]*365.25/12</f>
        <v/>
      </c>
      <c r="L76">
        <f>_xlfn.XLOOKUP(tbl_MTG_Set[[#This Row],[Type Name]], tbl_MTG_Set_Type[Set Type], tbl_MTG_Set_Type[Buy Window Month End], "(Set Type not found)", 0, 1)</f>
        <v/>
      </c>
      <c r="M76" s="3">
        <f>tbl_MTG_Set[[#This Row],[Released On]]+tbl_MTG_Set[[#This Row],[Buy Window Month End]]*365.25/12</f>
        <v/>
      </c>
      <c r="N76" s="3">
        <f>AND(NOW()&gt;=tbl_MTG_Set[[#This Row],[Buy Window Start]], NOW()&lt;=tbl_MTG_Set[[#This Row],[Buy Window End]])</f>
        <v/>
      </c>
      <c r="O76">
        <f>_xlfn.XLOOKUP(tbl_MTG_Set[[#This Row],[Type Name]], tbl_MTG_Set_Type[Set Type], tbl_MTG_Set_Type[Heavy Printing Window Month Start], "(Set Type not found)", 0, 1)</f>
        <v/>
      </c>
      <c r="P76" s="3">
        <f>tbl_MTG_Set[[#This Row],[Released On]]+tbl_MTG_Set[[#This Row],[Heavy Printing Window Month Start]]*365.25/12</f>
        <v/>
      </c>
      <c r="Q76">
        <f>_xlfn.XLOOKUP(tbl_MTG_Set[[#This Row],[Type Name]], tbl_MTG_Set_Type[Set Type], tbl_MTG_Set_Type[Heavy Printing Window Month End], "(Set Type not found)", 0, 1)</f>
        <v/>
      </c>
      <c r="R76" s="3">
        <f>tbl_MTG_Set[[#This Row],[Released On]]+tbl_MTG_Set[[#This Row],[Heavy Printing Window Month End]]*365.25/12</f>
        <v/>
      </c>
      <c r="S76" s="3">
        <f>AND(NOW()&gt;=tbl_MTG_Set[[#This Row],[Heavy Printing Window Start]], NOW()&lt;=tbl_MTG_Set[[#This Row],[Heavy Printing Window End]])</f>
        <v/>
      </c>
      <c r="T76">
        <f>_xlfn.XLOOKUP(tbl_MTG_Set[[#This Row],[Type Name]], tbl_MTG_Set_Type[Set Type], tbl_MTG_Set_Type[Sell Window Month Start], "(Set Type not found)", 0, 1)</f>
        <v/>
      </c>
      <c r="U76" s="3">
        <f>tbl_MTG_Set[[#This Row],[Released On]]+tbl_MTG_Set[[#This Row],[Sell Window Month Start]]*365.25/12</f>
        <v/>
      </c>
      <c r="V76">
        <f>_xlfn.XLOOKUP(tbl_MTG_Set[[#This Row],[Type Name]], tbl_MTG_Set_Type[Set Type], tbl_MTG_Set_Type[Sell Window Month End], "(Set Type not found)", 0, 1)</f>
        <v/>
      </c>
      <c r="W76" s="3">
        <f>tbl_MTG_Set[[#This Row],[Released On]]+tbl_MTG_Set[[#This Row],[Sell Window Month End]]*365.25/12</f>
        <v/>
      </c>
      <c r="X76" s="3">
        <f>AND(NOW()&gt;=tbl_MTG_Set[[#This Row],[Sell Window Start]], NOW()&lt;=tbl_MTG_Set[[#This Row],[Sell Window End]])</f>
        <v/>
      </c>
      <c r="AG76" s="10" t="n"/>
      <c r="AH76" s="10" t="n"/>
      <c r="AM76" s="10">
        <f t="array" ref="AM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" s="10">
        <f t="array" ref="AN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" s="4">
        <f>_xlfn.XLOOKUP(tbl_MTG_Set[[#This Row],[Play Booster Box Product Id]], tbl_Product[Product Id], tbl_Product[Pack Size])</f>
        <v/>
      </c>
      <c r="AP76" s="10">
        <f>(tbl_MTG_Set[[#This Row],[Play Booster Box Cost]]+v_Item_Shipping_Cost_In)/tbl_MTG_Set[[#This Row],[Play Booster Box Size]]</f>
        <v/>
      </c>
      <c r="AQ76" s="10">
        <f t="array" ref="AQ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" s="10" t="n"/>
      <c r="AS76" s="10" t="n"/>
      <c r="AT76" s="17">
        <f>tbl_MTG_Set[[#This Row],[Play Booster CardMarket Profit]]/tbl_MTG_Set[[#This Row],[Play Booster Cost]]</f>
        <v/>
      </c>
      <c r="AU76" s="10">
        <f>_xlfn.XLOOKUP(tbl_MTG_Set[[#This Row],[Collector Booster Box Product Id]], tbl_Product[Product Id], tbl_Product[Min Cost])</f>
        <v/>
      </c>
      <c r="AV76" s="10">
        <f>_xlfn.XLOOKUP(tbl_MTG_Set[[#This Row],[Collector Booster Box Product Id]], tbl_Product[Product Id], tbl_Product[Best Source])</f>
        <v/>
      </c>
      <c r="AW76" s="4">
        <f>_xlfn.XLOOKUP(tbl_MTG_Set[[#This Row],[Collector Booster Box Product Id]], tbl_Product[Product Id], tbl_Product[Pack Size])</f>
        <v/>
      </c>
      <c r="AX76" s="10">
        <f>(tbl_MTG_Set[[#This Row],[Collector Booster Box Cost]] + v_Item_Shipping_Cost_In) / tbl_MTG_Set[[#This Row],[Collector Booster Box Size]]</f>
        <v/>
      </c>
      <c r="AY76" s="10">
        <f t="array" ref="AY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" s="10" t="n"/>
      <c r="BA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" s="17">
        <f>tbl_MTG_Set[[#This Row],[Collector Booster CardMarket Profit]]/tbl_MTG_Set[[#This Row],[Collector Booster Cost]]</f>
        <v/>
      </c>
      <c r="BC76" s="10" t="n"/>
      <c r="BF76" s="10">
        <f>tbl_MTG_Set[[#This Row],[Play Booster Sell Price CardMarket]]*tbl_MTG_Set[[#This Row],[Play Booster Expected Market Value]]/tbl_MTG_Set[[#This Row],[Play Boost Sealed Market Value]]</f>
        <v/>
      </c>
      <c r="BG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" s="10">
        <f>tbl_MTG_Set[[#This Row],[Play Singles CardMarket Profit]]/tbl_MTG_Set[[#This Row],[Play Booster Cost]]</f>
        <v/>
      </c>
      <c r="BI76" s="10">
        <f>tbl_MTG_Set[[#This Row],[Play Singles CardMarket Profit]]&gt;0</f>
        <v/>
      </c>
      <c r="BJ76" s="10" t="n"/>
      <c r="BK76" s="10" t="n"/>
      <c r="BL76" s="10">
        <f>tbl_MTG_Set[[#This Row],[Collector Booster Sell Price CardMarket]]*tbl_MTG_Set[[#This Row],[Collector Booster Expected Market Value]]/tbl_MTG_Set[[#This Row],[Collector Boost Sealed Market Value]]</f>
        <v/>
      </c>
      <c r="BM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" s="10">
        <f>tbl_MTG_Set[[#This Row],[Collector Singles CardMarket Profit]]/tbl_MTG_Set[[#This Row],[Collector Booster Cost]]</f>
        <v/>
      </c>
      <c r="BO76" s="10">
        <f>tbl_MTG_Set[[#This Row],[Collector Singles CardMarket Profit]]&gt;0</f>
        <v/>
      </c>
      <c r="BP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">
      <c r="A77" t="n">
        <v>75</v>
      </c>
      <c r="B77" t="inlineStr">
        <is>
          <t>Foundations Tokens TFDN</t>
        </is>
      </c>
      <c r="C77" t="n">
        <v>33</v>
      </c>
      <c r="D77" s="3" t="n">
        <v>45611</v>
      </c>
      <c r="E77" t="inlineStr">
        <is>
          <t>Standard Expansion</t>
        </is>
      </c>
      <c r="F77" t="inlineStr">
        <is>
          <t>en es fr de it pt ja ko ru 汉语 漢語</t>
        </is>
      </c>
      <c r="G77" t="n">
        <v>96</v>
      </c>
      <c r="H77">
        <f>MONTH(NOW())+12*YEAR(NOW())-MONTH(tbl_MTG_Set[[#This Row],[Released On]])-12*YEAR(tbl_MTG_Set[[#This Row],[Released On]])</f>
        <v/>
      </c>
      <c r="I77">
        <f>_xlfn.XLOOKUP(tbl_MTG_Set[[#This Row],[Type Name]], tbl_MTG_Set_Type[Set Type], tbl_MTG_Set_Type[Index], "(Set Type not found)")</f>
        <v/>
      </c>
      <c r="J77">
        <f>_xlfn.XLOOKUP(tbl_MTG_Set[[#This Row],[Type Name]], tbl_MTG_Set_Type[Set Type], tbl_MTG_Set_Type[Buy Window Month Start], "(Set Type not found)")</f>
        <v/>
      </c>
      <c r="K77" s="3">
        <f>tbl_MTG_Set[[#This Row],[Released On]]+tbl_MTG_Set[[#This Row],[Buy Window Month Start]]*365.25/12</f>
        <v/>
      </c>
      <c r="L77">
        <f>_xlfn.XLOOKUP(tbl_MTG_Set[[#This Row],[Type Name]], tbl_MTG_Set_Type[Set Type], tbl_MTG_Set_Type[Buy Window Month End], "(Set Type not found)", 0, 1)</f>
        <v/>
      </c>
      <c r="M77" s="3">
        <f>tbl_MTG_Set[[#This Row],[Released On]]+tbl_MTG_Set[[#This Row],[Buy Window Month End]]*365.25/12</f>
        <v/>
      </c>
      <c r="N77" s="3">
        <f>AND(NOW()&gt;=tbl_MTG_Set[[#This Row],[Buy Window Start]], NOW()&lt;=tbl_MTG_Set[[#This Row],[Buy Window End]])</f>
        <v/>
      </c>
      <c r="O77">
        <f>_xlfn.XLOOKUP(tbl_MTG_Set[[#This Row],[Type Name]], tbl_MTG_Set_Type[Set Type], tbl_MTG_Set_Type[Heavy Printing Window Month Start], "(Set Type not found)", 0, 1)</f>
        <v/>
      </c>
      <c r="P77" s="3">
        <f>tbl_MTG_Set[[#This Row],[Released On]]+tbl_MTG_Set[[#This Row],[Heavy Printing Window Month Start]]*365.25/12</f>
        <v/>
      </c>
      <c r="Q77">
        <f>_xlfn.XLOOKUP(tbl_MTG_Set[[#This Row],[Type Name]], tbl_MTG_Set_Type[Set Type], tbl_MTG_Set_Type[Heavy Printing Window Month End], "(Set Type not found)", 0, 1)</f>
        <v/>
      </c>
      <c r="R77" s="3">
        <f>tbl_MTG_Set[[#This Row],[Released On]]+tbl_MTG_Set[[#This Row],[Heavy Printing Window Month End]]*365.25/12</f>
        <v/>
      </c>
      <c r="S77" s="3">
        <f>AND(NOW()&gt;=tbl_MTG_Set[[#This Row],[Heavy Printing Window Start]], NOW()&lt;=tbl_MTG_Set[[#This Row],[Heavy Printing Window End]])</f>
        <v/>
      </c>
      <c r="T77">
        <f>_xlfn.XLOOKUP(tbl_MTG_Set[[#This Row],[Type Name]], tbl_MTG_Set_Type[Set Type], tbl_MTG_Set_Type[Sell Window Month Start], "(Set Type not found)", 0, 1)</f>
        <v/>
      </c>
      <c r="U77" s="3">
        <f>tbl_MTG_Set[[#This Row],[Released On]]+tbl_MTG_Set[[#This Row],[Sell Window Month Start]]*365.25/12</f>
        <v/>
      </c>
      <c r="V77">
        <f>_xlfn.XLOOKUP(tbl_MTG_Set[[#This Row],[Type Name]], tbl_MTG_Set_Type[Set Type], tbl_MTG_Set_Type[Sell Window Month End], "(Set Type not found)", 0, 1)</f>
        <v/>
      </c>
      <c r="W77" s="3">
        <f>tbl_MTG_Set[[#This Row],[Released On]]+tbl_MTG_Set[[#This Row],[Sell Window Month End]]*365.25/12</f>
        <v/>
      </c>
      <c r="X77" s="3">
        <f>AND(NOW()&gt;=tbl_MTG_Set[[#This Row],[Sell Window Start]], NOW()&lt;=tbl_MTG_Set[[#This Row],[Sell Window End]])</f>
        <v/>
      </c>
      <c r="AG77" s="10" t="n"/>
      <c r="AH77" s="10" t="n"/>
      <c r="AM77" s="10">
        <f t="array" ref="AM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" s="10">
        <f t="array" ref="AN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" s="4">
        <f>_xlfn.XLOOKUP(tbl_MTG_Set[[#This Row],[Play Booster Box Product Id]], tbl_Product[Product Id], tbl_Product[Pack Size])</f>
        <v/>
      </c>
      <c r="AP77" s="10">
        <f>(tbl_MTG_Set[[#This Row],[Play Booster Box Cost]]+v_Item_Shipping_Cost_In)/tbl_MTG_Set[[#This Row],[Play Booster Box Size]]</f>
        <v/>
      </c>
      <c r="AQ77" s="10">
        <f t="array" ref="AQ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" s="10" t="n"/>
      <c r="AS77" s="10" t="n"/>
      <c r="AT77" s="17">
        <f>tbl_MTG_Set[[#This Row],[Play Booster CardMarket Profit]]/tbl_MTG_Set[[#This Row],[Play Booster Cost]]</f>
        <v/>
      </c>
      <c r="AU77" s="10">
        <f>_xlfn.XLOOKUP(tbl_MTG_Set[[#This Row],[Collector Booster Box Product Id]], tbl_Product[Product Id], tbl_Product[Min Cost])</f>
        <v/>
      </c>
      <c r="AV77" s="10">
        <f>_xlfn.XLOOKUP(tbl_MTG_Set[[#This Row],[Collector Booster Box Product Id]], tbl_Product[Product Id], tbl_Product[Best Source])</f>
        <v/>
      </c>
      <c r="AW77" s="4">
        <f>_xlfn.XLOOKUP(tbl_MTG_Set[[#This Row],[Collector Booster Box Product Id]], tbl_Product[Product Id], tbl_Product[Pack Size])</f>
        <v/>
      </c>
      <c r="AX77" s="10">
        <f>(tbl_MTG_Set[[#This Row],[Collector Booster Box Cost]] + v_Item_Shipping_Cost_In) / tbl_MTG_Set[[#This Row],[Collector Booster Box Size]]</f>
        <v/>
      </c>
      <c r="AY77" s="10">
        <f t="array" ref="AY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" s="10" t="n"/>
      <c r="BA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" s="17">
        <f>tbl_MTG_Set[[#This Row],[Collector Booster CardMarket Profit]]/tbl_MTG_Set[[#This Row],[Collector Booster Cost]]</f>
        <v/>
      </c>
      <c r="BC77" s="10" t="n"/>
      <c r="BF77" s="10">
        <f>tbl_MTG_Set[[#This Row],[Play Booster Sell Price CardMarket]]*tbl_MTG_Set[[#This Row],[Play Booster Expected Market Value]]/tbl_MTG_Set[[#This Row],[Play Boost Sealed Market Value]]</f>
        <v/>
      </c>
      <c r="BG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" s="10">
        <f>tbl_MTG_Set[[#This Row],[Play Singles CardMarket Profit]]/tbl_MTG_Set[[#This Row],[Play Booster Cost]]</f>
        <v/>
      </c>
      <c r="BI77" s="10">
        <f>tbl_MTG_Set[[#This Row],[Play Singles CardMarket Profit]]&gt;0</f>
        <v/>
      </c>
      <c r="BJ77" s="10" t="n"/>
      <c r="BK77" s="10" t="n"/>
      <c r="BL77" s="10">
        <f>tbl_MTG_Set[[#This Row],[Collector Booster Sell Price CardMarket]]*tbl_MTG_Set[[#This Row],[Collector Booster Expected Market Value]]/tbl_MTG_Set[[#This Row],[Collector Boost Sealed Market Value]]</f>
        <v/>
      </c>
      <c r="BM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" s="10">
        <f>tbl_MTG_Set[[#This Row],[Collector Singles CardMarket Profit]]/tbl_MTG_Set[[#This Row],[Collector Booster Cost]]</f>
        <v/>
      </c>
      <c r="BO77" s="10">
        <f>tbl_MTG_Set[[#This Row],[Collector Singles CardMarket Profit]]&gt;0</f>
        <v/>
      </c>
      <c r="BP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">
      <c r="A78" t="n">
        <v>76</v>
      </c>
      <c r="B78" t="inlineStr">
        <is>
          <t>Foundations Art Series AFDN</t>
        </is>
      </c>
      <c r="C78" t="n">
        <v>55</v>
      </c>
      <c r="D78" s="3" t="n">
        <v>45611</v>
      </c>
      <c r="E78" t="inlineStr">
        <is>
          <t>Standard Expansion</t>
        </is>
      </c>
      <c r="F78" t="inlineStr">
        <is>
          <t>en es fr de it pt ja ko ru 汉语 漢語</t>
        </is>
      </c>
      <c r="G78" t="n">
        <v>98</v>
      </c>
      <c r="H78">
        <f>MONTH(NOW())+12*YEAR(NOW())-MONTH(tbl_MTG_Set[[#This Row],[Released On]])-12*YEAR(tbl_MTG_Set[[#This Row],[Released On]])</f>
        <v/>
      </c>
      <c r="I78">
        <f>_xlfn.XLOOKUP(tbl_MTG_Set[[#This Row],[Type Name]], tbl_MTG_Set_Type[Set Type], tbl_MTG_Set_Type[Index], "(Set Type not found)")</f>
        <v/>
      </c>
      <c r="J78">
        <f>_xlfn.XLOOKUP(tbl_MTG_Set[[#This Row],[Type Name]], tbl_MTG_Set_Type[Set Type], tbl_MTG_Set_Type[Buy Window Month Start], "(Set Type not found)")</f>
        <v/>
      </c>
      <c r="K78" s="3">
        <f>tbl_MTG_Set[[#This Row],[Released On]]+tbl_MTG_Set[[#This Row],[Buy Window Month Start]]*365.25/12</f>
        <v/>
      </c>
      <c r="L78">
        <f>_xlfn.XLOOKUP(tbl_MTG_Set[[#This Row],[Type Name]], tbl_MTG_Set_Type[Set Type], tbl_MTG_Set_Type[Buy Window Month End], "(Set Type not found)", 0, 1)</f>
        <v/>
      </c>
      <c r="M78" s="3">
        <f>tbl_MTG_Set[[#This Row],[Released On]]+tbl_MTG_Set[[#This Row],[Buy Window Month End]]*365.25/12</f>
        <v/>
      </c>
      <c r="N78" s="3">
        <f>AND(NOW()&gt;=tbl_MTG_Set[[#This Row],[Buy Window Start]], NOW()&lt;=tbl_MTG_Set[[#This Row],[Buy Window End]])</f>
        <v/>
      </c>
      <c r="O78">
        <f>_xlfn.XLOOKUP(tbl_MTG_Set[[#This Row],[Type Name]], tbl_MTG_Set_Type[Set Type], tbl_MTG_Set_Type[Heavy Printing Window Month Start], "(Set Type not found)", 0, 1)</f>
        <v/>
      </c>
      <c r="P78" s="3">
        <f>tbl_MTG_Set[[#This Row],[Released On]]+tbl_MTG_Set[[#This Row],[Heavy Printing Window Month Start]]*365.25/12</f>
        <v/>
      </c>
      <c r="Q78">
        <f>_xlfn.XLOOKUP(tbl_MTG_Set[[#This Row],[Type Name]], tbl_MTG_Set_Type[Set Type], tbl_MTG_Set_Type[Heavy Printing Window Month End], "(Set Type not found)", 0, 1)</f>
        <v/>
      </c>
      <c r="R78" s="3">
        <f>tbl_MTG_Set[[#This Row],[Released On]]+tbl_MTG_Set[[#This Row],[Heavy Printing Window Month End]]*365.25/12</f>
        <v/>
      </c>
      <c r="S78" s="3">
        <f>AND(NOW()&gt;=tbl_MTG_Set[[#This Row],[Heavy Printing Window Start]], NOW()&lt;=tbl_MTG_Set[[#This Row],[Heavy Printing Window End]])</f>
        <v/>
      </c>
      <c r="T78">
        <f>_xlfn.XLOOKUP(tbl_MTG_Set[[#This Row],[Type Name]], tbl_MTG_Set_Type[Set Type], tbl_MTG_Set_Type[Sell Window Month Start], "(Set Type not found)", 0, 1)</f>
        <v/>
      </c>
      <c r="U78" s="3">
        <f>tbl_MTG_Set[[#This Row],[Released On]]+tbl_MTG_Set[[#This Row],[Sell Window Month Start]]*365.25/12</f>
        <v/>
      </c>
      <c r="V78">
        <f>_xlfn.XLOOKUP(tbl_MTG_Set[[#This Row],[Type Name]], tbl_MTG_Set_Type[Set Type], tbl_MTG_Set_Type[Sell Window Month End], "(Set Type not found)", 0, 1)</f>
        <v/>
      </c>
      <c r="W78" s="3">
        <f>tbl_MTG_Set[[#This Row],[Released On]]+tbl_MTG_Set[[#This Row],[Sell Window Month End]]*365.25/12</f>
        <v/>
      </c>
      <c r="X78" s="3">
        <f>AND(NOW()&gt;=tbl_MTG_Set[[#This Row],[Sell Window Start]], NOW()&lt;=tbl_MTG_Set[[#This Row],[Sell Window End]])</f>
        <v/>
      </c>
      <c r="AG78" s="10" t="n"/>
      <c r="AH78" s="10" t="n"/>
      <c r="AM78" s="10">
        <f t="array" ref="AM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" s="10">
        <f t="array" ref="AN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" s="4">
        <f>_xlfn.XLOOKUP(tbl_MTG_Set[[#This Row],[Play Booster Box Product Id]], tbl_Product[Product Id], tbl_Product[Pack Size])</f>
        <v/>
      </c>
      <c r="AP78" s="10">
        <f>(tbl_MTG_Set[[#This Row],[Play Booster Box Cost]]+v_Item_Shipping_Cost_In)/tbl_MTG_Set[[#This Row],[Play Booster Box Size]]</f>
        <v/>
      </c>
      <c r="AQ78" s="10">
        <f t="array" ref="AQ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" s="10" t="n"/>
      <c r="AS78" s="10" t="n"/>
      <c r="AT78" s="17">
        <f>tbl_MTG_Set[[#This Row],[Play Booster CardMarket Profit]]/tbl_MTG_Set[[#This Row],[Play Booster Cost]]</f>
        <v/>
      </c>
      <c r="AU78" s="10">
        <f>_xlfn.XLOOKUP(tbl_MTG_Set[[#This Row],[Collector Booster Box Product Id]], tbl_Product[Product Id], tbl_Product[Min Cost])</f>
        <v/>
      </c>
      <c r="AV78" s="10">
        <f>_xlfn.XLOOKUP(tbl_MTG_Set[[#This Row],[Collector Booster Box Product Id]], tbl_Product[Product Id], tbl_Product[Best Source])</f>
        <v/>
      </c>
      <c r="AW78" s="4">
        <f>_xlfn.XLOOKUP(tbl_MTG_Set[[#This Row],[Collector Booster Box Product Id]], tbl_Product[Product Id], tbl_Product[Pack Size])</f>
        <v/>
      </c>
      <c r="AX78" s="10">
        <f>(tbl_MTG_Set[[#This Row],[Collector Booster Box Cost]] + v_Item_Shipping_Cost_In) / tbl_MTG_Set[[#This Row],[Collector Booster Box Size]]</f>
        <v/>
      </c>
      <c r="AY78" s="10">
        <f t="array" ref="AY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" s="10" t="n"/>
      <c r="BA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" s="17">
        <f>tbl_MTG_Set[[#This Row],[Collector Booster CardMarket Profit]]/tbl_MTG_Set[[#This Row],[Collector Booster Cost]]</f>
        <v/>
      </c>
      <c r="BC78" s="10" t="n"/>
      <c r="BF78" s="10">
        <f>tbl_MTG_Set[[#This Row],[Play Booster Sell Price CardMarket]]*tbl_MTG_Set[[#This Row],[Play Booster Expected Market Value]]/tbl_MTG_Set[[#This Row],[Play Boost Sealed Market Value]]</f>
        <v/>
      </c>
      <c r="BG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" s="10">
        <f>tbl_MTG_Set[[#This Row],[Play Singles CardMarket Profit]]/tbl_MTG_Set[[#This Row],[Play Booster Cost]]</f>
        <v/>
      </c>
      <c r="BI78" s="10">
        <f>tbl_MTG_Set[[#This Row],[Play Singles CardMarket Profit]]&gt;0</f>
        <v/>
      </c>
      <c r="BJ78" s="10" t="n"/>
      <c r="BK78" s="10" t="n"/>
      <c r="BL78" s="10">
        <f>tbl_MTG_Set[[#This Row],[Collector Booster Sell Price CardMarket]]*tbl_MTG_Set[[#This Row],[Collector Booster Expected Market Value]]/tbl_MTG_Set[[#This Row],[Collector Boost Sealed Market Value]]</f>
        <v/>
      </c>
      <c r="BM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" s="10">
        <f>tbl_MTG_Set[[#This Row],[Collector Singles CardMarket Profit]]/tbl_MTG_Set[[#This Row],[Collector Booster Cost]]</f>
        <v/>
      </c>
      <c r="BO78" s="10">
        <f>tbl_MTG_Set[[#This Row],[Collector Singles CardMarket Profit]]&gt;0</f>
        <v/>
      </c>
      <c r="BP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">
      <c r="A79" t="n">
        <v>77</v>
      </c>
      <c r="B79" t="inlineStr">
        <is>
          <t>Foundations Commander FDC</t>
        </is>
      </c>
      <c r="C79" t="n">
        <v>3</v>
      </c>
      <c r="D79" s="3" t="n">
        <v>45611</v>
      </c>
      <c r="E79" t="inlineStr">
        <is>
          <t>Commander</t>
        </is>
      </c>
      <c r="F79" t="inlineStr">
        <is>
          <t>en es fr de it pt ja ko ru 汉语 漢語</t>
        </is>
      </c>
      <c r="G79" t="n">
        <v>100</v>
      </c>
      <c r="H79">
        <f>MONTH(NOW())+12*YEAR(NOW())-MONTH(tbl_MTG_Set[[#This Row],[Released On]])-12*YEAR(tbl_MTG_Set[[#This Row],[Released On]])</f>
        <v/>
      </c>
      <c r="I79">
        <f>_xlfn.XLOOKUP(tbl_MTG_Set[[#This Row],[Type Name]], tbl_MTG_Set_Type[Set Type], tbl_MTG_Set_Type[Index], "(Set Type not found)")</f>
        <v/>
      </c>
      <c r="J79">
        <f>_xlfn.XLOOKUP(tbl_MTG_Set[[#This Row],[Type Name]], tbl_MTG_Set_Type[Set Type], tbl_MTG_Set_Type[Buy Window Month Start], "(Set Type not found)")</f>
        <v/>
      </c>
      <c r="K79" s="3">
        <f>tbl_MTG_Set[[#This Row],[Released On]]+tbl_MTG_Set[[#This Row],[Buy Window Month Start]]*365.25/12</f>
        <v/>
      </c>
      <c r="L79">
        <f>_xlfn.XLOOKUP(tbl_MTG_Set[[#This Row],[Type Name]], tbl_MTG_Set_Type[Set Type], tbl_MTG_Set_Type[Buy Window Month End], "(Set Type not found)", 0, 1)</f>
        <v/>
      </c>
      <c r="M79" s="3">
        <f>tbl_MTG_Set[[#This Row],[Released On]]+tbl_MTG_Set[[#This Row],[Buy Window Month End]]*365.25/12</f>
        <v/>
      </c>
      <c r="N79" s="3">
        <f>AND(NOW()&gt;=tbl_MTG_Set[[#This Row],[Buy Window Start]], NOW()&lt;=tbl_MTG_Set[[#This Row],[Buy Window End]])</f>
        <v/>
      </c>
      <c r="O79">
        <f>_xlfn.XLOOKUP(tbl_MTG_Set[[#This Row],[Type Name]], tbl_MTG_Set_Type[Set Type], tbl_MTG_Set_Type[Heavy Printing Window Month Start], "(Set Type not found)", 0, 1)</f>
        <v/>
      </c>
      <c r="P79" s="3">
        <f>tbl_MTG_Set[[#This Row],[Released On]]+tbl_MTG_Set[[#This Row],[Heavy Printing Window Month Start]]*365.25/12</f>
        <v/>
      </c>
      <c r="Q79">
        <f>_xlfn.XLOOKUP(tbl_MTG_Set[[#This Row],[Type Name]], tbl_MTG_Set_Type[Set Type], tbl_MTG_Set_Type[Heavy Printing Window Month End], "(Set Type not found)", 0, 1)</f>
        <v/>
      </c>
      <c r="R79" s="3">
        <f>tbl_MTG_Set[[#This Row],[Released On]]+tbl_MTG_Set[[#This Row],[Heavy Printing Window Month End]]*365.25/12</f>
        <v/>
      </c>
      <c r="S79" s="3">
        <f>AND(NOW()&gt;=tbl_MTG_Set[[#This Row],[Heavy Printing Window Start]], NOW()&lt;=tbl_MTG_Set[[#This Row],[Heavy Printing Window End]])</f>
        <v/>
      </c>
      <c r="T79">
        <f>_xlfn.XLOOKUP(tbl_MTG_Set[[#This Row],[Type Name]], tbl_MTG_Set_Type[Set Type], tbl_MTG_Set_Type[Sell Window Month Start], "(Set Type not found)", 0, 1)</f>
        <v/>
      </c>
      <c r="U79" s="3">
        <f>tbl_MTG_Set[[#This Row],[Released On]]+tbl_MTG_Set[[#This Row],[Sell Window Month Start]]*365.25/12</f>
        <v/>
      </c>
      <c r="V79">
        <f>_xlfn.XLOOKUP(tbl_MTG_Set[[#This Row],[Type Name]], tbl_MTG_Set_Type[Set Type], tbl_MTG_Set_Type[Sell Window Month End], "(Set Type not found)", 0, 1)</f>
        <v/>
      </c>
      <c r="W79" s="3">
        <f>tbl_MTG_Set[[#This Row],[Released On]]+tbl_MTG_Set[[#This Row],[Sell Window Month End]]*365.25/12</f>
        <v/>
      </c>
      <c r="X79" s="3">
        <f>AND(NOW()&gt;=tbl_MTG_Set[[#This Row],[Sell Window Start]], NOW()&lt;=tbl_MTG_Set[[#This Row],[Sell Window End]])</f>
        <v/>
      </c>
      <c r="AG79" s="10" t="n"/>
      <c r="AH79" s="10" t="n"/>
      <c r="AM79" s="10">
        <f t="array" ref="AM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" s="10">
        <f t="array" ref="AN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" s="4">
        <f>_xlfn.XLOOKUP(tbl_MTG_Set[[#This Row],[Play Booster Box Product Id]], tbl_Product[Product Id], tbl_Product[Pack Size])</f>
        <v/>
      </c>
      <c r="AP79" s="10">
        <f>(tbl_MTG_Set[[#This Row],[Play Booster Box Cost]]+v_Item_Shipping_Cost_In)/tbl_MTG_Set[[#This Row],[Play Booster Box Size]]</f>
        <v/>
      </c>
      <c r="AQ79" s="10">
        <f t="array" ref="AQ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" s="10" t="n"/>
      <c r="AS79" s="10" t="n"/>
      <c r="AT79" s="17">
        <f>tbl_MTG_Set[[#This Row],[Play Booster CardMarket Profit]]/tbl_MTG_Set[[#This Row],[Play Booster Cost]]</f>
        <v/>
      </c>
      <c r="AU79" s="10">
        <f>_xlfn.XLOOKUP(tbl_MTG_Set[[#This Row],[Collector Booster Box Product Id]], tbl_Product[Product Id], tbl_Product[Min Cost])</f>
        <v/>
      </c>
      <c r="AV79" s="10">
        <f>_xlfn.XLOOKUP(tbl_MTG_Set[[#This Row],[Collector Booster Box Product Id]], tbl_Product[Product Id], tbl_Product[Best Source])</f>
        <v/>
      </c>
      <c r="AW79" s="4">
        <f>_xlfn.XLOOKUP(tbl_MTG_Set[[#This Row],[Collector Booster Box Product Id]], tbl_Product[Product Id], tbl_Product[Pack Size])</f>
        <v/>
      </c>
      <c r="AX79" s="10">
        <f>(tbl_MTG_Set[[#This Row],[Collector Booster Box Cost]] + v_Item_Shipping_Cost_In) / tbl_MTG_Set[[#This Row],[Collector Booster Box Size]]</f>
        <v/>
      </c>
      <c r="AY79" s="10">
        <f t="array" ref="AY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" s="10" t="n"/>
      <c r="BA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" s="17">
        <f>tbl_MTG_Set[[#This Row],[Collector Booster CardMarket Profit]]/tbl_MTG_Set[[#This Row],[Collector Booster Cost]]</f>
        <v/>
      </c>
      <c r="BC79" s="10" t="n"/>
      <c r="BF79" s="10">
        <f>tbl_MTG_Set[[#This Row],[Play Booster Sell Price CardMarket]]*tbl_MTG_Set[[#This Row],[Play Booster Expected Market Value]]/tbl_MTG_Set[[#This Row],[Play Boost Sealed Market Value]]</f>
        <v/>
      </c>
      <c r="BG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" s="10">
        <f>tbl_MTG_Set[[#This Row],[Play Singles CardMarket Profit]]/tbl_MTG_Set[[#This Row],[Play Booster Cost]]</f>
        <v/>
      </c>
      <c r="BI79" s="10">
        <f>tbl_MTG_Set[[#This Row],[Play Singles CardMarket Profit]]&gt;0</f>
        <v/>
      </c>
      <c r="BJ79" s="10" t="n"/>
      <c r="BK79" s="10" t="n"/>
      <c r="BL79" s="10">
        <f>tbl_MTG_Set[[#This Row],[Collector Booster Sell Price CardMarket]]*tbl_MTG_Set[[#This Row],[Collector Booster Expected Market Value]]/tbl_MTG_Set[[#This Row],[Collector Boost Sealed Market Value]]</f>
        <v/>
      </c>
      <c r="BM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" s="10">
        <f>tbl_MTG_Set[[#This Row],[Collector Singles CardMarket Profit]]/tbl_MTG_Set[[#This Row],[Collector Booster Cost]]</f>
        <v/>
      </c>
      <c r="BO79" s="10">
        <f>tbl_MTG_Set[[#This Row],[Collector Singles CardMarket Profit]]&gt;0</f>
        <v/>
      </c>
      <c r="BP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">
      <c r="A80" t="n">
        <v>78</v>
      </c>
      <c r="B80" t="inlineStr">
        <is>
          <t>Foundations Jumpstart J25</t>
        </is>
      </c>
      <c r="C80" t="n">
        <v>779</v>
      </c>
      <c r="D80" s="3" t="n">
        <v>45611</v>
      </c>
      <c r="E80" t="inlineStr">
        <is>
          <t>Standard Expansion</t>
        </is>
      </c>
      <c r="F80" t="inlineStr">
        <is>
          <t>en es fr de it pt ja ko ru 汉语 漢語</t>
        </is>
      </c>
      <c r="G80" t="n">
        <v>102</v>
      </c>
      <c r="H80">
        <f>MONTH(NOW())+12*YEAR(NOW())-MONTH(tbl_MTG_Set[[#This Row],[Released On]])-12*YEAR(tbl_MTG_Set[[#This Row],[Released On]])</f>
        <v/>
      </c>
      <c r="I80">
        <f>_xlfn.XLOOKUP(tbl_MTG_Set[[#This Row],[Type Name]], tbl_MTG_Set_Type[Set Type], tbl_MTG_Set_Type[Index], "(Set Type not found)")</f>
        <v/>
      </c>
      <c r="J80">
        <f>_xlfn.XLOOKUP(tbl_MTG_Set[[#This Row],[Type Name]], tbl_MTG_Set_Type[Set Type], tbl_MTG_Set_Type[Buy Window Month Start], "(Set Type not found)")</f>
        <v/>
      </c>
      <c r="K80" s="3">
        <f>tbl_MTG_Set[[#This Row],[Released On]]+tbl_MTG_Set[[#This Row],[Buy Window Month Start]]*365.25/12</f>
        <v/>
      </c>
      <c r="L80">
        <f>_xlfn.XLOOKUP(tbl_MTG_Set[[#This Row],[Type Name]], tbl_MTG_Set_Type[Set Type], tbl_MTG_Set_Type[Buy Window Month End], "(Set Type not found)", 0, 1)</f>
        <v/>
      </c>
      <c r="M80" s="3">
        <f>tbl_MTG_Set[[#This Row],[Released On]]+tbl_MTG_Set[[#This Row],[Buy Window Month End]]*365.25/12</f>
        <v/>
      </c>
      <c r="N80" s="3">
        <f>AND(NOW()&gt;=tbl_MTG_Set[[#This Row],[Buy Window Start]], NOW()&lt;=tbl_MTG_Set[[#This Row],[Buy Window End]])</f>
        <v/>
      </c>
      <c r="O80">
        <f>_xlfn.XLOOKUP(tbl_MTG_Set[[#This Row],[Type Name]], tbl_MTG_Set_Type[Set Type], tbl_MTG_Set_Type[Heavy Printing Window Month Start], "(Set Type not found)", 0, 1)</f>
        <v/>
      </c>
      <c r="P80" s="3">
        <f>tbl_MTG_Set[[#This Row],[Released On]]+tbl_MTG_Set[[#This Row],[Heavy Printing Window Month Start]]*365.25/12</f>
        <v/>
      </c>
      <c r="Q80">
        <f>_xlfn.XLOOKUP(tbl_MTG_Set[[#This Row],[Type Name]], tbl_MTG_Set_Type[Set Type], tbl_MTG_Set_Type[Heavy Printing Window Month End], "(Set Type not found)", 0, 1)</f>
        <v/>
      </c>
      <c r="R80" s="3">
        <f>tbl_MTG_Set[[#This Row],[Released On]]+tbl_MTG_Set[[#This Row],[Heavy Printing Window Month End]]*365.25/12</f>
        <v/>
      </c>
      <c r="S80" s="3">
        <f>AND(NOW()&gt;=tbl_MTG_Set[[#This Row],[Heavy Printing Window Start]], NOW()&lt;=tbl_MTG_Set[[#This Row],[Heavy Printing Window End]])</f>
        <v/>
      </c>
      <c r="T80">
        <f>_xlfn.XLOOKUP(tbl_MTG_Set[[#This Row],[Type Name]], tbl_MTG_Set_Type[Set Type], tbl_MTG_Set_Type[Sell Window Month Start], "(Set Type not found)", 0, 1)</f>
        <v/>
      </c>
      <c r="U80" s="3">
        <f>tbl_MTG_Set[[#This Row],[Released On]]+tbl_MTG_Set[[#This Row],[Sell Window Month Start]]*365.25/12</f>
        <v/>
      </c>
      <c r="V80">
        <f>_xlfn.XLOOKUP(tbl_MTG_Set[[#This Row],[Type Name]], tbl_MTG_Set_Type[Set Type], tbl_MTG_Set_Type[Sell Window Month End], "(Set Type not found)", 0, 1)</f>
        <v/>
      </c>
      <c r="W80" s="3">
        <f>tbl_MTG_Set[[#This Row],[Released On]]+tbl_MTG_Set[[#This Row],[Sell Window Month End]]*365.25/12</f>
        <v/>
      </c>
      <c r="X80" s="3">
        <f>AND(NOW()&gt;=tbl_MTG_Set[[#This Row],[Sell Window Start]], NOW()&lt;=tbl_MTG_Set[[#This Row],[Sell Window End]])</f>
        <v/>
      </c>
      <c r="AG80" s="10" t="n"/>
      <c r="AH80" s="10" t="n"/>
      <c r="AM80" s="10">
        <f t="array" ref="AM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" s="10">
        <f t="array" ref="AN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" s="4">
        <f>_xlfn.XLOOKUP(tbl_MTG_Set[[#This Row],[Play Booster Box Product Id]], tbl_Product[Product Id], tbl_Product[Pack Size])</f>
        <v/>
      </c>
      <c r="AP80" s="10">
        <f>(tbl_MTG_Set[[#This Row],[Play Booster Box Cost]]+v_Item_Shipping_Cost_In)/tbl_MTG_Set[[#This Row],[Play Booster Box Size]]</f>
        <v/>
      </c>
      <c r="AQ80" s="10">
        <f t="array" ref="AQ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" s="10" t="n"/>
      <c r="AS80" s="10" t="n"/>
      <c r="AT80" s="17">
        <f>tbl_MTG_Set[[#This Row],[Play Booster CardMarket Profit]]/tbl_MTG_Set[[#This Row],[Play Booster Cost]]</f>
        <v/>
      </c>
      <c r="AU80" s="10">
        <f>_xlfn.XLOOKUP(tbl_MTG_Set[[#This Row],[Collector Booster Box Product Id]], tbl_Product[Product Id], tbl_Product[Min Cost])</f>
        <v/>
      </c>
      <c r="AV80" s="10">
        <f>_xlfn.XLOOKUP(tbl_MTG_Set[[#This Row],[Collector Booster Box Product Id]], tbl_Product[Product Id], tbl_Product[Best Source])</f>
        <v/>
      </c>
      <c r="AW80" s="4">
        <f>_xlfn.XLOOKUP(tbl_MTG_Set[[#This Row],[Collector Booster Box Product Id]], tbl_Product[Product Id], tbl_Product[Pack Size])</f>
        <v/>
      </c>
      <c r="AX80" s="10">
        <f>(tbl_MTG_Set[[#This Row],[Collector Booster Box Cost]] + v_Item_Shipping_Cost_In) / tbl_MTG_Set[[#This Row],[Collector Booster Box Size]]</f>
        <v/>
      </c>
      <c r="AY80" s="10">
        <f t="array" ref="AY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" s="10" t="n"/>
      <c r="BA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" s="17">
        <f>tbl_MTG_Set[[#This Row],[Collector Booster CardMarket Profit]]/tbl_MTG_Set[[#This Row],[Collector Booster Cost]]</f>
        <v/>
      </c>
      <c r="BC80" s="10" t="n"/>
      <c r="BF80" s="10">
        <f>tbl_MTG_Set[[#This Row],[Play Booster Sell Price CardMarket]]*tbl_MTG_Set[[#This Row],[Play Booster Expected Market Value]]/tbl_MTG_Set[[#This Row],[Play Boost Sealed Market Value]]</f>
        <v/>
      </c>
      <c r="BG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" s="10">
        <f>tbl_MTG_Set[[#This Row],[Play Singles CardMarket Profit]]/tbl_MTG_Set[[#This Row],[Play Booster Cost]]</f>
        <v/>
      </c>
      <c r="BI80" s="10">
        <f>tbl_MTG_Set[[#This Row],[Play Singles CardMarket Profit]]&gt;0</f>
        <v/>
      </c>
      <c r="BJ80" s="10" t="n"/>
      <c r="BK80" s="10" t="n"/>
      <c r="BL80" s="10">
        <f>tbl_MTG_Set[[#This Row],[Collector Booster Sell Price CardMarket]]*tbl_MTG_Set[[#This Row],[Collector Booster Expected Market Value]]/tbl_MTG_Set[[#This Row],[Collector Boost Sealed Market Value]]</f>
        <v/>
      </c>
      <c r="BM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" s="10">
        <f>tbl_MTG_Set[[#This Row],[Collector Singles CardMarket Profit]]/tbl_MTG_Set[[#This Row],[Collector Booster Cost]]</f>
        <v/>
      </c>
      <c r="BO80" s="10">
        <f>tbl_MTG_Set[[#This Row],[Collector Singles CardMarket Profit]]&gt;0</f>
        <v/>
      </c>
      <c r="BP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">
      <c r="A81" t="n">
        <v>79</v>
      </c>
      <c r="B81" t="inlineStr">
        <is>
          <t>Foundations Jumpstart Front Cards FJ25</t>
        </is>
      </c>
      <c r="C81" t="n">
        <v>46</v>
      </c>
      <c r="D81" s="3" t="n">
        <v>45611</v>
      </c>
      <c r="E81" t="inlineStr">
        <is>
          <t>Standard Expansion</t>
        </is>
      </c>
      <c r="F81" t="inlineStr">
        <is>
          <t>en es fr de it pt ja ko ru 汉语 漢語</t>
        </is>
      </c>
      <c r="G81" t="n">
        <v>104</v>
      </c>
      <c r="H81">
        <f>MONTH(NOW())+12*YEAR(NOW())-MONTH(tbl_MTG_Set[[#This Row],[Released On]])-12*YEAR(tbl_MTG_Set[[#This Row],[Released On]])</f>
        <v/>
      </c>
      <c r="I81">
        <f>_xlfn.XLOOKUP(tbl_MTG_Set[[#This Row],[Type Name]], tbl_MTG_Set_Type[Set Type], tbl_MTG_Set_Type[Index], "(Set Type not found)")</f>
        <v/>
      </c>
      <c r="J81">
        <f>_xlfn.XLOOKUP(tbl_MTG_Set[[#This Row],[Type Name]], tbl_MTG_Set_Type[Set Type], tbl_MTG_Set_Type[Buy Window Month Start], "(Set Type not found)")</f>
        <v/>
      </c>
      <c r="K81" s="3">
        <f>tbl_MTG_Set[[#This Row],[Released On]]+tbl_MTG_Set[[#This Row],[Buy Window Month Start]]*365.25/12</f>
        <v/>
      </c>
      <c r="L81">
        <f>_xlfn.XLOOKUP(tbl_MTG_Set[[#This Row],[Type Name]], tbl_MTG_Set_Type[Set Type], tbl_MTG_Set_Type[Buy Window Month End], "(Set Type not found)", 0, 1)</f>
        <v/>
      </c>
      <c r="M81" s="3">
        <f>tbl_MTG_Set[[#This Row],[Released On]]+tbl_MTG_Set[[#This Row],[Buy Window Month End]]*365.25/12</f>
        <v/>
      </c>
      <c r="N81" s="3">
        <f>AND(NOW()&gt;=tbl_MTG_Set[[#This Row],[Buy Window Start]], NOW()&lt;=tbl_MTG_Set[[#This Row],[Buy Window End]])</f>
        <v/>
      </c>
      <c r="O81">
        <f>_xlfn.XLOOKUP(tbl_MTG_Set[[#This Row],[Type Name]], tbl_MTG_Set_Type[Set Type], tbl_MTG_Set_Type[Heavy Printing Window Month Start], "(Set Type not found)", 0, 1)</f>
        <v/>
      </c>
      <c r="P81" s="3">
        <f>tbl_MTG_Set[[#This Row],[Released On]]+tbl_MTG_Set[[#This Row],[Heavy Printing Window Month Start]]*365.25/12</f>
        <v/>
      </c>
      <c r="Q81">
        <f>_xlfn.XLOOKUP(tbl_MTG_Set[[#This Row],[Type Name]], tbl_MTG_Set_Type[Set Type], tbl_MTG_Set_Type[Heavy Printing Window Month End], "(Set Type not found)", 0, 1)</f>
        <v/>
      </c>
      <c r="R81" s="3">
        <f>tbl_MTG_Set[[#This Row],[Released On]]+tbl_MTG_Set[[#This Row],[Heavy Printing Window Month End]]*365.25/12</f>
        <v/>
      </c>
      <c r="S81" s="3">
        <f>AND(NOW()&gt;=tbl_MTG_Set[[#This Row],[Heavy Printing Window Start]], NOW()&lt;=tbl_MTG_Set[[#This Row],[Heavy Printing Window End]])</f>
        <v/>
      </c>
      <c r="T81">
        <f>_xlfn.XLOOKUP(tbl_MTG_Set[[#This Row],[Type Name]], tbl_MTG_Set_Type[Set Type], tbl_MTG_Set_Type[Sell Window Month Start], "(Set Type not found)", 0, 1)</f>
        <v/>
      </c>
      <c r="U81" s="3">
        <f>tbl_MTG_Set[[#This Row],[Released On]]+tbl_MTG_Set[[#This Row],[Sell Window Month Start]]*365.25/12</f>
        <v/>
      </c>
      <c r="V81">
        <f>_xlfn.XLOOKUP(tbl_MTG_Set[[#This Row],[Type Name]], tbl_MTG_Set_Type[Set Type], tbl_MTG_Set_Type[Sell Window Month End], "(Set Type not found)", 0, 1)</f>
        <v/>
      </c>
      <c r="W81" s="3">
        <f>tbl_MTG_Set[[#This Row],[Released On]]+tbl_MTG_Set[[#This Row],[Sell Window Month End]]*365.25/12</f>
        <v/>
      </c>
      <c r="X81" s="3">
        <f>AND(NOW()&gt;=tbl_MTG_Set[[#This Row],[Sell Window Start]], NOW()&lt;=tbl_MTG_Set[[#This Row],[Sell Window End]])</f>
        <v/>
      </c>
      <c r="AG81" s="10" t="n"/>
      <c r="AH81" s="10" t="n"/>
      <c r="AM81" s="10">
        <f t="array" ref="AM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" s="10">
        <f t="array" ref="AN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" s="4">
        <f>_xlfn.XLOOKUP(tbl_MTG_Set[[#This Row],[Play Booster Box Product Id]], tbl_Product[Product Id], tbl_Product[Pack Size])</f>
        <v/>
      </c>
      <c r="AP81" s="10">
        <f>(tbl_MTG_Set[[#This Row],[Play Booster Box Cost]]+v_Item_Shipping_Cost_In)/tbl_MTG_Set[[#This Row],[Play Booster Box Size]]</f>
        <v/>
      </c>
      <c r="AQ81" s="10">
        <f t="array" ref="AQ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" s="10" t="n"/>
      <c r="AS81" s="10" t="n"/>
      <c r="AT81" s="17">
        <f>tbl_MTG_Set[[#This Row],[Play Booster CardMarket Profit]]/tbl_MTG_Set[[#This Row],[Play Booster Cost]]</f>
        <v/>
      </c>
      <c r="AU81" s="10">
        <f>_xlfn.XLOOKUP(tbl_MTG_Set[[#This Row],[Collector Booster Box Product Id]], tbl_Product[Product Id], tbl_Product[Min Cost])</f>
        <v/>
      </c>
      <c r="AV81" s="10">
        <f>_xlfn.XLOOKUP(tbl_MTG_Set[[#This Row],[Collector Booster Box Product Id]], tbl_Product[Product Id], tbl_Product[Best Source])</f>
        <v/>
      </c>
      <c r="AW81" s="4">
        <f>_xlfn.XLOOKUP(tbl_MTG_Set[[#This Row],[Collector Booster Box Product Id]], tbl_Product[Product Id], tbl_Product[Pack Size])</f>
        <v/>
      </c>
      <c r="AX81" s="10">
        <f>(tbl_MTG_Set[[#This Row],[Collector Booster Box Cost]] + v_Item_Shipping_Cost_In) / tbl_MTG_Set[[#This Row],[Collector Booster Box Size]]</f>
        <v/>
      </c>
      <c r="AY81" s="10">
        <f t="array" ref="AY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" s="10" t="n"/>
      <c r="BA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" s="17">
        <f>tbl_MTG_Set[[#This Row],[Collector Booster CardMarket Profit]]/tbl_MTG_Set[[#This Row],[Collector Booster Cost]]</f>
        <v/>
      </c>
      <c r="BC81" s="10" t="n"/>
      <c r="BF81" s="10">
        <f>tbl_MTG_Set[[#This Row],[Play Booster Sell Price CardMarket]]*tbl_MTG_Set[[#This Row],[Play Booster Expected Market Value]]/tbl_MTG_Set[[#This Row],[Play Boost Sealed Market Value]]</f>
        <v/>
      </c>
      <c r="BG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" s="10">
        <f>tbl_MTG_Set[[#This Row],[Play Singles CardMarket Profit]]/tbl_MTG_Set[[#This Row],[Play Booster Cost]]</f>
        <v/>
      </c>
      <c r="BI81" s="10">
        <f>tbl_MTG_Set[[#This Row],[Play Singles CardMarket Profit]]&gt;0</f>
        <v/>
      </c>
      <c r="BJ81" s="10" t="n"/>
      <c r="BK81" s="10" t="n"/>
      <c r="BL81" s="10">
        <f>tbl_MTG_Set[[#This Row],[Collector Booster Sell Price CardMarket]]*tbl_MTG_Set[[#This Row],[Collector Booster Expected Market Value]]/tbl_MTG_Set[[#This Row],[Collector Boost Sealed Market Value]]</f>
        <v/>
      </c>
      <c r="BM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" s="10">
        <f>tbl_MTG_Set[[#This Row],[Collector Singles CardMarket Profit]]/tbl_MTG_Set[[#This Row],[Collector Booster Cost]]</f>
        <v/>
      </c>
      <c r="BO81" s="10">
        <f>tbl_MTG_Set[[#This Row],[Collector Singles CardMarket Profit]]&gt;0</f>
        <v/>
      </c>
      <c r="BP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">
      <c r="A82" t="n">
        <v>80</v>
      </c>
      <c r="B82" t="inlineStr">
        <is>
          <t>Foundations Front Cards FFDN</t>
        </is>
      </c>
      <c r="C82" t="n">
        <v>10</v>
      </c>
      <c r="D82" s="3" t="n">
        <v>45611</v>
      </c>
      <c r="E82" t="inlineStr">
        <is>
          <t>Standard Expansion</t>
        </is>
      </c>
      <c r="F82" t="inlineStr">
        <is>
          <t>en es fr de it pt ja ko ru 汉语 漢語</t>
        </is>
      </c>
      <c r="G82" t="n">
        <v>106</v>
      </c>
      <c r="H82">
        <f>MONTH(NOW())+12*YEAR(NOW())-MONTH(tbl_MTG_Set[[#This Row],[Released On]])-12*YEAR(tbl_MTG_Set[[#This Row],[Released On]])</f>
        <v/>
      </c>
      <c r="I82">
        <f>_xlfn.XLOOKUP(tbl_MTG_Set[[#This Row],[Type Name]], tbl_MTG_Set_Type[Set Type], tbl_MTG_Set_Type[Index], "(Set Type not found)")</f>
        <v/>
      </c>
      <c r="J82">
        <f>_xlfn.XLOOKUP(tbl_MTG_Set[[#This Row],[Type Name]], tbl_MTG_Set_Type[Set Type], tbl_MTG_Set_Type[Buy Window Month Start], "(Set Type not found)")</f>
        <v/>
      </c>
      <c r="K82" s="3">
        <f>tbl_MTG_Set[[#This Row],[Released On]]+tbl_MTG_Set[[#This Row],[Buy Window Month Start]]*365.25/12</f>
        <v/>
      </c>
      <c r="L82">
        <f>_xlfn.XLOOKUP(tbl_MTG_Set[[#This Row],[Type Name]], tbl_MTG_Set_Type[Set Type], tbl_MTG_Set_Type[Buy Window Month End], "(Set Type not found)", 0, 1)</f>
        <v/>
      </c>
      <c r="M82" s="3">
        <f>tbl_MTG_Set[[#This Row],[Released On]]+tbl_MTG_Set[[#This Row],[Buy Window Month End]]*365.25/12</f>
        <v/>
      </c>
      <c r="N82" s="3">
        <f>AND(NOW()&gt;=tbl_MTG_Set[[#This Row],[Buy Window Start]], NOW()&lt;=tbl_MTG_Set[[#This Row],[Buy Window End]])</f>
        <v/>
      </c>
      <c r="O82">
        <f>_xlfn.XLOOKUP(tbl_MTG_Set[[#This Row],[Type Name]], tbl_MTG_Set_Type[Set Type], tbl_MTG_Set_Type[Heavy Printing Window Month Start], "(Set Type not found)", 0, 1)</f>
        <v/>
      </c>
      <c r="P82" s="3">
        <f>tbl_MTG_Set[[#This Row],[Released On]]+tbl_MTG_Set[[#This Row],[Heavy Printing Window Month Start]]*365.25/12</f>
        <v/>
      </c>
      <c r="Q82">
        <f>_xlfn.XLOOKUP(tbl_MTG_Set[[#This Row],[Type Name]], tbl_MTG_Set_Type[Set Type], tbl_MTG_Set_Type[Heavy Printing Window Month End], "(Set Type not found)", 0, 1)</f>
        <v/>
      </c>
      <c r="R82" s="3">
        <f>tbl_MTG_Set[[#This Row],[Released On]]+tbl_MTG_Set[[#This Row],[Heavy Printing Window Month End]]*365.25/12</f>
        <v/>
      </c>
      <c r="S82" s="3">
        <f>AND(NOW()&gt;=tbl_MTG_Set[[#This Row],[Heavy Printing Window Start]], NOW()&lt;=tbl_MTG_Set[[#This Row],[Heavy Printing Window End]])</f>
        <v/>
      </c>
      <c r="T82">
        <f>_xlfn.XLOOKUP(tbl_MTG_Set[[#This Row],[Type Name]], tbl_MTG_Set_Type[Set Type], tbl_MTG_Set_Type[Sell Window Month Start], "(Set Type not found)", 0, 1)</f>
        <v/>
      </c>
      <c r="U82" s="3">
        <f>tbl_MTG_Set[[#This Row],[Released On]]+tbl_MTG_Set[[#This Row],[Sell Window Month Start]]*365.25/12</f>
        <v/>
      </c>
      <c r="V82">
        <f>_xlfn.XLOOKUP(tbl_MTG_Set[[#This Row],[Type Name]], tbl_MTG_Set_Type[Set Type], tbl_MTG_Set_Type[Sell Window Month End], "(Set Type not found)", 0, 1)</f>
        <v/>
      </c>
      <c r="W82" s="3">
        <f>tbl_MTG_Set[[#This Row],[Released On]]+tbl_MTG_Set[[#This Row],[Sell Window Month End]]*365.25/12</f>
        <v/>
      </c>
      <c r="X82" s="3">
        <f>AND(NOW()&gt;=tbl_MTG_Set[[#This Row],[Sell Window Start]], NOW()&lt;=tbl_MTG_Set[[#This Row],[Sell Window End]])</f>
        <v/>
      </c>
      <c r="AG82" s="10" t="n"/>
      <c r="AH82" s="10" t="n"/>
      <c r="AM82" s="10">
        <f t="array" ref="AM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" s="10">
        <f t="array" ref="AN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" s="4">
        <f>_xlfn.XLOOKUP(tbl_MTG_Set[[#This Row],[Play Booster Box Product Id]], tbl_Product[Product Id], tbl_Product[Pack Size])</f>
        <v/>
      </c>
      <c r="AP82" s="10">
        <f>(tbl_MTG_Set[[#This Row],[Play Booster Box Cost]]+v_Item_Shipping_Cost_In)/tbl_MTG_Set[[#This Row],[Play Booster Box Size]]</f>
        <v/>
      </c>
      <c r="AQ82" s="10">
        <f t="array" ref="AQ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" s="10" t="n"/>
      <c r="AS82" s="10" t="n"/>
      <c r="AT82" s="17">
        <f>tbl_MTG_Set[[#This Row],[Play Booster CardMarket Profit]]/tbl_MTG_Set[[#This Row],[Play Booster Cost]]</f>
        <v/>
      </c>
      <c r="AU82" s="10">
        <f>_xlfn.XLOOKUP(tbl_MTG_Set[[#This Row],[Collector Booster Box Product Id]], tbl_Product[Product Id], tbl_Product[Min Cost])</f>
        <v/>
      </c>
      <c r="AV82" s="10">
        <f>_xlfn.XLOOKUP(tbl_MTG_Set[[#This Row],[Collector Booster Box Product Id]], tbl_Product[Product Id], tbl_Product[Best Source])</f>
        <v/>
      </c>
      <c r="AW82" s="4">
        <f>_xlfn.XLOOKUP(tbl_MTG_Set[[#This Row],[Collector Booster Box Product Id]], tbl_Product[Product Id], tbl_Product[Pack Size])</f>
        <v/>
      </c>
      <c r="AX82" s="10">
        <f>(tbl_MTG_Set[[#This Row],[Collector Booster Box Cost]] + v_Item_Shipping_Cost_In) / tbl_MTG_Set[[#This Row],[Collector Booster Box Size]]</f>
        <v/>
      </c>
      <c r="AY82" s="10">
        <f t="array" ref="AY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" s="10" t="n"/>
      <c r="BA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" s="17">
        <f>tbl_MTG_Set[[#This Row],[Collector Booster CardMarket Profit]]/tbl_MTG_Set[[#This Row],[Collector Booster Cost]]</f>
        <v/>
      </c>
      <c r="BC82" s="10" t="n"/>
      <c r="BF82" s="10">
        <f>tbl_MTG_Set[[#This Row],[Play Booster Sell Price CardMarket]]*tbl_MTG_Set[[#This Row],[Play Booster Expected Market Value]]/tbl_MTG_Set[[#This Row],[Play Boost Sealed Market Value]]</f>
        <v/>
      </c>
      <c r="BG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" s="10">
        <f>tbl_MTG_Set[[#This Row],[Play Singles CardMarket Profit]]/tbl_MTG_Set[[#This Row],[Play Booster Cost]]</f>
        <v/>
      </c>
      <c r="BI82" s="10">
        <f>tbl_MTG_Set[[#This Row],[Play Singles CardMarket Profit]]&gt;0</f>
        <v/>
      </c>
      <c r="BJ82" s="10" t="n"/>
      <c r="BK82" s="10" t="n"/>
      <c r="BL82" s="10">
        <f>tbl_MTG_Set[[#This Row],[Collector Booster Sell Price CardMarket]]*tbl_MTG_Set[[#This Row],[Collector Booster Expected Market Value]]/tbl_MTG_Set[[#This Row],[Collector Boost Sealed Market Value]]</f>
        <v/>
      </c>
      <c r="BM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" s="10">
        <f>tbl_MTG_Set[[#This Row],[Collector Singles CardMarket Profit]]/tbl_MTG_Set[[#This Row],[Collector Booster Cost]]</f>
        <v/>
      </c>
      <c r="BO82" s="10">
        <f>tbl_MTG_Set[[#This Row],[Collector Singles CardMarket Profit]]&gt;0</f>
        <v/>
      </c>
      <c r="BP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">
      <c r="A83" t="n">
        <v>81</v>
      </c>
      <c r="B83" t="inlineStr">
        <is>
          <t>Duskmourn: House of Horror DSK</t>
        </is>
      </c>
      <c r="C83" t="n">
        <v>418</v>
      </c>
      <c r="D83" s="3" t="n">
        <v>45562</v>
      </c>
      <c r="E83" t="inlineStr">
        <is>
          <t>Standard Expansion</t>
        </is>
      </c>
      <c r="F83" t="inlineStr">
        <is>
          <t>en es fr de it pt ja ko ru 汉语 漢語</t>
        </is>
      </c>
      <c r="G83" t="n">
        <v>108</v>
      </c>
      <c r="H83">
        <f>MONTH(NOW())+12*YEAR(NOW())-MONTH(tbl_MTG_Set[[#This Row],[Released On]])-12*YEAR(tbl_MTG_Set[[#This Row],[Released On]])</f>
        <v/>
      </c>
      <c r="I83">
        <f>_xlfn.XLOOKUP(tbl_MTG_Set[[#This Row],[Type Name]], tbl_MTG_Set_Type[Set Type], tbl_MTG_Set_Type[Index], "(Set Type not found)")</f>
        <v/>
      </c>
      <c r="J83">
        <f>_xlfn.XLOOKUP(tbl_MTG_Set[[#This Row],[Type Name]], tbl_MTG_Set_Type[Set Type], tbl_MTG_Set_Type[Buy Window Month Start], "(Set Type not found)")</f>
        <v/>
      </c>
      <c r="K83" s="3">
        <f>tbl_MTG_Set[[#This Row],[Released On]]+tbl_MTG_Set[[#This Row],[Buy Window Month Start]]*365.25/12</f>
        <v/>
      </c>
      <c r="L83">
        <f>_xlfn.XLOOKUP(tbl_MTG_Set[[#This Row],[Type Name]], tbl_MTG_Set_Type[Set Type], tbl_MTG_Set_Type[Buy Window Month End], "(Set Type not found)", 0, 1)</f>
        <v/>
      </c>
      <c r="M83" s="3">
        <f>tbl_MTG_Set[[#This Row],[Released On]]+tbl_MTG_Set[[#This Row],[Buy Window Month End]]*365.25/12</f>
        <v/>
      </c>
      <c r="N83" s="3">
        <f>AND(NOW()&gt;=tbl_MTG_Set[[#This Row],[Buy Window Start]], NOW()&lt;=tbl_MTG_Set[[#This Row],[Buy Window End]])</f>
        <v/>
      </c>
      <c r="O83">
        <f>_xlfn.XLOOKUP(tbl_MTG_Set[[#This Row],[Type Name]], tbl_MTG_Set_Type[Set Type], tbl_MTG_Set_Type[Heavy Printing Window Month Start], "(Set Type not found)", 0, 1)</f>
        <v/>
      </c>
      <c r="P83" s="3">
        <f>tbl_MTG_Set[[#This Row],[Released On]]+tbl_MTG_Set[[#This Row],[Heavy Printing Window Month Start]]*365.25/12</f>
        <v/>
      </c>
      <c r="Q83">
        <f>_xlfn.XLOOKUP(tbl_MTG_Set[[#This Row],[Type Name]], tbl_MTG_Set_Type[Set Type], tbl_MTG_Set_Type[Heavy Printing Window Month End], "(Set Type not found)", 0, 1)</f>
        <v/>
      </c>
      <c r="R83" s="3">
        <f>tbl_MTG_Set[[#This Row],[Released On]]+tbl_MTG_Set[[#This Row],[Heavy Printing Window Month End]]*365.25/12</f>
        <v/>
      </c>
      <c r="S83" s="3">
        <f>AND(NOW()&gt;=tbl_MTG_Set[[#This Row],[Heavy Printing Window Start]], NOW()&lt;=tbl_MTG_Set[[#This Row],[Heavy Printing Window End]])</f>
        <v/>
      </c>
      <c r="T83">
        <f>_xlfn.XLOOKUP(tbl_MTG_Set[[#This Row],[Type Name]], tbl_MTG_Set_Type[Set Type], tbl_MTG_Set_Type[Sell Window Month Start], "(Set Type not found)", 0, 1)</f>
        <v/>
      </c>
      <c r="U83" s="3">
        <f>tbl_MTG_Set[[#This Row],[Released On]]+tbl_MTG_Set[[#This Row],[Sell Window Month Start]]*365.25/12</f>
        <v/>
      </c>
      <c r="V83">
        <f>_xlfn.XLOOKUP(tbl_MTG_Set[[#This Row],[Type Name]], tbl_MTG_Set_Type[Set Type], tbl_MTG_Set_Type[Sell Window Month End], "(Set Type not found)", 0, 1)</f>
        <v/>
      </c>
      <c r="W83" s="3">
        <f>tbl_MTG_Set[[#This Row],[Released On]]+tbl_MTG_Set[[#This Row],[Sell Window Month End]]*365.25/12</f>
        <v/>
      </c>
      <c r="X83" s="3">
        <f>AND(NOW()&gt;=tbl_MTG_Set[[#This Row],[Sell Window Start]], NOW()&lt;=tbl_MTG_Set[[#This Row],[Sell Window End]])</f>
        <v/>
      </c>
      <c r="Y83" s="10" t="n">
        <v>132</v>
      </c>
      <c r="Z83" s="10" t="n">
        <v>136</v>
      </c>
      <c r="AC83" s="10" t="n">
        <v>132</v>
      </c>
      <c r="AD83" s="10">
        <f>(Y83+96/20)/36</f>
        <v/>
      </c>
      <c r="AE83" s="10">
        <f>(Z83+96/20)/36</f>
        <v/>
      </c>
      <c r="AF83" s="10">
        <f>(AA83+96/20)/36</f>
        <v/>
      </c>
      <c r="AG83" s="10">
        <f>(AB83+96/20)/36</f>
        <v/>
      </c>
      <c r="AH83" s="10">
        <f>(AC83+96/20)/36</f>
        <v/>
      </c>
      <c r="AI83" s="4" t="n">
        <v>71</v>
      </c>
      <c r="AJ83" s="4" t="n">
        <v>26</v>
      </c>
      <c r="AK83" s="4" t="n">
        <v>96</v>
      </c>
      <c r="AL83" s="4" t="n">
        <v>95</v>
      </c>
      <c r="AM83" s="10">
        <f t="array" ref="AM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" s="10">
        <f t="array" ref="AN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" s="4">
        <f>_xlfn.XLOOKUP(tbl_MTG_Set[[#This Row],[Play Booster Box Product Id]], tbl_Product[Product Id], tbl_Product[Pack Size])</f>
        <v/>
      </c>
      <c r="AP83" s="10">
        <f>(tbl_MTG_Set[[#This Row],[Play Booster Box Cost]]+v_Item_Shipping_Cost_In)/tbl_MTG_Set[[#This Row],[Play Booster Box Size]]</f>
        <v/>
      </c>
      <c r="AQ83" s="10">
        <f t="array" ref="AQ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" s="10" t="n">
        <v>4</v>
      </c>
      <c r="AS8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83" s="17">
        <f>tbl_MTG_Set[[#This Row],[Play Booster CardMarket Profit]]/tbl_MTG_Set[[#This Row],[Play Booster Cost]]</f>
        <v/>
      </c>
      <c r="AU83" s="10">
        <f>_xlfn.XLOOKUP(tbl_MTG_Set[[#This Row],[Collector Booster Box Product Id]], tbl_Product[Product Id], tbl_Product[Min Cost])</f>
        <v/>
      </c>
      <c r="AV83" s="10">
        <f>_xlfn.XLOOKUP(tbl_MTG_Set[[#This Row],[Collector Booster Box Product Id]], tbl_Product[Product Id], tbl_Product[Best Source])</f>
        <v/>
      </c>
      <c r="AW83" s="4">
        <f>_xlfn.XLOOKUP(tbl_MTG_Set[[#This Row],[Collector Booster Box Product Id]], tbl_Product[Product Id], tbl_Product[Pack Size])</f>
        <v/>
      </c>
      <c r="AX83" s="10">
        <f>(tbl_MTG_Set[[#This Row],[Collector Booster Box Cost]] + v_Item_Shipping_Cost_In) / tbl_MTG_Set[[#This Row],[Collector Booster Box Size]]</f>
        <v/>
      </c>
      <c r="AY83" s="10">
        <f t="array" ref="AY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" s="10" t="n"/>
      <c r="BA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" s="17">
        <f>tbl_MTG_Set[[#This Row],[Collector Booster CardMarket Profit]]/tbl_MTG_Set[[#This Row],[Collector Booster Cost]]</f>
        <v/>
      </c>
      <c r="BC83" s="15" t="inlineStr">
        <is>
          <t>https://www.mtgstocks.com/sets/1998-duskmourn-house-of-horror#ev</t>
        </is>
      </c>
      <c r="BD83" s="11" t="n">
        <v>5.31</v>
      </c>
      <c r="BE83" s="11" t="n">
        <v>4.46</v>
      </c>
      <c r="BF83" s="10">
        <f>tbl_MTG_Set[[#This Row],[Play Booster Sell Price CardMarket]]*tbl_MTG_Set[[#This Row],[Play Booster Expected Market Value]]/tbl_MTG_Set[[#This Row],[Play Boost Sealed Market Value]]</f>
        <v/>
      </c>
      <c r="BG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" s="17">
        <f>tbl_MTG_Set[[#This Row],[Play Singles CardMarket Profit]]/tbl_MTG_Set[[#This Row],[Play Booster Cost]]</f>
        <v/>
      </c>
      <c r="BI83" s="10">
        <f>tbl_MTG_Set[[#This Row],[Play Singles CardMarket Profit]]&gt;0</f>
        <v/>
      </c>
      <c r="BJ83" s="10" t="n">
        <v>18.43</v>
      </c>
      <c r="BK83" s="10" t="n">
        <v>46.57</v>
      </c>
      <c r="BL83" s="10">
        <f>tbl_MTG_Set[[#This Row],[Collector Booster Sell Price CardMarket]]*tbl_MTG_Set[[#This Row],[Collector Booster Expected Market Value]]/tbl_MTG_Set[[#This Row],[Collector Boost Sealed Market Value]]</f>
        <v/>
      </c>
      <c r="BM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" s="17">
        <f>tbl_MTG_Set[[#This Row],[Collector Singles CardMarket Profit]]/tbl_MTG_Set[[#This Row],[Collector Booster Cost]]</f>
        <v/>
      </c>
      <c r="BO83" s="10">
        <f>tbl_MTG_Set[[#This Row],[Collector Singles CardMarket Profit]]&gt;0</f>
        <v/>
      </c>
      <c r="BP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">
      <c r="A84" t="n">
        <v>82</v>
      </c>
      <c r="B84" t="inlineStr">
        <is>
          <t>Duskmourn: House of Horror Promos PDSK</t>
        </is>
      </c>
      <c r="C84" t="n">
        <v>160</v>
      </c>
      <c r="D84" s="3" t="n">
        <v>45562</v>
      </c>
      <c r="E84" t="inlineStr">
        <is>
          <t>Standard Expansion</t>
        </is>
      </c>
      <c r="F84" t="inlineStr">
        <is>
          <t>en es fr de it pt ja ko ru 汉语 漢語</t>
        </is>
      </c>
      <c r="G84" t="n">
        <v>110</v>
      </c>
      <c r="H84">
        <f>MONTH(NOW())+12*YEAR(NOW())-MONTH(tbl_MTG_Set[[#This Row],[Released On]])-12*YEAR(tbl_MTG_Set[[#This Row],[Released On]])</f>
        <v/>
      </c>
      <c r="I84">
        <f>_xlfn.XLOOKUP(tbl_MTG_Set[[#This Row],[Type Name]], tbl_MTG_Set_Type[Set Type], tbl_MTG_Set_Type[Index], "(Set Type not found)")</f>
        <v/>
      </c>
      <c r="J84">
        <f>_xlfn.XLOOKUP(tbl_MTG_Set[[#This Row],[Type Name]], tbl_MTG_Set_Type[Set Type], tbl_MTG_Set_Type[Buy Window Month Start], "(Set Type not found)")</f>
        <v/>
      </c>
      <c r="K84" s="3">
        <f>tbl_MTG_Set[[#This Row],[Released On]]+tbl_MTG_Set[[#This Row],[Buy Window Month Start]]*365.25/12</f>
        <v/>
      </c>
      <c r="L84">
        <f>_xlfn.XLOOKUP(tbl_MTG_Set[[#This Row],[Type Name]], tbl_MTG_Set_Type[Set Type], tbl_MTG_Set_Type[Buy Window Month End], "(Set Type not found)", 0, 1)</f>
        <v/>
      </c>
      <c r="M84" s="3">
        <f>tbl_MTG_Set[[#This Row],[Released On]]+tbl_MTG_Set[[#This Row],[Buy Window Month End]]*365.25/12</f>
        <v/>
      </c>
      <c r="N84" s="3">
        <f>AND(NOW()&gt;=tbl_MTG_Set[[#This Row],[Buy Window Start]], NOW()&lt;=tbl_MTG_Set[[#This Row],[Buy Window End]])</f>
        <v/>
      </c>
      <c r="O84">
        <f>_xlfn.XLOOKUP(tbl_MTG_Set[[#This Row],[Type Name]], tbl_MTG_Set_Type[Set Type], tbl_MTG_Set_Type[Heavy Printing Window Month Start], "(Set Type not found)", 0, 1)</f>
        <v/>
      </c>
      <c r="P84" s="3">
        <f>tbl_MTG_Set[[#This Row],[Released On]]+tbl_MTG_Set[[#This Row],[Heavy Printing Window Month Start]]*365.25/12</f>
        <v/>
      </c>
      <c r="Q84">
        <f>_xlfn.XLOOKUP(tbl_MTG_Set[[#This Row],[Type Name]], tbl_MTG_Set_Type[Set Type], tbl_MTG_Set_Type[Heavy Printing Window Month End], "(Set Type not found)", 0, 1)</f>
        <v/>
      </c>
      <c r="R84" s="3">
        <f>tbl_MTG_Set[[#This Row],[Released On]]+tbl_MTG_Set[[#This Row],[Heavy Printing Window Month End]]*365.25/12</f>
        <v/>
      </c>
      <c r="S84" s="3">
        <f>AND(NOW()&gt;=tbl_MTG_Set[[#This Row],[Heavy Printing Window Start]], NOW()&lt;=tbl_MTG_Set[[#This Row],[Heavy Printing Window End]])</f>
        <v/>
      </c>
      <c r="T84">
        <f>_xlfn.XLOOKUP(tbl_MTG_Set[[#This Row],[Type Name]], tbl_MTG_Set_Type[Set Type], tbl_MTG_Set_Type[Sell Window Month Start], "(Set Type not found)", 0, 1)</f>
        <v/>
      </c>
      <c r="U84" s="3">
        <f>tbl_MTG_Set[[#This Row],[Released On]]+tbl_MTG_Set[[#This Row],[Sell Window Month Start]]*365.25/12</f>
        <v/>
      </c>
      <c r="V84">
        <f>_xlfn.XLOOKUP(tbl_MTG_Set[[#This Row],[Type Name]], tbl_MTG_Set_Type[Set Type], tbl_MTG_Set_Type[Sell Window Month End], "(Set Type not found)", 0, 1)</f>
        <v/>
      </c>
      <c r="W84" s="3">
        <f>tbl_MTG_Set[[#This Row],[Released On]]+tbl_MTG_Set[[#This Row],[Sell Window Month End]]*365.25/12</f>
        <v/>
      </c>
      <c r="X84" s="3">
        <f>AND(NOW()&gt;=tbl_MTG_Set[[#This Row],[Sell Window Start]], NOW()&lt;=tbl_MTG_Set[[#This Row],[Sell Window End]])</f>
        <v/>
      </c>
      <c r="AG84" s="10" t="n"/>
      <c r="AH84" s="10" t="n"/>
      <c r="AM84" s="10">
        <f t="array" ref="AM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" s="10">
        <f t="array" ref="AN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" s="4">
        <f>_xlfn.XLOOKUP(tbl_MTG_Set[[#This Row],[Play Booster Box Product Id]], tbl_Product[Product Id], tbl_Product[Pack Size])</f>
        <v/>
      </c>
      <c r="AP84" s="10">
        <f>(tbl_MTG_Set[[#This Row],[Play Booster Box Cost]]+v_Item_Shipping_Cost_In)/tbl_MTG_Set[[#This Row],[Play Booster Box Size]]</f>
        <v/>
      </c>
      <c r="AQ84" s="10">
        <f t="array" ref="AQ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" s="10" t="n"/>
      <c r="AS84" s="10" t="n"/>
      <c r="AT84" s="17">
        <f>tbl_MTG_Set[[#This Row],[Play Booster CardMarket Profit]]/tbl_MTG_Set[[#This Row],[Play Booster Cost]]</f>
        <v/>
      </c>
      <c r="AU84" s="10">
        <f>_xlfn.XLOOKUP(tbl_MTG_Set[[#This Row],[Collector Booster Box Product Id]], tbl_Product[Product Id], tbl_Product[Min Cost])</f>
        <v/>
      </c>
      <c r="AV84" s="10">
        <f>_xlfn.XLOOKUP(tbl_MTG_Set[[#This Row],[Collector Booster Box Product Id]], tbl_Product[Product Id], tbl_Product[Best Source])</f>
        <v/>
      </c>
      <c r="AW84" s="4">
        <f>_xlfn.XLOOKUP(tbl_MTG_Set[[#This Row],[Collector Booster Box Product Id]], tbl_Product[Product Id], tbl_Product[Pack Size])</f>
        <v/>
      </c>
      <c r="AX84" s="10">
        <f>(tbl_MTG_Set[[#This Row],[Collector Booster Box Cost]] + v_Item_Shipping_Cost_In) / tbl_MTG_Set[[#This Row],[Collector Booster Box Size]]</f>
        <v/>
      </c>
      <c r="AY84" s="10">
        <f t="array" ref="AY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" s="10" t="n"/>
      <c r="BA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" s="17">
        <f>tbl_MTG_Set[[#This Row],[Collector Booster CardMarket Profit]]/tbl_MTG_Set[[#This Row],[Collector Booster Cost]]</f>
        <v/>
      </c>
      <c r="BC84" s="10" t="n"/>
      <c r="BF84" s="10">
        <f>tbl_MTG_Set[[#This Row],[Play Booster Sell Price CardMarket]]*tbl_MTG_Set[[#This Row],[Play Booster Expected Market Value]]/tbl_MTG_Set[[#This Row],[Play Boost Sealed Market Value]]</f>
        <v/>
      </c>
      <c r="BG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" s="10">
        <f>tbl_MTG_Set[[#This Row],[Play Singles CardMarket Profit]]/tbl_MTG_Set[[#This Row],[Play Booster Cost]]</f>
        <v/>
      </c>
      <c r="BI84" s="10">
        <f>tbl_MTG_Set[[#This Row],[Play Singles CardMarket Profit]]&gt;0</f>
        <v/>
      </c>
      <c r="BJ84" s="10" t="n"/>
      <c r="BK84" s="10" t="n"/>
      <c r="BL84" s="10">
        <f>tbl_MTG_Set[[#This Row],[Collector Booster Sell Price CardMarket]]*tbl_MTG_Set[[#This Row],[Collector Booster Expected Market Value]]/tbl_MTG_Set[[#This Row],[Collector Boost Sealed Market Value]]</f>
        <v/>
      </c>
      <c r="BM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" s="10">
        <f>tbl_MTG_Set[[#This Row],[Collector Singles CardMarket Profit]]/tbl_MTG_Set[[#This Row],[Collector Booster Cost]]</f>
        <v/>
      </c>
      <c r="BO84" s="10">
        <f>tbl_MTG_Set[[#This Row],[Collector Singles CardMarket Profit]]&gt;0</f>
        <v/>
      </c>
      <c r="BP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">
      <c r="A85" t="n">
        <v>83</v>
      </c>
      <c r="B85" t="inlineStr">
        <is>
          <t>Duskmourn: House of Horror Tokens TDSK</t>
        </is>
      </c>
      <c r="C85" t="n">
        <v>19</v>
      </c>
      <c r="D85" s="3" t="n">
        <v>45562</v>
      </c>
      <c r="E85" t="inlineStr">
        <is>
          <t>Standard Expansion</t>
        </is>
      </c>
      <c r="F85" t="inlineStr">
        <is>
          <t>en es fr de it pt ja ko ru 汉语 漢語</t>
        </is>
      </c>
      <c r="G85" t="n">
        <v>112</v>
      </c>
      <c r="H85">
        <f>MONTH(NOW())+12*YEAR(NOW())-MONTH(tbl_MTG_Set[[#This Row],[Released On]])-12*YEAR(tbl_MTG_Set[[#This Row],[Released On]])</f>
        <v/>
      </c>
      <c r="I85">
        <f>_xlfn.XLOOKUP(tbl_MTG_Set[[#This Row],[Type Name]], tbl_MTG_Set_Type[Set Type], tbl_MTG_Set_Type[Index], "(Set Type not found)")</f>
        <v/>
      </c>
      <c r="J85">
        <f>_xlfn.XLOOKUP(tbl_MTG_Set[[#This Row],[Type Name]], tbl_MTG_Set_Type[Set Type], tbl_MTG_Set_Type[Buy Window Month Start], "(Set Type not found)")</f>
        <v/>
      </c>
      <c r="K85" s="3">
        <f>tbl_MTG_Set[[#This Row],[Released On]]+tbl_MTG_Set[[#This Row],[Buy Window Month Start]]*365.25/12</f>
        <v/>
      </c>
      <c r="L85">
        <f>_xlfn.XLOOKUP(tbl_MTG_Set[[#This Row],[Type Name]], tbl_MTG_Set_Type[Set Type], tbl_MTG_Set_Type[Buy Window Month End], "(Set Type not found)", 0, 1)</f>
        <v/>
      </c>
      <c r="M85" s="3">
        <f>tbl_MTG_Set[[#This Row],[Released On]]+tbl_MTG_Set[[#This Row],[Buy Window Month End]]*365.25/12</f>
        <v/>
      </c>
      <c r="N85" s="3">
        <f>AND(NOW()&gt;=tbl_MTG_Set[[#This Row],[Buy Window Start]], NOW()&lt;=tbl_MTG_Set[[#This Row],[Buy Window End]])</f>
        <v/>
      </c>
      <c r="O85">
        <f>_xlfn.XLOOKUP(tbl_MTG_Set[[#This Row],[Type Name]], tbl_MTG_Set_Type[Set Type], tbl_MTG_Set_Type[Heavy Printing Window Month Start], "(Set Type not found)", 0, 1)</f>
        <v/>
      </c>
      <c r="P85" s="3">
        <f>tbl_MTG_Set[[#This Row],[Released On]]+tbl_MTG_Set[[#This Row],[Heavy Printing Window Month Start]]*365.25/12</f>
        <v/>
      </c>
      <c r="Q85">
        <f>_xlfn.XLOOKUP(tbl_MTG_Set[[#This Row],[Type Name]], tbl_MTG_Set_Type[Set Type], tbl_MTG_Set_Type[Heavy Printing Window Month End], "(Set Type not found)", 0, 1)</f>
        <v/>
      </c>
      <c r="R85" s="3">
        <f>tbl_MTG_Set[[#This Row],[Released On]]+tbl_MTG_Set[[#This Row],[Heavy Printing Window Month End]]*365.25/12</f>
        <v/>
      </c>
      <c r="S85" s="3">
        <f>AND(NOW()&gt;=tbl_MTG_Set[[#This Row],[Heavy Printing Window Start]], NOW()&lt;=tbl_MTG_Set[[#This Row],[Heavy Printing Window End]])</f>
        <v/>
      </c>
      <c r="T85">
        <f>_xlfn.XLOOKUP(tbl_MTG_Set[[#This Row],[Type Name]], tbl_MTG_Set_Type[Set Type], tbl_MTG_Set_Type[Sell Window Month Start], "(Set Type not found)", 0, 1)</f>
        <v/>
      </c>
      <c r="U85" s="3">
        <f>tbl_MTG_Set[[#This Row],[Released On]]+tbl_MTG_Set[[#This Row],[Sell Window Month Start]]*365.25/12</f>
        <v/>
      </c>
      <c r="V85">
        <f>_xlfn.XLOOKUP(tbl_MTG_Set[[#This Row],[Type Name]], tbl_MTG_Set_Type[Set Type], tbl_MTG_Set_Type[Sell Window Month End], "(Set Type not found)", 0, 1)</f>
        <v/>
      </c>
      <c r="W85" s="3">
        <f>tbl_MTG_Set[[#This Row],[Released On]]+tbl_MTG_Set[[#This Row],[Sell Window Month End]]*365.25/12</f>
        <v/>
      </c>
      <c r="X85" s="3">
        <f>AND(NOW()&gt;=tbl_MTG_Set[[#This Row],[Sell Window Start]], NOW()&lt;=tbl_MTG_Set[[#This Row],[Sell Window End]])</f>
        <v/>
      </c>
      <c r="AG85" s="10" t="n"/>
      <c r="AH85" s="10" t="n"/>
      <c r="AM85" s="10">
        <f t="array" ref="AM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" s="10">
        <f t="array" ref="AN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" s="4">
        <f>_xlfn.XLOOKUP(tbl_MTG_Set[[#This Row],[Play Booster Box Product Id]], tbl_Product[Product Id], tbl_Product[Pack Size])</f>
        <v/>
      </c>
      <c r="AP85" s="10">
        <f>(tbl_MTG_Set[[#This Row],[Play Booster Box Cost]]+v_Item_Shipping_Cost_In)/tbl_MTG_Set[[#This Row],[Play Booster Box Size]]</f>
        <v/>
      </c>
      <c r="AQ85" s="10">
        <f t="array" ref="AQ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" s="10" t="n"/>
      <c r="AS85" s="10" t="n"/>
      <c r="AT85" s="17">
        <f>tbl_MTG_Set[[#This Row],[Play Booster CardMarket Profit]]/tbl_MTG_Set[[#This Row],[Play Booster Cost]]</f>
        <v/>
      </c>
      <c r="AU85" s="10">
        <f>_xlfn.XLOOKUP(tbl_MTG_Set[[#This Row],[Collector Booster Box Product Id]], tbl_Product[Product Id], tbl_Product[Min Cost])</f>
        <v/>
      </c>
      <c r="AV85" s="10">
        <f>_xlfn.XLOOKUP(tbl_MTG_Set[[#This Row],[Collector Booster Box Product Id]], tbl_Product[Product Id], tbl_Product[Best Source])</f>
        <v/>
      </c>
      <c r="AW85" s="4">
        <f>_xlfn.XLOOKUP(tbl_MTG_Set[[#This Row],[Collector Booster Box Product Id]], tbl_Product[Product Id], tbl_Product[Pack Size])</f>
        <v/>
      </c>
      <c r="AX85" s="10">
        <f>(tbl_MTG_Set[[#This Row],[Collector Booster Box Cost]] + v_Item_Shipping_Cost_In) / tbl_MTG_Set[[#This Row],[Collector Booster Box Size]]</f>
        <v/>
      </c>
      <c r="AY85" s="10">
        <f t="array" ref="AY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" s="10" t="n"/>
      <c r="BA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" s="17">
        <f>tbl_MTG_Set[[#This Row],[Collector Booster CardMarket Profit]]/tbl_MTG_Set[[#This Row],[Collector Booster Cost]]</f>
        <v/>
      </c>
      <c r="BC85" s="10" t="n"/>
      <c r="BF85" s="10">
        <f>tbl_MTG_Set[[#This Row],[Play Booster Sell Price CardMarket]]*tbl_MTG_Set[[#This Row],[Play Booster Expected Market Value]]/tbl_MTG_Set[[#This Row],[Play Boost Sealed Market Value]]</f>
        <v/>
      </c>
      <c r="BG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" s="10">
        <f>tbl_MTG_Set[[#This Row],[Play Singles CardMarket Profit]]/tbl_MTG_Set[[#This Row],[Play Booster Cost]]</f>
        <v/>
      </c>
      <c r="BI85" s="10">
        <f>tbl_MTG_Set[[#This Row],[Play Singles CardMarket Profit]]&gt;0</f>
        <v/>
      </c>
      <c r="BJ85" s="10" t="n"/>
      <c r="BK85" s="10" t="n"/>
      <c r="BL85" s="10">
        <f>tbl_MTG_Set[[#This Row],[Collector Booster Sell Price CardMarket]]*tbl_MTG_Set[[#This Row],[Collector Booster Expected Market Value]]/tbl_MTG_Set[[#This Row],[Collector Boost Sealed Market Value]]</f>
        <v/>
      </c>
      <c r="BM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" s="10">
        <f>tbl_MTG_Set[[#This Row],[Collector Singles CardMarket Profit]]/tbl_MTG_Set[[#This Row],[Collector Booster Cost]]</f>
        <v/>
      </c>
      <c r="BO85" s="10">
        <f>tbl_MTG_Set[[#This Row],[Collector Singles CardMarket Profit]]&gt;0</f>
        <v/>
      </c>
      <c r="BP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">
      <c r="A86" t="n">
        <v>84</v>
      </c>
      <c r="B86" t="inlineStr">
        <is>
          <t>Alchemy: Duskmourn YDSK</t>
        </is>
      </c>
      <c r="C86" t="n">
        <v>30</v>
      </c>
      <c r="D86" s="3" t="n">
        <v>45580</v>
      </c>
      <c r="E86" t="inlineStr">
        <is>
          <t>Standard Expansion</t>
        </is>
      </c>
      <c r="F86" t="inlineStr">
        <is>
          <t>en es fr de it pt ja ko ru 汉语 漢語</t>
        </is>
      </c>
      <c r="G86" t="n">
        <v>114</v>
      </c>
      <c r="H86">
        <f>MONTH(NOW())+12*YEAR(NOW())-MONTH(tbl_MTG_Set[[#This Row],[Released On]])-12*YEAR(tbl_MTG_Set[[#This Row],[Released On]])</f>
        <v/>
      </c>
      <c r="I86">
        <f>_xlfn.XLOOKUP(tbl_MTG_Set[[#This Row],[Type Name]], tbl_MTG_Set_Type[Set Type], tbl_MTG_Set_Type[Index], "(Set Type not found)")</f>
        <v/>
      </c>
      <c r="J86">
        <f>_xlfn.XLOOKUP(tbl_MTG_Set[[#This Row],[Type Name]], tbl_MTG_Set_Type[Set Type], tbl_MTG_Set_Type[Buy Window Month Start], "(Set Type not found)")</f>
        <v/>
      </c>
      <c r="K86" s="3">
        <f>tbl_MTG_Set[[#This Row],[Released On]]+tbl_MTG_Set[[#This Row],[Buy Window Month Start]]*365.25/12</f>
        <v/>
      </c>
      <c r="L86">
        <f>_xlfn.XLOOKUP(tbl_MTG_Set[[#This Row],[Type Name]], tbl_MTG_Set_Type[Set Type], tbl_MTG_Set_Type[Buy Window Month End], "(Set Type not found)", 0, 1)</f>
        <v/>
      </c>
      <c r="M86" s="3">
        <f>tbl_MTG_Set[[#This Row],[Released On]]+tbl_MTG_Set[[#This Row],[Buy Window Month End]]*365.25/12</f>
        <v/>
      </c>
      <c r="N86" s="3">
        <f>AND(NOW()&gt;=tbl_MTG_Set[[#This Row],[Buy Window Start]], NOW()&lt;=tbl_MTG_Set[[#This Row],[Buy Window End]])</f>
        <v/>
      </c>
      <c r="O86">
        <f>_xlfn.XLOOKUP(tbl_MTG_Set[[#This Row],[Type Name]], tbl_MTG_Set_Type[Set Type], tbl_MTG_Set_Type[Heavy Printing Window Month Start], "(Set Type not found)", 0, 1)</f>
        <v/>
      </c>
      <c r="P86" s="3">
        <f>tbl_MTG_Set[[#This Row],[Released On]]+tbl_MTG_Set[[#This Row],[Heavy Printing Window Month Start]]*365.25/12</f>
        <v/>
      </c>
      <c r="Q86">
        <f>_xlfn.XLOOKUP(tbl_MTG_Set[[#This Row],[Type Name]], tbl_MTG_Set_Type[Set Type], tbl_MTG_Set_Type[Heavy Printing Window Month End], "(Set Type not found)", 0, 1)</f>
        <v/>
      </c>
      <c r="R86" s="3">
        <f>tbl_MTG_Set[[#This Row],[Released On]]+tbl_MTG_Set[[#This Row],[Heavy Printing Window Month End]]*365.25/12</f>
        <v/>
      </c>
      <c r="S86" s="3">
        <f>AND(NOW()&gt;=tbl_MTG_Set[[#This Row],[Heavy Printing Window Start]], NOW()&lt;=tbl_MTG_Set[[#This Row],[Heavy Printing Window End]])</f>
        <v/>
      </c>
      <c r="T86">
        <f>_xlfn.XLOOKUP(tbl_MTG_Set[[#This Row],[Type Name]], tbl_MTG_Set_Type[Set Type], tbl_MTG_Set_Type[Sell Window Month Start], "(Set Type not found)", 0, 1)</f>
        <v/>
      </c>
      <c r="U86" s="3">
        <f>tbl_MTG_Set[[#This Row],[Released On]]+tbl_MTG_Set[[#This Row],[Sell Window Month Start]]*365.25/12</f>
        <v/>
      </c>
      <c r="V86">
        <f>_xlfn.XLOOKUP(tbl_MTG_Set[[#This Row],[Type Name]], tbl_MTG_Set_Type[Set Type], tbl_MTG_Set_Type[Sell Window Month End], "(Set Type not found)", 0, 1)</f>
        <v/>
      </c>
      <c r="W86" s="3">
        <f>tbl_MTG_Set[[#This Row],[Released On]]+tbl_MTG_Set[[#This Row],[Sell Window Month End]]*365.25/12</f>
        <v/>
      </c>
      <c r="X86" s="3">
        <f>AND(NOW()&gt;=tbl_MTG_Set[[#This Row],[Sell Window Start]], NOW()&lt;=tbl_MTG_Set[[#This Row],[Sell Window End]])</f>
        <v/>
      </c>
      <c r="AG86" s="10" t="n"/>
      <c r="AH86" s="10" t="n"/>
      <c r="AM86" s="10">
        <f t="array" ref="AM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" s="10">
        <f t="array" ref="AN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" s="4">
        <f>_xlfn.XLOOKUP(tbl_MTG_Set[[#This Row],[Play Booster Box Product Id]], tbl_Product[Product Id], tbl_Product[Pack Size])</f>
        <v/>
      </c>
      <c r="AP86" s="10">
        <f>(tbl_MTG_Set[[#This Row],[Play Booster Box Cost]]+v_Item_Shipping_Cost_In)/tbl_MTG_Set[[#This Row],[Play Booster Box Size]]</f>
        <v/>
      </c>
      <c r="AQ86" s="10">
        <f t="array" ref="AQ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" s="10" t="n"/>
      <c r="AS86" s="10" t="n"/>
      <c r="AT86" s="17">
        <f>tbl_MTG_Set[[#This Row],[Play Booster CardMarket Profit]]/tbl_MTG_Set[[#This Row],[Play Booster Cost]]</f>
        <v/>
      </c>
      <c r="AU86" s="10">
        <f>_xlfn.XLOOKUP(tbl_MTG_Set[[#This Row],[Collector Booster Box Product Id]], tbl_Product[Product Id], tbl_Product[Min Cost])</f>
        <v/>
      </c>
      <c r="AV86" s="10">
        <f>_xlfn.XLOOKUP(tbl_MTG_Set[[#This Row],[Collector Booster Box Product Id]], tbl_Product[Product Id], tbl_Product[Best Source])</f>
        <v/>
      </c>
      <c r="AW86" s="4">
        <f>_xlfn.XLOOKUP(tbl_MTG_Set[[#This Row],[Collector Booster Box Product Id]], tbl_Product[Product Id], tbl_Product[Pack Size])</f>
        <v/>
      </c>
      <c r="AX86" s="10">
        <f>(tbl_MTG_Set[[#This Row],[Collector Booster Box Cost]] + v_Item_Shipping_Cost_In) / tbl_MTG_Set[[#This Row],[Collector Booster Box Size]]</f>
        <v/>
      </c>
      <c r="AY86" s="10">
        <f t="array" ref="AY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" s="10" t="n"/>
      <c r="BA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" s="17">
        <f>tbl_MTG_Set[[#This Row],[Collector Booster CardMarket Profit]]/tbl_MTG_Set[[#This Row],[Collector Booster Cost]]</f>
        <v/>
      </c>
      <c r="BC86" s="10" t="n"/>
      <c r="BF86" s="10">
        <f>tbl_MTG_Set[[#This Row],[Play Booster Sell Price CardMarket]]*tbl_MTG_Set[[#This Row],[Play Booster Expected Market Value]]/tbl_MTG_Set[[#This Row],[Play Boost Sealed Market Value]]</f>
        <v/>
      </c>
      <c r="BG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" s="10">
        <f>tbl_MTG_Set[[#This Row],[Play Singles CardMarket Profit]]/tbl_MTG_Set[[#This Row],[Play Booster Cost]]</f>
        <v/>
      </c>
      <c r="BI86" s="10">
        <f>tbl_MTG_Set[[#This Row],[Play Singles CardMarket Profit]]&gt;0</f>
        <v/>
      </c>
      <c r="BJ86" s="10" t="n"/>
      <c r="BK86" s="10" t="n"/>
      <c r="BL86" s="10">
        <f>tbl_MTG_Set[[#This Row],[Collector Booster Sell Price CardMarket]]*tbl_MTG_Set[[#This Row],[Collector Booster Expected Market Value]]/tbl_MTG_Set[[#This Row],[Collector Boost Sealed Market Value]]</f>
        <v/>
      </c>
      <c r="BM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" s="10">
        <f>tbl_MTG_Set[[#This Row],[Collector Singles CardMarket Profit]]/tbl_MTG_Set[[#This Row],[Collector Booster Cost]]</f>
        <v/>
      </c>
      <c r="BO86" s="10">
        <f>tbl_MTG_Set[[#This Row],[Collector Singles CardMarket Profit]]&gt;0</f>
        <v/>
      </c>
      <c r="BP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">
      <c r="A87" t="n">
        <v>85</v>
      </c>
      <c r="B87" t="inlineStr">
        <is>
          <t>Duskmourn: House of Horror Commander DSC</t>
        </is>
      </c>
      <c r="C87" t="n">
        <v>373</v>
      </c>
      <c r="D87" s="3" t="n">
        <v>45562</v>
      </c>
      <c r="E87" t="inlineStr">
        <is>
          <t>Standard Expansion</t>
        </is>
      </c>
      <c r="F87" t="inlineStr">
        <is>
          <t>en es fr de it pt ja ko ru 汉语 漢語</t>
        </is>
      </c>
      <c r="G87" t="n">
        <v>116</v>
      </c>
      <c r="H87">
        <f>MONTH(NOW())+12*YEAR(NOW())-MONTH(tbl_MTG_Set[[#This Row],[Released On]])-12*YEAR(tbl_MTG_Set[[#This Row],[Released On]])</f>
        <v/>
      </c>
      <c r="I87">
        <f>_xlfn.XLOOKUP(tbl_MTG_Set[[#This Row],[Type Name]], tbl_MTG_Set_Type[Set Type], tbl_MTG_Set_Type[Index], "(Set Type not found)")</f>
        <v/>
      </c>
      <c r="J87">
        <f>_xlfn.XLOOKUP(tbl_MTG_Set[[#This Row],[Type Name]], tbl_MTG_Set_Type[Set Type], tbl_MTG_Set_Type[Buy Window Month Start], "(Set Type not found)")</f>
        <v/>
      </c>
      <c r="K87" s="3">
        <f>tbl_MTG_Set[[#This Row],[Released On]]+tbl_MTG_Set[[#This Row],[Buy Window Month Start]]*365.25/12</f>
        <v/>
      </c>
      <c r="L87">
        <f>_xlfn.XLOOKUP(tbl_MTG_Set[[#This Row],[Type Name]], tbl_MTG_Set_Type[Set Type], tbl_MTG_Set_Type[Buy Window Month End], "(Set Type not found)", 0, 1)</f>
        <v/>
      </c>
      <c r="M87" s="3">
        <f>tbl_MTG_Set[[#This Row],[Released On]]+tbl_MTG_Set[[#This Row],[Buy Window Month End]]*365.25/12</f>
        <v/>
      </c>
      <c r="N87" s="3">
        <f>AND(NOW()&gt;=tbl_MTG_Set[[#This Row],[Buy Window Start]], NOW()&lt;=tbl_MTG_Set[[#This Row],[Buy Window End]])</f>
        <v/>
      </c>
      <c r="O87">
        <f>_xlfn.XLOOKUP(tbl_MTG_Set[[#This Row],[Type Name]], tbl_MTG_Set_Type[Set Type], tbl_MTG_Set_Type[Heavy Printing Window Month Start], "(Set Type not found)", 0, 1)</f>
        <v/>
      </c>
      <c r="P87" s="3">
        <f>tbl_MTG_Set[[#This Row],[Released On]]+tbl_MTG_Set[[#This Row],[Heavy Printing Window Month Start]]*365.25/12</f>
        <v/>
      </c>
      <c r="Q87">
        <f>_xlfn.XLOOKUP(tbl_MTG_Set[[#This Row],[Type Name]], tbl_MTG_Set_Type[Set Type], tbl_MTG_Set_Type[Heavy Printing Window Month End], "(Set Type not found)", 0, 1)</f>
        <v/>
      </c>
      <c r="R87" s="3">
        <f>tbl_MTG_Set[[#This Row],[Released On]]+tbl_MTG_Set[[#This Row],[Heavy Printing Window Month End]]*365.25/12</f>
        <v/>
      </c>
      <c r="S87" s="3">
        <f>AND(NOW()&gt;=tbl_MTG_Set[[#This Row],[Heavy Printing Window Start]], NOW()&lt;=tbl_MTG_Set[[#This Row],[Heavy Printing Window End]])</f>
        <v/>
      </c>
      <c r="T87">
        <f>_xlfn.XLOOKUP(tbl_MTG_Set[[#This Row],[Type Name]], tbl_MTG_Set_Type[Set Type], tbl_MTG_Set_Type[Sell Window Month Start], "(Set Type not found)", 0, 1)</f>
        <v/>
      </c>
      <c r="U87" s="3">
        <f>tbl_MTG_Set[[#This Row],[Released On]]+tbl_MTG_Set[[#This Row],[Sell Window Month Start]]*365.25/12</f>
        <v/>
      </c>
      <c r="V87">
        <f>_xlfn.XLOOKUP(tbl_MTG_Set[[#This Row],[Type Name]], tbl_MTG_Set_Type[Set Type], tbl_MTG_Set_Type[Sell Window Month End], "(Set Type not found)", 0, 1)</f>
        <v/>
      </c>
      <c r="W87" s="3">
        <f>tbl_MTG_Set[[#This Row],[Released On]]+tbl_MTG_Set[[#This Row],[Sell Window Month End]]*365.25/12</f>
        <v/>
      </c>
      <c r="X87" s="3">
        <f>AND(NOW()&gt;=tbl_MTG_Set[[#This Row],[Sell Window Start]], NOW()&lt;=tbl_MTG_Set[[#This Row],[Sell Window End]])</f>
        <v/>
      </c>
      <c r="AG87" s="10" t="n"/>
      <c r="AH87" s="10" t="n"/>
      <c r="AM87" s="10">
        <f t="array" ref="AM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" s="10">
        <f t="array" ref="AN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" s="4">
        <f>_xlfn.XLOOKUP(tbl_MTG_Set[[#This Row],[Play Booster Box Product Id]], tbl_Product[Product Id], tbl_Product[Pack Size])</f>
        <v/>
      </c>
      <c r="AP87" s="10">
        <f>(tbl_MTG_Set[[#This Row],[Play Booster Box Cost]]+v_Item_Shipping_Cost_In)/tbl_MTG_Set[[#This Row],[Play Booster Box Size]]</f>
        <v/>
      </c>
      <c r="AQ87" s="10">
        <f t="array" ref="AQ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" s="10" t="n"/>
      <c r="AS87" s="10" t="n"/>
      <c r="AT87" s="17">
        <f>tbl_MTG_Set[[#This Row],[Play Booster CardMarket Profit]]/tbl_MTG_Set[[#This Row],[Play Booster Cost]]</f>
        <v/>
      </c>
      <c r="AU87" s="10">
        <f>_xlfn.XLOOKUP(tbl_MTG_Set[[#This Row],[Collector Booster Box Product Id]], tbl_Product[Product Id], tbl_Product[Min Cost])</f>
        <v/>
      </c>
      <c r="AV87" s="10">
        <f>_xlfn.XLOOKUP(tbl_MTG_Set[[#This Row],[Collector Booster Box Product Id]], tbl_Product[Product Id], tbl_Product[Best Source])</f>
        <v/>
      </c>
      <c r="AW87" s="4">
        <f>_xlfn.XLOOKUP(tbl_MTG_Set[[#This Row],[Collector Booster Box Product Id]], tbl_Product[Product Id], tbl_Product[Pack Size])</f>
        <v/>
      </c>
      <c r="AX87" s="10">
        <f>(tbl_MTG_Set[[#This Row],[Collector Booster Box Cost]] + v_Item_Shipping_Cost_In) / tbl_MTG_Set[[#This Row],[Collector Booster Box Size]]</f>
        <v/>
      </c>
      <c r="AY87" s="10">
        <f t="array" ref="AY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" s="10" t="n"/>
      <c r="BA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" s="17">
        <f>tbl_MTG_Set[[#This Row],[Collector Booster CardMarket Profit]]/tbl_MTG_Set[[#This Row],[Collector Booster Cost]]</f>
        <v/>
      </c>
      <c r="BC87" s="10" t="n"/>
      <c r="BF87" s="10">
        <f>tbl_MTG_Set[[#This Row],[Play Booster Sell Price CardMarket]]*tbl_MTG_Set[[#This Row],[Play Booster Expected Market Value]]/tbl_MTG_Set[[#This Row],[Play Boost Sealed Market Value]]</f>
        <v/>
      </c>
      <c r="BG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" s="10">
        <f>tbl_MTG_Set[[#This Row],[Play Singles CardMarket Profit]]/tbl_MTG_Set[[#This Row],[Play Booster Cost]]</f>
        <v/>
      </c>
      <c r="BI87" s="10">
        <f>tbl_MTG_Set[[#This Row],[Play Singles CardMarket Profit]]&gt;0</f>
        <v/>
      </c>
      <c r="BJ87" s="10" t="n"/>
      <c r="BK87" s="10" t="n"/>
      <c r="BL87" s="10">
        <f>tbl_MTG_Set[[#This Row],[Collector Booster Sell Price CardMarket]]*tbl_MTG_Set[[#This Row],[Collector Booster Expected Market Value]]/tbl_MTG_Set[[#This Row],[Collector Boost Sealed Market Value]]</f>
        <v/>
      </c>
      <c r="BM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" s="10">
        <f>tbl_MTG_Set[[#This Row],[Collector Singles CardMarket Profit]]/tbl_MTG_Set[[#This Row],[Collector Booster Cost]]</f>
        <v/>
      </c>
      <c r="BO87" s="10">
        <f>tbl_MTG_Set[[#This Row],[Collector Singles CardMarket Profit]]&gt;0</f>
        <v/>
      </c>
      <c r="BP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">
      <c r="A88" t="n">
        <v>86</v>
      </c>
      <c r="B88" t="inlineStr">
        <is>
          <t>Duskmourn Commander Tokens TDSC</t>
        </is>
      </c>
      <c r="C88" t="n">
        <v>23</v>
      </c>
      <c r="D88" s="3" t="n">
        <v>45562</v>
      </c>
      <c r="E88" t="inlineStr">
        <is>
          <t>Standard Expansion</t>
        </is>
      </c>
      <c r="F88" t="inlineStr">
        <is>
          <t>en es fr de it pt ja ko ru 汉语 漢語</t>
        </is>
      </c>
      <c r="G88" t="n">
        <v>118</v>
      </c>
      <c r="H88">
        <f>MONTH(NOW())+12*YEAR(NOW())-MONTH(tbl_MTG_Set[[#This Row],[Released On]])-12*YEAR(tbl_MTG_Set[[#This Row],[Released On]])</f>
        <v/>
      </c>
      <c r="I88">
        <f>_xlfn.XLOOKUP(tbl_MTG_Set[[#This Row],[Type Name]], tbl_MTG_Set_Type[Set Type], tbl_MTG_Set_Type[Index], "(Set Type not found)")</f>
        <v/>
      </c>
      <c r="J88">
        <f>_xlfn.XLOOKUP(tbl_MTG_Set[[#This Row],[Type Name]], tbl_MTG_Set_Type[Set Type], tbl_MTG_Set_Type[Buy Window Month Start], "(Set Type not found)")</f>
        <v/>
      </c>
      <c r="K88" s="3">
        <f>tbl_MTG_Set[[#This Row],[Released On]]+tbl_MTG_Set[[#This Row],[Buy Window Month Start]]*365.25/12</f>
        <v/>
      </c>
      <c r="L88">
        <f>_xlfn.XLOOKUP(tbl_MTG_Set[[#This Row],[Type Name]], tbl_MTG_Set_Type[Set Type], tbl_MTG_Set_Type[Buy Window Month End], "(Set Type not found)", 0, 1)</f>
        <v/>
      </c>
      <c r="M88" s="3">
        <f>tbl_MTG_Set[[#This Row],[Released On]]+tbl_MTG_Set[[#This Row],[Buy Window Month End]]*365.25/12</f>
        <v/>
      </c>
      <c r="N88" s="3">
        <f>AND(NOW()&gt;=tbl_MTG_Set[[#This Row],[Buy Window Start]], NOW()&lt;=tbl_MTG_Set[[#This Row],[Buy Window End]])</f>
        <v/>
      </c>
      <c r="O88">
        <f>_xlfn.XLOOKUP(tbl_MTG_Set[[#This Row],[Type Name]], tbl_MTG_Set_Type[Set Type], tbl_MTG_Set_Type[Heavy Printing Window Month Start], "(Set Type not found)", 0, 1)</f>
        <v/>
      </c>
      <c r="P88" s="3">
        <f>tbl_MTG_Set[[#This Row],[Released On]]+tbl_MTG_Set[[#This Row],[Heavy Printing Window Month Start]]*365.25/12</f>
        <v/>
      </c>
      <c r="Q88">
        <f>_xlfn.XLOOKUP(tbl_MTG_Set[[#This Row],[Type Name]], tbl_MTG_Set_Type[Set Type], tbl_MTG_Set_Type[Heavy Printing Window Month End], "(Set Type not found)", 0, 1)</f>
        <v/>
      </c>
      <c r="R88" s="3">
        <f>tbl_MTG_Set[[#This Row],[Released On]]+tbl_MTG_Set[[#This Row],[Heavy Printing Window Month End]]*365.25/12</f>
        <v/>
      </c>
      <c r="S88" s="3">
        <f>AND(NOW()&gt;=tbl_MTG_Set[[#This Row],[Heavy Printing Window Start]], NOW()&lt;=tbl_MTG_Set[[#This Row],[Heavy Printing Window End]])</f>
        <v/>
      </c>
      <c r="T88">
        <f>_xlfn.XLOOKUP(tbl_MTG_Set[[#This Row],[Type Name]], tbl_MTG_Set_Type[Set Type], tbl_MTG_Set_Type[Sell Window Month Start], "(Set Type not found)", 0, 1)</f>
        <v/>
      </c>
      <c r="U88" s="3">
        <f>tbl_MTG_Set[[#This Row],[Released On]]+tbl_MTG_Set[[#This Row],[Sell Window Month Start]]*365.25/12</f>
        <v/>
      </c>
      <c r="V88">
        <f>_xlfn.XLOOKUP(tbl_MTG_Set[[#This Row],[Type Name]], tbl_MTG_Set_Type[Set Type], tbl_MTG_Set_Type[Sell Window Month End], "(Set Type not found)", 0, 1)</f>
        <v/>
      </c>
      <c r="W88" s="3">
        <f>tbl_MTG_Set[[#This Row],[Released On]]+tbl_MTG_Set[[#This Row],[Sell Window Month End]]*365.25/12</f>
        <v/>
      </c>
      <c r="X88" s="3">
        <f>AND(NOW()&gt;=tbl_MTG_Set[[#This Row],[Sell Window Start]], NOW()&lt;=tbl_MTG_Set[[#This Row],[Sell Window End]])</f>
        <v/>
      </c>
      <c r="AG88" s="10" t="n"/>
      <c r="AH88" s="10" t="n"/>
      <c r="AM88" s="10">
        <f t="array" ref="AM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" s="10">
        <f t="array" ref="AN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" s="4">
        <f>_xlfn.XLOOKUP(tbl_MTG_Set[[#This Row],[Play Booster Box Product Id]], tbl_Product[Product Id], tbl_Product[Pack Size])</f>
        <v/>
      </c>
      <c r="AP88" s="10">
        <f>(tbl_MTG_Set[[#This Row],[Play Booster Box Cost]]+v_Item_Shipping_Cost_In)/tbl_MTG_Set[[#This Row],[Play Booster Box Size]]</f>
        <v/>
      </c>
      <c r="AQ88" s="10">
        <f t="array" ref="AQ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" s="10" t="n"/>
      <c r="AS88" s="10" t="n"/>
      <c r="AT88" s="17">
        <f>tbl_MTG_Set[[#This Row],[Play Booster CardMarket Profit]]/tbl_MTG_Set[[#This Row],[Play Booster Cost]]</f>
        <v/>
      </c>
      <c r="AU88" s="10">
        <f>_xlfn.XLOOKUP(tbl_MTG_Set[[#This Row],[Collector Booster Box Product Id]], tbl_Product[Product Id], tbl_Product[Min Cost])</f>
        <v/>
      </c>
      <c r="AV88" s="10">
        <f>_xlfn.XLOOKUP(tbl_MTG_Set[[#This Row],[Collector Booster Box Product Id]], tbl_Product[Product Id], tbl_Product[Best Source])</f>
        <v/>
      </c>
      <c r="AW88" s="4">
        <f>_xlfn.XLOOKUP(tbl_MTG_Set[[#This Row],[Collector Booster Box Product Id]], tbl_Product[Product Id], tbl_Product[Pack Size])</f>
        <v/>
      </c>
      <c r="AX88" s="10">
        <f>(tbl_MTG_Set[[#This Row],[Collector Booster Box Cost]] + v_Item_Shipping_Cost_In) / tbl_MTG_Set[[#This Row],[Collector Booster Box Size]]</f>
        <v/>
      </c>
      <c r="AY88" s="10">
        <f t="array" ref="AY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" s="10" t="n"/>
      <c r="BA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" s="17">
        <f>tbl_MTG_Set[[#This Row],[Collector Booster CardMarket Profit]]/tbl_MTG_Set[[#This Row],[Collector Booster Cost]]</f>
        <v/>
      </c>
      <c r="BC88" s="10" t="n"/>
      <c r="BF88" s="10">
        <f>tbl_MTG_Set[[#This Row],[Play Booster Sell Price CardMarket]]*tbl_MTG_Set[[#This Row],[Play Booster Expected Market Value]]/tbl_MTG_Set[[#This Row],[Play Boost Sealed Market Value]]</f>
        <v/>
      </c>
      <c r="BG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" s="10">
        <f>tbl_MTG_Set[[#This Row],[Play Singles CardMarket Profit]]/tbl_MTG_Set[[#This Row],[Play Booster Cost]]</f>
        <v/>
      </c>
      <c r="BI88" s="10">
        <f>tbl_MTG_Set[[#This Row],[Play Singles CardMarket Profit]]&gt;0</f>
        <v/>
      </c>
      <c r="BJ88" s="10" t="n"/>
      <c r="BK88" s="10" t="n"/>
      <c r="BL88" s="10">
        <f>tbl_MTG_Set[[#This Row],[Collector Booster Sell Price CardMarket]]*tbl_MTG_Set[[#This Row],[Collector Booster Expected Market Value]]/tbl_MTG_Set[[#This Row],[Collector Boost Sealed Market Value]]</f>
        <v/>
      </c>
      <c r="BM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" s="10">
        <f>tbl_MTG_Set[[#This Row],[Collector Singles CardMarket Profit]]/tbl_MTG_Set[[#This Row],[Collector Booster Cost]]</f>
        <v/>
      </c>
      <c r="BO88" s="10">
        <f>tbl_MTG_Set[[#This Row],[Collector Singles CardMarket Profit]]&gt;0</f>
        <v/>
      </c>
      <c r="BP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">
      <c r="A89" t="n">
        <v>87</v>
      </c>
      <c r="B89" t="inlineStr">
        <is>
          <t>Duskmourn: House of Horror Art Series ADSK</t>
        </is>
      </c>
      <c r="C89" t="n">
        <v>54</v>
      </c>
      <c r="D89" s="3" t="n">
        <v>45562</v>
      </c>
      <c r="E89" t="inlineStr">
        <is>
          <t>Standard Expansion</t>
        </is>
      </c>
      <c r="F89" t="inlineStr">
        <is>
          <t>en es fr de it pt ja ko ru 汉语 漢語</t>
        </is>
      </c>
      <c r="G89" t="n">
        <v>120</v>
      </c>
      <c r="H89">
        <f>MONTH(NOW())+12*YEAR(NOW())-MONTH(tbl_MTG_Set[[#This Row],[Released On]])-12*YEAR(tbl_MTG_Set[[#This Row],[Released On]])</f>
        <v/>
      </c>
      <c r="I89">
        <f>_xlfn.XLOOKUP(tbl_MTG_Set[[#This Row],[Type Name]], tbl_MTG_Set_Type[Set Type], tbl_MTG_Set_Type[Index], "(Set Type not found)")</f>
        <v/>
      </c>
      <c r="J89">
        <f>_xlfn.XLOOKUP(tbl_MTG_Set[[#This Row],[Type Name]], tbl_MTG_Set_Type[Set Type], tbl_MTG_Set_Type[Buy Window Month Start], "(Set Type not found)")</f>
        <v/>
      </c>
      <c r="K89" s="3">
        <f>tbl_MTG_Set[[#This Row],[Released On]]+tbl_MTG_Set[[#This Row],[Buy Window Month Start]]*365.25/12</f>
        <v/>
      </c>
      <c r="L89">
        <f>_xlfn.XLOOKUP(tbl_MTG_Set[[#This Row],[Type Name]], tbl_MTG_Set_Type[Set Type], tbl_MTG_Set_Type[Buy Window Month End], "(Set Type not found)", 0, 1)</f>
        <v/>
      </c>
      <c r="M89" s="3">
        <f>tbl_MTG_Set[[#This Row],[Released On]]+tbl_MTG_Set[[#This Row],[Buy Window Month End]]*365.25/12</f>
        <v/>
      </c>
      <c r="N89" s="3">
        <f>AND(NOW()&gt;=tbl_MTG_Set[[#This Row],[Buy Window Start]], NOW()&lt;=tbl_MTG_Set[[#This Row],[Buy Window End]])</f>
        <v/>
      </c>
      <c r="O89">
        <f>_xlfn.XLOOKUP(tbl_MTG_Set[[#This Row],[Type Name]], tbl_MTG_Set_Type[Set Type], tbl_MTG_Set_Type[Heavy Printing Window Month Start], "(Set Type not found)", 0, 1)</f>
        <v/>
      </c>
      <c r="P89" s="3">
        <f>tbl_MTG_Set[[#This Row],[Released On]]+tbl_MTG_Set[[#This Row],[Heavy Printing Window Month Start]]*365.25/12</f>
        <v/>
      </c>
      <c r="Q89">
        <f>_xlfn.XLOOKUP(tbl_MTG_Set[[#This Row],[Type Name]], tbl_MTG_Set_Type[Set Type], tbl_MTG_Set_Type[Heavy Printing Window Month End], "(Set Type not found)", 0, 1)</f>
        <v/>
      </c>
      <c r="R89" s="3">
        <f>tbl_MTG_Set[[#This Row],[Released On]]+tbl_MTG_Set[[#This Row],[Heavy Printing Window Month End]]*365.25/12</f>
        <v/>
      </c>
      <c r="S89" s="3">
        <f>AND(NOW()&gt;=tbl_MTG_Set[[#This Row],[Heavy Printing Window Start]], NOW()&lt;=tbl_MTG_Set[[#This Row],[Heavy Printing Window End]])</f>
        <v/>
      </c>
      <c r="T89">
        <f>_xlfn.XLOOKUP(tbl_MTG_Set[[#This Row],[Type Name]], tbl_MTG_Set_Type[Set Type], tbl_MTG_Set_Type[Sell Window Month Start], "(Set Type not found)", 0, 1)</f>
        <v/>
      </c>
      <c r="U89" s="3">
        <f>tbl_MTG_Set[[#This Row],[Released On]]+tbl_MTG_Set[[#This Row],[Sell Window Month Start]]*365.25/12</f>
        <v/>
      </c>
      <c r="V89">
        <f>_xlfn.XLOOKUP(tbl_MTG_Set[[#This Row],[Type Name]], tbl_MTG_Set_Type[Set Type], tbl_MTG_Set_Type[Sell Window Month End], "(Set Type not found)", 0, 1)</f>
        <v/>
      </c>
      <c r="W89" s="3">
        <f>tbl_MTG_Set[[#This Row],[Released On]]+tbl_MTG_Set[[#This Row],[Sell Window Month End]]*365.25/12</f>
        <v/>
      </c>
      <c r="X89" s="3">
        <f>AND(NOW()&gt;=tbl_MTG_Set[[#This Row],[Sell Window Start]], NOW()&lt;=tbl_MTG_Set[[#This Row],[Sell Window End]])</f>
        <v/>
      </c>
      <c r="AG89" s="10" t="n"/>
      <c r="AH89" s="10" t="n"/>
      <c r="AM89" s="10">
        <f t="array" ref="AM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" s="10">
        <f t="array" ref="AN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" s="4">
        <f>_xlfn.XLOOKUP(tbl_MTG_Set[[#This Row],[Play Booster Box Product Id]], tbl_Product[Product Id], tbl_Product[Pack Size])</f>
        <v/>
      </c>
      <c r="AP89" s="10">
        <f>(tbl_MTG_Set[[#This Row],[Play Booster Box Cost]]+v_Item_Shipping_Cost_In)/tbl_MTG_Set[[#This Row],[Play Booster Box Size]]</f>
        <v/>
      </c>
      <c r="AQ89" s="10">
        <f t="array" ref="AQ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" s="10" t="n"/>
      <c r="AS89" s="10" t="n"/>
      <c r="AT89" s="17">
        <f>tbl_MTG_Set[[#This Row],[Play Booster CardMarket Profit]]/tbl_MTG_Set[[#This Row],[Play Booster Cost]]</f>
        <v/>
      </c>
      <c r="AU89" s="10">
        <f>_xlfn.XLOOKUP(tbl_MTG_Set[[#This Row],[Collector Booster Box Product Id]], tbl_Product[Product Id], tbl_Product[Min Cost])</f>
        <v/>
      </c>
      <c r="AV89" s="10">
        <f>_xlfn.XLOOKUP(tbl_MTG_Set[[#This Row],[Collector Booster Box Product Id]], tbl_Product[Product Id], tbl_Product[Best Source])</f>
        <v/>
      </c>
      <c r="AW89" s="4">
        <f>_xlfn.XLOOKUP(tbl_MTG_Set[[#This Row],[Collector Booster Box Product Id]], tbl_Product[Product Id], tbl_Product[Pack Size])</f>
        <v/>
      </c>
      <c r="AX89" s="10">
        <f>(tbl_MTG_Set[[#This Row],[Collector Booster Box Cost]] + v_Item_Shipping_Cost_In) / tbl_MTG_Set[[#This Row],[Collector Booster Box Size]]</f>
        <v/>
      </c>
      <c r="AY89" s="10">
        <f t="array" ref="AY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" s="10" t="n"/>
      <c r="BA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" s="17">
        <f>tbl_MTG_Set[[#This Row],[Collector Booster CardMarket Profit]]/tbl_MTG_Set[[#This Row],[Collector Booster Cost]]</f>
        <v/>
      </c>
      <c r="BC89" s="10" t="n"/>
      <c r="BF89" s="10">
        <f>tbl_MTG_Set[[#This Row],[Play Booster Sell Price CardMarket]]*tbl_MTG_Set[[#This Row],[Play Booster Expected Market Value]]/tbl_MTG_Set[[#This Row],[Play Boost Sealed Market Value]]</f>
        <v/>
      </c>
      <c r="BG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" s="10">
        <f>tbl_MTG_Set[[#This Row],[Play Singles CardMarket Profit]]/tbl_MTG_Set[[#This Row],[Play Booster Cost]]</f>
        <v/>
      </c>
      <c r="BI89" s="10">
        <f>tbl_MTG_Set[[#This Row],[Play Singles CardMarket Profit]]&gt;0</f>
        <v/>
      </c>
      <c r="BJ89" s="10" t="n"/>
      <c r="BK89" s="10" t="n"/>
      <c r="BL89" s="10">
        <f>tbl_MTG_Set[[#This Row],[Collector Booster Sell Price CardMarket]]*tbl_MTG_Set[[#This Row],[Collector Booster Expected Market Value]]/tbl_MTG_Set[[#This Row],[Collector Boost Sealed Market Value]]</f>
        <v/>
      </c>
      <c r="BM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" s="10">
        <f>tbl_MTG_Set[[#This Row],[Collector Singles CardMarket Profit]]/tbl_MTG_Set[[#This Row],[Collector Booster Cost]]</f>
        <v/>
      </c>
      <c r="BO89" s="10">
        <f>tbl_MTG_Set[[#This Row],[Collector Singles CardMarket Profit]]&gt;0</f>
        <v/>
      </c>
      <c r="BP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">
      <c r="A90" t="n">
        <v>88</v>
      </c>
      <c r="B90" t="inlineStr">
        <is>
          <t>Love Your LGS 2024 PLG24</t>
        </is>
      </c>
      <c r="C90" t="n">
        <v>7</v>
      </c>
      <c r="D90" s="3" t="n">
        <v>45510</v>
      </c>
      <c r="F90" t="inlineStr">
        <is>
          <t>en es fr de it pt ja ko ru 汉语 漢語</t>
        </is>
      </c>
      <c r="G90" t="n">
        <v>122</v>
      </c>
      <c r="H90">
        <f>MONTH(NOW())+12*YEAR(NOW())-MONTH(tbl_MTG_Set[[#This Row],[Released On]])-12*YEAR(tbl_MTG_Set[[#This Row],[Released On]])</f>
        <v/>
      </c>
      <c r="I90">
        <f>_xlfn.XLOOKUP(tbl_MTG_Set[[#This Row],[Type Name]], tbl_MTG_Set_Type[Set Type], tbl_MTG_Set_Type[Index], "(Set Type not found)")</f>
        <v/>
      </c>
      <c r="J90">
        <f>_xlfn.XLOOKUP(tbl_MTG_Set[[#This Row],[Type Name]], tbl_MTG_Set_Type[Set Type], tbl_MTG_Set_Type[Buy Window Month Start], "(Set Type not found)")</f>
        <v/>
      </c>
      <c r="K90" s="3">
        <f>tbl_MTG_Set[[#This Row],[Released On]]+tbl_MTG_Set[[#This Row],[Buy Window Month Start]]*365.25/12</f>
        <v/>
      </c>
      <c r="L90">
        <f>_xlfn.XLOOKUP(tbl_MTG_Set[[#This Row],[Type Name]], tbl_MTG_Set_Type[Set Type], tbl_MTG_Set_Type[Buy Window Month End], "(Set Type not found)", 0, 1)</f>
        <v/>
      </c>
      <c r="M90" s="3">
        <f>tbl_MTG_Set[[#This Row],[Released On]]+tbl_MTG_Set[[#This Row],[Buy Window Month End]]*365.25/12</f>
        <v/>
      </c>
      <c r="N90" s="3">
        <f>AND(NOW()&gt;=tbl_MTG_Set[[#This Row],[Buy Window Start]], NOW()&lt;=tbl_MTG_Set[[#This Row],[Buy Window End]])</f>
        <v/>
      </c>
      <c r="O90">
        <f>_xlfn.XLOOKUP(tbl_MTG_Set[[#This Row],[Type Name]], tbl_MTG_Set_Type[Set Type], tbl_MTG_Set_Type[Heavy Printing Window Month Start], "(Set Type not found)", 0, 1)</f>
        <v/>
      </c>
      <c r="P90" s="3">
        <f>tbl_MTG_Set[[#This Row],[Released On]]+tbl_MTG_Set[[#This Row],[Heavy Printing Window Month Start]]*365.25/12</f>
        <v/>
      </c>
      <c r="Q90">
        <f>_xlfn.XLOOKUP(tbl_MTG_Set[[#This Row],[Type Name]], tbl_MTG_Set_Type[Set Type], tbl_MTG_Set_Type[Heavy Printing Window Month End], "(Set Type not found)", 0, 1)</f>
        <v/>
      </c>
      <c r="R90" s="3">
        <f>tbl_MTG_Set[[#This Row],[Released On]]+tbl_MTG_Set[[#This Row],[Heavy Printing Window Month End]]*365.25/12</f>
        <v/>
      </c>
      <c r="S90" s="3">
        <f>AND(NOW()&gt;=tbl_MTG_Set[[#This Row],[Heavy Printing Window Start]], NOW()&lt;=tbl_MTG_Set[[#This Row],[Heavy Printing Window End]])</f>
        <v/>
      </c>
      <c r="T90">
        <f>_xlfn.XLOOKUP(tbl_MTG_Set[[#This Row],[Type Name]], tbl_MTG_Set_Type[Set Type], tbl_MTG_Set_Type[Sell Window Month Start], "(Set Type not found)", 0, 1)</f>
        <v/>
      </c>
      <c r="U90" s="3">
        <f>tbl_MTG_Set[[#This Row],[Released On]]+tbl_MTG_Set[[#This Row],[Sell Window Month Start]]*365.25/12</f>
        <v/>
      </c>
      <c r="V90">
        <f>_xlfn.XLOOKUP(tbl_MTG_Set[[#This Row],[Type Name]], tbl_MTG_Set_Type[Set Type], tbl_MTG_Set_Type[Sell Window Month End], "(Set Type not found)", 0, 1)</f>
        <v/>
      </c>
      <c r="W90" s="3">
        <f>tbl_MTG_Set[[#This Row],[Released On]]+tbl_MTG_Set[[#This Row],[Sell Window Month End]]*365.25/12</f>
        <v/>
      </c>
      <c r="X90" s="3">
        <f>AND(NOW()&gt;=tbl_MTG_Set[[#This Row],[Sell Window Start]], NOW()&lt;=tbl_MTG_Set[[#This Row],[Sell Window End]])</f>
        <v/>
      </c>
      <c r="AG90" s="10" t="n"/>
      <c r="AH90" s="10" t="n"/>
      <c r="AM90" s="10">
        <f t="array" ref="AM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" s="10">
        <f t="array" ref="AN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" s="4">
        <f>_xlfn.XLOOKUP(tbl_MTG_Set[[#This Row],[Play Booster Box Product Id]], tbl_Product[Product Id], tbl_Product[Pack Size])</f>
        <v/>
      </c>
      <c r="AP90" s="10">
        <f>(tbl_MTG_Set[[#This Row],[Play Booster Box Cost]]+v_Item_Shipping_Cost_In)/tbl_MTG_Set[[#This Row],[Play Booster Box Size]]</f>
        <v/>
      </c>
      <c r="AQ90" s="10">
        <f t="array" ref="AQ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" s="10" t="n"/>
      <c r="AS90" s="10" t="n"/>
      <c r="AT90" s="17">
        <f>tbl_MTG_Set[[#This Row],[Play Booster CardMarket Profit]]/tbl_MTG_Set[[#This Row],[Play Booster Cost]]</f>
        <v/>
      </c>
      <c r="AU90" s="10">
        <f>_xlfn.XLOOKUP(tbl_MTG_Set[[#This Row],[Collector Booster Box Product Id]], tbl_Product[Product Id], tbl_Product[Min Cost])</f>
        <v/>
      </c>
      <c r="AV90" s="10">
        <f>_xlfn.XLOOKUP(tbl_MTG_Set[[#This Row],[Collector Booster Box Product Id]], tbl_Product[Product Id], tbl_Product[Best Source])</f>
        <v/>
      </c>
      <c r="AW90" s="4">
        <f>_xlfn.XLOOKUP(tbl_MTG_Set[[#This Row],[Collector Booster Box Product Id]], tbl_Product[Product Id], tbl_Product[Pack Size])</f>
        <v/>
      </c>
      <c r="AX90" s="10">
        <f>(tbl_MTG_Set[[#This Row],[Collector Booster Box Cost]] + v_Item_Shipping_Cost_In) / tbl_MTG_Set[[#This Row],[Collector Booster Box Size]]</f>
        <v/>
      </c>
      <c r="AY90" s="10">
        <f t="array" ref="AY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" s="10" t="n"/>
      <c r="BA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" s="17">
        <f>tbl_MTG_Set[[#This Row],[Collector Booster CardMarket Profit]]/tbl_MTG_Set[[#This Row],[Collector Booster Cost]]</f>
        <v/>
      </c>
      <c r="BC90" s="10" t="n"/>
      <c r="BF90" s="10">
        <f>tbl_MTG_Set[[#This Row],[Play Booster Sell Price CardMarket]]*tbl_MTG_Set[[#This Row],[Play Booster Expected Market Value]]/tbl_MTG_Set[[#This Row],[Play Boost Sealed Market Value]]</f>
        <v/>
      </c>
      <c r="BG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" s="10">
        <f>tbl_MTG_Set[[#This Row],[Play Singles CardMarket Profit]]/tbl_MTG_Set[[#This Row],[Play Booster Cost]]</f>
        <v/>
      </c>
      <c r="BI90" s="10">
        <f>tbl_MTG_Set[[#This Row],[Play Singles CardMarket Profit]]&gt;0</f>
        <v/>
      </c>
      <c r="BJ90" s="10" t="n"/>
      <c r="BK90" s="10" t="n"/>
      <c r="BL90" s="10">
        <f>tbl_MTG_Set[[#This Row],[Collector Booster Sell Price CardMarket]]*tbl_MTG_Set[[#This Row],[Collector Booster Expected Market Value]]/tbl_MTG_Set[[#This Row],[Collector Boost Sealed Market Value]]</f>
        <v/>
      </c>
      <c r="BM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" s="10">
        <f>tbl_MTG_Set[[#This Row],[Collector Singles CardMarket Profit]]/tbl_MTG_Set[[#This Row],[Collector Booster Cost]]</f>
        <v/>
      </c>
      <c r="BO90" s="10">
        <f>tbl_MTG_Set[[#This Row],[Collector Singles CardMarket Profit]]&gt;0</f>
        <v/>
      </c>
      <c r="BP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">
      <c r="A91" t="n">
        <v>89</v>
      </c>
      <c r="B91" t="inlineStr">
        <is>
          <t>Mystery Booster 2 MB2</t>
        </is>
      </c>
      <c r="C91" t="n">
        <v>385</v>
      </c>
      <c r="D91" s="3" t="n">
        <v>45506</v>
      </c>
      <c r="F91" t="inlineStr">
        <is>
          <t>en es fr de it pt ja ko ru 汉语 漢語</t>
        </is>
      </c>
      <c r="G91" t="n">
        <v>124</v>
      </c>
      <c r="H91">
        <f>MONTH(NOW())+12*YEAR(NOW())-MONTH(tbl_MTG_Set[[#This Row],[Released On]])-12*YEAR(tbl_MTG_Set[[#This Row],[Released On]])</f>
        <v/>
      </c>
      <c r="I91">
        <f>_xlfn.XLOOKUP(tbl_MTG_Set[[#This Row],[Type Name]], tbl_MTG_Set_Type[Set Type], tbl_MTG_Set_Type[Index], "(Set Type not found)")</f>
        <v/>
      </c>
      <c r="J91">
        <f>_xlfn.XLOOKUP(tbl_MTG_Set[[#This Row],[Type Name]], tbl_MTG_Set_Type[Set Type], tbl_MTG_Set_Type[Buy Window Month Start], "(Set Type not found)")</f>
        <v/>
      </c>
      <c r="K91" s="3">
        <f>tbl_MTG_Set[[#This Row],[Released On]]+tbl_MTG_Set[[#This Row],[Buy Window Month Start]]*365.25/12</f>
        <v/>
      </c>
      <c r="L91">
        <f>_xlfn.XLOOKUP(tbl_MTG_Set[[#This Row],[Type Name]], tbl_MTG_Set_Type[Set Type], tbl_MTG_Set_Type[Buy Window Month End], "(Set Type not found)", 0, 1)</f>
        <v/>
      </c>
      <c r="M91" s="3">
        <f>tbl_MTG_Set[[#This Row],[Released On]]+tbl_MTG_Set[[#This Row],[Buy Window Month End]]*365.25/12</f>
        <v/>
      </c>
      <c r="N91" s="3">
        <f>AND(NOW()&gt;=tbl_MTG_Set[[#This Row],[Buy Window Start]], NOW()&lt;=tbl_MTG_Set[[#This Row],[Buy Window End]])</f>
        <v/>
      </c>
      <c r="O91">
        <f>_xlfn.XLOOKUP(tbl_MTG_Set[[#This Row],[Type Name]], tbl_MTG_Set_Type[Set Type], tbl_MTG_Set_Type[Heavy Printing Window Month Start], "(Set Type not found)", 0, 1)</f>
        <v/>
      </c>
      <c r="P91" s="3">
        <f>tbl_MTG_Set[[#This Row],[Released On]]+tbl_MTG_Set[[#This Row],[Heavy Printing Window Month Start]]*365.25/12</f>
        <v/>
      </c>
      <c r="Q91">
        <f>_xlfn.XLOOKUP(tbl_MTG_Set[[#This Row],[Type Name]], tbl_MTG_Set_Type[Set Type], tbl_MTG_Set_Type[Heavy Printing Window Month End], "(Set Type not found)", 0, 1)</f>
        <v/>
      </c>
      <c r="R91" s="3">
        <f>tbl_MTG_Set[[#This Row],[Released On]]+tbl_MTG_Set[[#This Row],[Heavy Printing Window Month End]]*365.25/12</f>
        <v/>
      </c>
      <c r="S91" s="3">
        <f>AND(NOW()&gt;=tbl_MTG_Set[[#This Row],[Heavy Printing Window Start]], NOW()&lt;=tbl_MTG_Set[[#This Row],[Heavy Printing Window End]])</f>
        <v/>
      </c>
      <c r="T91">
        <f>_xlfn.XLOOKUP(tbl_MTG_Set[[#This Row],[Type Name]], tbl_MTG_Set_Type[Set Type], tbl_MTG_Set_Type[Sell Window Month Start], "(Set Type not found)", 0, 1)</f>
        <v/>
      </c>
      <c r="U91" s="3">
        <f>tbl_MTG_Set[[#This Row],[Released On]]+tbl_MTG_Set[[#This Row],[Sell Window Month Start]]*365.25/12</f>
        <v/>
      </c>
      <c r="V91">
        <f>_xlfn.XLOOKUP(tbl_MTG_Set[[#This Row],[Type Name]], tbl_MTG_Set_Type[Set Type], tbl_MTG_Set_Type[Sell Window Month End], "(Set Type not found)", 0, 1)</f>
        <v/>
      </c>
      <c r="W91" s="3">
        <f>tbl_MTG_Set[[#This Row],[Released On]]+tbl_MTG_Set[[#This Row],[Sell Window Month End]]*365.25/12</f>
        <v/>
      </c>
      <c r="X91" s="3">
        <f>AND(NOW()&gt;=tbl_MTG_Set[[#This Row],[Sell Window Start]], NOW()&lt;=tbl_MTG_Set[[#This Row],[Sell Window End]])</f>
        <v/>
      </c>
      <c r="AG91" s="10" t="n"/>
      <c r="AH91" s="10" t="n"/>
      <c r="AM91" s="10">
        <f t="array" ref="AM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" s="10">
        <f t="array" ref="AN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" s="4">
        <f>_xlfn.XLOOKUP(tbl_MTG_Set[[#This Row],[Play Booster Box Product Id]], tbl_Product[Product Id], tbl_Product[Pack Size])</f>
        <v/>
      </c>
      <c r="AP91" s="10">
        <f>(tbl_MTG_Set[[#This Row],[Play Booster Box Cost]]+v_Item_Shipping_Cost_In)/tbl_MTG_Set[[#This Row],[Play Booster Box Size]]</f>
        <v/>
      </c>
      <c r="AQ91" s="10">
        <f t="array" ref="AQ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" s="10" t="n"/>
      <c r="AS91" s="10" t="n"/>
      <c r="AT91" s="17">
        <f>tbl_MTG_Set[[#This Row],[Play Booster CardMarket Profit]]/tbl_MTG_Set[[#This Row],[Play Booster Cost]]</f>
        <v/>
      </c>
      <c r="AU91" s="10">
        <f>_xlfn.XLOOKUP(tbl_MTG_Set[[#This Row],[Collector Booster Box Product Id]], tbl_Product[Product Id], tbl_Product[Min Cost])</f>
        <v/>
      </c>
      <c r="AV91" s="10">
        <f>_xlfn.XLOOKUP(tbl_MTG_Set[[#This Row],[Collector Booster Box Product Id]], tbl_Product[Product Id], tbl_Product[Best Source])</f>
        <v/>
      </c>
      <c r="AW91" s="4">
        <f>_xlfn.XLOOKUP(tbl_MTG_Set[[#This Row],[Collector Booster Box Product Id]], tbl_Product[Product Id], tbl_Product[Pack Size])</f>
        <v/>
      </c>
      <c r="AX91" s="10">
        <f>(tbl_MTG_Set[[#This Row],[Collector Booster Box Cost]] + v_Item_Shipping_Cost_In) / tbl_MTG_Set[[#This Row],[Collector Booster Box Size]]</f>
        <v/>
      </c>
      <c r="AY91" s="10">
        <f t="array" ref="AY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" s="10" t="n"/>
      <c r="BA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" s="17">
        <f>tbl_MTG_Set[[#This Row],[Collector Booster CardMarket Profit]]/tbl_MTG_Set[[#This Row],[Collector Booster Cost]]</f>
        <v/>
      </c>
      <c r="BC91" s="10" t="n"/>
      <c r="BF91" s="10">
        <f>tbl_MTG_Set[[#This Row],[Play Booster Sell Price CardMarket]]*tbl_MTG_Set[[#This Row],[Play Booster Expected Market Value]]/tbl_MTG_Set[[#This Row],[Play Boost Sealed Market Value]]</f>
        <v/>
      </c>
      <c r="BG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" s="10">
        <f>tbl_MTG_Set[[#This Row],[Play Singles CardMarket Profit]]/tbl_MTG_Set[[#This Row],[Play Booster Cost]]</f>
        <v/>
      </c>
      <c r="BI91" s="10">
        <f>tbl_MTG_Set[[#This Row],[Play Singles CardMarket Profit]]&gt;0</f>
        <v/>
      </c>
      <c r="BJ91" s="10" t="n"/>
      <c r="BK91" s="10" t="n"/>
      <c r="BL91" s="10">
        <f>tbl_MTG_Set[[#This Row],[Collector Booster Sell Price CardMarket]]*tbl_MTG_Set[[#This Row],[Collector Booster Expected Market Value]]/tbl_MTG_Set[[#This Row],[Collector Boost Sealed Market Value]]</f>
        <v/>
      </c>
      <c r="BM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" s="10">
        <f>tbl_MTG_Set[[#This Row],[Collector Singles CardMarket Profit]]/tbl_MTG_Set[[#This Row],[Collector Booster Cost]]</f>
        <v/>
      </c>
      <c r="BO91" s="10">
        <f>tbl_MTG_Set[[#This Row],[Collector Singles CardMarket Profit]]&gt;0</f>
        <v/>
      </c>
      <c r="BP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">
      <c r="A92" t="n">
        <v>90</v>
      </c>
      <c r="B92" t="inlineStr">
        <is>
          <t>Bloomburrow BLB</t>
        </is>
      </c>
      <c r="C92" t="n">
        <v>398</v>
      </c>
      <c r="D92" s="3" t="n">
        <v>45506</v>
      </c>
      <c r="E92" t="inlineStr">
        <is>
          <t>Standard Expansion</t>
        </is>
      </c>
      <c r="F92" t="inlineStr">
        <is>
          <t>en es fr de it pt ja ko ru 汉语 漢語</t>
        </is>
      </c>
      <c r="G92" t="n">
        <v>126</v>
      </c>
      <c r="H92">
        <f>MONTH(NOW())+12*YEAR(NOW())-MONTH(tbl_MTG_Set[[#This Row],[Released On]])-12*YEAR(tbl_MTG_Set[[#This Row],[Released On]])</f>
        <v/>
      </c>
      <c r="I92">
        <f>_xlfn.XLOOKUP(tbl_MTG_Set[[#This Row],[Type Name]], tbl_MTG_Set_Type[Set Type], tbl_MTG_Set_Type[Index], "(Set Type not found)")</f>
        <v/>
      </c>
      <c r="J92">
        <f>_xlfn.XLOOKUP(tbl_MTG_Set[[#This Row],[Type Name]], tbl_MTG_Set_Type[Set Type], tbl_MTG_Set_Type[Buy Window Month Start], "(Set Type not found)")</f>
        <v/>
      </c>
      <c r="K92" s="3">
        <f>tbl_MTG_Set[[#This Row],[Released On]]+tbl_MTG_Set[[#This Row],[Buy Window Month Start]]*365.25/12</f>
        <v/>
      </c>
      <c r="L92">
        <f>_xlfn.XLOOKUP(tbl_MTG_Set[[#This Row],[Type Name]], tbl_MTG_Set_Type[Set Type], tbl_MTG_Set_Type[Buy Window Month End], "(Set Type not found)", 0, 1)</f>
        <v/>
      </c>
      <c r="M92" s="3">
        <f>tbl_MTG_Set[[#This Row],[Released On]]+tbl_MTG_Set[[#This Row],[Buy Window Month End]]*365.25/12</f>
        <v/>
      </c>
      <c r="N92" s="3">
        <f>AND(NOW()&gt;=tbl_MTG_Set[[#This Row],[Buy Window Start]], NOW()&lt;=tbl_MTG_Set[[#This Row],[Buy Window End]])</f>
        <v/>
      </c>
      <c r="O92">
        <f>_xlfn.XLOOKUP(tbl_MTG_Set[[#This Row],[Type Name]], tbl_MTG_Set_Type[Set Type], tbl_MTG_Set_Type[Heavy Printing Window Month Start], "(Set Type not found)", 0, 1)</f>
        <v/>
      </c>
      <c r="P92" s="3">
        <f>tbl_MTG_Set[[#This Row],[Released On]]+tbl_MTG_Set[[#This Row],[Heavy Printing Window Month Start]]*365.25/12</f>
        <v/>
      </c>
      <c r="Q92">
        <f>_xlfn.XLOOKUP(tbl_MTG_Set[[#This Row],[Type Name]], tbl_MTG_Set_Type[Set Type], tbl_MTG_Set_Type[Heavy Printing Window Month End], "(Set Type not found)", 0, 1)</f>
        <v/>
      </c>
      <c r="R92" s="3">
        <f>tbl_MTG_Set[[#This Row],[Released On]]+tbl_MTG_Set[[#This Row],[Heavy Printing Window Month End]]*365.25/12</f>
        <v/>
      </c>
      <c r="S92" s="3">
        <f>AND(NOW()&gt;=tbl_MTG_Set[[#This Row],[Heavy Printing Window Start]], NOW()&lt;=tbl_MTG_Set[[#This Row],[Heavy Printing Window End]])</f>
        <v/>
      </c>
      <c r="T92">
        <f>_xlfn.XLOOKUP(tbl_MTG_Set[[#This Row],[Type Name]], tbl_MTG_Set_Type[Set Type], tbl_MTG_Set_Type[Sell Window Month Start], "(Set Type not found)", 0, 1)</f>
        <v/>
      </c>
      <c r="U92" s="3">
        <f>tbl_MTG_Set[[#This Row],[Released On]]+tbl_MTG_Set[[#This Row],[Sell Window Month Start]]*365.25/12</f>
        <v/>
      </c>
      <c r="V92">
        <f>_xlfn.XLOOKUP(tbl_MTG_Set[[#This Row],[Type Name]], tbl_MTG_Set_Type[Set Type], tbl_MTG_Set_Type[Sell Window Month End], "(Set Type not found)", 0, 1)</f>
        <v/>
      </c>
      <c r="W92" s="3">
        <f>tbl_MTG_Set[[#This Row],[Released On]]+tbl_MTG_Set[[#This Row],[Sell Window Month End]]*365.25/12</f>
        <v/>
      </c>
      <c r="X92" s="3">
        <f>AND(NOW()&gt;=tbl_MTG_Set[[#This Row],[Sell Window Start]], NOW()&lt;=tbl_MTG_Set[[#This Row],[Sell Window End]])</f>
        <v/>
      </c>
      <c r="Y92" s="10">
        <f>20*6+8</f>
        <v/>
      </c>
      <c r="Z92" s="10" t="n">
        <v>133</v>
      </c>
      <c r="AD92" s="10">
        <f>(Y92+96/20)/36</f>
        <v/>
      </c>
      <c r="AE92" s="10">
        <f>(Z92+96/20)/36</f>
        <v/>
      </c>
      <c r="AG92" s="10" t="n"/>
      <c r="AH92" s="10" t="n"/>
      <c r="AI92" s="4" t="n">
        <v>79</v>
      </c>
      <c r="AJ92" s="4" t="n">
        <v>34</v>
      </c>
      <c r="AK92" s="4" t="n">
        <v>90</v>
      </c>
      <c r="AL92" s="4" t="n">
        <v>89</v>
      </c>
      <c r="AM92" s="10">
        <f t="array" ref="AM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" s="10">
        <f t="array" ref="AN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" s="4">
        <f>_xlfn.XLOOKUP(tbl_MTG_Set[[#This Row],[Play Booster Box Product Id]], tbl_Product[Product Id], tbl_Product[Pack Size])</f>
        <v/>
      </c>
      <c r="AP92" s="10">
        <f>(tbl_MTG_Set[[#This Row],[Play Booster Box Cost]]+v_Item_Shipping_Cost_In)/tbl_MTG_Set[[#This Row],[Play Booster Box Size]]</f>
        <v/>
      </c>
      <c r="AQ92" s="10">
        <f t="array" ref="AQ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" s="10" t="n">
        <v>6</v>
      </c>
      <c r="AS9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2" s="17">
        <f>tbl_MTG_Set[[#This Row],[Play Booster CardMarket Profit]]/tbl_MTG_Set[[#This Row],[Play Booster Cost]]</f>
        <v/>
      </c>
      <c r="AU92" s="10">
        <f>_xlfn.XLOOKUP(tbl_MTG_Set[[#This Row],[Collector Booster Box Product Id]], tbl_Product[Product Id], tbl_Product[Min Cost])</f>
        <v/>
      </c>
      <c r="AV92" s="10">
        <f>_xlfn.XLOOKUP(tbl_MTG_Set[[#This Row],[Collector Booster Box Product Id]], tbl_Product[Product Id], tbl_Product[Best Source])</f>
        <v/>
      </c>
      <c r="AW92" s="4">
        <f>_xlfn.XLOOKUP(tbl_MTG_Set[[#This Row],[Collector Booster Box Product Id]], tbl_Product[Product Id], tbl_Product[Pack Size])</f>
        <v/>
      </c>
      <c r="AX92" s="10">
        <f>(tbl_MTG_Set[[#This Row],[Collector Booster Box Cost]] + v_Item_Shipping_Cost_In) / tbl_MTG_Set[[#This Row],[Collector Booster Box Size]]</f>
        <v/>
      </c>
      <c r="AY92" s="10">
        <f t="array" ref="AY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" s="10" t="n"/>
      <c r="BA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" s="17">
        <f>tbl_MTG_Set[[#This Row],[Collector Booster CardMarket Profit]]/tbl_MTG_Set[[#This Row],[Collector Booster Cost]]</f>
        <v/>
      </c>
      <c r="BC92" s="15" t="inlineStr">
        <is>
          <t>https://www.mtgstocks.com/sets/1906-bloomburrow#ev</t>
        </is>
      </c>
      <c r="BD92" s="11" t="n">
        <v>6.94</v>
      </c>
      <c r="BE92" s="11" t="n">
        <v>8.85</v>
      </c>
      <c r="BF92" s="10">
        <f>tbl_MTG_Set[[#This Row],[Play Booster Sell Price CardMarket]]*tbl_MTG_Set[[#This Row],[Play Booster Expected Market Value]]/tbl_MTG_Set[[#This Row],[Play Boost Sealed Market Value]]</f>
        <v/>
      </c>
      <c r="BG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" s="17">
        <f>tbl_MTG_Set[[#This Row],[Play Singles CardMarket Profit]]/tbl_MTG_Set[[#This Row],[Play Booster Cost]]</f>
        <v/>
      </c>
      <c r="BI92" s="10">
        <f>tbl_MTG_Set[[#This Row],[Play Singles CardMarket Profit]]&gt;0</f>
        <v/>
      </c>
      <c r="BJ92" s="10" t="n">
        <v>26.79</v>
      </c>
      <c r="BK92" s="10" t="n">
        <v>74.09999999999999</v>
      </c>
      <c r="BL92" s="10">
        <f>tbl_MTG_Set[[#This Row],[Collector Booster Sell Price CardMarket]]*tbl_MTG_Set[[#This Row],[Collector Booster Expected Market Value]]/tbl_MTG_Set[[#This Row],[Collector Boost Sealed Market Value]]</f>
        <v/>
      </c>
      <c r="BM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" s="17">
        <f>tbl_MTG_Set[[#This Row],[Collector Singles CardMarket Profit]]/tbl_MTG_Set[[#This Row],[Collector Booster Cost]]</f>
        <v/>
      </c>
      <c r="BO92" s="10">
        <f>tbl_MTG_Set[[#This Row],[Collector Singles CardMarket Profit]]&gt;0</f>
        <v/>
      </c>
      <c r="BP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">
      <c r="A93" t="n">
        <v>91</v>
      </c>
      <c r="B93" t="inlineStr">
        <is>
          <t>Bloomburrow Promos PBLB</t>
        </is>
      </c>
      <c r="C93" t="n">
        <v>160</v>
      </c>
      <c r="D93" s="3" t="n">
        <v>45506</v>
      </c>
      <c r="E93" t="inlineStr">
        <is>
          <t>Standard Expansion</t>
        </is>
      </c>
      <c r="F93" t="inlineStr">
        <is>
          <t>en es fr de it pt ja ko ru 汉语 漢語</t>
        </is>
      </c>
      <c r="G93" t="n">
        <v>128</v>
      </c>
      <c r="H93">
        <f>MONTH(NOW())+12*YEAR(NOW())-MONTH(tbl_MTG_Set[[#This Row],[Released On]])-12*YEAR(tbl_MTG_Set[[#This Row],[Released On]])</f>
        <v/>
      </c>
      <c r="I93">
        <f>_xlfn.XLOOKUP(tbl_MTG_Set[[#This Row],[Type Name]], tbl_MTG_Set_Type[Set Type], tbl_MTG_Set_Type[Index], "(Set Type not found)")</f>
        <v/>
      </c>
      <c r="J93">
        <f>_xlfn.XLOOKUP(tbl_MTG_Set[[#This Row],[Type Name]], tbl_MTG_Set_Type[Set Type], tbl_MTG_Set_Type[Buy Window Month Start], "(Set Type not found)")</f>
        <v/>
      </c>
      <c r="K93" s="3">
        <f>tbl_MTG_Set[[#This Row],[Released On]]+tbl_MTG_Set[[#This Row],[Buy Window Month Start]]*365.25/12</f>
        <v/>
      </c>
      <c r="L93">
        <f>_xlfn.XLOOKUP(tbl_MTG_Set[[#This Row],[Type Name]], tbl_MTG_Set_Type[Set Type], tbl_MTG_Set_Type[Buy Window Month End], "(Set Type not found)", 0, 1)</f>
        <v/>
      </c>
      <c r="M93" s="3">
        <f>tbl_MTG_Set[[#This Row],[Released On]]+tbl_MTG_Set[[#This Row],[Buy Window Month End]]*365.25/12</f>
        <v/>
      </c>
      <c r="N93" s="3">
        <f>AND(NOW()&gt;=tbl_MTG_Set[[#This Row],[Buy Window Start]], NOW()&lt;=tbl_MTG_Set[[#This Row],[Buy Window End]])</f>
        <v/>
      </c>
      <c r="O93">
        <f>_xlfn.XLOOKUP(tbl_MTG_Set[[#This Row],[Type Name]], tbl_MTG_Set_Type[Set Type], tbl_MTG_Set_Type[Heavy Printing Window Month Start], "(Set Type not found)", 0, 1)</f>
        <v/>
      </c>
      <c r="P93" s="3">
        <f>tbl_MTG_Set[[#This Row],[Released On]]+tbl_MTG_Set[[#This Row],[Heavy Printing Window Month Start]]*365.25/12</f>
        <v/>
      </c>
      <c r="Q93">
        <f>_xlfn.XLOOKUP(tbl_MTG_Set[[#This Row],[Type Name]], tbl_MTG_Set_Type[Set Type], tbl_MTG_Set_Type[Heavy Printing Window Month End], "(Set Type not found)", 0, 1)</f>
        <v/>
      </c>
      <c r="R93" s="3">
        <f>tbl_MTG_Set[[#This Row],[Released On]]+tbl_MTG_Set[[#This Row],[Heavy Printing Window Month End]]*365.25/12</f>
        <v/>
      </c>
      <c r="S93" s="3">
        <f>AND(NOW()&gt;=tbl_MTG_Set[[#This Row],[Heavy Printing Window Start]], NOW()&lt;=tbl_MTG_Set[[#This Row],[Heavy Printing Window End]])</f>
        <v/>
      </c>
      <c r="T93">
        <f>_xlfn.XLOOKUP(tbl_MTG_Set[[#This Row],[Type Name]], tbl_MTG_Set_Type[Set Type], tbl_MTG_Set_Type[Sell Window Month Start], "(Set Type not found)", 0, 1)</f>
        <v/>
      </c>
      <c r="U93" s="3">
        <f>tbl_MTG_Set[[#This Row],[Released On]]+tbl_MTG_Set[[#This Row],[Sell Window Month Start]]*365.25/12</f>
        <v/>
      </c>
      <c r="V93">
        <f>_xlfn.XLOOKUP(tbl_MTG_Set[[#This Row],[Type Name]], tbl_MTG_Set_Type[Set Type], tbl_MTG_Set_Type[Sell Window Month End], "(Set Type not found)", 0, 1)</f>
        <v/>
      </c>
      <c r="W93" s="3">
        <f>tbl_MTG_Set[[#This Row],[Released On]]+tbl_MTG_Set[[#This Row],[Sell Window Month End]]*365.25/12</f>
        <v/>
      </c>
      <c r="X93" s="3">
        <f>AND(NOW()&gt;=tbl_MTG_Set[[#This Row],[Sell Window Start]], NOW()&lt;=tbl_MTG_Set[[#This Row],[Sell Window End]])</f>
        <v/>
      </c>
      <c r="AG93" s="10" t="n"/>
      <c r="AH93" s="10" t="n"/>
      <c r="AM93" s="10">
        <f t="array" ref="AM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" s="10">
        <f t="array" ref="AN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" s="4">
        <f>_xlfn.XLOOKUP(tbl_MTG_Set[[#This Row],[Play Booster Box Product Id]], tbl_Product[Product Id], tbl_Product[Pack Size])</f>
        <v/>
      </c>
      <c r="AP93" s="10">
        <f>(tbl_MTG_Set[[#This Row],[Play Booster Box Cost]]+v_Item_Shipping_Cost_In)/tbl_MTG_Set[[#This Row],[Play Booster Box Size]]</f>
        <v/>
      </c>
      <c r="AQ93" s="10">
        <f t="array" ref="AQ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" s="10" t="n"/>
      <c r="AS93" s="10" t="n"/>
      <c r="AT93" s="17">
        <f>tbl_MTG_Set[[#This Row],[Play Booster CardMarket Profit]]/tbl_MTG_Set[[#This Row],[Play Booster Cost]]</f>
        <v/>
      </c>
      <c r="AU93" s="10">
        <f>_xlfn.XLOOKUP(tbl_MTG_Set[[#This Row],[Collector Booster Box Product Id]], tbl_Product[Product Id], tbl_Product[Min Cost])</f>
        <v/>
      </c>
      <c r="AV93" s="10">
        <f>_xlfn.XLOOKUP(tbl_MTG_Set[[#This Row],[Collector Booster Box Product Id]], tbl_Product[Product Id], tbl_Product[Best Source])</f>
        <v/>
      </c>
      <c r="AW93" s="4">
        <f>_xlfn.XLOOKUP(tbl_MTG_Set[[#This Row],[Collector Booster Box Product Id]], tbl_Product[Product Id], tbl_Product[Pack Size])</f>
        <v/>
      </c>
      <c r="AX93" s="10">
        <f>(tbl_MTG_Set[[#This Row],[Collector Booster Box Cost]] + v_Item_Shipping_Cost_In) / tbl_MTG_Set[[#This Row],[Collector Booster Box Size]]</f>
        <v/>
      </c>
      <c r="AY93" s="10">
        <f t="array" ref="AY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" s="10" t="n"/>
      <c r="BA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" s="17">
        <f>tbl_MTG_Set[[#This Row],[Collector Booster CardMarket Profit]]/tbl_MTG_Set[[#This Row],[Collector Booster Cost]]</f>
        <v/>
      </c>
      <c r="BC93" s="10" t="n"/>
      <c r="BF93" s="10">
        <f>tbl_MTG_Set[[#This Row],[Play Booster Sell Price CardMarket]]*tbl_MTG_Set[[#This Row],[Play Booster Expected Market Value]]/tbl_MTG_Set[[#This Row],[Play Boost Sealed Market Value]]</f>
        <v/>
      </c>
      <c r="BG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" s="10">
        <f>tbl_MTG_Set[[#This Row],[Play Singles CardMarket Profit]]/tbl_MTG_Set[[#This Row],[Play Booster Cost]]</f>
        <v/>
      </c>
      <c r="BI93" s="10">
        <f>tbl_MTG_Set[[#This Row],[Play Singles CardMarket Profit]]&gt;0</f>
        <v/>
      </c>
      <c r="BJ93" s="10" t="n"/>
      <c r="BK93" s="10" t="n"/>
      <c r="BL93" s="10">
        <f>tbl_MTG_Set[[#This Row],[Collector Booster Sell Price CardMarket]]*tbl_MTG_Set[[#This Row],[Collector Booster Expected Market Value]]/tbl_MTG_Set[[#This Row],[Collector Boost Sealed Market Value]]</f>
        <v/>
      </c>
      <c r="BM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" s="10">
        <f>tbl_MTG_Set[[#This Row],[Collector Singles CardMarket Profit]]/tbl_MTG_Set[[#This Row],[Collector Booster Cost]]</f>
        <v/>
      </c>
      <c r="BO93" s="10">
        <f>tbl_MTG_Set[[#This Row],[Collector Singles CardMarket Profit]]&gt;0</f>
        <v/>
      </c>
      <c r="BP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">
      <c r="A94" t="n">
        <v>92</v>
      </c>
      <c r="B94" t="inlineStr">
        <is>
          <t>Bloomburrow Tokens TBLB</t>
        </is>
      </c>
      <c r="C94" t="n">
        <v>30</v>
      </c>
      <c r="D94" s="3" t="n">
        <v>45506</v>
      </c>
      <c r="E94" t="inlineStr">
        <is>
          <t>Standard Expansion</t>
        </is>
      </c>
      <c r="F94" t="inlineStr">
        <is>
          <t>en es fr de it pt ja ko ru 汉语 漢語</t>
        </is>
      </c>
      <c r="G94" t="n">
        <v>130</v>
      </c>
      <c r="H94">
        <f>MONTH(NOW())+12*YEAR(NOW())-MONTH(tbl_MTG_Set[[#This Row],[Released On]])-12*YEAR(tbl_MTG_Set[[#This Row],[Released On]])</f>
        <v/>
      </c>
      <c r="I94">
        <f>_xlfn.XLOOKUP(tbl_MTG_Set[[#This Row],[Type Name]], tbl_MTG_Set_Type[Set Type], tbl_MTG_Set_Type[Index], "(Set Type not found)")</f>
        <v/>
      </c>
      <c r="J94">
        <f>_xlfn.XLOOKUP(tbl_MTG_Set[[#This Row],[Type Name]], tbl_MTG_Set_Type[Set Type], tbl_MTG_Set_Type[Buy Window Month Start], "(Set Type not found)")</f>
        <v/>
      </c>
      <c r="K94" s="3">
        <f>tbl_MTG_Set[[#This Row],[Released On]]+tbl_MTG_Set[[#This Row],[Buy Window Month Start]]*365.25/12</f>
        <v/>
      </c>
      <c r="L94">
        <f>_xlfn.XLOOKUP(tbl_MTG_Set[[#This Row],[Type Name]], tbl_MTG_Set_Type[Set Type], tbl_MTG_Set_Type[Buy Window Month End], "(Set Type not found)", 0, 1)</f>
        <v/>
      </c>
      <c r="M94" s="3">
        <f>tbl_MTG_Set[[#This Row],[Released On]]+tbl_MTG_Set[[#This Row],[Buy Window Month End]]*365.25/12</f>
        <v/>
      </c>
      <c r="N94" s="3">
        <f>AND(NOW()&gt;=tbl_MTG_Set[[#This Row],[Buy Window Start]], NOW()&lt;=tbl_MTG_Set[[#This Row],[Buy Window End]])</f>
        <v/>
      </c>
      <c r="O94">
        <f>_xlfn.XLOOKUP(tbl_MTG_Set[[#This Row],[Type Name]], tbl_MTG_Set_Type[Set Type], tbl_MTG_Set_Type[Heavy Printing Window Month Start], "(Set Type not found)", 0, 1)</f>
        <v/>
      </c>
      <c r="P94" s="3">
        <f>tbl_MTG_Set[[#This Row],[Released On]]+tbl_MTG_Set[[#This Row],[Heavy Printing Window Month Start]]*365.25/12</f>
        <v/>
      </c>
      <c r="Q94">
        <f>_xlfn.XLOOKUP(tbl_MTG_Set[[#This Row],[Type Name]], tbl_MTG_Set_Type[Set Type], tbl_MTG_Set_Type[Heavy Printing Window Month End], "(Set Type not found)", 0, 1)</f>
        <v/>
      </c>
      <c r="R94" s="3">
        <f>tbl_MTG_Set[[#This Row],[Released On]]+tbl_MTG_Set[[#This Row],[Heavy Printing Window Month End]]*365.25/12</f>
        <v/>
      </c>
      <c r="S94" s="3">
        <f>AND(NOW()&gt;=tbl_MTG_Set[[#This Row],[Heavy Printing Window Start]], NOW()&lt;=tbl_MTG_Set[[#This Row],[Heavy Printing Window End]])</f>
        <v/>
      </c>
      <c r="T94">
        <f>_xlfn.XLOOKUP(tbl_MTG_Set[[#This Row],[Type Name]], tbl_MTG_Set_Type[Set Type], tbl_MTG_Set_Type[Sell Window Month Start], "(Set Type not found)", 0, 1)</f>
        <v/>
      </c>
      <c r="U94" s="3">
        <f>tbl_MTG_Set[[#This Row],[Released On]]+tbl_MTG_Set[[#This Row],[Sell Window Month Start]]*365.25/12</f>
        <v/>
      </c>
      <c r="V94">
        <f>_xlfn.XLOOKUP(tbl_MTG_Set[[#This Row],[Type Name]], tbl_MTG_Set_Type[Set Type], tbl_MTG_Set_Type[Sell Window Month End], "(Set Type not found)", 0, 1)</f>
        <v/>
      </c>
      <c r="W94" s="3">
        <f>tbl_MTG_Set[[#This Row],[Released On]]+tbl_MTG_Set[[#This Row],[Sell Window Month End]]*365.25/12</f>
        <v/>
      </c>
      <c r="X94" s="3">
        <f>AND(NOW()&gt;=tbl_MTG_Set[[#This Row],[Sell Window Start]], NOW()&lt;=tbl_MTG_Set[[#This Row],[Sell Window End]])</f>
        <v/>
      </c>
      <c r="AG94" s="10" t="n"/>
      <c r="AH94" s="10" t="n"/>
      <c r="AM94" s="10">
        <f t="array" ref="AM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" s="10">
        <f t="array" ref="AN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" s="4">
        <f>_xlfn.XLOOKUP(tbl_MTG_Set[[#This Row],[Play Booster Box Product Id]], tbl_Product[Product Id], tbl_Product[Pack Size])</f>
        <v/>
      </c>
      <c r="AP94" s="10">
        <f>(tbl_MTG_Set[[#This Row],[Play Booster Box Cost]]+v_Item_Shipping_Cost_In)/tbl_MTG_Set[[#This Row],[Play Booster Box Size]]</f>
        <v/>
      </c>
      <c r="AQ94" s="10">
        <f t="array" ref="AQ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" s="10" t="n"/>
      <c r="AS94" s="10" t="n"/>
      <c r="AT94" s="17">
        <f>tbl_MTG_Set[[#This Row],[Play Booster CardMarket Profit]]/tbl_MTG_Set[[#This Row],[Play Booster Cost]]</f>
        <v/>
      </c>
      <c r="AU94" s="10">
        <f>_xlfn.XLOOKUP(tbl_MTG_Set[[#This Row],[Collector Booster Box Product Id]], tbl_Product[Product Id], tbl_Product[Min Cost])</f>
        <v/>
      </c>
      <c r="AV94" s="10">
        <f>_xlfn.XLOOKUP(tbl_MTG_Set[[#This Row],[Collector Booster Box Product Id]], tbl_Product[Product Id], tbl_Product[Best Source])</f>
        <v/>
      </c>
      <c r="AW94" s="4">
        <f>_xlfn.XLOOKUP(tbl_MTG_Set[[#This Row],[Collector Booster Box Product Id]], tbl_Product[Product Id], tbl_Product[Pack Size])</f>
        <v/>
      </c>
      <c r="AX94" s="10">
        <f>(tbl_MTG_Set[[#This Row],[Collector Booster Box Cost]] + v_Item_Shipping_Cost_In) / tbl_MTG_Set[[#This Row],[Collector Booster Box Size]]</f>
        <v/>
      </c>
      <c r="AY94" s="10">
        <f t="array" ref="AY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" s="10" t="n"/>
      <c r="BA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" s="17">
        <f>tbl_MTG_Set[[#This Row],[Collector Booster CardMarket Profit]]/tbl_MTG_Set[[#This Row],[Collector Booster Cost]]</f>
        <v/>
      </c>
      <c r="BC94" s="10" t="n"/>
      <c r="BF94" s="10">
        <f>tbl_MTG_Set[[#This Row],[Play Booster Sell Price CardMarket]]*tbl_MTG_Set[[#This Row],[Play Booster Expected Market Value]]/tbl_MTG_Set[[#This Row],[Play Boost Sealed Market Value]]</f>
        <v/>
      </c>
      <c r="BG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" s="10">
        <f>tbl_MTG_Set[[#This Row],[Play Singles CardMarket Profit]]/tbl_MTG_Set[[#This Row],[Play Booster Cost]]</f>
        <v/>
      </c>
      <c r="BI94" s="10">
        <f>tbl_MTG_Set[[#This Row],[Play Singles CardMarket Profit]]&gt;0</f>
        <v/>
      </c>
      <c r="BJ94" s="10" t="n"/>
      <c r="BK94" s="10" t="n"/>
      <c r="BL94" s="10">
        <f>tbl_MTG_Set[[#This Row],[Collector Booster Sell Price CardMarket]]*tbl_MTG_Set[[#This Row],[Collector Booster Expected Market Value]]/tbl_MTG_Set[[#This Row],[Collector Boost Sealed Market Value]]</f>
        <v/>
      </c>
      <c r="BM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" s="10">
        <f>tbl_MTG_Set[[#This Row],[Collector Singles CardMarket Profit]]/tbl_MTG_Set[[#This Row],[Collector Booster Cost]]</f>
        <v/>
      </c>
      <c r="BO94" s="10">
        <f>tbl_MTG_Set[[#This Row],[Collector Singles CardMarket Profit]]&gt;0</f>
        <v/>
      </c>
      <c r="BP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">
      <c r="A95" t="n">
        <v>93</v>
      </c>
      <c r="B95" t="inlineStr">
        <is>
          <t>Alchemy: Bloomburrow YBLB</t>
        </is>
      </c>
      <c r="C95" t="n">
        <v>30</v>
      </c>
      <c r="D95" s="3" t="n">
        <v>45524</v>
      </c>
      <c r="E95" t="inlineStr">
        <is>
          <t>Standard Expansion</t>
        </is>
      </c>
      <c r="F95" t="inlineStr">
        <is>
          <t>en es fr de it pt ja ko ru 汉语 漢語</t>
        </is>
      </c>
      <c r="G95" t="n">
        <v>132</v>
      </c>
      <c r="H95">
        <f>MONTH(NOW())+12*YEAR(NOW())-MONTH(tbl_MTG_Set[[#This Row],[Released On]])-12*YEAR(tbl_MTG_Set[[#This Row],[Released On]])</f>
        <v/>
      </c>
      <c r="I95">
        <f>_xlfn.XLOOKUP(tbl_MTG_Set[[#This Row],[Type Name]], tbl_MTG_Set_Type[Set Type], tbl_MTG_Set_Type[Index], "(Set Type not found)")</f>
        <v/>
      </c>
      <c r="J95">
        <f>_xlfn.XLOOKUP(tbl_MTG_Set[[#This Row],[Type Name]], tbl_MTG_Set_Type[Set Type], tbl_MTG_Set_Type[Buy Window Month Start], "(Set Type not found)")</f>
        <v/>
      </c>
      <c r="K95" s="3">
        <f>tbl_MTG_Set[[#This Row],[Released On]]+tbl_MTG_Set[[#This Row],[Buy Window Month Start]]*365.25/12</f>
        <v/>
      </c>
      <c r="L95">
        <f>_xlfn.XLOOKUP(tbl_MTG_Set[[#This Row],[Type Name]], tbl_MTG_Set_Type[Set Type], tbl_MTG_Set_Type[Buy Window Month End], "(Set Type not found)", 0, 1)</f>
        <v/>
      </c>
      <c r="M95" s="3">
        <f>tbl_MTG_Set[[#This Row],[Released On]]+tbl_MTG_Set[[#This Row],[Buy Window Month End]]*365.25/12</f>
        <v/>
      </c>
      <c r="N95" s="3">
        <f>AND(NOW()&gt;=tbl_MTG_Set[[#This Row],[Buy Window Start]], NOW()&lt;=tbl_MTG_Set[[#This Row],[Buy Window End]])</f>
        <v/>
      </c>
      <c r="O95">
        <f>_xlfn.XLOOKUP(tbl_MTG_Set[[#This Row],[Type Name]], tbl_MTG_Set_Type[Set Type], tbl_MTG_Set_Type[Heavy Printing Window Month Start], "(Set Type not found)", 0, 1)</f>
        <v/>
      </c>
      <c r="P95" s="3">
        <f>tbl_MTG_Set[[#This Row],[Released On]]+tbl_MTG_Set[[#This Row],[Heavy Printing Window Month Start]]*365.25/12</f>
        <v/>
      </c>
      <c r="Q95">
        <f>_xlfn.XLOOKUP(tbl_MTG_Set[[#This Row],[Type Name]], tbl_MTG_Set_Type[Set Type], tbl_MTG_Set_Type[Heavy Printing Window Month End], "(Set Type not found)", 0, 1)</f>
        <v/>
      </c>
      <c r="R95" s="3">
        <f>tbl_MTG_Set[[#This Row],[Released On]]+tbl_MTG_Set[[#This Row],[Heavy Printing Window Month End]]*365.25/12</f>
        <v/>
      </c>
      <c r="S95" s="3">
        <f>AND(NOW()&gt;=tbl_MTG_Set[[#This Row],[Heavy Printing Window Start]], NOW()&lt;=tbl_MTG_Set[[#This Row],[Heavy Printing Window End]])</f>
        <v/>
      </c>
      <c r="T95">
        <f>_xlfn.XLOOKUP(tbl_MTG_Set[[#This Row],[Type Name]], tbl_MTG_Set_Type[Set Type], tbl_MTG_Set_Type[Sell Window Month Start], "(Set Type not found)", 0, 1)</f>
        <v/>
      </c>
      <c r="U95" s="3">
        <f>tbl_MTG_Set[[#This Row],[Released On]]+tbl_MTG_Set[[#This Row],[Sell Window Month Start]]*365.25/12</f>
        <v/>
      </c>
      <c r="V95">
        <f>_xlfn.XLOOKUP(tbl_MTG_Set[[#This Row],[Type Name]], tbl_MTG_Set_Type[Set Type], tbl_MTG_Set_Type[Sell Window Month End], "(Set Type not found)", 0, 1)</f>
        <v/>
      </c>
      <c r="W95" s="3">
        <f>tbl_MTG_Set[[#This Row],[Released On]]+tbl_MTG_Set[[#This Row],[Sell Window Month End]]*365.25/12</f>
        <v/>
      </c>
      <c r="X95" s="3">
        <f>AND(NOW()&gt;=tbl_MTG_Set[[#This Row],[Sell Window Start]], NOW()&lt;=tbl_MTG_Set[[#This Row],[Sell Window End]])</f>
        <v/>
      </c>
      <c r="AG95" s="10" t="n"/>
      <c r="AH95" s="10" t="n"/>
      <c r="AM95" s="10">
        <f t="array" ref="AM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" s="10">
        <f t="array" ref="AN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" s="4">
        <f>_xlfn.XLOOKUP(tbl_MTG_Set[[#This Row],[Play Booster Box Product Id]], tbl_Product[Product Id], tbl_Product[Pack Size])</f>
        <v/>
      </c>
      <c r="AP95" s="10">
        <f>(tbl_MTG_Set[[#This Row],[Play Booster Box Cost]]+v_Item_Shipping_Cost_In)/tbl_MTG_Set[[#This Row],[Play Booster Box Size]]</f>
        <v/>
      </c>
      <c r="AQ95" s="10">
        <f t="array" ref="AQ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" s="10" t="n"/>
      <c r="AS95" s="10" t="n"/>
      <c r="AT95" s="17">
        <f>tbl_MTG_Set[[#This Row],[Play Booster CardMarket Profit]]/tbl_MTG_Set[[#This Row],[Play Booster Cost]]</f>
        <v/>
      </c>
      <c r="AU95" s="10">
        <f>_xlfn.XLOOKUP(tbl_MTG_Set[[#This Row],[Collector Booster Box Product Id]], tbl_Product[Product Id], tbl_Product[Min Cost])</f>
        <v/>
      </c>
      <c r="AV95" s="10">
        <f>_xlfn.XLOOKUP(tbl_MTG_Set[[#This Row],[Collector Booster Box Product Id]], tbl_Product[Product Id], tbl_Product[Best Source])</f>
        <v/>
      </c>
      <c r="AW95" s="4">
        <f>_xlfn.XLOOKUP(tbl_MTG_Set[[#This Row],[Collector Booster Box Product Id]], tbl_Product[Product Id], tbl_Product[Pack Size])</f>
        <v/>
      </c>
      <c r="AX95" s="10">
        <f>(tbl_MTG_Set[[#This Row],[Collector Booster Box Cost]] + v_Item_Shipping_Cost_In) / tbl_MTG_Set[[#This Row],[Collector Booster Box Size]]</f>
        <v/>
      </c>
      <c r="AY95" s="10">
        <f t="array" ref="AY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" s="10" t="n"/>
      <c r="BA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" s="17">
        <f>tbl_MTG_Set[[#This Row],[Collector Booster CardMarket Profit]]/tbl_MTG_Set[[#This Row],[Collector Booster Cost]]</f>
        <v/>
      </c>
      <c r="BC95" s="10" t="n"/>
      <c r="BF95" s="10">
        <f>tbl_MTG_Set[[#This Row],[Play Booster Sell Price CardMarket]]*tbl_MTG_Set[[#This Row],[Play Booster Expected Market Value]]/tbl_MTG_Set[[#This Row],[Play Boost Sealed Market Value]]</f>
        <v/>
      </c>
      <c r="BG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" s="10">
        <f>tbl_MTG_Set[[#This Row],[Play Singles CardMarket Profit]]/tbl_MTG_Set[[#This Row],[Play Booster Cost]]</f>
        <v/>
      </c>
      <c r="BI95" s="10">
        <f>tbl_MTG_Set[[#This Row],[Play Singles CardMarket Profit]]&gt;0</f>
        <v/>
      </c>
      <c r="BJ95" s="10" t="n"/>
      <c r="BK95" s="10" t="n"/>
      <c r="BL95" s="10">
        <f>tbl_MTG_Set[[#This Row],[Collector Booster Sell Price CardMarket]]*tbl_MTG_Set[[#This Row],[Collector Booster Expected Market Value]]/tbl_MTG_Set[[#This Row],[Collector Boost Sealed Market Value]]</f>
        <v/>
      </c>
      <c r="BM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" s="10">
        <f>tbl_MTG_Set[[#This Row],[Collector Singles CardMarket Profit]]/tbl_MTG_Set[[#This Row],[Collector Booster Cost]]</f>
        <v/>
      </c>
      <c r="BO95" s="10">
        <f>tbl_MTG_Set[[#This Row],[Collector Singles CardMarket Profit]]&gt;0</f>
        <v/>
      </c>
      <c r="BP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">
      <c r="A96" t="n">
        <v>94</v>
      </c>
      <c r="B96" t="inlineStr">
        <is>
          <t>Bloomburrow Art Series ABLB</t>
        </is>
      </c>
      <c r="C96" t="n">
        <v>54</v>
      </c>
      <c r="D96" s="3" t="n">
        <v>45506</v>
      </c>
      <c r="E96" t="inlineStr">
        <is>
          <t>Standard Expansion</t>
        </is>
      </c>
      <c r="F96" t="inlineStr">
        <is>
          <t>en es fr de it pt ja ko ru 汉语 漢語</t>
        </is>
      </c>
      <c r="G96" t="n">
        <v>134</v>
      </c>
      <c r="H96">
        <f>MONTH(NOW())+12*YEAR(NOW())-MONTH(tbl_MTG_Set[[#This Row],[Released On]])-12*YEAR(tbl_MTG_Set[[#This Row],[Released On]])</f>
        <v/>
      </c>
      <c r="I96">
        <f>_xlfn.XLOOKUP(tbl_MTG_Set[[#This Row],[Type Name]], tbl_MTG_Set_Type[Set Type], tbl_MTG_Set_Type[Index], "(Set Type not found)")</f>
        <v/>
      </c>
      <c r="J96">
        <f>_xlfn.XLOOKUP(tbl_MTG_Set[[#This Row],[Type Name]], tbl_MTG_Set_Type[Set Type], tbl_MTG_Set_Type[Buy Window Month Start], "(Set Type not found)")</f>
        <v/>
      </c>
      <c r="K96" s="3">
        <f>tbl_MTG_Set[[#This Row],[Released On]]+tbl_MTG_Set[[#This Row],[Buy Window Month Start]]*365.25/12</f>
        <v/>
      </c>
      <c r="L96">
        <f>_xlfn.XLOOKUP(tbl_MTG_Set[[#This Row],[Type Name]], tbl_MTG_Set_Type[Set Type], tbl_MTG_Set_Type[Buy Window Month End], "(Set Type not found)", 0, 1)</f>
        <v/>
      </c>
      <c r="M96" s="3">
        <f>tbl_MTG_Set[[#This Row],[Released On]]+tbl_MTG_Set[[#This Row],[Buy Window Month End]]*365.25/12</f>
        <v/>
      </c>
      <c r="N96" s="3">
        <f>AND(NOW()&gt;=tbl_MTG_Set[[#This Row],[Buy Window Start]], NOW()&lt;=tbl_MTG_Set[[#This Row],[Buy Window End]])</f>
        <v/>
      </c>
      <c r="O96">
        <f>_xlfn.XLOOKUP(tbl_MTG_Set[[#This Row],[Type Name]], tbl_MTG_Set_Type[Set Type], tbl_MTG_Set_Type[Heavy Printing Window Month Start], "(Set Type not found)", 0, 1)</f>
        <v/>
      </c>
      <c r="P96" s="3">
        <f>tbl_MTG_Set[[#This Row],[Released On]]+tbl_MTG_Set[[#This Row],[Heavy Printing Window Month Start]]*365.25/12</f>
        <v/>
      </c>
      <c r="Q96">
        <f>_xlfn.XLOOKUP(tbl_MTG_Set[[#This Row],[Type Name]], tbl_MTG_Set_Type[Set Type], tbl_MTG_Set_Type[Heavy Printing Window Month End], "(Set Type not found)", 0, 1)</f>
        <v/>
      </c>
      <c r="R96" s="3">
        <f>tbl_MTG_Set[[#This Row],[Released On]]+tbl_MTG_Set[[#This Row],[Heavy Printing Window Month End]]*365.25/12</f>
        <v/>
      </c>
      <c r="S96" s="3">
        <f>AND(NOW()&gt;=tbl_MTG_Set[[#This Row],[Heavy Printing Window Start]], NOW()&lt;=tbl_MTG_Set[[#This Row],[Heavy Printing Window End]])</f>
        <v/>
      </c>
      <c r="T96">
        <f>_xlfn.XLOOKUP(tbl_MTG_Set[[#This Row],[Type Name]], tbl_MTG_Set_Type[Set Type], tbl_MTG_Set_Type[Sell Window Month Start], "(Set Type not found)", 0, 1)</f>
        <v/>
      </c>
      <c r="U96" s="3">
        <f>tbl_MTG_Set[[#This Row],[Released On]]+tbl_MTG_Set[[#This Row],[Sell Window Month Start]]*365.25/12</f>
        <v/>
      </c>
      <c r="V96">
        <f>_xlfn.XLOOKUP(tbl_MTG_Set[[#This Row],[Type Name]], tbl_MTG_Set_Type[Set Type], tbl_MTG_Set_Type[Sell Window Month End], "(Set Type not found)", 0, 1)</f>
        <v/>
      </c>
      <c r="W96" s="3">
        <f>tbl_MTG_Set[[#This Row],[Released On]]+tbl_MTG_Set[[#This Row],[Sell Window Month End]]*365.25/12</f>
        <v/>
      </c>
      <c r="X96" s="3">
        <f>AND(NOW()&gt;=tbl_MTG_Set[[#This Row],[Sell Window Start]], NOW()&lt;=tbl_MTG_Set[[#This Row],[Sell Window End]])</f>
        <v/>
      </c>
      <c r="AG96" s="10" t="n"/>
      <c r="AH96" s="10" t="n"/>
      <c r="AM96" s="10">
        <f t="array" ref="AM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" s="10">
        <f t="array" ref="AN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" s="4">
        <f>_xlfn.XLOOKUP(tbl_MTG_Set[[#This Row],[Play Booster Box Product Id]], tbl_Product[Product Id], tbl_Product[Pack Size])</f>
        <v/>
      </c>
      <c r="AP96" s="10">
        <f>(tbl_MTG_Set[[#This Row],[Play Booster Box Cost]]+v_Item_Shipping_Cost_In)/tbl_MTG_Set[[#This Row],[Play Booster Box Size]]</f>
        <v/>
      </c>
      <c r="AQ96" s="10">
        <f t="array" ref="AQ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" s="10" t="n"/>
      <c r="AS96" s="10" t="n"/>
      <c r="AT96" s="17">
        <f>tbl_MTG_Set[[#This Row],[Play Booster CardMarket Profit]]/tbl_MTG_Set[[#This Row],[Play Booster Cost]]</f>
        <v/>
      </c>
      <c r="AU96" s="10">
        <f>_xlfn.XLOOKUP(tbl_MTG_Set[[#This Row],[Collector Booster Box Product Id]], tbl_Product[Product Id], tbl_Product[Min Cost])</f>
        <v/>
      </c>
      <c r="AV96" s="10">
        <f>_xlfn.XLOOKUP(tbl_MTG_Set[[#This Row],[Collector Booster Box Product Id]], tbl_Product[Product Id], tbl_Product[Best Source])</f>
        <v/>
      </c>
      <c r="AW96" s="4">
        <f>_xlfn.XLOOKUP(tbl_MTG_Set[[#This Row],[Collector Booster Box Product Id]], tbl_Product[Product Id], tbl_Product[Pack Size])</f>
        <v/>
      </c>
      <c r="AX96" s="10">
        <f>(tbl_MTG_Set[[#This Row],[Collector Booster Box Cost]] + v_Item_Shipping_Cost_In) / tbl_MTG_Set[[#This Row],[Collector Booster Box Size]]</f>
        <v/>
      </c>
      <c r="AY96" s="10">
        <f t="array" ref="AY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" s="10" t="n"/>
      <c r="BA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" s="17">
        <f>tbl_MTG_Set[[#This Row],[Collector Booster CardMarket Profit]]/tbl_MTG_Set[[#This Row],[Collector Booster Cost]]</f>
        <v/>
      </c>
      <c r="BC96" s="10" t="n"/>
      <c r="BF96" s="10">
        <f>tbl_MTG_Set[[#This Row],[Play Booster Sell Price CardMarket]]*tbl_MTG_Set[[#This Row],[Play Booster Expected Market Value]]/tbl_MTG_Set[[#This Row],[Play Boost Sealed Market Value]]</f>
        <v/>
      </c>
      <c r="BG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" s="10">
        <f>tbl_MTG_Set[[#This Row],[Play Singles CardMarket Profit]]/tbl_MTG_Set[[#This Row],[Play Booster Cost]]</f>
        <v/>
      </c>
      <c r="BI96" s="10">
        <f>tbl_MTG_Set[[#This Row],[Play Singles CardMarket Profit]]&gt;0</f>
        <v/>
      </c>
      <c r="BJ96" s="10" t="n"/>
      <c r="BK96" s="10" t="n"/>
      <c r="BL96" s="10">
        <f>tbl_MTG_Set[[#This Row],[Collector Booster Sell Price CardMarket]]*tbl_MTG_Set[[#This Row],[Collector Booster Expected Market Value]]/tbl_MTG_Set[[#This Row],[Collector Boost Sealed Market Value]]</f>
        <v/>
      </c>
      <c r="BM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" s="10">
        <f>tbl_MTG_Set[[#This Row],[Collector Singles CardMarket Profit]]/tbl_MTG_Set[[#This Row],[Collector Booster Cost]]</f>
        <v/>
      </c>
      <c r="BO96" s="10">
        <f>tbl_MTG_Set[[#This Row],[Collector Singles CardMarket Profit]]&gt;0</f>
        <v/>
      </c>
      <c r="BP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">
      <c r="A97" t="n">
        <v>95</v>
      </c>
      <c r="B97" t="inlineStr">
        <is>
          <t>Bloomburrow Commander BLC</t>
        </is>
      </c>
      <c r="C97" t="n">
        <v>356</v>
      </c>
      <c r="D97" s="3" t="n">
        <v>45506</v>
      </c>
      <c r="E97" t="inlineStr">
        <is>
          <t>Commander</t>
        </is>
      </c>
      <c r="F97" t="inlineStr">
        <is>
          <t>en es fr de it pt ja ko ru 汉语 漢語</t>
        </is>
      </c>
      <c r="G97" t="n">
        <v>136</v>
      </c>
      <c r="H97">
        <f>MONTH(NOW())+12*YEAR(NOW())-MONTH(tbl_MTG_Set[[#This Row],[Released On]])-12*YEAR(tbl_MTG_Set[[#This Row],[Released On]])</f>
        <v/>
      </c>
      <c r="I97">
        <f>_xlfn.XLOOKUP(tbl_MTG_Set[[#This Row],[Type Name]], tbl_MTG_Set_Type[Set Type], tbl_MTG_Set_Type[Index], "(Set Type not found)")</f>
        <v/>
      </c>
      <c r="J97">
        <f>_xlfn.XLOOKUP(tbl_MTG_Set[[#This Row],[Type Name]], tbl_MTG_Set_Type[Set Type], tbl_MTG_Set_Type[Buy Window Month Start], "(Set Type not found)")</f>
        <v/>
      </c>
      <c r="K97" s="3">
        <f>tbl_MTG_Set[[#This Row],[Released On]]+tbl_MTG_Set[[#This Row],[Buy Window Month Start]]*365.25/12</f>
        <v/>
      </c>
      <c r="L97">
        <f>_xlfn.XLOOKUP(tbl_MTG_Set[[#This Row],[Type Name]], tbl_MTG_Set_Type[Set Type], tbl_MTG_Set_Type[Buy Window Month End], "(Set Type not found)", 0, 1)</f>
        <v/>
      </c>
      <c r="M97" s="3">
        <f>tbl_MTG_Set[[#This Row],[Released On]]+tbl_MTG_Set[[#This Row],[Buy Window Month End]]*365.25/12</f>
        <v/>
      </c>
      <c r="N97" s="3">
        <f>AND(NOW()&gt;=tbl_MTG_Set[[#This Row],[Buy Window Start]], NOW()&lt;=tbl_MTG_Set[[#This Row],[Buy Window End]])</f>
        <v/>
      </c>
      <c r="O97">
        <f>_xlfn.XLOOKUP(tbl_MTG_Set[[#This Row],[Type Name]], tbl_MTG_Set_Type[Set Type], tbl_MTG_Set_Type[Heavy Printing Window Month Start], "(Set Type not found)", 0, 1)</f>
        <v/>
      </c>
      <c r="P97" s="3">
        <f>tbl_MTG_Set[[#This Row],[Released On]]+tbl_MTG_Set[[#This Row],[Heavy Printing Window Month Start]]*365.25/12</f>
        <v/>
      </c>
      <c r="Q97">
        <f>_xlfn.XLOOKUP(tbl_MTG_Set[[#This Row],[Type Name]], tbl_MTG_Set_Type[Set Type], tbl_MTG_Set_Type[Heavy Printing Window Month End], "(Set Type not found)", 0, 1)</f>
        <v/>
      </c>
      <c r="R97" s="3">
        <f>tbl_MTG_Set[[#This Row],[Released On]]+tbl_MTG_Set[[#This Row],[Heavy Printing Window Month End]]*365.25/12</f>
        <v/>
      </c>
      <c r="S97" s="3">
        <f>AND(NOW()&gt;=tbl_MTG_Set[[#This Row],[Heavy Printing Window Start]], NOW()&lt;=tbl_MTG_Set[[#This Row],[Heavy Printing Window End]])</f>
        <v/>
      </c>
      <c r="T97">
        <f>_xlfn.XLOOKUP(tbl_MTG_Set[[#This Row],[Type Name]], tbl_MTG_Set_Type[Set Type], tbl_MTG_Set_Type[Sell Window Month Start], "(Set Type not found)", 0, 1)</f>
        <v/>
      </c>
      <c r="U97" s="3">
        <f>tbl_MTG_Set[[#This Row],[Released On]]+tbl_MTG_Set[[#This Row],[Sell Window Month Start]]*365.25/12</f>
        <v/>
      </c>
      <c r="V97">
        <f>_xlfn.XLOOKUP(tbl_MTG_Set[[#This Row],[Type Name]], tbl_MTG_Set_Type[Set Type], tbl_MTG_Set_Type[Sell Window Month End], "(Set Type not found)", 0, 1)</f>
        <v/>
      </c>
      <c r="W97" s="3">
        <f>tbl_MTG_Set[[#This Row],[Released On]]+tbl_MTG_Set[[#This Row],[Sell Window Month End]]*365.25/12</f>
        <v/>
      </c>
      <c r="X97" s="3">
        <f>AND(NOW()&gt;=tbl_MTG_Set[[#This Row],[Sell Window Start]], NOW()&lt;=tbl_MTG_Set[[#This Row],[Sell Window End]])</f>
        <v/>
      </c>
      <c r="AG97" s="10" t="n"/>
      <c r="AH97" s="10" t="n"/>
      <c r="AM97" s="10">
        <f t="array" ref="AM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" s="10">
        <f t="array" ref="AN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" s="4">
        <f>_xlfn.XLOOKUP(tbl_MTG_Set[[#This Row],[Play Booster Box Product Id]], tbl_Product[Product Id], tbl_Product[Pack Size])</f>
        <v/>
      </c>
      <c r="AP97" s="10">
        <f>(tbl_MTG_Set[[#This Row],[Play Booster Box Cost]]+v_Item_Shipping_Cost_In)/tbl_MTG_Set[[#This Row],[Play Booster Box Size]]</f>
        <v/>
      </c>
      <c r="AQ97" s="10">
        <f t="array" ref="AQ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" s="10" t="n"/>
      <c r="AS97" s="10" t="n"/>
      <c r="AT97" s="17">
        <f>tbl_MTG_Set[[#This Row],[Play Booster CardMarket Profit]]/tbl_MTG_Set[[#This Row],[Play Booster Cost]]</f>
        <v/>
      </c>
      <c r="AU97" s="10">
        <f>_xlfn.XLOOKUP(tbl_MTG_Set[[#This Row],[Collector Booster Box Product Id]], tbl_Product[Product Id], tbl_Product[Min Cost])</f>
        <v/>
      </c>
      <c r="AV97" s="10">
        <f>_xlfn.XLOOKUP(tbl_MTG_Set[[#This Row],[Collector Booster Box Product Id]], tbl_Product[Product Id], tbl_Product[Best Source])</f>
        <v/>
      </c>
      <c r="AW97" s="4">
        <f>_xlfn.XLOOKUP(tbl_MTG_Set[[#This Row],[Collector Booster Box Product Id]], tbl_Product[Product Id], tbl_Product[Pack Size])</f>
        <v/>
      </c>
      <c r="AX97" s="10">
        <f>(tbl_MTG_Set[[#This Row],[Collector Booster Box Cost]] + v_Item_Shipping_Cost_In) / tbl_MTG_Set[[#This Row],[Collector Booster Box Size]]</f>
        <v/>
      </c>
      <c r="AY97" s="10">
        <f t="array" ref="AY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" s="10" t="n"/>
      <c r="BA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" s="17">
        <f>tbl_MTG_Set[[#This Row],[Collector Booster CardMarket Profit]]/tbl_MTG_Set[[#This Row],[Collector Booster Cost]]</f>
        <v/>
      </c>
      <c r="BC97" s="10" t="n"/>
      <c r="BF97" s="10">
        <f>tbl_MTG_Set[[#This Row],[Play Booster Sell Price CardMarket]]*tbl_MTG_Set[[#This Row],[Play Booster Expected Market Value]]/tbl_MTG_Set[[#This Row],[Play Boost Sealed Market Value]]</f>
        <v/>
      </c>
      <c r="BG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" s="10">
        <f>tbl_MTG_Set[[#This Row],[Play Singles CardMarket Profit]]/tbl_MTG_Set[[#This Row],[Play Booster Cost]]</f>
        <v/>
      </c>
      <c r="BI97" s="10">
        <f>tbl_MTG_Set[[#This Row],[Play Singles CardMarket Profit]]&gt;0</f>
        <v/>
      </c>
      <c r="BJ97" s="10" t="n"/>
      <c r="BK97" s="10" t="n"/>
      <c r="BL97" s="10">
        <f>tbl_MTG_Set[[#This Row],[Collector Booster Sell Price CardMarket]]*tbl_MTG_Set[[#This Row],[Collector Booster Expected Market Value]]/tbl_MTG_Set[[#This Row],[Collector Boost Sealed Market Value]]</f>
        <v/>
      </c>
      <c r="BM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" s="10">
        <f>tbl_MTG_Set[[#This Row],[Collector Singles CardMarket Profit]]/tbl_MTG_Set[[#This Row],[Collector Booster Cost]]</f>
        <v/>
      </c>
      <c r="BO97" s="10">
        <f>tbl_MTG_Set[[#This Row],[Collector Singles CardMarket Profit]]&gt;0</f>
        <v/>
      </c>
      <c r="BP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">
      <c r="A98" t="n">
        <v>96</v>
      </c>
      <c r="B98" t="inlineStr">
        <is>
          <t>Bloomburrow Commander Tokens TBLC</t>
        </is>
      </c>
      <c r="C98" t="n">
        <v>41</v>
      </c>
      <c r="D98" s="3" t="n">
        <v>45506</v>
      </c>
      <c r="E98" t="inlineStr">
        <is>
          <t>Commander</t>
        </is>
      </c>
      <c r="F98" t="inlineStr">
        <is>
          <t>en es fr de it pt ja ko ru 汉语 漢語</t>
        </is>
      </c>
      <c r="G98" t="n">
        <v>138</v>
      </c>
      <c r="H98">
        <f>MONTH(NOW())+12*YEAR(NOW())-MONTH(tbl_MTG_Set[[#This Row],[Released On]])-12*YEAR(tbl_MTG_Set[[#This Row],[Released On]])</f>
        <v/>
      </c>
      <c r="I98">
        <f>_xlfn.XLOOKUP(tbl_MTG_Set[[#This Row],[Type Name]], tbl_MTG_Set_Type[Set Type], tbl_MTG_Set_Type[Index], "(Set Type not found)")</f>
        <v/>
      </c>
      <c r="J98">
        <f>_xlfn.XLOOKUP(tbl_MTG_Set[[#This Row],[Type Name]], tbl_MTG_Set_Type[Set Type], tbl_MTG_Set_Type[Buy Window Month Start], "(Set Type not found)")</f>
        <v/>
      </c>
      <c r="K98" s="3">
        <f>tbl_MTG_Set[[#This Row],[Released On]]+tbl_MTG_Set[[#This Row],[Buy Window Month Start]]*365.25/12</f>
        <v/>
      </c>
      <c r="L98">
        <f>_xlfn.XLOOKUP(tbl_MTG_Set[[#This Row],[Type Name]], tbl_MTG_Set_Type[Set Type], tbl_MTG_Set_Type[Buy Window Month End], "(Set Type not found)", 0, 1)</f>
        <v/>
      </c>
      <c r="M98" s="3">
        <f>tbl_MTG_Set[[#This Row],[Released On]]+tbl_MTG_Set[[#This Row],[Buy Window Month End]]*365.25/12</f>
        <v/>
      </c>
      <c r="N98" s="3">
        <f>AND(NOW()&gt;=tbl_MTG_Set[[#This Row],[Buy Window Start]], NOW()&lt;=tbl_MTG_Set[[#This Row],[Buy Window End]])</f>
        <v/>
      </c>
      <c r="O98">
        <f>_xlfn.XLOOKUP(tbl_MTG_Set[[#This Row],[Type Name]], tbl_MTG_Set_Type[Set Type], tbl_MTG_Set_Type[Heavy Printing Window Month Start], "(Set Type not found)", 0, 1)</f>
        <v/>
      </c>
      <c r="P98" s="3">
        <f>tbl_MTG_Set[[#This Row],[Released On]]+tbl_MTG_Set[[#This Row],[Heavy Printing Window Month Start]]*365.25/12</f>
        <v/>
      </c>
      <c r="Q98">
        <f>_xlfn.XLOOKUP(tbl_MTG_Set[[#This Row],[Type Name]], tbl_MTG_Set_Type[Set Type], tbl_MTG_Set_Type[Heavy Printing Window Month End], "(Set Type not found)", 0, 1)</f>
        <v/>
      </c>
      <c r="R98" s="3">
        <f>tbl_MTG_Set[[#This Row],[Released On]]+tbl_MTG_Set[[#This Row],[Heavy Printing Window Month End]]*365.25/12</f>
        <v/>
      </c>
      <c r="S98" s="3">
        <f>AND(NOW()&gt;=tbl_MTG_Set[[#This Row],[Heavy Printing Window Start]], NOW()&lt;=tbl_MTG_Set[[#This Row],[Heavy Printing Window End]])</f>
        <v/>
      </c>
      <c r="T98">
        <f>_xlfn.XLOOKUP(tbl_MTG_Set[[#This Row],[Type Name]], tbl_MTG_Set_Type[Set Type], tbl_MTG_Set_Type[Sell Window Month Start], "(Set Type not found)", 0, 1)</f>
        <v/>
      </c>
      <c r="U98" s="3">
        <f>tbl_MTG_Set[[#This Row],[Released On]]+tbl_MTG_Set[[#This Row],[Sell Window Month Start]]*365.25/12</f>
        <v/>
      </c>
      <c r="V98">
        <f>_xlfn.XLOOKUP(tbl_MTG_Set[[#This Row],[Type Name]], tbl_MTG_Set_Type[Set Type], tbl_MTG_Set_Type[Sell Window Month End], "(Set Type not found)", 0, 1)</f>
        <v/>
      </c>
      <c r="W98" s="3">
        <f>tbl_MTG_Set[[#This Row],[Released On]]+tbl_MTG_Set[[#This Row],[Sell Window Month End]]*365.25/12</f>
        <v/>
      </c>
      <c r="X98" s="3">
        <f>AND(NOW()&gt;=tbl_MTG_Set[[#This Row],[Sell Window Start]], NOW()&lt;=tbl_MTG_Set[[#This Row],[Sell Window End]])</f>
        <v/>
      </c>
      <c r="AG98" s="10" t="n"/>
      <c r="AH98" s="10" t="n"/>
      <c r="AM98" s="10">
        <f t="array" ref="AM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" s="10">
        <f t="array" ref="AN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" s="4">
        <f>_xlfn.XLOOKUP(tbl_MTG_Set[[#This Row],[Play Booster Box Product Id]], tbl_Product[Product Id], tbl_Product[Pack Size])</f>
        <v/>
      </c>
      <c r="AP98" s="10">
        <f>(tbl_MTG_Set[[#This Row],[Play Booster Box Cost]]+v_Item_Shipping_Cost_In)/tbl_MTG_Set[[#This Row],[Play Booster Box Size]]</f>
        <v/>
      </c>
      <c r="AQ98" s="10">
        <f t="array" ref="AQ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" s="10" t="n"/>
      <c r="AS98" s="10" t="n"/>
      <c r="AT98" s="17">
        <f>tbl_MTG_Set[[#This Row],[Play Booster CardMarket Profit]]/tbl_MTG_Set[[#This Row],[Play Booster Cost]]</f>
        <v/>
      </c>
      <c r="AU98" s="10">
        <f>_xlfn.XLOOKUP(tbl_MTG_Set[[#This Row],[Collector Booster Box Product Id]], tbl_Product[Product Id], tbl_Product[Min Cost])</f>
        <v/>
      </c>
      <c r="AV98" s="10">
        <f>_xlfn.XLOOKUP(tbl_MTG_Set[[#This Row],[Collector Booster Box Product Id]], tbl_Product[Product Id], tbl_Product[Best Source])</f>
        <v/>
      </c>
      <c r="AW98" s="4">
        <f>_xlfn.XLOOKUP(tbl_MTG_Set[[#This Row],[Collector Booster Box Product Id]], tbl_Product[Product Id], tbl_Product[Pack Size])</f>
        <v/>
      </c>
      <c r="AX98" s="10">
        <f>(tbl_MTG_Set[[#This Row],[Collector Booster Box Cost]] + v_Item_Shipping_Cost_In) / tbl_MTG_Set[[#This Row],[Collector Booster Box Size]]</f>
        <v/>
      </c>
      <c r="AY98" s="10">
        <f t="array" ref="AY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" s="10" t="n"/>
      <c r="BA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" s="17">
        <f>tbl_MTG_Set[[#This Row],[Collector Booster CardMarket Profit]]/tbl_MTG_Set[[#This Row],[Collector Booster Cost]]</f>
        <v/>
      </c>
      <c r="BC98" s="10" t="n"/>
      <c r="BF98" s="10">
        <f>tbl_MTG_Set[[#This Row],[Play Booster Sell Price CardMarket]]*tbl_MTG_Set[[#This Row],[Play Booster Expected Market Value]]/tbl_MTG_Set[[#This Row],[Play Boost Sealed Market Value]]</f>
        <v/>
      </c>
      <c r="BG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" s="10">
        <f>tbl_MTG_Set[[#This Row],[Play Singles CardMarket Profit]]/tbl_MTG_Set[[#This Row],[Play Booster Cost]]</f>
        <v/>
      </c>
      <c r="BI98" s="10">
        <f>tbl_MTG_Set[[#This Row],[Play Singles CardMarket Profit]]&gt;0</f>
        <v/>
      </c>
      <c r="BJ98" s="10" t="n"/>
      <c r="BK98" s="10" t="n"/>
      <c r="BL98" s="10">
        <f>tbl_MTG_Set[[#This Row],[Collector Booster Sell Price CardMarket]]*tbl_MTG_Set[[#This Row],[Collector Booster Expected Market Value]]/tbl_MTG_Set[[#This Row],[Collector Boost Sealed Market Value]]</f>
        <v/>
      </c>
      <c r="BM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" s="10">
        <f>tbl_MTG_Set[[#This Row],[Collector Singles CardMarket Profit]]/tbl_MTG_Set[[#This Row],[Collector Booster Cost]]</f>
        <v/>
      </c>
      <c r="BO98" s="10">
        <f>tbl_MTG_Set[[#This Row],[Collector Singles CardMarket Profit]]&gt;0</f>
        <v/>
      </c>
      <c r="BP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">
      <c r="A99" t="n">
        <v>97</v>
      </c>
      <c r="B99" t="inlineStr">
        <is>
          <t>Cowboy Bebop PCBB</t>
        </is>
      </c>
      <c r="C99" t="n">
        <v>5</v>
      </c>
      <c r="D99" s="3" t="n">
        <v>45506</v>
      </c>
      <c r="F99" t="inlineStr">
        <is>
          <t>en es fr de it pt ja ko ru 汉语 漢語</t>
        </is>
      </c>
      <c r="G99" t="n">
        <v>140</v>
      </c>
      <c r="H99">
        <f>MONTH(NOW())+12*YEAR(NOW())-MONTH(tbl_MTG_Set[[#This Row],[Released On]])-12*YEAR(tbl_MTG_Set[[#This Row],[Released On]])</f>
        <v/>
      </c>
      <c r="I99">
        <f>_xlfn.XLOOKUP(tbl_MTG_Set[[#This Row],[Type Name]], tbl_MTG_Set_Type[Set Type], tbl_MTG_Set_Type[Index], "(Set Type not found)")</f>
        <v/>
      </c>
      <c r="J99">
        <f>_xlfn.XLOOKUP(tbl_MTG_Set[[#This Row],[Type Name]], tbl_MTG_Set_Type[Set Type], tbl_MTG_Set_Type[Buy Window Month Start], "(Set Type not found)")</f>
        <v/>
      </c>
      <c r="K99" s="3">
        <f>tbl_MTG_Set[[#This Row],[Released On]]+tbl_MTG_Set[[#This Row],[Buy Window Month Start]]*365.25/12</f>
        <v/>
      </c>
      <c r="L99">
        <f>_xlfn.XLOOKUP(tbl_MTG_Set[[#This Row],[Type Name]], tbl_MTG_Set_Type[Set Type], tbl_MTG_Set_Type[Buy Window Month End], "(Set Type not found)", 0, 1)</f>
        <v/>
      </c>
      <c r="M99" s="3">
        <f>tbl_MTG_Set[[#This Row],[Released On]]+tbl_MTG_Set[[#This Row],[Buy Window Month End]]*365.25/12</f>
        <v/>
      </c>
      <c r="N99" s="3">
        <f>AND(NOW()&gt;=tbl_MTG_Set[[#This Row],[Buy Window Start]], NOW()&lt;=tbl_MTG_Set[[#This Row],[Buy Window End]])</f>
        <v/>
      </c>
      <c r="O99">
        <f>_xlfn.XLOOKUP(tbl_MTG_Set[[#This Row],[Type Name]], tbl_MTG_Set_Type[Set Type], tbl_MTG_Set_Type[Heavy Printing Window Month Start], "(Set Type not found)", 0, 1)</f>
        <v/>
      </c>
      <c r="P99" s="3">
        <f>tbl_MTG_Set[[#This Row],[Released On]]+tbl_MTG_Set[[#This Row],[Heavy Printing Window Month Start]]*365.25/12</f>
        <v/>
      </c>
      <c r="Q99">
        <f>_xlfn.XLOOKUP(tbl_MTG_Set[[#This Row],[Type Name]], tbl_MTG_Set_Type[Set Type], tbl_MTG_Set_Type[Heavy Printing Window Month End], "(Set Type not found)", 0, 1)</f>
        <v/>
      </c>
      <c r="R99" s="3">
        <f>tbl_MTG_Set[[#This Row],[Released On]]+tbl_MTG_Set[[#This Row],[Heavy Printing Window Month End]]*365.25/12</f>
        <v/>
      </c>
      <c r="S99" s="3">
        <f>AND(NOW()&gt;=tbl_MTG_Set[[#This Row],[Heavy Printing Window Start]], NOW()&lt;=tbl_MTG_Set[[#This Row],[Heavy Printing Window End]])</f>
        <v/>
      </c>
      <c r="T99">
        <f>_xlfn.XLOOKUP(tbl_MTG_Set[[#This Row],[Type Name]], tbl_MTG_Set_Type[Set Type], tbl_MTG_Set_Type[Sell Window Month Start], "(Set Type not found)", 0, 1)</f>
        <v/>
      </c>
      <c r="U99" s="3">
        <f>tbl_MTG_Set[[#This Row],[Released On]]+tbl_MTG_Set[[#This Row],[Sell Window Month Start]]*365.25/12</f>
        <v/>
      </c>
      <c r="V99">
        <f>_xlfn.XLOOKUP(tbl_MTG_Set[[#This Row],[Type Name]], tbl_MTG_Set_Type[Set Type], tbl_MTG_Set_Type[Sell Window Month End], "(Set Type not found)", 0, 1)</f>
        <v/>
      </c>
      <c r="W99" s="3">
        <f>tbl_MTG_Set[[#This Row],[Released On]]+tbl_MTG_Set[[#This Row],[Sell Window Month End]]*365.25/12</f>
        <v/>
      </c>
      <c r="X99" s="3">
        <f>AND(NOW()&gt;=tbl_MTG_Set[[#This Row],[Sell Window Start]], NOW()&lt;=tbl_MTG_Set[[#This Row],[Sell Window End]])</f>
        <v/>
      </c>
      <c r="AG99" s="10" t="n"/>
      <c r="AH99" s="10" t="n"/>
      <c r="AM99" s="10">
        <f t="array" ref="AM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" s="10">
        <f t="array" ref="AN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" s="4">
        <f>_xlfn.XLOOKUP(tbl_MTG_Set[[#This Row],[Play Booster Box Product Id]], tbl_Product[Product Id], tbl_Product[Pack Size])</f>
        <v/>
      </c>
      <c r="AP99" s="10">
        <f>(tbl_MTG_Set[[#This Row],[Play Booster Box Cost]]+v_Item_Shipping_Cost_In)/tbl_MTG_Set[[#This Row],[Play Booster Box Size]]</f>
        <v/>
      </c>
      <c r="AQ99" s="10">
        <f t="array" ref="AQ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" s="10" t="n"/>
      <c r="AS99" s="10" t="n"/>
      <c r="AT99" s="17">
        <f>tbl_MTG_Set[[#This Row],[Play Booster CardMarket Profit]]/tbl_MTG_Set[[#This Row],[Play Booster Cost]]</f>
        <v/>
      </c>
      <c r="AU99" s="10">
        <f>_xlfn.XLOOKUP(tbl_MTG_Set[[#This Row],[Collector Booster Box Product Id]], tbl_Product[Product Id], tbl_Product[Min Cost])</f>
        <v/>
      </c>
      <c r="AV99" s="10">
        <f>_xlfn.XLOOKUP(tbl_MTG_Set[[#This Row],[Collector Booster Box Product Id]], tbl_Product[Product Id], tbl_Product[Best Source])</f>
        <v/>
      </c>
      <c r="AW99" s="4">
        <f>_xlfn.XLOOKUP(tbl_MTG_Set[[#This Row],[Collector Booster Box Product Id]], tbl_Product[Product Id], tbl_Product[Pack Size])</f>
        <v/>
      </c>
      <c r="AX99" s="10">
        <f>(tbl_MTG_Set[[#This Row],[Collector Booster Box Cost]] + v_Item_Shipping_Cost_In) / tbl_MTG_Set[[#This Row],[Collector Booster Box Size]]</f>
        <v/>
      </c>
      <c r="AY99" s="10">
        <f t="array" ref="AY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" s="10" t="n"/>
      <c r="BA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" s="17">
        <f>tbl_MTG_Set[[#This Row],[Collector Booster CardMarket Profit]]/tbl_MTG_Set[[#This Row],[Collector Booster Cost]]</f>
        <v/>
      </c>
      <c r="BC99" s="10" t="n"/>
      <c r="BF99" s="10">
        <f>tbl_MTG_Set[[#This Row],[Play Booster Sell Price CardMarket]]*tbl_MTG_Set[[#This Row],[Play Booster Expected Market Value]]/tbl_MTG_Set[[#This Row],[Play Boost Sealed Market Value]]</f>
        <v/>
      </c>
      <c r="BG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" s="10">
        <f>tbl_MTG_Set[[#This Row],[Play Singles CardMarket Profit]]/tbl_MTG_Set[[#This Row],[Play Booster Cost]]</f>
        <v/>
      </c>
      <c r="BI99" s="10">
        <f>tbl_MTG_Set[[#This Row],[Play Singles CardMarket Profit]]&gt;0</f>
        <v/>
      </c>
      <c r="BJ99" s="10" t="n"/>
      <c r="BK99" s="10" t="n"/>
      <c r="BL99" s="10">
        <f>tbl_MTG_Set[[#This Row],[Collector Booster Sell Price CardMarket]]*tbl_MTG_Set[[#This Row],[Collector Booster Expected Market Value]]/tbl_MTG_Set[[#This Row],[Collector Boost Sealed Market Value]]</f>
        <v/>
      </c>
      <c r="BM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" s="10">
        <f>tbl_MTG_Set[[#This Row],[Collector Singles CardMarket Profit]]/tbl_MTG_Set[[#This Row],[Collector Booster Cost]]</f>
        <v/>
      </c>
      <c r="BO99" s="10">
        <f>tbl_MTG_Set[[#This Row],[Collector Singles CardMarket Profit]]&gt;0</f>
        <v/>
      </c>
      <c r="BP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">
      <c r="A100" t="n">
        <v>98</v>
      </c>
      <c r="B100" t="inlineStr">
        <is>
          <t>Assassin's Creed ACR</t>
        </is>
      </c>
      <c r="C100" t="n">
        <v>309</v>
      </c>
      <c r="D100" s="3" t="n">
        <v>45478</v>
      </c>
      <c r="E100" t="inlineStr">
        <is>
          <t>Universes Beyond</t>
        </is>
      </c>
      <c r="F100" t="inlineStr">
        <is>
          <t>en es fr de it pt ja ko ru 汉语 漢語</t>
        </is>
      </c>
      <c r="G100" t="n">
        <v>142</v>
      </c>
      <c r="H100">
        <f>MONTH(NOW())+12*YEAR(NOW())-MONTH(tbl_MTG_Set[[#This Row],[Released On]])-12*YEAR(tbl_MTG_Set[[#This Row],[Released On]])</f>
        <v/>
      </c>
      <c r="I100">
        <f>_xlfn.XLOOKUP(tbl_MTG_Set[[#This Row],[Type Name]], tbl_MTG_Set_Type[Set Type], tbl_MTG_Set_Type[Index], "(Set Type not found)")</f>
        <v/>
      </c>
      <c r="J100">
        <f>_xlfn.XLOOKUP(tbl_MTG_Set[[#This Row],[Type Name]], tbl_MTG_Set_Type[Set Type], tbl_MTG_Set_Type[Buy Window Month Start], "(Set Type not found)")</f>
        <v/>
      </c>
      <c r="K100" s="3">
        <f>tbl_MTG_Set[[#This Row],[Released On]]+tbl_MTG_Set[[#This Row],[Buy Window Month Start]]*365.25/12</f>
        <v/>
      </c>
      <c r="L100">
        <f>_xlfn.XLOOKUP(tbl_MTG_Set[[#This Row],[Type Name]], tbl_MTG_Set_Type[Set Type], tbl_MTG_Set_Type[Buy Window Month End], "(Set Type not found)", 0, 1)</f>
        <v/>
      </c>
      <c r="M100" s="3">
        <f>tbl_MTG_Set[[#This Row],[Released On]]+tbl_MTG_Set[[#This Row],[Buy Window Month End]]*365.25/12</f>
        <v/>
      </c>
      <c r="N100" s="3">
        <f>AND(NOW()&gt;=tbl_MTG_Set[[#This Row],[Buy Window Start]], NOW()&lt;=tbl_MTG_Set[[#This Row],[Buy Window End]])</f>
        <v/>
      </c>
      <c r="O100">
        <f>_xlfn.XLOOKUP(tbl_MTG_Set[[#This Row],[Type Name]], tbl_MTG_Set_Type[Set Type], tbl_MTG_Set_Type[Heavy Printing Window Month Start], "(Set Type not found)", 0, 1)</f>
        <v/>
      </c>
      <c r="P100" s="3">
        <f>tbl_MTG_Set[[#This Row],[Released On]]+tbl_MTG_Set[[#This Row],[Heavy Printing Window Month Start]]*365.25/12</f>
        <v/>
      </c>
      <c r="Q100">
        <f>_xlfn.XLOOKUP(tbl_MTG_Set[[#This Row],[Type Name]], tbl_MTG_Set_Type[Set Type], tbl_MTG_Set_Type[Heavy Printing Window Month End], "(Set Type not found)", 0, 1)</f>
        <v/>
      </c>
      <c r="R100" s="3">
        <f>tbl_MTG_Set[[#This Row],[Released On]]+tbl_MTG_Set[[#This Row],[Heavy Printing Window Month End]]*365.25/12</f>
        <v/>
      </c>
      <c r="S100" s="3">
        <f>AND(NOW()&gt;=tbl_MTG_Set[[#This Row],[Heavy Printing Window Start]], NOW()&lt;=tbl_MTG_Set[[#This Row],[Heavy Printing Window End]])</f>
        <v/>
      </c>
      <c r="T100">
        <f>_xlfn.XLOOKUP(tbl_MTG_Set[[#This Row],[Type Name]], tbl_MTG_Set_Type[Set Type], tbl_MTG_Set_Type[Sell Window Month Start], "(Set Type not found)", 0, 1)</f>
        <v/>
      </c>
      <c r="U100" s="3">
        <f>tbl_MTG_Set[[#This Row],[Released On]]+tbl_MTG_Set[[#This Row],[Sell Window Month Start]]*365.25/12</f>
        <v/>
      </c>
      <c r="V100">
        <f>_xlfn.XLOOKUP(tbl_MTG_Set[[#This Row],[Type Name]], tbl_MTG_Set_Type[Set Type], tbl_MTG_Set_Type[Sell Window Month End], "(Set Type not found)", 0, 1)</f>
        <v/>
      </c>
      <c r="W100" s="3">
        <f>tbl_MTG_Set[[#This Row],[Released On]]+tbl_MTG_Set[[#This Row],[Sell Window Month End]]*365.25/12</f>
        <v/>
      </c>
      <c r="X100" s="3">
        <f>AND(NOW()&gt;=tbl_MTG_Set[[#This Row],[Sell Window Start]], NOW()&lt;=tbl_MTG_Set[[#This Row],[Sell Window End]])</f>
        <v/>
      </c>
      <c r="Y100" s="10" t="n">
        <v>98</v>
      </c>
      <c r="Z100" s="10" t="n">
        <v>115</v>
      </c>
      <c r="AC100" s="10" t="n">
        <v>113</v>
      </c>
      <c r="AD100" s="10">
        <f>(Y100+96/20)/24</f>
        <v/>
      </c>
      <c r="AE100" s="10">
        <f>(Z100+96/20)/24</f>
        <v/>
      </c>
      <c r="AF100" s="10">
        <f>(AA100+96/20)/24</f>
        <v/>
      </c>
      <c r="AG100" s="10">
        <f>(AB100+96/20)/24</f>
        <v/>
      </c>
      <c r="AH100" s="10">
        <f>(AC100+96/20)/24</f>
        <v/>
      </c>
      <c r="AI100" s="4" t="n">
        <v>63</v>
      </c>
      <c r="AJ100" s="4" t="n">
        <v>18</v>
      </c>
      <c r="AK100" s="4" t="n">
        <v>86</v>
      </c>
      <c r="AL100" s="4" t="n">
        <v>85</v>
      </c>
      <c r="AM100" s="10">
        <f t="array" ref="AM1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" s="10">
        <f t="array" ref="AN1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" s="4">
        <f>_xlfn.XLOOKUP(tbl_MTG_Set[[#This Row],[Play Booster Box Product Id]], tbl_Product[Product Id], tbl_Product[Pack Size])</f>
        <v/>
      </c>
      <c r="AP100" s="10">
        <f>(tbl_MTG_Set[[#This Row],[Play Booster Box Cost]]+v_Item_Shipping_Cost_In)/tbl_MTG_Set[[#This Row],[Play Booster Box Size]]</f>
        <v/>
      </c>
      <c r="AQ100" s="10">
        <f t="array" ref="AQ1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" s="10" t="n">
        <v>5</v>
      </c>
      <c r="AS10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" s="17">
        <f>tbl_MTG_Set[[#This Row],[Play Booster CardMarket Profit]]/tbl_MTG_Set[[#This Row],[Play Booster Cost]]</f>
        <v/>
      </c>
      <c r="AU100" s="10">
        <f>_xlfn.XLOOKUP(tbl_MTG_Set[[#This Row],[Collector Booster Box Product Id]], tbl_Product[Product Id], tbl_Product[Min Cost])</f>
        <v/>
      </c>
      <c r="AV100" s="10">
        <f>_xlfn.XLOOKUP(tbl_MTG_Set[[#This Row],[Collector Booster Box Product Id]], tbl_Product[Product Id], tbl_Product[Best Source])</f>
        <v/>
      </c>
      <c r="AW100" s="4">
        <f>_xlfn.XLOOKUP(tbl_MTG_Set[[#This Row],[Collector Booster Box Product Id]], tbl_Product[Product Id], tbl_Product[Pack Size])</f>
        <v/>
      </c>
      <c r="AX100" s="10">
        <f>(tbl_MTG_Set[[#This Row],[Collector Booster Box Cost]] + v_Item_Shipping_Cost_In) / tbl_MTG_Set[[#This Row],[Collector Booster Box Size]]</f>
        <v/>
      </c>
      <c r="AY100" s="10">
        <f t="array" ref="AY1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" s="10" t="n"/>
      <c r="BA1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" s="17">
        <f>tbl_MTG_Set[[#This Row],[Collector Booster CardMarket Profit]]/tbl_MTG_Set[[#This Row],[Collector Booster Cost]]</f>
        <v/>
      </c>
      <c r="BC100" s="10" t="n"/>
      <c r="BF100" s="10">
        <f>tbl_MTG_Set[[#This Row],[Play Booster Sell Price CardMarket]]*tbl_MTG_Set[[#This Row],[Play Booster Expected Market Value]]/tbl_MTG_Set[[#This Row],[Play Boost Sealed Market Value]]</f>
        <v/>
      </c>
      <c r="BG1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" s="17">
        <f>tbl_MTG_Set[[#This Row],[Play Singles CardMarket Profit]]/tbl_MTG_Set[[#This Row],[Play Booster Cost]]</f>
        <v/>
      </c>
      <c r="BI100" s="10">
        <f>tbl_MTG_Set[[#This Row],[Play Singles CardMarket Profit]]&gt;0</f>
        <v/>
      </c>
      <c r="BJ100" s="10" t="n"/>
      <c r="BK100" s="10" t="n"/>
      <c r="BL100" s="10">
        <f>tbl_MTG_Set[[#This Row],[Collector Booster Sell Price CardMarket]]*tbl_MTG_Set[[#This Row],[Collector Booster Expected Market Value]]/tbl_MTG_Set[[#This Row],[Collector Boost Sealed Market Value]]</f>
        <v/>
      </c>
      <c r="BM1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" s="17">
        <f>tbl_MTG_Set[[#This Row],[Collector Singles CardMarket Profit]]/tbl_MTG_Set[[#This Row],[Collector Booster Cost]]</f>
        <v/>
      </c>
      <c r="BO100" s="10">
        <f>tbl_MTG_Set[[#This Row],[Collector Singles CardMarket Profit]]&gt;0</f>
        <v/>
      </c>
      <c r="BP1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">
      <c r="A101" t="n">
        <v>99</v>
      </c>
      <c r="B101" t="inlineStr">
        <is>
          <t>Assassin's Creed Tokens TACR</t>
        </is>
      </c>
      <c r="C101" t="n">
        <v>8</v>
      </c>
      <c r="D101" s="3" t="n">
        <v>45478</v>
      </c>
      <c r="E101" t="inlineStr">
        <is>
          <t>Universes Beyond</t>
        </is>
      </c>
      <c r="F101" t="inlineStr">
        <is>
          <t>en es fr de it pt ja ko ru 汉语 漢語</t>
        </is>
      </c>
      <c r="G101" t="n">
        <v>144</v>
      </c>
      <c r="H101">
        <f>MONTH(NOW())+12*YEAR(NOW())-MONTH(tbl_MTG_Set[[#This Row],[Released On]])-12*YEAR(tbl_MTG_Set[[#This Row],[Released On]])</f>
        <v/>
      </c>
      <c r="I101">
        <f>_xlfn.XLOOKUP(tbl_MTG_Set[[#This Row],[Type Name]], tbl_MTG_Set_Type[Set Type], tbl_MTG_Set_Type[Index], "(Set Type not found)")</f>
        <v/>
      </c>
      <c r="J101">
        <f>_xlfn.XLOOKUP(tbl_MTG_Set[[#This Row],[Type Name]], tbl_MTG_Set_Type[Set Type], tbl_MTG_Set_Type[Buy Window Month Start], "(Set Type not found)")</f>
        <v/>
      </c>
      <c r="K101" s="3">
        <f>tbl_MTG_Set[[#This Row],[Released On]]+tbl_MTG_Set[[#This Row],[Buy Window Month Start]]*365.25/12</f>
        <v/>
      </c>
      <c r="L101">
        <f>_xlfn.XLOOKUP(tbl_MTG_Set[[#This Row],[Type Name]], tbl_MTG_Set_Type[Set Type], tbl_MTG_Set_Type[Buy Window Month End], "(Set Type not found)", 0, 1)</f>
        <v/>
      </c>
      <c r="M101" s="3">
        <f>tbl_MTG_Set[[#This Row],[Released On]]+tbl_MTG_Set[[#This Row],[Buy Window Month End]]*365.25/12</f>
        <v/>
      </c>
      <c r="N101" s="3">
        <f>AND(NOW()&gt;=tbl_MTG_Set[[#This Row],[Buy Window Start]], NOW()&lt;=tbl_MTG_Set[[#This Row],[Buy Window End]])</f>
        <v/>
      </c>
      <c r="O101">
        <f>_xlfn.XLOOKUP(tbl_MTG_Set[[#This Row],[Type Name]], tbl_MTG_Set_Type[Set Type], tbl_MTG_Set_Type[Heavy Printing Window Month Start], "(Set Type not found)", 0, 1)</f>
        <v/>
      </c>
      <c r="P101" s="3">
        <f>tbl_MTG_Set[[#This Row],[Released On]]+tbl_MTG_Set[[#This Row],[Heavy Printing Window Month Start]]*365.25/12</f>
        <v/>
      </c>
      <c r="Q101">
        <f>_xlfn.XLOOKUP(tbl_MTG_Set[[#This Row],[Type Name]], tbl_MTG_Set_Type[Set Type], tbl_MTG_Set_Type[Heavy Printing Window Month End], "(Set Type not found)", 0, 1)</f>
        <v/>
      </c>
      <c r="R101" s="3">
        <f>tbl_MTG_Set[[#This Row],[Released On]]+tbl_MTG_Set[[#This Row],[Heavy Printing Window Month End]]*365.25/12</f>
        <v/>
      </c>
      <c r="S101" s="3">
        <f>AND(NOW()&gt;=tbl_MTG_Set[[#This Row],[Heavy Printing Window Start]], NOW()&lt;=tbl_MTG_Set[[#This Row],[Heavy Printing Window End]])</f>
        <v/>
      </c>
      <c r="T101">
        <f>_xlfn.XLOOKUP(tbl_MTG_Set[[#This Row],[Type Name]], tbl_MTG_Set_Type[Set Type], tbl_MTG_Set_Type[Sell Window Month Start], "(Set Type not found)", 0, 1)</f>
        <v/>
      </c>
      <c r="U101" s="3">
        <f>tbl_MTG_Set[[#This Row],[Released On]]+tbl_MTG_Set[[#This Row],[Sell Window Month Start]]*365.25/12</f>
        <v/>
      </c>
      <c r="V101">
        <f>_xlfn.XLOOKUP(tbl_MTG_Set[[#This Row],[Type Name]], tbl_MTG_Set_Type[Set Type], tbl_MTG_Set_Type[Sell Window Month End], "(Set Type not found)", 0, 1)</f>
        <v/>
      </c>
      <c r="W101" s="3">
        <f>tbl_MTG_Set[[#This Row],[Released On]]+tbl_MTG_Set[[#This Row],[Sell Window Month End]]*365.25/12</f>
        <v/>
      </c>
      <c r="X101" s="3">
        <f>AND(NOW()&gt;=tbl_MTG_Set[[#This Row],[Sell Window Start]], NOW()&lt;=tbl_MTG_Set[[#This Row],[Sell Window End]])</f>
        <v/>
      </c>
      <c r="AG101" s="10" t="n"/>
      <c r="AH101" s="10" t="n"/>
      <c r="AM101" s="10">
        <f t="array" ref="AM1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" s="10">
        <f t="array" ref="AN1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" s="4">
        <f>_xlfn.XLOOKUP(tbl_MTG_Set[[#This Row],[Play Booster Box Product Id]], tbl_Product[Product Id], tbl_Product[Pack Size])</f>
        <v/>
      </c>
      <c r="AP101" s="10">
        <f>(tbl_MTG_Set[[#This Row],[Play Booster Box Cost]]+v_Item_Shipping_Cost_In)/tbl_MTG_Set[[#This Row],[Play Booster Box Size]]</f>
        <v/>
      </c>
      <c r="AQ101" s="10">
        <f t="array" ref="AQ1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" s="10" t="n"/>
      <c r="AS101" s="10" t="n"/>
      <c r="AT101" s="17">
        <f>tbl_MTG_Set[[#This Row],[Play Booster CardMarket Profit]]/tbl_MTG_Set[[#This Row],[Play Booster Cost]]</f>
        <v/>
      </c>
      <c r="AU101" s="10">
        <f>_xlfn.XLOOKUP(tbl_MTG_Set[[#This Row],[Collector Booster Box Product Id]], tbl_Product[Product Id], tbl_Product[Min Cost])</f>
        <v/>
      </c>
      <c r="AV101" s="10">
        <f>_xlfn.XLOOKUP(tbl_MTG_Set[[#This Row],[Collector Booster Box Product Id]], tbl_Product[Product Id], tbl_Product[Best Source])</f>
        <v/>
      </c>
      <c r="AW101" s="4">
        <f>_xlfn.XLOOKUP(tbl_MTG_Set[[#This Row],[Collector Booster Box Product Id]], tbl_Product[Product Id], tbl_Product[Pack Size])</f>
        <v/>
      </c>
      <c r="AX101" s="10">
        <f>(tbl_MTG_Set[[#This Row],[Collector Booster Box Cost]] + v_Item_Shipping_Cost_In) / tbl_MTG_Set[[#This Row],[Collector Booster Box Size]]</f>
        <v/>
      </c>
      <c r="AY101" s="10">
        <f t="array" ref="AY1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" s="10" t="n"/>
      <c r="BA1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" s="17">
        <f>tbl_MTG_Set[[#This Row],[Collector Booster CardMarket Profit]]/tbl_MTG_Set[[#This Row],[Collector Booster Cost]]</f>
        <v/>
      </c>
      <c r="BC101" s="10" t="n"/>
      <c r="BF101" s="10">
        <f>tbl_MTG_Set[[#This Row],[Play Booster Sell Price CardMarket]]*tbl_MTG_Set[[#This Row],[Play Booster Expected Market Value]]/tbl_MTG_Set[[#This Row],[Play Boost Sealed Market Value]]</f>
        <v/>
      </c>
      <c r="BG1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" s="10">
        <f>tbl_MTG_Set[[#This Row],[Play Singles CardMarket Profit]]/tbl_MTG_Set[[#This Row],[Play Booster Cost]]</f>
        <v/>
      </c>
      <c r="BI101" s="10">
        <f>tbl_MTG_Set[[#This Row],[Play Singles CardMarket Profit]]&gt;0</f>
        <v/>
      </c>
      <c r="BJ101" s="10" t="n"/>
      <c r="BK101" s="10" t="n"/>
      <c r="BL101" s="10">
        <f>tbl_MTG_Set[[#This Row],[Collector Booster Sell Price CardMarket]]*tbl_MTG_Set[[#This Row],[Collector Booster Expected Market Value]]/tbl_MTG_Set[[#This Row],[Collector Boost Sealed Market Value]]</f>
        <v/>
      </c>
      <c r="BM1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" s="10">
        <f>tbl_MTG_Set[[#This Row],[Collector Singles CardMarket Profit]]/tbl_MTG_Set[[#This Row],[Collector Booster Cost]]</f>
        <v/>
      </c>
      <c r="BO101" s="10">
        <f>tbl_MTG_Set[[#This Row],[Collector Singles CardMarket Profit]]&gt;0</f>
        <v/>
      </c>
      <c r="BP1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">
      <c r="A102" t="n">
        <v>100</v>
      </c>
      <c r="B102" t="inlineStr">
        <is>
          <t>Assassin's Creed Minigames MACR</t>
        </is>
      </c>
      <c r="C102" t="n">
        <v>3</v>
      </c>
      <c r="D102" s="3" t="n">
        <v>45478</v>
      </c>
      <c r="E102" t="inlineStr">
        <is>
          <t>Universes Beyond</t>
        </is>
      </c>
      <c r="F102" t="inlineStr">
        <is>
          <t>en es fr de it pt ja ko ru 汉语 漢語</t>
        </is>
      </c>
      <c r="G102" t="n">
        <v>146</v>
      </c>
      <c r="H102">
        <f>MONTH(NOW())+12*YEAR(NOW())-MONTH(tbl_MTG_Set[[#This Row],[Released On]])-12*YEAR(tbl_MTG_Set[[#This Row],[Released On]])</f>
        <v/>
      </c>
      <c r="I102">
        <f>_xlfn.XLOOKUP(tbl_MTG_Set[[#This Row],[Type Name]], tbl_MTG_Set_Type[Set Type], tbl_MTG_Set_Type[Index], "(Set Type not found)")</f>
        <v/>
      </c>
      <c r="J102">
        <f>_xlfn.XLOOKUP(tbl_MTG_Set[[#This Row],[Type Name]], tbl_MTG_Set_Type[Set Type], tbl_MTG_Set_Type[Buy Window Month Start], "(Set Type not found)")</f>
        <v/>
      </c>
      <c r="K102" s="3">
        <f>tbl_MTG_Set[[#This Row],[Released On]]+tbl_MTG_Set[[#This Row],[Buy Window Month Start]]*365.25/12</f>
        <v/>
      </c>
      <c r="L102">
        <f>_xlfn.XLOOKUP(tbl_MTG_Set[[#This Row],[Type Name]], tbl_MTG_Set_Type[Set Type], tbl_MTG_Set_Type[Buy Window Month End], "(Set Type not found)", 0, 1)</f>
        <v/>
      </c>
      <c r="M102" s="3">
        <f>tbl_MTG_Set[[#This Row],[Released On]]+tbl_MTG_Set[[#This Row],[Buy Window Month End]]*365.25/12</f>
        <v/>
      </c>
      <c r="N102" s="3">
        <f>AND(NOW()&gt;=tbl_MTG_Set[[#This Row],[Buy Window Start]], NOW()&lt;=tbl_MTG_Set[[#This Row],[Buy Window End]])</f>
        <v/>
      </c>
      <c r="O102">
        <f>_xlfn.XLOOKUP(tbl_MTG_Set[[#This Row],[Type Name]], tbl_MTG_Set_Type[Set Type], tbl_MTG_Set_Type[Heavy Printing Window Month Start], "(Set Type not found)", 0, 1)</f>
        <v/>
      </c>
      <c r="P102" s="3">
        <f>tbl_MTG_Set[[#This Row],[Released On]]+tbl_MTG_Set[[#This Row],[Heavy Printing Window Month Start]]*365.25/12</f>
        <v/>
      </c>
      <c r="Q102">
        <f>_xlfn.XLOOKUP(tbl_MTG_Set[[#This Row],[Type Name]], tbl_MTG_Set_Type[Set Type], tbl_MTG_Set_Type[Heavy Printing Window Month End], "(Set Type not found)", 0, 1)</f>
        <v/>
      </c>
      <c r="R102" s="3">
        <f>tbl_MTG_Set[[#This Row],[Released On]]+tbl_MTG_Set[[#This Row],[Heavy Printing Window Month End]]*365.25/12</f>
        <v/>
      </c>
      <c r="S102" s="3">
        <f>AND(NOW()&gt;=tbl_MTG_Set[[#This Row],[Heavy Printing Window Start]], NOW()&lt;=tbl_MTG_Set[[#This Row],[Heavy Printing Window End]])</f>
        <v/>
      </c>
      <c r="T102">
        <f>_xlfn.XLOOKUP(tbl_MTG_Set[[#This Row],[Type Name]], tbl_MTG_Set_Type[Set Type], tbl_MTG_Set_Type[Sell Window Month Start], "(Set Type not found)", 0, 1)</f>
        <v/>
      </c>
      <c r="U102" s="3">
        <f>tbl_MTG_Set[[#This Row],[Released On]]+tbl_MTG_Set[[#This Row],[Sell Window Month Start]]*365.25/12</f>
        <v/>
      </c>
      <c r="V102">
        <f>_xlfn.XLOOKUP(tbl_MTG_Set[[#This Row],[Type Name]], tbl_MTG_Set_Type[Set Type], tbl_MTG_Set_Type[Sell Window Month End], "(Set Type not found)", 0, 1)</f>
        <v/>
      </c>
      <c r="W102" s="3">
        <f>tbl_MTG_Set[[#This Row],[Released On]]+tbl_MTG_Set[[#This Row],[Sell Window Month End]]*365.25/12</f>
        <v/>
      </c>
      <c r="X102" s="3">
        <f>AND(NOW()&gt;=tbl_MTG_Set[[#This Row],[Sell Window Start]], NOW()&lt;=tbl_MTG_Set[[#This Row],[Sell Window End]])</f>
        <v/>
      </c>
      <c r="AG102" s="10" t="n"/>
      <c r="AH102" s="10" t="n"/>
      <c r="AM102" s="10">
        <f t="array" ref="AM1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" s="10">
        <f t="array" ref="AN1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" s="4">
        <f>_xlfn.XLOOKUP(tbl_MTG_Set[[#This Row],[Play Booster Box Product Id]], tbl_Product[Product Id], tbl_Product[Pack Size])</f>
        <v/>
      </c>
      <c r="AP102" s="10">
        <f>(tbl_MTG_Set[[#This Row],[Play Booster Box Cost]]+v_Item_Shipping_Cost_In)/tbl_MTG_Set[[#This Row],[Play Booster Box Size]]</f>
        <v/>
      </c>
      <c r="AQ102" s="10">
        <f t="array" ref="AQ1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2" s="10" t="n"/>
      <c r="AS102" s="10" t="n"/>
      <c r="AT102" s="17">
        <f>tbl_MTG_Set[[#This Row],[Play Booster CardMarket Profit]]/tbl_MTG_Set[[#This Row],[Play Booster Cost]]</f>
        <v/>
      </c>
      <c r="AU102" s="10">
        <f>_xlfn.XLOOKUP(tbl_MTG_Set[[#This Row],[Collector Booster Box Product Id]], tbl_Product[Product Id], tbl_Product[Min Cost])</f>
        <v/>
      </c>
      <c r="AV102" s="10">
        <f>_xlfn.XLOOKUP(tbl_MTG_Set[[#This Row],[Collector Booster Box Product Id]], tbl_Product[Product Id], tbl_Product[Best Source])</f>
        <v/>
      </c>
      <c r="AW102" s="4">
        <f>_xlfn.XLOOKUP(tbl_MTG_Set[[#This Row],[Collector Booster Box Product Id]], tbl_Product[Product Id], tbl_Product[Pack Size])</f>
        <v/>
      </c>
      <c r="AX102" s="10">
        <f>(tbl_MTG_Set[[#This Row],[Collector Booster Box Cost]] + v_Item_Shipping_Cost_In) / tbl_MTG_Set[[#This Row],[Collector Booster Box Size]]</f>
        <v/>
      </c>
      <c r="AY102" s="10">
        <f t="array" ref="AY1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2" s="10" t="n"/>
      <c r="BA1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" s="17">
        <f>tbl_MTG_Set[[#This Row],[Collector Booster CardMarket Profit]]/tbl_MTG_Set[[#This Row],[Collector Booster Cost]]</f>
        <v/>
      </c>
      <c r="BC102" s="10" t="n"/>
      <c r="BF102" s="10">
        <f>tbl_MTG_Set[[#This Row],[Play Booster Sell Price CardMarket]]*tbl_MTG_Set[[#This Row],[Play Booster Expected Market Value]]/tbl_MTG_Set[[#This Row],[Play Boost Sealed Market Value]]</f>
        <v/>
      </c>
      <c r="BG1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" s="10">
        <f>tbl_MTG_Set[[#This Row],[Play Singles CardMarket Profit]]/tbl_MTG_Set[[#This Row],[Play Booster Cost]]</f>
        <v/>
      </c>
      <c r="BI102" s="10">
        <f>tbl_MTG_Set[[#This Row],[Play Singles CardMarket Profit]]&gt;0</f>
        <v/>
      </c>
      <c r="BJ102" s="10" t="n"/>
      <c r="BK102" s="10" t="n"/>
      <c r="BL102" s="10">
        <f>tbl_MTG_Set[[#This Row],[Collector Booster Sell Price CardMarket]]*tbl_MTG_Set[[#This Row],[Collector Booster Expected Market Value]]/tbl_MTG_Set[[#This Row],[Collector Boost Sealed Market Value]]</f>
        <v/>
      </c>
      <c r="BM1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" s="10">
        <f>tbl_MTG_Set[[#This Row],[Collector Singles CardMarket Profit]]/tbl_MTG_Set[[#This Row],[Collector Booster Cost]]</f>
        <v/>
      </c>
      <c r="BO102" s="10">
        <f>tbl_MTG_Set[[#This Row],[Collector Singles CardMarket Profit]]&gt;0</f>
        <v/>
      </c>
      <c r="BP1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3">
      <c r="A103" t="n">
        <v>101</v>
      </c>
      <c r="B103" t="inlineStr">
        <is>
          <t>Assassin's Creed Art Series AACR</t>
        </is>
      </c>
      <c r="C103" t="n">
        <v>20</v>
      </c>
      <c r="D103" s="3" t="n">
        <v>45478</v>
      </c>
      <c r="E103" t="inlineStr">
        <is>
          <t>Universes Beyond</t>
        </is>
      </c>
      <c r="F103" t="inlineStr">
        <is>
          <t>en es fr de it pt ja ko ru 汉语 漢語</t>
        </is>
      </c>
      <c r="G103" t="n">
        <v>148</v>
      </c>
      <c r="H103">
        <f>MONTH(NOW())+12*YEAR(NOW())-MONTH(tbl_MTG_Set[[#This Row],[Released On]])-12*YEAR(tbl_MTG_Set[[#This Row],[Released On]])</f>
        <v/>
      </c>
      <c r="I103">
        <f>_xlfn.XLOOKUP(tbl_MTG_Set[[#This Row],[Type Name]], tbl_MTG_Set_Type[Set Type], tbl_MTG_Set_Type[Index], "(Set Type not found)")</f>
        <v/>
      </c>
      <c r="J103">
        <f>_xlfn.XLOOKUP(tbl_MTG_Set[[#This Row],[Type Name]], tbl_MTG_Set_Type[Set Type], tbl_MTG_Set_Type[Buy Window Month Start], "(Set Type not found)")</f>
        <v/>
      </c>
      <c r="K103" s="3">
        <f>tbl_MTG_Set[[#This Row],[Released On]]+tbl_MTG_Set[[#This Row],[Buy Window Month Start]]*365.25/12</f>
        <v/>
      </c>
      <c r="L103">
        <f>_xlfn.XLOOKUP(tbl_MTG_Set[[#This Row],[Type Name]], tbl_MTG_Set_Type[Set Type], tbl_MTG_Set_Type[Buy Window Month End], "(Set Type not found)", 0, 1)</f>
        <v/>
      </c>
      <c r="M103" s="3">
        <f>tbl_MTG_Set[[#This Row],[Released On]]+tbl_MTG_Set[[#This Row],[Buy Window Month End]]*365.25/12</f>
        <v/>
      </c>
      <c r="N103" s="3">
        <f>AND(NOW()&gt;=tbl_MTG_Set[[#This Row],[Buy Window Start]], NOW()&lt;=tbl_MTG_Set[[#This Row],[Buy Window End]])</f>
        <v/>
      </c>
      <c r="O103">
        <f>_xlfn.XLOOKUP(tbl_MTG_Set[[#This Row],[Type Name]], tbl_MTG_Set_Type[Set Type], tbl_MTG_Set_Type[Heavy Printing Window Month Start], "(Set Type not found)", 0, 1)</f>
        <v/>
      </c>
      <c r="P103" s="3">
        <f>tbl_MTG_Set[[#This Row],[Released On]]+tbl_MTG_Set[[#This Row],[Heavy Printing Window Month Start]]*365.25/12</f>
        <v/>
      </c>
      <c r="Q103">
        <f>_xlfn.XLOOKUP(tbl_MTG_Set[[#This Row],[Type Name]], tbl_MTG_Set_Type[Set Type], tbl_MTG_Set_Type[Heavy Printing Window Month End], "(Set Type not found)", 0, 1)</f>
        <v/>
      </c>
      <c r="R103" s="3">
        <f>tbl_MTG_Set[[#This Row],[Released On]]+tbl_MTG_Set[[#This Row],[Heavy Printing Window Month End]]*365.25/12</f>
        <v/>
      </c>
      <c r="S103" s="3">
        <f>AND(NOW()&gt;=tbl_MTG_Set[[#This Row],[Heavy Printing Window Start]], NOW()&lt;=tbl_MTG_Set[[#This Row],[Heavy Printing Window End]])</f>
        <v/>
      </c>
      <c r="T103">
        <f>_xlfn.XLOOKUP(tbl_MTG_Set[[#This Row],[Type Name]], tbl_MTG_Set_Type[Set Type], tbl_MTG_Set_Type[Sell Window Month Start], "(Set Type not found)", 0, 1)</f>
        <v/>
      </c>
      <c r="U103" s="3">
        <f>tbl_MTG_Set[[#This Row],[Released On]]+tbl_MTG_Set[[#This Row],[Sell Window Month Start]]*365.25/12</f>
        <v/>
      </c>
      <c r="V103">
        <f>_xlfn.XLOOKUP(tbl_MTG_Set[[#This Row],[Type Name]], tbl_MTG_Set_Type[Set Type], tbl_MTG_Set_Type[Sell Window Month End], "(Set Type not found)", 0, 1)</f>
        <v/>
      </c>
      <c r="W103" s="3">
        <f>tbl_MTG_Set[[#This Row],[Released On]]+tbl_MTG_Set[[#This Row],[Sell Window Month End]]*365.25/12</f>
        <v/>
      </c>
      <c r="X103" s="3">
        <f>AND(NOW()&gt;=tbl_MTG_Set[[#This Row],[Sell Window Start]], NOW()&lt;=tbl_MTG_Set[[#This Row],[Sell Window End]])</f>
        <v/>
      </c>
      <c r="AG103" s="10" t="n"/>
      <c r="AH103" s="10" t="n"/>
      <c r="AM103" s="10">
        <f t="array" ref="AM1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3" s="10">
        <f t="array" ref="AN1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3" s="4">
        <f>_xlfn.XLOOKUP(tbl_MTG_Set[[#This Row],[Play Booster Box Product Id]], tbl_Product[Product Id], tbl_Product[Pack Size])</f>
        <v/>
      </c>
      <c r="AP103" s="10">
        <f>(tbl_MTG_Set[[#This Row],[Play Booster Box Cost]]+v_Item_Shipping_Cost_In)/tbl_MTG_Set[[#This Row],[Play Booster Box Size]]</f>
        <v/>
      </c>
      <c r="AQ103" s="10">
        <f t="array" ref="AQ1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3" s="10" t="n"/>
      <c r="AS103" s="10" t="n"/>
      <c r="AT103" s="17">
        <f>tbl_MTG_Set[[#This Row],[Play Booster CardMarket Profit]]/tbl_MTG_Set[[#This Row],[Play Booster Cost]]</f>
        <v/>
      </c>
      <c r="AU103" s="10">
        <f>_xlfn.XLOOKUP(tbl_MTG_Set[[#This Row],[Collector Booster Box Product Id]], tbl_Product[Product Id], tbl_Product[Min Cost])</f>
        <v/>
      </c>
      <c r="AV103" s="10">
        <f>_xlfn.XLOOKUP(tbl_MTG_Set[[#This Row],[Collector Booster Box Product Id]], tbl_Product[Product Id], tbl_Product[Best Source])</f>
        <v/>
      </c>
      <c r="AW103" s="4">
        <f>_xlfn.XLOOKUP(tbl_MTG_Set[[#This Row],[Collector Booster Box Product Id]], tbl_Product[Product Id], tbl_Product[Pack Size])</f>
        <v/>
      </c>
      <c r="AX103" s="10">
        <f>(tbl_MTG_Set[[#This Row],[Collector Booster Box Cost]] + v_Item_Shipping_Cost_In) / tbl_MTG_Set[[#This Row],[Collector Booster Box Size]]</f>
        <v/>
      </c>
      <c r="AY103" s="10">
        <f t="array" ref="AY1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3" s="10" t="n"/>
      <c r="BA1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3" s="17">
        <f>tbl_MTG_Set[[#This Row],[Collector Booster CardMarket Profit]]/tbl_MTG_Set[[#This Row],[Collector Booster Cost]]</f>
        <v/>
      </c>
      <c r="BC103" s="10" t="n"/>
      <c r="BF103" s="10">
        <f>tbl_MTG_Set[[#This Row],[Play Booster Sell Price CardMarket]]*tbl_MTG_Set[[#This Row],[Play Booster Expected Market Value]]/tbl_MTG_Set[[#This Row],[Play Boost Sealed Market Value]]</f>
        <v/>
      </c>
      <c r="BG1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3" s="10">
        <f>tbl_MTG_Set[[#This Row],[Play Singles CardMarket Profit]]/tbl_MTG_Set[[#This Row],[Play Booster Cost]]</f>
        <v/>
      </c>
      <c r="BI103" s="10">
        <f>tbl_MTG_Set[[#This Row],[Play Singles CardMarket Profit]]&gt;0</f>
        <v/>
      </c>
      <c r="BJ103" s="10" t="n"/>
      <c r="BK103" s="10" t="n"/>
      <c r="BL103" s="10">
        <f>tbl_MTG_Set[[#This Row],[Collector Booster Sell Price CardMarket]]*tbl_MTG_Set[[#This Row],[Collector Booster Expected Market Value]]/tbl_MTG_Set[[#This Row],[Collector Boost Sealed Market Value]]</f>
        <v/>
      </c>
      <c r="BM1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3" s="10">
        <f>tbl_MTG_Set[[#This Row],[Collector Singles CardMarket Profit]]/tbl_MTG_Set[[#This Row],[Collector Booster Cost]]</f>
        <v/>
      </c>
      <c r="BO103" s="10">
        <f>tbl_MTG_Set[[#This Row],[Collector Singles CardMarket Profit]]&gt;0</f>
        <v/>
      </c>
      <c r="BP1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4">
      <c r="A104" t="n">
        <v>102</v>
      </c>
      <c r="B104" t="inlineStr">
        <is>
          <t>Modern Horizons 3 MH3</t>
        </is>
      </c>
      <c r="C104" t="n">
        <v>528</v>
      </c>
      <c r="D104" s="3" t="n">
        <v>45457</v>
      </c>
      <c r="E104" t="inlineStr">
        <is>
          <t>Modern Horizons</t>
        </is>
      </c>
      <c r="F104" t="inlineStr">
        <is>
          <t>en es fr de it pt ja ko ru 汉语 漢語</t>
        </is>
      </c>
      <c r="G104" t="n">
        <v>150</v>
      </c>
      <c r="H104">
        <f>MONTH(NOW())+12*YEAR(NOW())-MONTH(tbl_MTG_Set[[#This Row],[Released On]])-12*YEAR(tbl_MTG_Set[[#This Row],[Released On]])</f>
        <v/>
      </c>
      <c r="I104">
        <f>_xlfn.XLOOKUP(tbl_MTG_Set[[#This Row],[Type Name]], tbl_MTG_Set_Type[Set Type], tbl_MTG_Set_Type[Index], "(Set Type not found)")</f>
        <v/>
      </c>
      <c r="J104">
        <f>_xlfn.XLOOKUP(tbl_MTG_Set[[#This Row],[Type Name]], tbl_MTG_Set_Type[Set Type], tbl_MTG_Set_Type[Buy Window Month Start], "(Set Type not found)")</f>
        <v/>
      </c>
      <c r="K104" s="3">
        <f>tbl_MTG_Set[[#This Row],[Released On]]+tbl_MTG_Set[[#This Row],[Buy Window Month Start]]*365.25/12</f>
        <v/>
      </c>
      <c r="L104">
        <f>_xlfn.XLOOKUP(tbl_MTG_Set[[#This Row],[Type Name]], tbl_MTG_Set_Type[Set Type], tbl_MTG_Set_Type[Buy Window Month End], "(Set Type not found)", 0, 1)</f>
        <v/>
      </c>
      <c r="M104" s="3">
        <f>tbl_MTG_Set[[#This Row],[Released On]]+tbl_MTG_Set[[#This Row],[Buy Window Month End]]*365.25/12</f>
        <v/>
      </c>
      <c r="N104" s="3">
        <f>AND(NOW()&gt;=tbl_MTG_Set[[#This Row],[Buy Window Start]], NOW()&lt;=tbl_MTG_Set[[#This Row],[Buy Window End]])</f>
        <v/>
      </c>
      <c r="O104">
        <f>_xlfn.XLOOKUP(tbl_MTG_Set[[#This Row],[Type Name]], tbl_MTG_Set_Type[Set Type], tbl_MTG_Set_Type[Heavy Printing Window Month Start], "(Set Type not found)", 0, 1)</f>
        <v/>
      </c>
      <c r="P104" s="3">
        <f>tbl_MTG_Set[[#This Row],[Released On]]+tbl_MTG_Set[[#This Row],[Heavy Printing Window Month Start]]*365.25/12</f>
        <v/>
      </c>
      <c r="Q104">
        <f>_xlfn.XLOOKUP(tbl_MTG_Set[[#This Row],[Type Name]], tbl_MTG_Set_Type[Set Type], tbl_MTG_Set_Type[Heavy Printing Window Month End], "(Set Type not found)", 0, 1)</f>
        <v/>
      </c>
      <c r="R104" s="3">
        <f>tbl_MTG_Set[[#This Row],[Released On]]+tbl_MTG_Set[[#This Row],[Heavy Printing Window Month End]]*365.25/12</f>
        <v/>
      </c>
      <c r="S104" s="3">
        <f>AND(NOW()&gt;=tbl_MTG_Set[[#This Row],[Heavy Printing Window Start]], NOW()&lt;=tbl_MTG_Set[[#This Row],[Heavy Printing Window End]])</f>
        <v/>
      </c>
      <c r="T104">
        <f>_xlfn.XLOOKUP(tbl_MTG_Set[[#This Row],[Type Name]], tbl_MTG_Set_Type[Set Type], tbl_MTG_Set_Type[Sell Window Month Start], "(Set Type not found)", 0, 1)</f>
        <v/>
      </c>
      <c r="U104" s="3">
        <f>tbl_MTG_Set[[#This Row],[Released On]]+tbl_MTG_Set[[#This Row],[Sell Window Month Start]]*365.25/12</f>
        <v/>
      </c>
      <c r="V104">
        <f>_xlfn.XLOOKUP(tbl_MTG_Set[[#This Row],[Type Name]], tbl_MTG_Set_Type[Set Type], tbl_MTG_Set_Type[Sell Window Month End], "(Set Type not found)", 0, 1)</f>
        <v/>
      </c>
      <c r="W104" s="3">
        <f>tbl_MTG_Set[[#This Row],[Released On]]+tbl_MTG_Set[[#This Row],[Sell Window Month End]]*365.25/12</f>
        <v/>
      </c>
      <c r="X104" s="3">
        <f>AND(NOW()&gt;=tbl_MTG_Set[[#This Row],[Sell Window Start]], NOW()&lt;=tbl_MTG_Set[[#This Row],[Sell Window End]])</f>
        <v/>
      </c>
      <c r="Y104" s="10" t="n">
        <v>250</v>
      </c>
      <c r="Z104" s="10" t="n">
        <v>250</v>
      </c>
      <c r="AC104" s="10" t="n">
        <v>250</v>
      </c>
      <c r="AD104" s="10">
        <f>(Y104+96/20)/36</f>
        <v/>
      </c>
      <c r="AE104" s="10">
        <f>(Z104+96/20)/36</f>
        <v/>
      </c>
      <c r="AG104" s="10" t="n"/>
      <c r="AH104" s="10">
        <f>(AC104+96/20)/36</f>
        <v/>
      </c>
      <c r="AI104" s="4" t="n">
        <v>60</v>
      </c>
      <c r="AJ104" s="4" t="n">
        <v>15</v>
      </c>
      <c r="AK104" s="4" t="n">
        <v>122</v>
      </c>
      <c r="AL104" s="4" t="n">
        <v>121</v>
      </c>
      <c r="AM104" s="10">
        <f t="array" ref="AM1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4" s="10">
        <f t="array" ref="AN1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4" s="4">
        <f>_xlfn.XLOOKUP(tbl_MTG_Set[[#This Row],[Play Booster Box Product Id]], tbl_Product[Product Id], tbl_Product[Pack Size])</f>
        <v/>
      </c>
      <c r="AP104" s="10">
        <f>(tbl_MTG_Set[[#This Row],[Play Booster Box Cost]]+v_Item_Shipping_Cost_In)/tbl_MTG_Set[[#This Row],[Play Booster Box Size]]</f>
        <v/>
      </c>
      <c r="AQ104" s="10">
        <f t="array" ref="AQ1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4" s="10" t="n">
        <v>10</v>
      </c>
      <c r="AS10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4" s="17">
        <f>tbl_MTG_Set[[#This Row],[Play Booster CardMarket Profit]]/tbl_MTG_Set[[#This Row],[Play Booster Cost]]</f>
        <v/>
      </c>
      <c r="AU104" s="10">
        <f>_xlfn.XLOOKUP(tbl_MTG_Set[[#This Row],[Collector Booster Box Product Id]], tbl_Product[Product Id], tbl_Product[Min Cost])</f>
        <v/>
      </c>
      <c r="AV104" s="10">
        <f>_xlfn.XLOOKUP(tbl_MTG_Set[[#This Row],[Collector Booster Box Product Id]], tbl_Product[Product Id], tbl_Product[Best Source])</f>
        <v/>
      </c>
      <c r="AW104" s="4">
        <f>_xlfn.XLOOKUP(tbl_MTG_Set[[#This Row],[Collector Booster Box Product Id]], tbl_Product[Product Id], tbl_Product[Pack Size])</f>
        <v/>
      </c>
      <c r="AX104" s="10">
        <f>(tbl_MTG_Set[[#This Row],[Collector Booster Box Cost]] + v_Item_Shipping_Cost_In) / tbl_MTG_Set[[#This Row],[Collector Booster Box Size]]</f>
        <v/>
      </c>
      <c r="AY104" s="10">
        <f t="array" ref="AY1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4" s="10" t="n"/>
      <c r="BA1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4" s="17">
        <f>tbl_MTG_Set[[#This Row],[Collector Booster CardMarket Profit]]/tbl_MTG_Set[[#This Row],[Collector Booster Cost]]</f>
        <v/>
      </c>
      <c r="BC104" s="15" t="inlineStr">
        <is>
          <t>https://www.mtgstocks.com/sets/1903-modern-horizons-3#ev</t>
        </is>
      </c>
      <c r="BD104" s="11" t="n">
        <v>16.06</v>
      </c>
      <c r="BE104" s="11" t="n">
        <v>7.96</v>
      </c>
      <c r="BF104" s="10">
        <f>tbl_MTG_Set[[#This Row],[Play Booster Sell Price CardMarket]]*tbl_MTG_Set[[#This Row],[Play Booster Expected Market Value]]/tbl_MTG_Set[[#This Row],[Play Boost Sealed Market Value]]</f>
        <v/>
      </c>
      <c r="BG1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4" s="17">
        <f>tbl_MTG_Set[[#This Row],[Play Singles CardMarket Profit]]/tbl_MTG_Set[[#This Row],[Play Booster Cost]]</f>
        <v/>
      </c>
      <c r="BI104" s="10">
        <f>tbl_MTG_Set[[#This Row],[Play Singles CardMarket Profit]]&gt;0</f>
        <v/>
      </c>
      <c r="BJ104" s="10" t="n"/>
      <c r="BK104" s="10" t="n"/>
      <c r="BL104" s="10">
        <f>tbl_MTG_Set[[#This Row],[Collector Booster Sell Price CardMarket]]*tbl_MTG_Set[[#This Row],[Collector Booster Expected Market Value]]/tbl_MTG_Set[[#This Row],[Collector Boost Sealed Market Value]]</f>
        <v/>
      </c>
      <c r="BM1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4" s="17">
        <f>tbl_MTG_Set[[#This Row],[Collector Singles CardMarket Profit]]/tbl_MTG_Set[[#This Row],[Collector Booster Cost]]</f>
        <v/>
      </c>
      <c r="BO104" s="10">
        <f>tbl_MTG_Set[[#This Row],[Collector Singles CardMarket Profit]]&gt;0</f>
        <v/>
      </c>
      <c r="BP1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4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5">
      <c r="A105" t="n">
        <v>103</v>
      </c>
      <c r="B105" t="inlineStr">
        <is>
          <t>Modern Horizons 3 Promos PMH3</t>
        </is>
      </c>
      <c r="C105" t="n">
        <v>85</v>
      </c>
      <c r="D105" s="3" t="n">
        <v>45457</v>
      </c>
      <c r="E105" t="inlineStr">
        <is>
          <t>Modern Horizons</t>
        </is>
      </c>
      <c r="F105" t="inlineStr">
        <is>
          <t>en es fr de it pt ja ko ru 汉语 漢語</t>
        </is>
      </c>
      <c r="G105" t="n">
        <v>152</v>
      </c>
      <c r="H105">
        <f>MONTH(NOW())+12*YEAR(NOW())-MONTH(tbl_MTG_Set[[#This Row],[Released On]])-12*YEAR(tbl_MTG_Set[[#This Row],[Released On]])</f>
        <v/>
      </c>
      <c r="I105">
        <f>_xlfn.XLOOKUP(tbl_MTG_Set[[#This Row],[Type Name]], tbl_MTG_Set_Type[Set Type], tbl_MTG_Set_Type[Index], "(Set Type not found)")</f>
        <v/>
      </c>
      <c r="J105">
        <f>_xlfn.XLOOKUP(tbl_MTG_Set[[#This Row],[Type Name]], tbl_MTG_Set_Type[Set Type], tbl_MTG_Set_Type[Buy Window Month Start], "(Set Type not found)")</f>
        <v/>
      </c>
      <c r="K105" s="3">
        <f>tbl_MTG_Set[[#This Row],[Released On]]+tbl_MTG_Set[[#This Row],[Buy Window Month Start]]*365.25/12</f>
        <v/>
      </c>
      <c r="L105">
        <f>_xlfn.XLOOKUP(tbl_MTG_Set[[#This Row],[Type Name]], tbl_MTG_Set_Type[Set Type], tbl_MTG_Set_Type[Buy Window Month End], "(Set Type not found)", 0, 1)</f>
        <v/>
      </c>
      <c r="M105" s="3">
        <f>tbl_MTG_Set[[#This Row],[Released On]]+tbl_MTG_Set[[#This Row],[Buy Window Month End]]*365.25/12</f>
        <v/>
      </c>
      <c r="N105" s="3">
        <f>AND(NOW()&gt;=tbl_MTG_Set[[#This Row],[Buy Window Start]], NOW()&lt;=tbl_MTG_Set[[#This Row],[Buy Window End]])</f>
        <v/>
      </c>
      <c r="O105">
        <f>_xlfn.XLOOKUP(tbl_MTG_Set[[#This Row],[Type Name]], tbl_MTG_Set_Type[Set Type], tbl_MTG_Set_Type[Heavy Printing Window Month Start], "(Set Type not found)", 0, 1)</f>
        <v/>
      </c>
      <c r="P105" s="3">
        <f>tbl_MTG_Set[[#This Row],[Released On]]+tbl_MTG_Set[[#This Row],[Heavy Printing Window Month Start]]*365.25/12</f>
        <v/>
      </c>
      <c r="Q105">
        <f>_xlfn.XLOOKUP(tbl_MTG_Set[[#This Row],[Type Name]], tbl_MTG_Set_Type[Set Type], tbl_MTG_Set_Type[Heavy Printing Window Month End], "(Set Type not found)", 0, 1)</f>
        <v/>
      </c>
      <c r="R105" s="3">
        <f>tbl_MTG_Set[[#This Row],[Released On]]+tbl_MTG_Set[[#This Row],[Heavy Printing Window Month End]]*365.25/12</f>
        <v/>
      </c>
      <c r="S105" s="3">
        <f>AND(NOW()&gt;=tbl_MTG_Set[[#This Row],[Heavy Printing Window Start]], NOW()&lt;=tbl_MTG_Set[[#This Row],[Heavy Printing Window End]])</f>
        <v/>
      </c>
      <c r="T105">
        <f>_xlfn.XLOOKUP(tbl_MTG_Set[[#This Row],[Type Name]], tbl_MTG_Set_Type[Set Type], tbl_MTG_Set_Type[Sell Window Month Start], "(Set Type not found)", 0, 1)</f>
        <v/>
      </c>
      <c r="U105" s="3">
        <f>tbl_MTG_Set[[#This Row],[Released On]]+tbl_MTG_Set[[#This Row],[Sell Window Month Start]]*365.25/12</f>
        <v/>
      </c>
      <c r="V105">
        <f>_xlfn.XLOOKUP(tbl_MTG_Set[[#This Row],[Type Name]], tbl_MTG_Set_Type[Set Type], tbl_MTG_Set_Type[Sell Window Month End], "(Set Type not found)", 0, 1)</f>
        <v/>
      </c>
      <c r="W105" s="3">
        <f>tbl_MTG_Set[[#This Row],[Released On]]+tbl_MTG_Set[[#This Row],[Sell Window Month End]]*365.25/12</f>
        <v/>
      </c>
      <c r="X105" s="3">
        <f>AND(NOW()&gt;=tbl_MTG_Set[[#This Row],[Sell Window Start]], NOW()&lt;=tbl_MTG_Set[[#This Row],[Sell Window End]])</f>
        <v/>
      </c>
      <c r="AG105" s="10" t="n"/>
      <c r="AH105" s="10" t="n"/>
      <c r="AM105" s="10">
        <f t="array" ref="AM1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5" s="10">
        <f t="array" ref="AN1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5" s="4">
        <f>_xlfn.XLOOKUP(tbl_MTG_Set[[#This Row],[Play Booster Box Product Id]], tbl_Product[Product Id], tbl_Product[Pack Size])</f>
        <v/>
      </c>
      <c r="AP105" s="10">
        <f>(tbl_MTG_Set[[#This Row],[Play Booster Box Cost]]+v_Item_Shipping_Cost_In)/tbl_MTG_Set[[#This Row],[Play Booster Box Size]]</f>
        <v/>
      </c>
      <c r="AQ105" s="10">
        <f t="array" ref="AQ1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5" s="10" t="n"/>
      <c r="AS105" s="10" t="n"/>
      <c r="AT105" s="17">
        <f>tbl_MTG_Set[[#This Row],[Play Booster CardMarket Profit]]/tbl_MTG_Set[[#This Row],[Play Booster Cost]]</f>
        <v/>
      </c>
      <c r="AU105" s="10">
        <f>_xlfn.XLOOKUP(tbl_MTG_Set[[#This Row],[Collector Booster Box Product Id]], tbl_Product[Product Id], tbl_Product[Min Cost])</f>
        <v/>
      </c>
      <c r="AV105" s="10">
        <f>_xlfn.XLOOKUP(tbl_MTG_Set[[#This Row],[Collector Booster Box Product Id]], tbl_Product[Product Id], tbl_Product[Best Source])</f>
        <v/>
      </c>
      <c r="AW105" s="4">
        <f>_xlfn.XLOOKUP(tbl_MTG_Set[[#This Row],[Collector Booster Box Product Id]], tbl_Product[Product Id], tbl_Product[Pack Size])</f>
        <v/>
      </c>
      <c r="AX105" s="10">
        <f>(tbl_MTG_Set[[#This Row],[Collector Booster Box Cost]] + v_Item_Shipping_Cost_In) / tbl_MTG_Set[[#This Row],[Collector Booster Box Size]]</f>
        <v/>
      </c>
      <c r="AY105" s="10">
        <f t="array" ref="AY1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5" s="10" t="n"/>
      <c r="BA1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5" s="17">
        <f>tbl_MTG_Set[[#This Row],[Collector Booster CardMarket Profit]]/tbl_MTG_Set[[#This Row],[Collector Booster Cost]]</f>
        <v/>
      </c>
      <c r="BC105" s="10" t="n"/>
      <c r="BF105" s="10">
        <f>tbl_MTG_Set[[#This Row],[Play Booster Sell Price CardMarket]]*tbl_MTG_Set[[#This Row],[Play Booster Expected Market Value]]/tbl_MTG_Set[[#This Row],[Play Boost Sealed Market Value]]</f>
        <v/>
      </c>
      <c r="BG1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5" s="10">
        <f>tbl_MTG_Set[[#This Row],[Play Singles CardMarket Profit]]/tbl_MTG_Set[[#This Row],[Play Booster Cost]]</f>
        <v/>
      </c>
      <c r="BI105" s="10">
        <f>tbl_MTG_Set[[#This Row],[Play Singles CardMarket Profit]]&gt;0</f>
        <v/>
      </c>
      <c r="BJ105" s="10" t="n"/>
      <c r="BK105" s="10" t="n"/>
      <c r="BL105" s="10">
        <f>tbl_MTG_Set[[#This Row],[Collector Booster Sell Price CardMarket]]*tbl_MTG_Set[[#This Row],[Collector Booster Expected Market Value]]/tbl_MTG_Set[[#This Row],[Collector Boost Sealed Market Value]]</f>
        <v/>
      </c>
      <c r="BM1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5" s="10">
        <f>tbl_MTG_Set[[#This Row],[Collector Singles CardMarket Profit]]/tbl_MTG_Set[[#This Row],[Collector Booster Cost]]</f>
        <v/>
      </c>
      <c r="BO105" s="10">
        <f>tbl_MTG_Set[[#This Row],[Collector Singles CardMarket Profit]]&gt;0</f>
        <v/>
      </c>
      <c r="BP1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6">
      <c r="A106" t="n">
        <v>104</v>
      </c>
      <c r="B106" t="inlineStr">
        <is>
          <t>Modern Horizons 3 Tokens TMH3</t>
        </is>
      </c>
      <c r="C106" t="n">
        <v>43</v>
      </c>
      <c r="D106" s="3" t="n">
        <v>45457</v>
      </c>
      <c r="E106" t="inlineStr">
        <is>
          <t>Modern Horizons</t>
        </is>
      </c>
      <c r="F106" t="inlineStr">
        <is>
          <t>en es fr de it pt ja ko ru 汉语 漢語</t>
        </is>
      </c>
      <c r="G106" t="n">
        <v>154</v>
      </c>
      <c r="H106">
        <f>MONTH(NOW())+12*YEAR(NOW())-MONTH(tbl_MTG_Set[[#This Row],[Released On]])-12*YEAR(tbl_MTG_Set[[#This Row],[Released On]])</f>
        <v/>
      </c>
      <c r="I106">
        <f>_xlfn.XLOOKUP(tbl_MTG_Set[[#This Row],[Type Name]], tbl_MTG_Set_Type[Set Type], tbl_MTG_Set_Type[Index], "(Set Type not found)")</f>
        <v/>
      </c>
      <c r="J106">
        <f>_xlfn.XLOOKUP(tbl_MTG_Set[[#This Row],[Type Name]], tbl_MTG_Set_Type[Set Type], tbl_MTG_Set_Type[Buy Window Month Start], "(Set Type not found)")</f>
        <v/>
      </c>
      <c r="K106" s="3">
        <f>tbl_MTG_Set[[#This Row],[Released On]]+tbl_MTG_Set[[#This Row],[Buy Window Month Start]]*365.25/12</f>
        <v/>
      </c>
      <c r="L106">
        <f>_xlfn.XLOOKUP(tbl_MTG_Set[[#This Row],[Type Name]], tbl_MTG_Set_Type[Set Type], tbl_MTG_Set_Type[Buy Window Month End], "(Set Type not found)", 0, 1)</f>
        <v/>
      </c>
      <c r="M106" s="3">
        <f>tbl_MTG_Set[[#This Row],[Released On]]+tbl_MTG_Set[[#This Row],[Buy Window Month End]]*365.25/12</f>
        <v/>
      </c>
      <c r="N106" s="3">
        <f>AND(NOW()&gt;=tbl_MTG_Set[[#This Row],[Buy Window Start]], NOW()&lt;=tbl_MTG_Set[[#This Row],[Buy Window End]])</f>
        <v/>
      </c>
      <c r="O106">
        <f>_xlfn.XLOOKUP(tbl_MTG_Set[[#This Row],[Type Name]], tbl_MTG_Set_Type[Set Type], tbl_MTG_Set_Type[Heavy Printing Window Month Start], "(Set Type not found)", 0, 1)</f>
        <v/>
      </c>
      <c r="P106" s="3">
        <f>tbl_MTG_Set[[#This Row],[Released On]]+tbl_MTG_Set[[#This Row],[Heavy Printing Window Month Start]]*365.25/12</f>
        <v/>
      </c>
      <c r="Q106">
        <f>_xlfn.XLOOKUP(tbl_MTG_Set[[#This Row],[Type Name]], tbl_MTG_Set_Type[Set Type], tbl_MTG_Set_Type[Heavy Printing Window Month End], "(Set Type not found)", 0, 1)</f>
        <v/>
      </c>
      <c r="R106" s="3">
        <f>tbl_MTG_Set[[#This Row],[Released On]]+tbl_MTG_Set[[#This Row],[Heavy Printing Window Month End]]*365.25/12</f>
        <v/>
      </c>
      <c r="S106" s="3">
        <f>AND(NOW()&gt;=tbl_MTG_Set[[#This Row],[Heavy Printing Window Start]], NOW()&lt;=tbl_MTG_Set[[#This Row],[Heavy Printing Window End]])</f>
        <v/>
      </c>
      <c r="T106">
        <f>_xlfn.XLOOKUP(tbl_MTG_Set[[#This Row],[Type Name]], tbl_MTG_Set_Type[Set Type], tbl_MTG_Set_Type[Sell Window Month Start], "(Set Type not found)", 0, 1)</f>
        <v/>
      </c>
      <c r="U106" s="3">
        <f>tbl_MTG_Set[[#This Row],[Released On]]+tbl_MTG_Set[[#This Row],[Sell Window Month Start]]*365.25/12</f>
        <v/>
      </c>
      <c r="V106">
        <f>_xlfn.XLOOKUP(tbl_MTG_Set[[#This Row],[Type Name]], tbl_MTG_Set_Type[Set Type], tbl_MTG_Set_Type[Sell Window Month End], "(Set Type not found)", 0, 1)</f>
        <v/>
      </c>
      <c r="W106" s="3">
        <f>tbl_MTG_Set[[#This Row],[Released On]]+tbl_MTG_Set[[#This Row],[Sell Window Month End]]*365.25/12</f>
        <v/>
      </c>
      <c r="X106" s="3">
        <f>AND(NOW()&gt;=tbl_MTG_Set[[#This Row],[Sell Window Start]], NOW()&lt;=tbl_MTG_Set[[#This Row],[Sell Window End]])</f>
        <v/>
      </c>
      <c r="AG106" s="10" t="n"/>
      <c r="AH106" s="10" t="n"/>
      <c r="AM106" s="10">
        <f t="array" ref="AM1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6" s="10">
        <f t="array" ref="AN1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6" s="4">
        <f>_xlfn.XLOOKUP(tbl_MTG_Set[[#This Row],[Play Booster Box Product Id]], tbl_Product[Product Id], tbl_Product[Pack Size])</f>
        <v/>
      </c>
      <c r="AP106" s="10">
        <f>(tbl_MTG_Set[[#This Row],[Play Booster Box Cost]]+v_Item_Shipping_Cost_In)/tbl_MTG_Set[[#This Row],[Play Booster Box Size]]</f>
        <v/>
      </c>
      <c r="AQ106" s="10">
        <f t="array" ref="AQ1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6" s="10" t="n"/>
      <c r="AS106" s="10" t="n"/>
      <c r="AT106" s="17">
        <f>tbl_MTG_Set[[#This Row],[Play Booster CardMarket Profit]]/tbl_MTG_Set[[#This Row],[Play Booster Cost]]</f>
        <v/>
      </c>
      <c r="AU106" s="10">
        <f>_xlfn.XLOOKUP(tbl_MTG_Set[[#This Row],[Collector Booster Box Product Id]], tbl_Product[Product Id], tbl_Product[Min Cost])</f>
        <v/>
      </c>
      <c r="AV106" s="10">
        <f>_xlfn.XLOOKUP(tbl_MTG_Set[[#This Row],[Collector Booster Box Product Id]], tbl_Product[Product Id], tbl_Product[Best Source])</f>
        <v/>
      </c>
      <c r="AW106" s="4">
        <f>_xlfn.XLOOKUP(tbl_MTG_Set[[#This Row],[Collector Booster Box Product Id]], tbl_Product[Product Id], tbl_Product[Pack Size])</f>
        <v/>
      </c>
      <c r="AX106" s="10">
        <f>(tbl_MTG_Set[[#This Row],[Collector Booster Box Cost]] + v_Item_Shipping_Cost_In) / tbl_MTG_Set[[#This Row],[Collector Booster Box Size]]</f>
        <v/>
      </c>
      <c r="AY106" s="10">
        <f t="array" ref="AY1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6" s="10" t="n"/>
      <c r="BA1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6" s="17">
        <f>tbl_MTG_Set[[#This Row],[Collector Booster CardMarket Profit]]/tbl_MTG_Set[[#This Row],[Collector Booster Cost]]</f>
        <v/>
      </c>
      <c r="BC106" s="10" t="n"/>
      <c r="BF106" s="10">
        <f>tbl_MTG_Set[[#This Row],[Play Booster Sell Price CardMarket]]*tbl_MTG_Set[[#This Row],[Play Booster Expected Market Value]]/tbl_MTG_Set[[#This Row],[Play Boost Sealed Market Value]]</f>
        <v/>
      </c>
      <c r="BG1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6" s="10">
        <f>tbl_MTG_Set[[#This Row],[Play Singles CardMarket Profit]]/tbl_MTG_Set[[#This Row],[Play Booster Cost]]</f>
        <v/>
      </c>
      <c r="BI106" s="10">
        <f>tbl_MTG_Set[[#This Row],[Play Singles CardMarket Profit]]&gt;0</f>
        <v/>
      </c>
      <c r="BJ106" s="10" t="n"/>
      <c r="BK106" s="10" t="n"/>
      <c r="BL106" s="10">
        <f>tbl_MTG_Set[[#This Row],[Collector Booster Sell Price CardMarket]]*tbl_MTG_Set[[#This Row],[Collector Booster Expected Market Value]]/tbl_MTG_Set[[#This Row],[Collector Boost Sealed Market Value]]</f>
        <v/>
      </c>
      <c r="BM1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6" s="10">
        <f>tbl_MTG_Set[[#This Row],[Collector Singles CardMarket Profit]]/tbl_MTG_Set[[#This Row],[Collector Booster Cost]]</f>
        <v/>
      </c>
      <c r="BO106" s="10">
        <f>tbl_MTG_Set[[#This Row],[Collector Singles CardMarket Profit]]&gt;0</f>
        <v/>
      </c>
      <c r="BP1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7">
      <c r="A107" t="n">
        <v>105</v>
      </c>
      <c r="B107" t="inlineStr">
        <is>
          <t>Modern Horizons 3 Substitute Cards SMH3</t>
        </is>
      </c>
      <c r="C107" t="n">
        <v>1</v>
      </c>
      <c r="D107" s="3" t="n">
        <v>45457</v>
      </c>
      <c r="E107" t="inlineStr">
        <is>
          <t>Modern Horizons</t>
        </is>
      </c>
      <c r="F107" t="inlineStr">
        <is>
          <t>en es fr de it pt ja ko ru 汉语 漢語</t>
        </is>
      </c>
      <c r="G107" t="n">
        <v>156</v>
      </c>
      <c r="H107">
        <f>MONTH(NOW())+12*YEAR(NOW())-MONTH(tbl_MTG_Set[[#This Row],[Released On]])-12*YEAR(tbl_MTG_Set[[#This Row],[Released On]])</f>
        <v/>
      </c>
      <c r="I107">
        <f>_xlfn.XLOOKUP(tbl_MTG_Set[[#This Row],[Type Name]], tbl_MTG_Set_Type[Set Type], tbl_MTG_Set_Type[Index], "(Set Type not found)")</f>
        <v/>
      </c>
      <c r="J107">
        <f>_xlfn.XLOOKUP(tbl_MTG_Set[[#This Row],[Type Name]], tbl_MTG_Set_Type[Set Type], tbl_MTG_Set_Type[Buy Window Month Start], "(Set Type not found)")</f>
        <v/>
      </c>
      <c r="K107" s="3">
        <f>tbl_MTG_Set[[#This Row],[Released On]]+tbl_MTG_Set[[#This Row],[Buy Window Month Start]]*365.25/12</f>
        <v/>
      </c>
      <c r="L107">
        <f>_xlfn.XLOOKUP(tbl_MTG_Set[[#This Row],[Type Name]], tbl_MTG_Set_Type[Set Type], tbl_MTG_Set_Type[Buy Window Month End], "(Set Type not found)", 0, 1)</f>
        <v/>
      </c>
      <c r="M107" s="3">
        <f>tbl_MTG_Set[[#This Row],[Released On]]+tbl_MTG_Set[[#This Row],[Buy Window Month End]]*365.25/12</f>
        <v/>
      </c>
      <c r="N107" s="3">
        <f>AND(NOW()&gt;=tbl_MTG_Set[[#This Row],[Buy Window Start]], NOW()&lt;=tbl_MTG_Set[[#This Row],[Buy Window End]])</f>
        <v/>
      </c>
      <c r="O107">
        <f>_xlfn.XLOOKUP(tbl_MTG_Set[[#This Row],[Type Name]], tbl_MTG_Set_Type[Set Type], tbl_MTG_Set_Type[Heavy Printing Window Month Start], "(Set Type not found)", 0, 1)</f>
        <v/>
      </c>
      <c r="P107" s="3">
        <f>tbl_MTG_Set[[#This Row],[Released On]]+tbl_MTG_Set[[#This Row],[Heavy Printing Window Month Start]]*365.25/12</f>
        <v/>
      </c>
      <c r="Q107">
        <f>_xlfn.XLOOKUP(tbl_MTG_Set[[#This Row],[Type Name]], tbl_MTG_Set_Type[Set Type], tbl_MTG_Set_Type[Heavy Printing Window Month End], "(Set Type not found)", 0, 1)</f>
        <v/>
      </c>
      <c r="R107" s="3">
        <f>tbl_MTG_Set[[#This Row],[Released On]]+tbl_MTG_Set[[#This Row],[Heavy Printing Window Month End]]*365.25/12</f>
        <v/>
      </c>
      <c r="S107" s="3">
        <f>AND(NOW()&gt;=tbl_MTG_Set[[#This Row],[Heavy Printing Window Start]], NOW()&lt;=tbl_MTG_Set[[#This Row],[Heavy Printing Window End]])</f>
        <v/>
      </c>
      <c r="T107">
        <f>_xlfn.XLOOKUP(tbl_MTG_Set[[#This Row],[Type Name]], tbl_MTG_Set_Type[Set Type], tbl_MTG_Set_Type[Sell Window Month Start], "(Set Type not found)", 0, 1)</f>
        <v/>
      </c>
      <c r="U107" s="3">
        <f>tbl_MTG_Set[[#This Row],[Released On]]+tbl_MTG_Set[[#This Row],[Sell Window Month Start]]*365.25/12</f>
        <v/>
      </c>
      <c r="V107">
        <f>_xlfn.XLOOKUP(tbl_MTG_Set[[#This Row],[Type Name]], tbl_MTG_Set_Type[Set Type], tbl_MTG_Set_Type[Sell Window Month End], "(Set Type not found)", 0, 1)</f>
        <v/>
      </c>
      <c r="W107" s="3">
        <f>tbl_MTG_Set[[#This Row],[Released On]]+tbl_MTG_Set[[#This Row],[Sell Window Month End]]*365.25/12</f>
        <v/>
      </c>
      <c r="X107" s="3">
        <f>AND(NOW()&gt;=tbl_MTG_Set[[#This Row],[Sell Window Start]], NOW()&lt;=tbl_MTG_Set[[#This Row],[Sell Window End]])</f>
        <v/>
      </c>
      <c r="AG107" s="10" t="n"/>
      <c r="AH107" s="10" t="n"/>
      <c r="AM107" s="10">
        <f t="array" ref="AM1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7" s="10">
        <f t="array" ref="AN1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7" s="4">
        <f>_xlfn.XLOOKUP(tbl_MTG_Set[[#This Row],[Play Booster Box Product Id]], tbl_Product[Product Id], tbl_Product[Pack Size])</f>
        <v/>
      </c>
      <c r="AP107" s="10">
        <f>(tbl_MTG_Set[[#This Row],[Play Booster Box Cost]]+v_Item_Shipping_Cost_In)/tbl_MTG_Set[[#This Row],[Play Booster Box Size]]</f>
        <v/>
      </c>
      <c r="AQ107" s="10">
        <f t="array" ref="AQ1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7" s="10" t="n"/>
      <c r="AS107" s="10" t="n"/>
      <c r="AT107" s="17">
        <f>tbl_MTG_Set[[#This Row],[Play Booster CardMarket Profit]]/tbl_MTG_Set[[#This Row],[Play Booster Cost]]</f>
        <v/>
      </c>
      <c r="AU107" s="10">
        <f>_xlfn.XLOOKUP(tbl_MTG_Set[[#This Row],[Collector Booster Box Product Id]], tbl_Product[Product Id], tbl_Product[Min Cost])</f>
        <v/>
      </c>
      <c r="AV107" s="10">
        <f>_xlfn.XLOOKUP(tbl_MTG_Set[[#This Row],[Collector Booster Box Product Id]], tbl_Product[Product Id], tbl_Product[Best Source])</f>
        <v/>
      </c>
      <c r="AW107" s="4">
        <f>_xlfn.XLOOKUP(tbl_MTG_Set[[#This Row],[Collector Booster Box Product Id]], tbl_Product[Product Id], tbl_Product[Pack Size])</f>
        <v/>
      </c>
      <c r="AX107" s="10">
        <f>(tbl_MTG_Set[[#This Row],[Collector Booster Box Cost]] + v_Item_Shipping_Cost_In) / tbl_MTG_Set[[#This Row],[Collector Booster Box Size]]</f>
        <v/>
      </c>
      <c r="AY107" s="10">
        <f t="array" ref="AY1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7" s="10" t="n"/>
      <c r="BA1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7" s="17">
        <f>tbl_MTG_Set[[#This Row],[Collector Booster CardMarket Profit]]/tbl_MTG_Set[[#This Row],[Collector Booster Cost]]</f>
        <v/>
      </c>
      <c r="BC107" s="10" t="n"/>
      <c r="BF107" s="10">
        <f>tbl_MTG_Set[[#This Row],[Play Booster Sell Price CardMarket]]*tbl_MTG_Set[[#This Row],[Play Booster Expected Market Value]]/tbl_MTG_Set[[#This Row],[Play Boost Sealed Market Value]]</f>
        <v/>
      </c>
      <c r="BG1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7" s="10">
        <f>tbl_MTG_Set[[#This Row],[Play Singles CardMarket Profit]]/tbl_MTG_Set[[#This Row],[Play Booster Cost]]</f>
        <v/>
      </c>
      <c r="BI107" s="10">
        <f>tbl_MTG_Set[[#This Row],[Play Singles CardMarket Profit]]&gt;0</f>
        <v/>
      </c>
      <c r="BJ107" s="10" t="n"/>
      <c r="BK107" s="10" t="n"/>
      <c r="BL107" s="10">
        <f>tbl_MTG_Set[[#This Row],[Collector Booster Sell Price CardMarket]]*tbl_MTG_Set[[#This Row],[Collector Booster Expected Market Value]]/tbl_MTG_Set[[#This Row],[Collector Boost Sealed Market Value]]</f>
        <v/>
      </c>
      <c r="BM1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7" s="10">
        <f>tbl_MTG_Set[[#This Row],[Collector Singles CardMarket Profit]]/tbl_MTG_Set[[#This Row],[Collector Booster Cost]]</f>
        <v/>
      </c>
      <c r="BO107" s="10">
        <f>tbl_MTG_Set[[#This Row],[Collector Singles CardMarket Profit]]&gt;0</f>
        <v/>
      </c>
      <c r="BP1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8">
      <c r="A108" t="n">
        <v>106</v>
      </c>
      <c r="B108" t="inlineStr">
        <is>
          <t>Modern Horizons 3 Commander M3C</t>
        </is>
      </c>
      <c r="C108" t="n">
        <v>398</v>
      </c>
      <c r="D108" s="3" t="n">
        <v>45457</v>
      </c>
      <c r="E108" t="inlineStr">
        <is>
          <t>Commander</t>
        </is>
      </c>
      <c r="F108" t="inlineStr">
        <is>
          <t>en es fr de it pt ja ko ru 汉语 漢語</t>
        </is>
      </c>
      <c r="G108" t="n">
        <v>158</v>
      </c>
      <c r="H108">
        <f>MONTH(NOW())+12*YEAR(NOW())-MONTH(tbl_MTG_Set[[#This Row],[Released On]])-12*YEAR(tbl_MTG_Set[[#This Row],[Released On]])</f>
        <v/>
      </c>
      <c r="I108">
        <f>_xlfn.XLOOKUP(tbl_MTG_Set[[#This Row],[Type Name]], tbl_MTG_Set_Type[Set Type], tbl_MTG_Set_Type[Index], "(Set Type not found)")</f>
        <v/>
      </c>
      <c r="J108">
        <f>_xlfn.XLOOKUP(tbl_MTG_Set[[#This Row],[Type Name]], tbl_MTG_Set_Type[Set Type], tbl_MTG_Set_Type[Buy Window Month Start], "(Set Type not found)")</f>
        <v/>
      </c>
      <c r="K108" s="3">
        <f>tbl_MTG_Set[[#This Row],[Released On]]+tbl_MTG_Set[[#This Row],[Buy Window Month Start]]*365.25/12</f>
        <v/>
      </c>
      <c r="L108">
        <f>_xlfn.XLOOKUP(tbl_MTG_Set[[#This Row],[Type Name]], tbl_MTG_Set_Type[Set Type], tbl_MTG_Set_Type[Buy Window Month End], "(Set Type not found)", 0, 1)</f>
        <v/>
      </c>
      <c r="M108" s="3">
        <f>tbl_MTG_Set[[#This Row],[Released On]]+tbl_MTG_Set[[#This Row],[Buy Window Month End]]*365.25/12</f>
        <v/>
      </c>
      <c r="N108" s="3">
        <f>AND(NOW()&gt;=tbl_MTG_Set[[#This Row],[Buy Window Start]], NOW()&lt;=tbl_MTG_Set[[#This Row],[Buy Window End]])</f>
        <v/>
      </c>
      <c r="O108">
        <f>_xlfn.XLOOKUP(tbl_MTG_Set[[#This Row],[Type Name]], tbl_MTG_Set_Type[Set Type], tbl_MTG_Set_Type[Heavy Printing Window Month Start], "(Set Type not found)", 0, 1)</f>
        <v/>
      </c>
      <c r="P108" s="3">
        <f>tbl_MTG_Set[[#This Row],[Released On]]+tbl_MTG_Set[[#This Row],[Heavy Printing Window Month Start]]*365.25/12</f>
        <v/>
      </c>
      <c r="Q108">
        <f>_xlfn.XLOOKUP(tbl_MTG_Set[[#This Row],[Type Name]], tbl_MTG_Set_Type[Set Type], tbl_MTG_Set_Type[Heavy Printing Window Month End], "(Set Type not found)", 0, 1)</f>
        <v/>
      </c>
      <c r="R108" s="3">
        <f>tbl_MTG_Set[[#This Row],[Released On]]+tbl_MTG_Set[[#This Row],[Heavy Printing Window Month End]]*365.25/12</f>
        <v/>
      </c>
      <c r="S108" s="3">
        <f>AND(NOW()&gt;=tbl_MTG_Set[[#This Row],[Heavy Printing Window Start]], NOW()&lt;=tbl_MTG_Set[[#This Row],[Heavy Printing Window End]])</f>
        <v/>
      </c>
      <c r="T108">
        <f>_xlfn.XLOOKUP(tbl_MTG_Set[[#This Row],[Type Name]], tbl_MTG_Set_Type[Set Type], tbl_MTG_Set_Type[Sell Window Month Start], "(Set Type not found)", 0, 1)</f>
        <v/>
      </c>
      <c r="U108" s="3">
        <f>tbl_MTG_Set[[#This Row],[Released On]]+tbl_MTG_Set[[#This Row],[Sell Window Month Start]]*365.25/12</f>
        <v/>
      </c>
      <c r="V108">
        <f>_xlfn.XLOOKUP(tbl_MTG_Set[[#This Row],[Type Name]], tbl_MTG_Set_Type[Set Type], tbl_MTG_Set_Type[Sell Window Month End], "(Set Type not found)", 0, 1)</f>
        <v/>
      </c>
      <c r="W108" s="3">
        <f>tbl_MTG_Set[[#This Row],[Released On]]+tbl_MTG_Set[[#This Row],[Sell Window Month End]]*365.25/12</f>
        <v/>
      </c>
      <c r="X108" s="3">
        <f>AND(NOW()&gt;=tbl_MTG_Set[[#This Row],[Sell Window Start]], NOW()&lt;=tbl_MTG_Set[[#This Row],[Sell Window End]])</f>
        <v/>
      </c>
      <c r="AG108" s="10" t="n"/>
      <c r="AH108" s="10" t="n"/>
      <c r="AM108" s="10">
        <f t="array" ref="AM1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8" s="10">
        <f t="array" ref="AN1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8" s="4">
        <f>_xlfn.XLOOKUP(tbl_MTG_Set[[#This Row],[Play Booster Box Product Id]], tbl_Product[Product Id], tbl_Product[Pack Size])</f>
        <v/>
      </c>
      <c r="AP108" s="10">
        <f>(tbl_MTG_Set[[#This Row],[Play Booster Box Cost]]+v_Item_Shipping_Cost_In)/tbl_MTG_Set[[#This Row],[Play Booster Box Size]]</f>
        <v/>
      </c>
      <c r="AQ108" s="10">
        <f t="array" ref="AQ1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8" s="10" t="n"/>
      <c r="AS108" s="10" t="n"/>
      <c r="AT108" s="17">
        <f>tbl_MTG_Set[[#This Row],[Play Booster CardMarket Profit]]/tbl_MTG_Set[[#This Row],[Play Booster Cost]]</f>
        <v/>
      </c>
      <c r="AU108" s="10">
        <f>_xlfn.XLOOKUP(tbl_MTG_Set[[#This Row],[Collector Booster Box Product Id]], tbl_Product[Product Id], tbl_Product[Min Cost])</f>
        <v/>
      </c>
      <c r="AV108" s="10">
        <f>_xlfn.XLOOKUP(tbl_MTG_Set[[#This Row],[Collector Booster Box Product Id]], tbl_Product[Product Id], tbl_Product[Best Source])</f>
        <v/>
      </c>
      <c r="AW108" s="4">
        <f>_xlfn.XLOOKUP(tbl_MTG_Set[[#This Row],[Collector Booster Box Product Id]], tbl_Product[Product Id], tbl_Product[Pack Size])</f>
        <v/>
      </c>
      <c r="AX108" s="10">
        <f>(tbl_MTG_Set[[#This Row],[Collector Booster Box Cost]] + v_Item_Shipping_Cost_In) / tbl_MTG_Set[[#This Row],[Collector Booster Box Size]]</f>
        <v/>
      </c>
      <c r="AY108" s="10">
        <f t="array" ref="AY1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8" s="10" t="n"/>
      <c r="BA1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8" s="17">
        <f>tbl_MTG_Set[[#This Row],[Collector Booster CardMarket Profit]]/tbl_MTG_Set[[#This Row],[Collector Booster Cost]]</f>
        <v/>
      </c>
      <c r="BC108" s="10" t="n"/>
      <c r="BF108" s="10">
        <f>tbl_MTG_Set[[#This Row],[Play Booster Sell Price CardMarket]]*tbl_MTG_Set[[#This Row],[Play Booster Expected Market Value]]/tbl_MTG_Set[[#This Row],[Play Boost Sealed Market Value]]</f>
        <v/>
      </c>
      <c r="BG1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8" s="10">
        <f>tbl_MTG_Set[[#This Row],[Play Singles CardMarket Profit]]/tbl_MTG_Set[[#This Row],[Play Booster Cost]]</f>
        <v/>
      </c>
      <c r="BI108" s="10">
        <f>tbl_MTG_Set[[#This Row],[Play Singles CardMarket Profit]]&gt;0</f>
        <v/>
      </c>
      <c r="BJ108" s="10" t="n"/>
      <c r="BK108" s="10" t="n"/>
      <c r="BL108" s="10">
        <f>tbl_MTG_Set[[#This Row],[Collector Booster Sell Price CardMarket]]*tbl_MTG_Set[[#This Row],[Collector Booster Expected Market Value]]/tbl_MTG_Set[[#This Row],[Collector Boost Sealed Market Value]]</f>
        <v/>
      </c>
      <c r="BM1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8" s="10">
        <f>tbl_MTG_Set[[#This Row],[Collector Singles CardMarket Profit]]/tbl_MTG_Set[[#This Row],[Collector Booster Cost]]</f>
        <v/>
      </c>
      <c r="BO108" s="10">
        <f>tbl_MTG_Set[[#This Row],[Collector Singles CardMarket Profit]]&gt;0</f>
        <v/>
      </c>
      <c r="BP1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9">
      <c r="A109" t="n">
        <v>107</v>
      </c>
      <c r="B109" t="inlineStr">
        <is>
          <t>Modern Horizons 3 Commander Tokens TM3C</t>
        </is>
      </c>
      <c r="C109" t="n">
        <v>28</v>
      </c>
      <c r="D109" s="3" t="n">
        <v>45457</v>
      </c>
      <c r="E109" t="inlineStr">
        <is>
          <t>Commander</t>
        </is>
      </c>
      <c r="F109" t="inlineStr">
        <is>
          <t>en es fr de it pt ja ko ru 汉语 漢語</t>
        </is>
      </c>
      <c r="G109" t="n">
        <v>160</v>
      </c>
      <c r="H109">
        <f>MONTH(NOW())+12*YEAR(NOW())-MONTH(tbl_MTG_Set[[#This Row],[Released On]])-12*YEAR(tbl_MTG_Set[[#This Row],[Released On]])</f>
        <v/>
      </c>
      <c r="I109">
        <f>_xlfn.XLOOKUP(tbl_MTG_Set[[#This Row],[Type Name]], tbl_MTG_Set_Type[Set Type], tbl_MTG_Set_Type[Index], "(Set Type not found)")</f>
        <v/>
      </c>
      <c r="J109">
        <f>_xlfn.XLOOKUP(tbl_MTG_Set[[#This Row],[Type Name]], tbl_MTG_Set_Type[Set Type], tbl_MTG_Set_Type[Buy Window Month Start], "(Set Type not found)")</f>
        <v/>
      </c>
      <c r="K109" s="3">
        <f>tbl_MTG_Set[[#This Row],[Released On]]+tbl_MTG_Set[[#This Row],[Buy Window Month Start]]*365.25/12</f>
        <v/>
      </c>
      <c r="L109">
        <f>_xlfn.XLOOKUP(tbl_MTG_Set[[#This Row],[Type Name]], tbl_MTG_Set_Type[Set Type], tbl_MTG_Set_Type[Buy Window Month End], "(Set Type not found)", 0, 1)</f>
        <v/>
      </c>
      <c r="M109" s="3">
        <f>tbl_MTG_Set[[#This Row],[Released On]]+tbl_MTG_Set[[#This Row],[Buy Window Month End]]*365.25/12</f>
        <v/>
      </c>
      <c r="N109" s="3">
        <f>AND(NOW()&gt;=tbl_MTG_Set[[#This Row],[Buy Window Start]], NOW()&lt;=tbl_MTG_Set[[#This Row],[Buy Window End]])</f>
        <v/>
      </c>
      <c r="O109">
        <f>_xlfn.XLOOKUP(tbl_MTG_Set[[#This Row],[Type Name]], tbl_MTG_Set_Type[Set Type], tbl_MTG_Set_Type[Heavy Printing Window Month Start], "(Set Type not found)", 0, 1)</f>
        <v/>
      </c>
      <c r="P109" s="3">
        <f>tbl_MTG_Set[[#This Row],[Released On]]+tbl_MTG_Set[[#This Row],[Heavy Printing Window Month Start]]*365.25/12</f>
        <v/>
      </c>
      <c r="Q109">
        <f>_xlfn.XLOOKUP(tbl_MTG_Set[[#This Row],[Type Name]], tbl_MTG_Set_Type[Set Type], tbl_MTG_Set_Type[Heavy Printing Window Month End], "(Set Type not found)", 0, 1)</f>
        <v/>
      </c>
      <c r="R109" s="3">
        <f>tbl_MTG_Set[[#This Row],[Released On]]+tbl_MTG_Set[[#This Row],[Heavy Printing Window Month End]]*365.25/12</f>
        <v/>
      </c>
      <c r="S109" s="3">
        <f>AND(NOW()&gt;=tbl_MTG_Set[[#This Row],[Heavy Printing Window Start]], NOW()&lt;=tbl_MTG_Set[[#This Row],[Heavy Printing Window End]])</f>
        <v/>
      </c>
      <c r="T109">
        <f>_xlfn.XLOOKUP(tbl_MTG_Set[[#This Row],[Type Name]], tbl_MTG_Set_Type[Set Type], tbl_MTG_Set_Type[Sell Window Month Start], "(Set Type not found)", 0, 1)</f>
        <v/>
      </c>
      <c r="U109" s="3">
        <f>tbl_MTG_Set[[#This Row],[Released On]]+tbl_MTG_Set[[#This Row],[Sell Window Month Start]]*365.25/12</f>
        <v/>
      </c>
      <c r="V109">
        <f>_xlfn.XLOOKUP(tbl_MTG_Set[[#This Row],[Type Name]], tbl_MTG_Set_Type[Set Type], tbl_MTG_Set_Type[Sell Window Month End], "(Set Type not found)", 0, 1)</f>
        <v/>
      </c>
      <c r="W109" s="3">
        <f>tbl_MTG_Set[[#This Row],[Released On]]+tbl_MTG_Set[[#This Row],[Sell Window Month End]]*365.25/12</f>
        <v/>
      </c>
      <c r="X109" s="3">
        <f>AND(NOW()&gt;=tbl_MTG_Set[[#This Row],[Sell Window Start]], NOW()&lt;=tbl_MTG_Set[[#This Row],[Sell Window End]])</f>
        <v/>
      </c>
      <c r="AG109" s="10" t="n"/>
      <c r="AH109" s="10" t="n"/>
      <c r="AM109" s="10">
        <f t="array" ref="AM1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9" s="10">
        <f t="array" ref="AN1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9" s="4">
        <f>_xlfn.XLOOKUP(tbl_MTG_Set[[#This Row],[Play Booster Box Product Id]], tbl_Product[Product Id], tbl_Product[Pack Size])</f>
        <v/>
      </c>
      <c r="AP109" s="10">
        <f>(tbl_MTG_Set[[#This Row],[Play Booster Box Cost]]+v_Item_Shipping_Cost_In)/tbl_MTG_Set[[#This Row],[Play Booster Box Size]]</f>
        <v/>
      </c>
      <c r="AQ109" s="10">
        <f t="array" ref="AQ1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9" s="10" t="n"/>
      <c r="AS109" s="10" t="n"/>
      <c r="AT109" s="17">
        <f>tbl_MTG_Set[[#This Row],[Play Booster CardMarket Profit]]/tbl_MTG_Set[[#This Row],[Play Booster Cost]]</f>
        <v/>
      </c>
      <c r="AU109" s="10">
        <f>_xlfn.XLOOKUP(tbl_MTG_Set[[#This Row],[Collector Booster Box Product Id]], tbl_Product[Product Id], tbl_Product[Min Cost])</f>
        <v/>
      </c>
      <c r="AV109" s="10">
        <f>_xlfn.XLOOKUP(tbl_MTG_Set[[#This Row],[Collector Booster Box Product Id]], tbl_Product[Product Id], tbl_Product[Best Source])</f>
        <v/>
      </c>
      <c r="AW109" s="4">
        <f>_xlfn.XLOOKUP(tbl_MTG_Set[[#This Row],[Collector Booster Box Product Id]], tbl_Product[Product Id], tbl_Product[Pack Size])</f>
        <v/>
      </c>
      <c r="AX109" s="10">
        <f>(tbl_MTG_Set[[#This Row],[Collector Booster Box Cost]] + v_Item_Shipping_Cost_In) / tbl_MTG_Set[[#This Row],[Collector Booster Box Size]]</f>
        <v/>
      </c>
      <c r="AY109" s="10">
        <f t="array" ref="AY1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9" s="10" t="n"/>
      <c r="BA1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9" s="17">
        <f>tbl_MTG_Set[[#This Row],[Collector Booster CardMarket Profit]]/tbl_MTG_Set[[#This Row],[Collector Booster Cost]]</f>
        <v/>
      </c>
      <c r="BC109" s="10" t="n"/>
      <c r="BF109" s="10">
        <f>tbl_MTG_Set[[#This Row],[Play Booster Sell Price CardMarket]]*tbl_MTG_Set[[#This Row],[Play Booster Expected Market Value]]/tbl_MTG_Set[[#This Row],[Play Boost Sealed Market Value]]</f>
        <v/>
      </c>
      <c r="BG1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9" s="10">
        <f>tbl_MTG_Set[[#This Row],[Play Singles CardMarket Profit]]/tbl_MTG_Set[[#This Row],[Play Booster Cost]]</f>
        <v/>
      </c>
      <c r="BI109" s="10">
        <f>tbl_MTG_Set[[#This Row],[Play Singles CardMarket Profit]]&gt;0</f>
        <v/>
      </c>
      <c r="BJ109" s="10" t="n"/>
      <c r="BK109" s="10" t="n"/>
      <c r="BL109" s="10">
        <f>tbl_MTG_Set[[#This Row],[Collector Booster Sell Price CardMarket]]*tbl_MTG_Set[[#This Row],[Collector Booster Expected Market Value]]/tbl_MTG_Set[[#This Row],[Collector Boost Sealed Market Value]]</f>
        <v/>
      </c>
      <c r="BM1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9" s="10">
        <f>tbl_MTG_Set[[#This Row],[Collector Singles CardMarket Profit]]/tbl_MTG_Set[[#This Row],[Collector Booster Cost]]</f>
        <v/>
      </c>
      <c r="BO109" s="10">
        <f>tbl_MTG_Set[[#This Row],[Collector Singles CardMarket Profit]]&gt;0</f>
        <v/>
      </c>
      <c r="BP1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0">
      <c r="A110" t="n">
        <v>108</v>
      </c>
      <c r="B110" t="inlineStr">
        <is>
          <t>Modern Horizons 3 Art Series AMH3</t>
        </is>
      </c>
      <c r="C110" t="n">
        <v>54</v>
      </c>
      <c r="D110" s="3" t="n">
        <v>45457</v>
      </c>
      <c r="E110" t="inlineStr">
        <is>
          <t>Modern Horizons</t>
        </is>
      </c>
      <c r="F110" t="inlineStr">
        <is>
          <t>en es fr de it pt ja ko ru 汉语 漢語</t>
        </is>
      </c>
      <c r="G110" t="n">
        <v>162</v>
      </c>
      <c r="H110">
        <f>MONTH(NOW())+12*YEAR(NOW())-MONTH(tbl_MTG_Set[[#This Row],[Released On]])-12*YEAR(tbl_MTG_Set[[#This Row],[Released On]])</f>
        <v/>
      </c>
      <c r="I110">
        <f>_xlfn.XLOOKUP(tbl_MTG_Set[[#This Row],[Type Name]], tbl_MTG_Set_Type[Set Type], tbl_MTG_Set_Type[Index], "(Set Type not found)")</f>
        <v/>
      </c>
      <c r="J110">
        <f>_xlfn.XLOOKUP(tbl_MTG_Set[[#This Row],[Type Name]], tbl_MTG_Set_Type[Set Type], tbl_MTG_Set_Type[Buy Window Month Start], "(Set Type not found)")</f>
        <v/>
      </c>
      <c r="K110" s="3">
        <f>tbl_MTG_Set[[#This Row],[Released On]]+tbl_MTG_Set[[#This Row],[Buy Window Month Start]]*365.25/12</f>
        <v/>
      </c>
      <c r="L110">
        <f>_xlfn.XLOOKUP(tbl_MTG_Set[[#This Row],[Type Name]], tbl_MTG_Set_Type[Set Type], tbl_MTG_Set_Type[Buy Window Month End], "(Set Type not found)", 0, 1)</f>
        <v/>
      </c>
      <c r="M110" s="3">
        <f>tbl_MTG_Set[[#This Row],[Released On]]+tbl_MTG_Set[[#This Row],[Buy Window Month End]]*365.25/12</f>
        <v/>
      </c>
      <c r="N110" s="3">
        <f>AND(NOW()&gt;=tbl_MTG_Set[[#This Row],[Buy Window Start]], NOW()&lt;=tbl_MTG_Set[[#This Row],[Buy Window End]])</f>
        <v/>
      </c>
      <c r="O110">
        <f>_xlfn.XLOOKUP(tbl_MTG_Set[[#This Row],[Type Name]], tbl_MTG_Set_Type[Set Type], tbl_MTG_Set_Type[Heavy Printing Window Month Start], "(Set Type not found)", 0, 1)</f>
        <v/>
      </c>
      <c r="P110" s="3">
        <f>tbl_MTG_Set[[#This Row],[Released On]]+tbl_MTG_Set[[#This Row],[Heavy Printing Window Month Start]]*365.25/12</f>
        <v/>
      </c>
      <c r="Q110">
        <f>_xlfn.XLOOKUP(tbl_MTG_Set[[#This Row],[Type Name]], tbl_MTG_Set_Type[Set Type], tbl_MTG_Set_Type[Heavy Printing Window Month End], "(Set Type not found)", 0, 1)</f>
        <v/>
      </c>
      <c r="R110" s="3">
        <f>tbl_MTG_Set[[#This Row],[Released On]]+tbl_MTG_Set[[#This Row],[Heavy Printing Window Month End]]*365.25/12</f>
        <v/>
      </c>
      <c r="S110" s="3">
        <f>AND(NOW()&gt;=tbl_MTG_Set[[#This Row],[Heavy Printing Window Start]], NOW()&lt;=tbl_MTG_Set[[#This Row],[Heavy Printing Window End]])</f>
        <v/>
      </c>
      <c r="T110">
        <f>_xlfn.XLOOKUP(tbl_MTG_Set[[#This Row],[Type Name]], tbl_MTG_Set_Type[Set Type], tbl_MTG_Set_Type[Sell Window Month Start], "(Set Type not found)", 0, 1)</f>
        <v/>
      </c>
      <c r="U110" s="3">
        <f>tbl_MTG_Set[[#This Row],[Released On]]+tbl_MTG_Set[[#This Row],[Sell Window Month Start]]*365.25/12</f>
        <v/>
      </c>
      <c r="V110">
        <f>_xlfn.XLOOKUP(tbl_MTG_Set[[#This Row],[Type Name]], tbl_MTG_Set_Type[Set Type], tbl_MTG_Set_Type[Sell Window Month End], "(Set Type not found)", 0, 1)</f>
        <v/>
      </c>
      <c r="W110" s="3">
        <f>tbl_MTG_Set[[#This Row],[Released On]]+tbl_MTG_Set[[#This Row],[Sell Window Month End]]*365.25/12</f>
        <v/>
      </c>
      <c r="X110" s="3">
        <f>AND(NOW()&gt;=tbl_MTG_Set[[#This Row],[Sell Window Start]], NOW()&lt;=tbl_MTG_Set[[#This Row],[Sell Window End]])</f>
        <v/>
      </c>
      <c r="AG110" s="10" t="n"/>
      <c r="AH110" s="10" t="n"/>
      <c r="AM110" s="10">
        <f t="array" ref="AM1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0" s="10">
        <f t="array" ref="AN1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0" s="4">
        <f>_xlfn.XLOOKUP(tbl_MTG_Set[[#This Row],[Play Booster Box Product Id]], tbl_Product[Product Id], tbl_Product[Pack Size])</f>
        <v/>
      </c>
      <c r="AP110" s="10">
        <f>(tbl_MTG_Set[[#This Row],[Play Booster Box Cost]]+v_Item_Shipping_Cost_In)/tbl_MTG_Set[[#This Row],[Play Booster Box Size]]</f>
        <v/>
      </c>
      <c r="AQ110" s="10">
        <f t="array" ref="AQ1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0" s="10" t="n"/>
      <c r="AS110" s="10" t="n"/>
      <c r="AT110" s="17">
        <f>tbl_MTG_Set[[#This Row],[Play Booster CardMarket Profit]]/tbl_MTG_Set[[#This Row],[Play Booster Cost]]</f>
        <v/>
      </c>
      <c r="AU110" s="10">
        <f>_xlfn.XLOOKUP(tbl_MTG_Set[[#This Row],[Collector Booster Box Product Id]], tbl_Product[Product Id], tbl_Product[Min Cost])</f>
        <v/>
      </c>
      <c r="AV110" s="10">
        <f>_xlfn.XLOOKUP(tbl_MTG_Set[[#This Row],[Collector Booster Box Product Id]], tbl_Product[Product Id], tbl_Product[Best Source])</f>
        <v/>
      </c>
      <c r="AW110" s="4">
        <f>_xlfn.XLOOKUP(tbl_MTG_Set[[#This Row],[Collector Booster Box Product Id]], tbl_Product[Product Id], tbl_Product[Pack Size])</f>
        <v/>
      </c>
      <c r="AX110" s="10">
        <f>(tbl_MTG_Set[[#This Row],[Collector Booster Box Cost]] + v_Item_Shipping_Cost_In) / tbl_MTG_Set[[#This Row],[Collector Booster Box Size]]</f>
        <v/>
      </c>
      <c r="AY110" s="10">
        <f t="array" ref="AY1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0" s="10" t="n"/>
      <c r="BA1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0" s="17">
        <f>tbl_MTG_Set[[#This Row],[Collector Booster CardMarket Profit]]/tbl_MTG_Set[[#This Row],[Collector Booster Cost]]</f>
        <v/>
      </c>
      <c r="BC110" s="10" t="n"/>
      <c r="BF110" s="10">
        <f>tbl_MTG_Set[[#This Row],[Play Booster Sell Price CardMarket]]*tbl_MTG_Set[[#This Row],[Play Booster Expected Market Value]]/tbl_MTG_Set[[#This Row],[Play Boost Sealed Market Value]]</f>
        <v/>
      </c>
      <c r="BG1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0" s="10">
        <f>tbl_MTG_Set[[#This Row],[Play Singles CardMarket Profit]]/tbl_MTG_Set[[#This Row],[Play Booster Cost]]</f>
        <v/>
      </c>
      <c r="BI110" s="10">
        <f>tbl_MTG_Set[[#This Row],[Play Singles CardMarket Profit]]&gt;0</f>
        <v/>
      </c>
      <c r="BJ110" s="10" t="n"/>
      <c r="BK110" s="10" t="n"/>
      <c r="BL110" s="10">
        <f>tbl_MTG_Set[[#This Row],[Collector Booster Sell Price CardMarket]]*tbl_MTG_Set[[#This Row],[Collector Booster Expected Market Value]]/tbl_MTG_Set[[#This Row],[Collector Boost Sealed Market Value]]</f>
        <v/>
      </c>
      <c r="BM1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0" s="10">
        <f>tbl_MTG_Set[[#This Row],[Collector Singles CardMarket Profit]]/tbl_MTG_Set[[#This Row],[Collector Booster Cost]]</f>
        <v/>
      </c>
      <c r="BO110" s="10">
        <f>tbl_MTG_Set[[#This Row],[Collector Singles CardMarket Profit]]&gt;0</f>
        <v/>
      </c>
      <c r="BP1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1">
      <c r="A111" t="n">
        <v>109</v>
      </c>
      <c r="B111" t="inlineStr">
        <is>
          <t>Modern Horizons 2 Timeshifts H2R</t>
        </is>
      </c>
      <c r="C111" t="n">
        <v>16</v>
      </c>
      <c r="D111" s="3" t="n">
        <v>45450</v>
      </c>
      <c r="E111" t="inlineStr">
        <is>
          <t>Modern Horizons</t>
        </is>
      </c>
      <c r="F111" t="inlineStr">
        <is>
          <t>en es fr de it pt ja ko ru 汉语 漢語</t>
        </is>
      </c>
      <c r="G111" t="n">
        <v>164</v>
      </c>
      <c r="H111">
        <f>MONTH(NOW())+12*YEAR(NOW())-MONTH(tbl_MTG_Set[[#This Row],[Released On]])-12*YEAR(tbl_MTG_Set[[#This Row],[Released On]])</f>
        <v/>
      </c>
      <c r="I111">
        <f>_xlfn.XLOOKUP(tbl_MTG_Set[[#This Row],[Type Name]], tbl_MTG_Set_Type[Set Type], tbl_MTG_Set_Type[Index], "(Set Type not found)")</f>
        <v/>
      </c>
      <c r="J111">
        <f>_xlfn.XLOOKUP(tbl_MTG_Set[[#This Row],[Type Name]], tbl_MTG_Set_Type[Set Type], tbl_MTG_Set_Type[Buy Window Month Start], "(Set Type not found)")</f>
        <v/>
      </c>
      <c r="K111" s="3">
        <f>tbl_MTG_Set[[#This Row],[Released On]]+tbl_MTG_Set[[#This Row],[Buy Window Month Start]]*365.25/12</f>
        <v/>
      </c>
      <c r="L111">
        <f>_xlfn.XLOOKUP(tbl_MTG_Set[[#This Row],[Type Name]], tbl_MTG_Set_Type[Set Type], tbl_MTG_Set_Type[Buy Window Month End], "(Set Type not found)", 0, 1)</f>
        <v/>
      </c>
      <c r="M111" s="3">
        <f>tbl_MTG_Set[[#This Row],[Released On]]+tbl_MTG_Set[[#This Row],[Buy Window Month End]]*365.25/12</f>
        <v/>
      </c>
      <c r="N111" s="3">
        <f>AND(NOW()&gt;=tbl_MTG_Set[[#This Row],[Buy Window Start]], NOW()&lt;=tbl_MTG_Set[[#This Row],[Buy Window End]])</f>
        <v/>
      </c>
      <c r="O111">
        <f>_xlfn.XLOOKUP(tbl_MTG_Set[[#This Row],[Type Name]], tbl_MTG_Set_Type[Set Type], tbl_MTG_Set_Type[Heavy Printing Window Month Start], "(Set Type not found)", 0, 1)</f>
        <v/>
      </c>
      <c r="P111" s="3">
        <f>tbl_MTG_Set[[#This Row],[Released On]]+tbl_MTG_Set[[#This Row],[Heavy Printing Window Month Start]]*365.25/12</f>
        <v/>
      </c>
      <c r="Q111">
        <f>_xlfn.XLOOKUP(tbl_MTG_Set[[#This Row],[Type Name]], tbl_MTG_Set_Type[Set Type], tbl_MTG_Set_Type[Heavy Printing Window Month End], "(Set Type not found)", 0, 1)</f>
        <v/>
      </c>
      <c r="R111" s="3">
        <f>tbl_MTG_Set[[#This Row],[Released On]]+tbl_MTG_Set[[#This Row],[Heavy Printing Window Month End]]*365.25/12</f>
        <v/>
      </c>
      <c r="S111" s="3">
        <f>AND(NOW()&gt;=tbl_MTG_Set[[#This Row],[Heavy Printing Window Start]], NOW()&lt;=tbl_MTG_Set[[#This Row],[Heavy Printing Window End]])</f>
        <v/>
      </c>
      <c r="T111">
        <f>_xlfn.XLOOKUP(tbl_MTG_Set[[#This Row],[Type Name]], tbl_MTG_Set_Type[Set Type], tbl_MTG_Set_Type[Sell Window Month Start], "(Set Type not found)", 0, 1)</f>
        <v/>
      </c>
      <c r="U111" s="3">
        <f>tbl_MTG_Set[[#This Row],[Released On]]+tbl_MTG_Set[[#This Row],[Sell Window Month Start]]*365.25/12</f>
        <v/>
      </c>
      <c r="V111">
        <f>_xlfn.XLOOKUP(tbl_MTG_Set[[#This Row],[Type Name]], tbl_MTG_Set_Type[Set Type], tbl_MTG_Set_Type[Sell Window Month End], "(Set Type not found)", 0, 1)</f>
        <v/>
      </c>
      <c r="W111" s="3">
        <f>tbl_MTG_Set[[#This Row],[Released On]]+tbl_MTG_Set[[#This Row],[Sell Window Month End]]*365.25/12</f>
        <v/>
      </c>
      <c r="X111" s="3">
        <f>AND(NOW()&gt;=tbl_MTG_Set[[#This Row],[Sell Window Start]], NOW()&lt;=tbl_MTG_Set[[#This Row],[Sell Window End]])</f>
        <v/>
      </c>
      <c r="AG111" s="10" t="n"/>
      <c r="AH111" s="10" t="n"/>
      <c r="AM111" s="10">
        <f t="array" ref="AM1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1" s="10">
        <f t="array" ref="AN1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1" s="4">
        <f>_xlfn.XLOOKUP(tbl_MTG_Set[[#This Row],[Play Booster Box Product Id]], tbl_Product[Product Id], tbl_Product[Pack Size])</f>
        <v/>
      </c>
      <c r="AP111" s="10">
        <f>(tbl_MTG_Set[[#This Row],[Play Booster Box Cost]]+v_Item_Shipping_Cost_In)/tbl_MTG_Set[[#This Row],[Play Booster Box Size]]</f>
        <v/>
      </c>
      <c r="AQ111" s="10">
        <f t="array" ref="AQ1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1" s="10" t="n"/>
      <c r="AS111" s="10" t="n"/>
      <c r="AT111" s="17">
        <f>tbl_MTG_Set[[#This Row],[Play Booster CardMarket Profit]]/tbl_MTG_Set[[#This Row],[Play Booster Cost]]</f>
        <v/>
      </c>
      <c r="AU111" s="10">
        <f>_xlfn.XLOOKUP(tbl_MTG_Set[[#This Row],[Collector Booster Box Product Id]], tbl_Product[Product Id], tbl_Product[Min Cost])</f>
        <v/>
      </c>
      <c r="AV111" s="10">
        <f>_xlfn.XLOOKUP(tbl_MTG_Set[[#This Row],[Collector Booster Box Product Id]], tbl_Product[Product Id], tbl_Product[Best Source])</f>
        <v/>
      </c>
      <c r="AW111" s="4">
        <f>_xlfn.XLOOKUP(tbl_MTG_Set[[#This Row],[Collector Booster Box Product Id]], tbl_Product[Product Id], tbl_Product[Pack Size])</f>
        <v/>
      </c>
      <c r="AX111" s="10">
        <f>(tbl_MTG_Set[[#This Row],[Collector Booster Box Cost]] + v_Item_Shipping_Cost_In) / tbl_MTG_Set[[#This Row],[Collector Booster Box Size]]</f>
        <v/>
      </c>
      <c r="AY111" s="10">
        <f t="array" ref="AY1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1" s="10" t="n"/>
      <c r="BA1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1" s="17">
        <f>tbl_MTG_Set[[#This Row],[Collector Booster CardMarket Profit]]/tbl_MTG_Set[[#This Row],[Collector Booster Cost]]</f>
        <v/>
      </c>
      <c r="BC111" s="10" t="n"/>
      <c r="BF111" s="10">
        <f>tbl_MTG_Set[[#This Row],[Play Booster Sell Price CardMarket]]*tbl_MTG_Set[[#This Row],[Play Booster Expected Market Value]]/tbl_MTG_Set[[#This Row],[Play Boost Sealed Market Value]]</f>
        <v/>
      </c>
      <c r="BG1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1" s="10">
        <f>tbl_MTG_Set[[#This Row],[Play Singles CardMarket Profit]]/tbl_MTG_Set[[#This Row],[Play Booster Cost]]</f>
        <v/>
      </c>
      <c r="BI111" s="10">
        <f>tbl_MTG_Set[[#This Row],[Play Singles CardMarket Profit]]&gt;0</f>
        <v/>
      </c>
      <c r="BJ111" s="10" t="n"/>
      <c r="BK111" s="10" t="n"/>
      <c r="BL111" s="10">
        <f>tbl_MTG_Set[[#This Row],[Collector Booster Sell Price CardMarket]]*tbl_MTG_Set[[#This Row],[Collector Booster Expected Market Value]]/tbl_MTG_Set[[#This Row],[Collector Boost Sealed Market Value]]</f>
        <v/>
      </c>
      <c r="BM1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1" s="10">
        <f>tbl_MTG_Set[[#This Row],[Collector Singles CardMarket Profit]]/tbl_MTG_Set[[#This Row],[Collector Booster Cost]]</f>
        <v/>
      </c>
      <c r="BO111" s="10">
        <f>tbl_MTG_Set[[#This Row],[Collector Singles CardMarket Profit]]&gt;0</f>
        <v/>
      </c>
      <c r="BP1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2">
      <c r="A112" t="n">
        <v>110</v>
      </c>
      <c r="B112" t="inlineStr">
        <is>
          <t>Outlaws of Thunder Junction OTJ</t>
        </is>
      </c>
      <c r="C112" t="n">
        <v>374</v>
      </c>
      <c r="D112" s="3" t="n">
        <v>45401</v>
      </c>
      <c r="E112" t="inlineStr">
        <is>
          <t>Standard Expansion</t>
        </is>
      </c>
      <c r="F112" t="inlineStr">
        <is>
          <t>en es fr de it pt ja ko ru 汉语 漢語</t>
        </is>
      </c>
      <c r="G112" t="n">
        <v>166</v>
      </c>
      <c r="H112">
        <f>MONTH(NOW())+12*YEAR(NOW())-MONTH(tbl_MTG_Set[[#This Row],[Released On]])-12*YEAR(tbl_MTG_Set[[#This Row],[Released On]])</f>
        <v/>
      </c>
      <c r="I112">
        <f>_xlfn.XLOOKUP(tbl_MTG_Set[[#This Row],[Type Name]], tbl_MTG_Set_Type[Set Type], tbl_MTG_Set_Type[Index], "(Set Type not found)")</f>
        <v/>
      </c>
      <c r="J112">
        <f>_xlfn.XLOOKUP(tbl_MTG_Set[[#This Row],[Type Name]], tbl_MTG_Set_Type[Set Type], tbl_MTG_Set_Type[Buy Window Month Start], "(Set Type not found)")</f>
        <v/>
      </c>
      <c r="K112" s="3">
        <f>tbl_MTG_Set[[#This Row],[Released On]]+tbl_MTG_Set[[#This Row],[Buy Window Month Start]]*365.25/12</f>
        <v/>
      </c>
      <c r="L112">
        <f>_xlfn.XLOOKUP(tbl_MTG_Set[[#This Row],[Type Name]], tbl_MTG_Set_Type[Set Type], tbl_MTG_Set_Type[Buy Window Month End], "(Set Type not found)", 0, 1)</f>
        <v/>
      </c>
      <c r="M112" s="3">
        <f>tbl_MTG_Set[[#This Row],[Released On]]+tbl_MTG_Set[[#This Row],[Buy Window Month End]]*365.25/12</f>
        <v/>
      </c>
      <c r="N112" s="3">
        <f>AND(NOW()&gt;=tbl_MTG_Set[[#This Row],[Buy Window Start]], NOW()&lt;=tbl_MTG_Set[[#This Row],[Buy Window End]])</f>
        <v/>
      </c>
      <c r="O112">
        <f>_xlfn.XLOOKUP(tbl_MTG_Set[[#This Row],[Type Name]], tbl_MTG_Set_Type[Set Type], tbl_MTG_Set_Type[Heavy Printing Window Month Start], "(Set Type not found)", 0, 1)</f>
        <v/>
      </c>
      <c r="P112" s="3">
        <f>tbl_MTG_Set[[#This Row],[Released On]]+tbl_MTG_Set[[#This Row],[Heavy Printing Window Month Start]]*365.25/12</f>
        <v/>
      </c>
      <c r="Q112">
        <f>_xlfn.XLOOKUP(tbl_MTG_Set[[#This Row],[Type Name]], tbl_MTG_Set_Type[Set Type], tbl_MTG_Set_Type[Heavy Printing Window Month End], "(Set Type not found)", 0, 1)</f>
        <v/>
      </c>
      <c r="R112" s="3">
        <f>tbl_MTG_Set[[#This Row],[Released On]]+tbl_MTG_Set[[#This Row],[Heavy Printing Window Month End]]*365.25/12</f>
        <v/>
      </c>
      <c r="S112" s="3">
        <f>AND(NOW()&gt;=tbl_MTG_Set[[#This Row],[Heavy Printing Window Start]], NOW()&lt;=tbl_MTG_Set[[#This Row],[Heavy Printing Window End]])</f>
        <v/>
      </c>
      <c r="T112">
        <f>_xlfn.XLOOKUP(tbl_MTG_Set[[#This Row],[Type Name]], tbl_MTG_Set_Type[Set Type], tbl_MTG_Set_Type[Sell Window Month Start], "(Set Type not found)", 0, 1)</f>
        <v/>
      </c>
      <c r="U112" s="3">
        <f>tbl_MTG_Set[[#This Row],[Released On]]+tbl_MTG_Set[[#This Row],[Sell Window Month Start]]*365.25/12</f>
        <v/>
      </c>
      <c r="V112">
        <f>_xlfn.XLOOKUP(tbl_MTG_Set[[#This Row],[Type Name]], tbl_MTG_Set_Type[Set Type], tbl_MTG_Set_Type[Sell Window Month End], "(Set Type not found)", 0, 1)</f>
        <v/>
      </c>
      <c r="W112" s="3">
        <f>tbl_MTG_Set[[#This Row],[Released On]]+tbl_MTG_Set[[#This Row],[Sell Window Month End]]*365.25/12</f>
        <v/>
      </c>
      <c r="X112" s="3">
        <f>AND(NOW()&gt;=tbl_MTG_Set[[#This Row],[Sell Window Start]], NOW()&lt;=tbl_MTG_Set[[#This Row],[Sell Window End]])</f>
        <v/>
      </c>
      <c r="Y112" s="10" t="n">
        <v>116</v>
      </c>
      <c r="Z112" s="10" t="n">
        <v>137</v>
      </c>
      <c r="AD112" s="10">
        <f>(Y112+96/20)/36</f>
        <v/>
      </c>
      <c r="AE112" s="10">
        <f>(Z112+96/20)/36</f>
        <v/>
      </c>
      <c r="AG112" s="10" t="n"/>
      <c r="AH112" s="10" t="n"/>
      <c r="AI112" s="4" t="n">
        <v>56</v>
      </c>
      <c r="AJ112" s="4" t="n">
        <v>11</v>
      </c>
      <c r="AK112" s="4" t="n">
        <v>126</v>
      </c>
      <c r="AL112" s="4" t="n">
        <v>125</v>
      </c>
      <c r="AM112" s="10">
        <f t="array" ref="AM1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2" s="10">
        <f t="array" ref="AN1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2" s="4">
        <f>_xlfn.XLOOKUP(tbl_MTG_Set[[#This Row],[Play Booster Box Product Id]], tbl_Product[Product Id], tbl_Product[Pack Size])</f>
        <v/>
      </c>
      <c r="AP112" s="10">
        <f>(tbl_MTG_Set[[#This Row],[Play Booster Box Cost]]+v_Item_Shipping_Cost_In)/tbl_MTG_Set[[#This Row],[Play Booster Box Size]]</f>
        <v/>
      </c>
      <c r="AQ112" s="10">
        <f t="array" ref="AQ1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2" s="10" t="n">
        <v>5</v>
      </c>
      <c r="AS11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12" s="17">
        <f>tbl_MTG_Set[[#This Row],[Play Booster CardMarket Profit]]/tbl_MTG_Set[[#This Row],[Play Booster Cost]]</f>
        <v/>
      </c>
      <c r="AU112" s="10">
        <f>_xlfn.XLOOKUP(tbl_MTG_Set[[#This Row],[Collector Booster Box Product Id]], tbl_Product[Product Id], tbl_Product[Min Cost])</f>
        <v/>
      </c>
      <c r="AV112" s="10">
        <f>_xlfn.XLOOKUP(tbl_MTG_Set[[#This Row],[Collector Booster Box Product Id]], tbl_Product[Product Id], tbl_Product[Best Source])</f>
        <v/>
      </c>
      <c r="AW112" s="4">
        <f>_xlfn.XLOOKUP(tbl_MTG_Set[[#This Row],[Collector Booster Box Product Id]], tbl_Product[Product Id], tbl_Product[Pack Size])</f>
        <v/>
      </c>
      <c r="AX112" s="10">
        <f>(tbl_MTG_Set[[#This Row],[Collector Booster Box Cost]] + v_Item_Shipping_Cost_In) / tbl_MTG_Set[[#This Row],[Collector Booster Box Size]]</f>
        <v/>
      </c>
      <c r="AY112" s="10">
        <f t="array" ref="AY1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2" s="10" t="n"/>
      <c r="BA1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2" s="17">
        <f>tbl_MTG_Set[[#This Row],[Collector Booster CardMarket Profit]]/tbl_MTG_Set[[#This Row],[Collector Booster Cost]]</f>
        <v/>
      </c>
      <c r="BC112" s="15" t="inlineStr">
        <is>
          <t>https://www.mtgstocks.com/sets/1901-outlaws-of-thunder-junction#ev</t>
        </is>
      </c>
      <c r="BD112" s="11" t="n">
        <v>10.06</v>
      </c>
      <c r="BE112" s="11" t="n">
        <v>4.75</v>
      </c>
      <c r="BF112" s="10">
        <f>tbl_MTG_Set[[#This Row],[Play Booster Sell Price CardMarket]]*tbl_MTG_Set[[#This Row],[Play Booster Expected Market Value]]/tbl_MTG_Set[[#This Row],[Play Boost Sealed Market Value]]</f>
        <v/>
      </c>
      <c r="BG1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2" s="17">
        <f>tbl_MTG_Set[[#This Row],[Play Singles CardMarket Profit]]/tbl_MTG_Set[[#This Row],[Play Booster Cost]]</f>
        <v/>
      </c>
      <c r="BI112" s="10">
        <f>tbl_MTG_Set[[#This Row],[Play Singles CardMarket Profit]]&gt;0</f>
        <v/>
      </c>
      <c r="BJ112" s="10" t="n">
        <v>19.09</v>
      </c>
      <c r="BK112" s="10" t="n">
        <v>29.08</v>
      </c>
      <c r="BL112" s="10">
        <f>tbl_MTG_Set[[#This Row],[Collector Booster Sell Price CardMarket]]*tbl_MTG_Set[[#This Row],[Collector Booster Expected Market Value]]/tbl_MTG_Set[[#This Row],[Collector Boost Sealed Market Value]]</f>
        <v/>
      </c>
      <c r="BM1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2" s="17">
        <f>tbl_MTG_Set[[#This Row],[Collector Singles CardMarket Profit]]/tbl_MTG_Set[[#This Row],[Collector Booster Cost]]</f>
        <v/>
      </c>
      <c r="BO112" s="10">
        <f>tbl_MTG_Set[[#This Row],[Collector Singles CardMarket Profit]]&gt;0</f>
        <v/>
      </c>
      <c r="BP1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3">
      <c r="A113" t="n">
        <v>111</v>
      </c>
      <c r="B113" t="inlineStr">
        <is>
          <t>Breaking News OTP</t>
        </is>
      </c>
      <c r="C113" t="n">
        <v>80</v>
      </c>
      <c r="D113" s="3" t="n">
        <v>45401</v>
      </c>
      <c r="E113" t="inlineStr">
        <is>
          <t>Micro-sets</t>
        </is>
      </c>
      <c r="F113" t="inlineStr">
        <is>
          <t>en es fr de it pt ja ko ru 汉语 漢語</t>
        </is>
      </c>
      <c r="G113" t="n">
        <v>168</v>
      </c>
      <c r="H113">
        <f>MONTH(NOW())+12*YEAR(NOW())-MONTH(tbl_MTG_Set[[#This Row],[Released On]])-12*YEAR(tbl_MTG_Set[[#This Row],[Released On]])</f>
        <v/>
      </c>
      <c r="I113">
        <f>_xlfn.XLOOKUP(tbl_MTG_Set[[#This Row],[Type Name]], tbl_MTG_Set_Type[Set Type], tbl_MTG_Set_Type[Index], "(Set Type not found)")</f>
        <v/>
      </c>
      <c r="J113">
        <f>_xlfn.XLOOKUP(tbl_MTG_Set[[#This Row],[Type Name]], tbl_MTG_Set_Type[Set Type], tbl_MTG_Set_Type[Buy Window Month Start], "(Set Type not found)")</f>
        <v/>
      </c>
      <c r="K113" s="3">
        <f>tbl_MTG_Set[[#This Row],[Released On]]+tbl_MTG_Set[[#This Row],[Buy Window Month Start]]*365.25/12</f>
        <v/>
      </c>
      <c r="L113">
        <f>_xlfn.XLOOKUP(tbl_MTG_Set[[#This Row],[Type Name]], tbl_MTG_Set_Type[Set Type], tbl_MTG_Set_Type[Buy Window Month End], "(Set Type not found)", 0, 1)</f>
        <v/>
      </c>
      <c r="M113" s="3">
        <f>tbl_MTG_Set[[#This Row],[Released On]]+tbl_MTG_Set[[#This Row],[Buy Window Month End]]*365.25/12</f>
        <v/>
      </c>
      <c r="N113" s="3">
        <f>AND(NOW()&gt;=tbl_MTG_Set[[#This Row],[Buy Window Start]], NOW()&lt;=tbl_MTG_Set[[#This Row],[Buy Window End]])</f>
        <v/>
      </c>
      <c r="O113">
        <f>_xlfn.XLOOKUP(tbl_MTG_Set[[#This Row],[Type Name]], tbl_MTG_Set_Type[Set Type], tbl_MTG_Set_Type[Heavy Printing Window Month Start], "(Set Type not found)", 0, 1)</f>
        <v/>
      </c>
      <c r="P113" s="3">
        <f>tbl_MTG_Set[[#This Row],[Released On]]+tbl_MTG_Set[[#This Row],[Heavy Printing Window Month Start]]*365.25/12</f>
        <v/>
      </c>
      <c r="Q113">
        <f>_xlfn.XLOOKUP(tbl_MTG_Set[[#This Row],[Type Name]], tbl_MTG_Set_Type[Set Type], tbl_MTG_Set_Type[Heavy Printing Window Month End], "(Set Type not found)", 0, 1)</f>
        <v/>
      </c>
      <c r="R113" s="3">
        <f>tbl_MTG_Set[[#This Row],[Released On]]+tbl_MTG_Set[[#This Row],[Heavy Printing Window Month End]]*365.25/12</f>
        <v/>
      </c>
      <c r="S113" s="3">
        <f>AND(NOW()&gt;=tbl_MTG_Set[[#This Row],[Heavy Printing Window Start]], NOW()&lt;=tbl_MTG_Set[[#This Row],[Heavy Printing Window End]])</f>
        <v/>
      </c>
      <c r="T113">
        <f>_xlfn.XLOOKUP(tbl_MTG_Set[[#This Row],[Type Name]], tbl_MTG_Set_Type[Set Type], tbl_MTG_Set_Type[Sell Window Month Start], "(Set Type not found)", 0, 1)</f>
        <v/>
      </c>
      <c r="U113" s="3">
        <f>tbl_MTG_Set[[#This Row],[Released On]]+tbl_MTG_Set[[#This Row],[Sell Window Month Start]]*365.25/12</f>
        <v/>
      </c>
      <c r="V113">
        <f>_xlfn.XLOOKUP(tbl_MTG_Set[[#This Row],[Type Name]], tbl_MTG_Set_Type[Set Type], tbl_MTG_Set_Type[Sell Window Month End], "(Set Type not found)", 0, 1)</f>
        <v/>
      </c>
      <c r="W113" s="3">
        <f>tbl_MTG_Set[[#This Row],[Released On]]+tbl_MTG_Set[[#This Row],[Sell Window Month End]]*365.25/12</f>
        <v/>
      </c>
      <c r="X113" s="3">
        <f>AND(NOW()&gt;=tbl_MTG_Set[[#This Row],[Sell Window Start]], NOW()&lt;=tbl_MTG_Set[[#This Row],[Sell Window End]])</f>
        <v/>
      </c>
      <c r="AG113" s="10" t="n"/>
      <c r="AH113" s="10" t="n"/>
      <c r="AM113" s="10">
        <f t="array" ref="AM1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3" s="10">
        <f t="array" ref="AN1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3" s="4">
        <f>_xlfn.XLOOKUP(tbl_MTG_Set[[#This Row],[Play Booster Box Product Id]], tbl_Product[Product Id], tbl_Product[Pack Size])</f>
        <v/>
      </c>
      <c r="AP113" s="10">
        <f>(tbl_MTG_Set[[#This Row],[Play Booster Box Cost]]+v_Item_Shipping_Cost_In)/tbl_MTG_Set[[#This Row],[Play Booster Box Size]]</f>
        <v/>
      </c>
      <c r="AQ113" s="10">
        <f t="array" ref="AQ1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3" s="10" t="n"/>
      <c r="AS113" s="10" t="n"/>
      <c r="AT113" s="17">
        <f>tbl_MTG_Set[[#This Row],[Play Booster CardMarket Profit]]/tbl_MTG_Set[[#This Row],[Play Booster Cost]]</f>
        <v/>
      </c>
      <c r="AU113" s="10">
        <f>_xlfn.XLOOKUP(tbl_MTG_Set[[#This Row],[Collector Booster Box Product Id]], tbl_Product[Product Id], tbl_Product[Min Cost])</f>
        <v/>
      </c>
      <c r="AV113" s="10">
        <f>_xlfn.XLOOKUP(tbl_MTG_Set[[#This Row],[Collector Booster Box Product Id]], tbl_Product[Product Id], tbl_Product[Best Source])</f>
        <v/>
      </c>
      <c r="AW113" s="4">
        <f>_xlfn.XLOOKUP(tbl_MTG_Set[[#This Row],[Collector Booster Box Product Id]], tbl_Product[Product Id], tbl_Product[Pack Size])</f>
        <v/>
      </c>
      <c r="AX113" s="10">
        <f>(tbl_MTG_Set[[#This Row],[Collector Booster Box Cost]] + v_Item_Shipping_Cost_In) / tbl_MTG_Set[[#This Row],[Collector Booster Box Size]]</f>
        <v/>
      </c>
      <c r="AY113" s="10">
        <f t="array" ref="AY1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3" s="10" t="n"/>
      <c r="BA1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3" s="17">
        <f>tbl_MTG_Set[[#This Row],[Collector Booster CardMarket Profit]]/tbl_MTG_Set[[#This Row],[Collector Booster Cost]]</f>
        <v/>
      </c>
      <c r="BC113" s="10" t="n"/>
      <c r="BF113" s="10">
        <f>tbl_MTG_Set[[#This Row],[Play Booster Sell Price CardMarket]]*tbl_MTG_Set[[#This Row],[Play Booster Expected Market Value]]/tbl_MTG_Set[[#This Row],[Play Boost Sealed Market Value]]</f>
        <v/>
      </c>
      <c r="BG1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3" s="10">
        <f>tbl_MTG_Set[[#This Row],[Play Singles CardMarket Profit]]/tbl_MTG_Set[[#This Row],[Play Booster Cost]]</f>
        <v/>
      </c>
      <c r="BI113" s="10">
        <f>tbl_MTG_Set[[#This Row],[Play Singles CardMarket Profit]]&gt;0</f>
        <v/>
      </c>
      <c r="BJ113" s="10" t="n"/>
      <c r="BK113" s="10" t="n"/>
      <c r="BL113" s="10">
        <f>tbl_MTG_Set[[#This Row],[Collector Booster Sell Price CardMarket]]*tbl_MTG_Set[[#This Row],[Collector Booster Expected Market Value]]/tbl_MTG_Set[[#This Row],[Collector Boost Sealed Market Value]]</f>
        <v/>
      </c>
      <c r="BM1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3" s="10">
        <f>tbl_MTG_Set[[#This Row],[Collector Singles CardMarket Profit]]/tbl_MTG_Set[[#This Row],[Collector Booster Cost]]</f>
        <v/>
      </c>
      <c r="BO113" s="10">
        <f>tbl_MTG_Set[[#This Row],[Collector Singles CardMarket Profit]]&gt;0</f>
        <v/>
      </c>
      <c r="BP1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4">
      <c r="A114" t="n">
        <v>112</v>
      </c>
      <c r="B114" t="inlineStr">
        <is>
          <t>Breaking News Tokens TOTP</t>
        </is>
      </c>
      <c r="C114" t="n">
        <v>5</v>
      </c>
      <c r="D114" s="3" t="n">
        <v>45401</v>
      </c>
      <c r="E114" t="inlineStr">
        <is>
          <t>Micro-sets</t>
        </is>
      </c>
      <c r="F114" t="inlineStr">
        <is>
          <t>en es fr de it pt ja ko ru 汉语 漢語</t>
        </is>
      </c>
      <c r="G114" t="n">
        <v>170</v>
      </c>
      <c r="H114">
        <f>MONTH(NOW())+12*YEAR(NOW())-MONTH(tbl_MTG_Set[[#This Row],[Released On]])-12*YEAR(tbl_MTG_Set[[#This Row],[Released On]])</f>
        <v/>
      </c>
      <c r="I114">
        <f>_xlfn.XLOOKUP(tbl_MTG_Set[[#This Row],[Type Name]], tbl_MTG_Set_Type[Set Type], tbl_MTG_Set_Type[Index], "(Set Type not found)")</f>
        <v/>
      </c>
      <c r="J114">
        <f>_xlfn.XLOOKUP(tbl_MTG_Set[[#This Row],[Type Name]], tbl_MTG_Set_Type[Set Type], tbl_MTG_Set_Type[Buy Window Month Start], "(Set Type not found)")</f>
        <v/>
      </c>
      <c r="K114" s="3">
        <f>tbl_MTG_Set[[#This Row],[Released On]]+tbl_MTG_Set[[#This Row],[Buy Window Month Start]]*365.25/12</f>
        <v/>
      </c>
      <c r="L114">
        <f>_xlfn.XLOOKUP(tbl_MTG_Set[[#This Row],[Type Name]], tbl_MTG_Set_Type[Set Type], tbl_MTG_Set_Type[Buy Window Month End], "(Set Type not found)", 0, 1)</f>
        <v/>
      </c>
      <c r="M114" s="3">
        <f>tbl_MTG_Set[[#This Row],[Released On]]+tbl_MTG_Set[[#This Row],[Buy Window Month End]]*365.25/12</f>
        <v/>
      </c>
      <c r="N114" s="3">
        <f>AND(NOW()&gt;=tbl_MTG_Set[[#This Row],[Buy Window Start]], NOW()&lt;=tbl_MTG_Set[[#This Row],[Buy Window End]])</f>
        <v/>
      </c>
      <c r="O114">
        <f>_xlfn.XLOOKUP(tbl_MTG_Set[[#This Row],[Type Name]], tbl_MTG_Set_Type[Set Type], tbl_MTG_Set_Type[Heavy Printing Window Month Start], "(Set Type not found)", 0, 1)</f>
        <v/>
      </c>
      <c r="P114" s="3">
        <f>tbl_MTG_Set[[#This Row],[Released On]]+tbl_MTG_Set[[#This Row],[Heavy Printing Window Month Start]]*365.25/12</f>
        <v/>
      </c>
      <c r="Q114">
        <f>_xlfn.XLOOKUP(tbl_MTG_Set[[#This Row],[Type Name]], tbl_MTG_Set_Type[Set Type], tbl_MTG_Set_Type[Heavy Printing Window Month End], "(Set Type not found)", 0, 1)</f>
        <v/>
      </c>
      <c r="R114" s="3">
        <f>tbl_MTG_Set[[#This Row],[Released On]]+tbl_MTG_Set[[#This Row],[Heavy Printing Window Month End]]*365.25/12</f>
        <v/>
      </c>
      <c r="S114" s="3">
        <f>AND(NOW()&gt;=tbl_MTG_Set[[#This Row],[Heavy Printing Window Start]], NOW()&lt;=tbl_MTG_Set[[#This Row],[Heavy Printing Window End]])</f>
        <v/>
      </c>
      <c r="T114">
        <f>_xlfn.XLOOKUP(tbl_MTG_Set[[#This Row],[Type Name]], tbl_MTG_Set_Type[Set Type], tbl_MTG_Set_Type[Sell Window Month Start], "(Set Type not found)", 0, 1)</f>
        <v/>
      </c>
      <c r="U114" s="3">
        <f>tbl_MTG_Set[[#This Row],[Released On]]+tbl_MTG_Set[[#This Row],[Sell Window Month Start]]*365.25/12</f>
        <v/>
      </c>
      <c r="V114">
        <f>_xlfn.XLOOKUP(tbl_MTG_Set[[#This Row],[Type Name]], tbl_MTG_Set_Type[Set Type], tbl_MTG_Set_Type[Sell Window Month End], "(Set Type not found)", 0, 1)</f>
        <v/>
      </c>
      <c r="W114" s="3">
        <f>tbl_MTG_Set[[#This Row],[Released On]]+tbl_MTG_Set[[#This Row],[Sell Window Month End]]*365.25/12</f>
        <v/>
      </c>
      <c r="X114" s="3">
        <f>AND(NOW()&gt;=tbl_MTG_Set[[#This Row],[Sell Window Start]], NOW()&lt;=tbl_MTG_Set[[#This Row],[Sell Window End]])</f>
        <v/>
      </c>
      <c r="AG114" s="10" t="n"/>
      <c r="AH114" s="10" t="n"/>
      <c r="AM114" s="10">
        <f t="array" ref="AM1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4" s="10">
        <f t="array" ref="AN1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4" s="4">
        <f>_xlfn.XLOOKUP(tbl_MTG_Set[[#This Row],[Play Booster Box Product Id]], tbl_Product[Product Id], tbl_Product[Pack Size])</f>
        <v/>
      </c>
      <c r="AP114" s="10">
        <f>(tbl_MTG_Set[[#This Row],[Play Booster Box Cost]]+v_Item_Shipping_Cost_In)/tbl_MTG_Set[[#This Row],[Play Booster Box Size]]</f>
        <v/>
      </c>
      <c r="AQ114" s="10">
        <f t="array" ref="AQ1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4" s="10" t="n"/>
      <c r="AS114" s="10" t="n"/>
      <c r="AT114" s="17">
        <f>tbl_MTG_Set[[#This Row],[Play Booster CardMarket Profit]]/tbl_MTG_Set[[#This Row],[Play Booster Cost]]</f>
        <v/>
      </c>
      <c r="AU114" s="10">
        <f>_xlfn.XLOOKUP(tbl_MTG_Set[[#This Row],[Collector Booster Box Product Id]], tbl_Product[Product Id], tbl_Product[Min Cost])</f>
        <v/>
      </c>
      <c r="AV114" s="10">
        <f>_xlfn.XLOOKUP(tbl_MTG_Set[[#This Row],[Collector Booster Box Product Id]], tbl_Product[Product Id], tbl_Product[Best Source])</f>
        <v/>
      </c>
      <c r="AW114" s="4">
        <f>_xlfn.XLOOKUP(tbl_MTG_Set[[#This Row],[Collector Booster Box Product Id]], tbl_Product[Product Id], tbl_Product[Pack Size])</f>
        <v/>
      </c>
      <c r="AX114" s="10">
        <f>(tbl_MTG_Set[[#This Row],[Collector Booster Box Cost]] + v_Item_Shipping_Cost_In) / tbl_MTG_Set[[#This Row],[Collector Booster Box Size]]</f>
        <v/>
      </c>
      <c r="AY114" s="10">
        <f t="array" ref="AY1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4" s="10" t="n"/>
      <c r="BA1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4" s="17">
        <f>tbl_MTG_Set[[#This Row],[Collector Booster CardMarket Profit]]/tbl_MTG_Set[[#This Row],[Collector Booster Cost]]</f>
        <v/>
      </c>
      <c r="BC114" s="10" t="n"/>
      <c r="BF114" s="10">
        <f>tbl_MTG_Set[[#This Row],[Play Booster Sell Price CardMarket]]*tbl_MTG_Set[[#This Row],[Play Booster Expected Market Value]]/tbl_MTG_Set[[#This Row],[Play Boost Sealed Market Value]]</f>
        <v/>
      </c>
      <c r="BG1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4" s="10">
        <f>tbl_MTG_Set[[#This Row],[Play Singles CardMarket Profit]]/tbl_MTG_Set[[#This Row],[Play Booster Cost]]</f>
        <v/>
      </c>
      <c r="BI114" s="10">
        <f>tbl_MTG_Set[[#This Row],[Play Singles CardMarket Profit]]&gt;0</f>
        <v/>
      </c>
      <c r="BJ114" s="10" t="n"/>
      <c r="BK114" s="10" t="n"/>
      <c r="BL114" s="10">
        <f>tbl_MTG_Set[[#This Row],[Collector Booster Sell Price CardMarket]]*tbl_MTG_Set[[#This Row],[Collector Booster Expected Market Value]]/tbl_MTG_Set[[#This Row],[Collector Boost Sealed Market Value]]</f>
        <v/>
      </c>
      <c r="BM1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4" s="10">
        <f>tbl_MTG_Set[[#This Row],[Collector Singles CardMarket Profit]]/tbl_MTG_Set[[#This Row],[Collector Booster Cost]]</f>
        <v/>
      </c>
      <c r="BO114" s="10">
        <f>tbl_MTG_Set[[#This Row],[Collector Singles CardMarket Profit]]&gt;0</f>
        <v/>
      </c>
      <c r="BP1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5">
      <c r="A115" t="n">
        <v>113</v>
      </c>
      <c r="B115" t="inlineStr">
        <is>
          <t>Outlaws of Thunder Junction Promos POTJ</t>
        </is>
      </c>
      <c r="C115" t="n">
        <v>160</v>
      </c>
      <c r="D115" s="3" t="n">
        <v>45401</v>
      </c>
      <c r="E115" t="inlineStr">
        <is>
          <t>Standard Expansion</t>
        </is>
      </c>
      <c r="F115" t="inlineStr">
        <is>
          <t>en es fr de it pt ja ko ru 汉语 漢語</t>
        </is>
      </c>
      <c r="G115" t="n">
        <v>172</v>
      </c>
      <c r="H115">
        <f>MONTH(NOW())+12*YEAR(NOW())-MONTH(tbl_MTG_Set[[#This Row],[Released On]])-12*YEAR(tbl_MTG_Set[[#This Row],[Released On]])</f>
        <v/>
      </c>
      <c r="I115">
        <f>_xlfn.XLOOKUP(tbl_MTG_Set[[#This Row],[Type Name]], tbl_MTG_Set_Type[Set Type], tbl_MTG_Set_Type[Index], "(Set Type not found)")</f>
        <v/>
      </c>
      <c r="J115">
        <f>_xlfn.XLOOKUP(tbl_MTG_Set[[#This Row],[Type Name]], tbl_MTG_Set_Type[Set Type], tbl_MTG_Set_Type[Buy Window Month Start], "(Set Type not found)")</f>
        <v/>
      </c>
      <c r="K115" s="3">
        <f>tbl_MTG_Set[[#This Row],[Released On]]+tbl_MTG_Set[[#This Row],[Buy Window Month Start]]*365.25/12</f>
        <v/>
      </c>
      <c r="L115">
        <f>_xlfn.XLOOKUP(tbl_MTG_Set[[#This Row],[Type Name]], tbl_MTG_Set_Type[Set Type], tbl_MTG_Set_Type[Buy Window Month End], "(Set Type not found)", 0, 1)</f>
        <v/>
      </c>
      <c r="M115" s="3">
        <f>tbl_MTG_Set[[#This Row],[Released On]]+tbl_MTG_Set[[#This Row],[Buy Window Month End]]*365.25/12</f>
        <v/>
      </c>
      <c r="N115" s="3">
        <f>AND(NOW()&gt;=tbl_MTG_Set[[#This Row],[Buy Window Start]], NOW()&lt;=tbl_MTG_Set[[#This Row],[Buy Window End]])</f>
        <v/>
      </c>
      <c r="O115">
        <f>_xlfn.XLOOKUP(tbl_MTG_Set[[#This Row],[Type Name]], tbl_MTG_Set_Type[Set Type], tbl_MTG_Set_Type[Heavy Printing Window Month Start], "(Set Type not found)", 0, 1)</f>
        <v/>
      </c>
      <c r="P115" s="3">
        <f>tbl_MTG_Set[[#This Row],[Released On]]+tbl_MTG_Set[[#This Row],[Heavy Printing Window Month Start]]*365.25/12</f>
        <v/>
      </c>
      <c r="Q115">
        <f>_xlfn.XLOOKUP(tbl_MTG_Set[[#This Row],[Type Name]], tbl_MTG_Set_Type[Set Type], tbl_MTG_Set_Type[Heavy Printing Window Month End], "(Set Type not found)", 0, 1)</f>
        <v/>
      </c>
      <c r="R115" s="3">
        <f>tbl_MTG_Set[[#This Row],[Released On]]+tbl_MTG_Set[[#This Row],[Heavy Printing Window Month End]]*365.25/12</f>
        <v/>
      </c>
      <c r="S115" s="3">
        <f>AND(NOW()&gt;=tbl_MTG_Set[[#This Row],[Heavy Printing Window Start]], NOW()&lt;=tbl_MTG_Set[[#This Row],[Heavy Printing Window End]])</f>
        <v/>
      </c>
      <c r="T115">
        <f>_xlfn.XLOOKUP(tbl_MTG_Set[[#This Row],[Type Name]], tbl_MTG_Set_Type[Set Type], tbl_MTG_Set_Type[Sell Window Month Start], "(Set Type not found)", 0, 1)</f>
        <v/>
      </c>
      <c r="U115" s="3">
        <f>tbl_MTG_Set[[#This Row],[Released On]]+tbl_MTG_Set[[#This Row],[Sell Window Month Start]]*365.25/12</f>
        <v/>
      </c>
      <c r="V115">
        <f>_xlfn.XLOOKUP(tbl_MTG_Set[[#This Row],[Type Name]], tbl_MTG_Set_Type[Set Type], tbl_MTG_Set_Type[Sell Window Month End], "(Set Type not found)", 0, 1)</f>
        <v/>
      </c>
      <c r="W115" s="3">
        <f>tbl_MTG_Set[[#This Row],[Released On]]+tbl_MTG_Set[[#This Row],[Sell Window Month End]]*365.25/12</f>
        <v/>
      </c>
      <c r="X115" s="3">
        <f>AND(NOW()&gt;=tbl_MTG_Set[[#This Row],[Sell Window Start]], NOW()&lt;=tbl_MTG_Set[[#This Row],[Sell Window End]])</f>
        <v/>
      </c>
      <c r="AG115" s="10" t="n"/>
      <c r="AH115" s="10" t="n"/>
      <c r="AM115" s="10">
        <f t="array" ref="AM1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5" s="10">
        <f t="array" ref="AN1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5" s="4">
        <f>_xlfn.XLOOKUP(tbl_MTG_Set[[#This Row],[Play Booster Box Product Id]], tbl_Product[Product Id], tbl_Product[Pack Size])</f>
        <v/>
      </c>
      <c r="AP115" s="10">
        <f>(tbl_MTG_Set[[#This Row],[Play Booster Box Cost]]+v_Item_Shipping_Cost_In)/tbl_MTG_Set[[#This Row],[Play Booster Box Size]]</f>
        <v/>
      </c>
      <c r="AQ115" s="10">
        <f t="array" ref="AQ1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5" s="10" t="n"/>
      <c r="AS115" s="10" t="n"/>
      <c r="AT115" s="17">
        <f>tbl_MTG_Set[[#This Row],[Play Booster CardMarket Profit]]/tbl_MTG_Set[[#This Row],[Play Booster Cost]]</f>
        <v/>
      </c>
      <c r="AU115" s="10">
        <f>_xlfn.XLOOKUP(tbl_MTG_Set[[#This Row],[Collector Booster Box Product Id]], tbl_Product[Product Id], tbl_Product[Min Cost])</f>
        <v/>
      </c>
      <c r="AV115" s="10">
        <f>_xlfn.XLOOKUP(tbl_MTG_Set[[#This Row],[Collector Booster Box Product Id]], tbl_Product[Product Id], tbl_Product[Best Source])</f>
        <v/>
      </c>
      <c r="AW115" s="4">
        <f>_xlfn.XLOOKUP(tbl_MTG_Set[[#This Row],[Collector Booster Box Product Id]], tbl_Product[Product Id], tbl_Product[Pack Size])</f>
        <v/>
      </c>
      <c r="AX115" s="10">
        <f>(tbl_MTG_Set[[#This Row],[Collector Booster Box Cost]] + v_Item_Shipping_Cost_In) / tbl_MTG_Set[[#This Row],[Collector Booster Box Size]]</f>
        <v/>
      </c>
      <c r="AY115" s="10">
        <f t="array" ref="AY1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5" s="10" t="n"/>
      <c r="BA1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5" s="17">
        <f>tbl_MTG_Set[[#This Row],[Collector Booster CardMarket Profit]]/tbl_MTG_Set[[#This Row],[Collector Booster Cost]]</f>
        <v/>
      </c>
      <c r="BC115" s="10" t="n"/>
      <c r="BF115" s="10">
        <f>tbl_MTG_Set[[#This Row],[Play Booster Sell Price CardMarket]]*tbl_MTG_Set[[#This Row],[Play Booster Expected Market Value]]/tbl_MTG_Set[[#This Row],[Play Boost Sealed Market Value]]</f>
        <v/>
      </c>
      <c r="BG1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5" s="10">
        <f>tbl_MTG_Set[[#This Row],[Play Singles CardMarket Profit]]/tbl_MTG_Set[[#This Row],[Play Booster Cost]]</f>
        <v/>
      </c>
      <c r="BI115" s="10">
        <f>tbl_MTG_Set[[#This Row],[Play Singles CardMarket Profit]]&gt;0</f>
        <v/>
      </c>
      <c r="BJ115" s="10" t="n"/>
      <c r="BK115" s="10" t="n"/>
      <c r="BL115" s="10">
        <f>tbl_MTG_Set[[#This Row],[Collector Booster Sell Price CardMarket]]*tbl_MTG_Set[[#This Row],[Collector Booster Expected Market Value]]/tbl_MTG_Set[[#This Row],[Collector Boost Sealed Market Value]]</f>
        <v/>
      </c>
      <c r="BM1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5" s="10">
        <f>tbl_MTG_Set[[#This Row],[Collector Singles CardMarket Profit]]/tbl_MTG_Set[[#This Row],[Collector Booster Cost]]</f>
        <v/>
      </c>
      <c r="BO115" s="10">
        <f>tbl_MTG_Set[[#This Row],[Collector Singles CardMarket Profit]]&gt;0</f>
        <v/>
      </c>
      <c r="BP1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6">
      <c r="A116" t="n">
        <v>114</v>
      </c>
      <c r="B116" t="inlineStr">
        <is>
          <t>Outlaws of Thunder Junction Tokens TOTJ</t>
        </is>
      </c>
      <c r="C116" t="n">
        <v>19</v>
      </c>
      <c r="D116" s="3" t="n">
        <v>45401</v>
      </c>
      <c r="E116" t="inlineStr">
        <is>
          <t>Standard Expansion</t>
        </is>
      </c>
      <c r="F116" t="inlineStr">
        <is>
          <t>en es fr de it pt ja ko ru 汉语 漢語</t>
        </is>
      </c>
      <c r="G116" t="n">
        <v>174</v>
      </c>
      <c r="H116">
        <f>MONTH(NOW())+12*YEAR(NOW())-MONTH(tbl_MTG_Set[[#This Row],[Released On]])-12*YEAR(tbl_MTG_Set[[#This Row],[Released On]])</f>
        <v/>
      </c>
      <c r="I116">
        <f>_xlfn.XLOOKUP(tbl_MTG_Set[[#This Row],[Type Name]], tbl_MTG_Set_Type[Set Type], tbl_MTG_Set_Type[Index], "(Set Type not found)")</f>
        <v/>
      </c>
      <c r="J116">
        <f>_xlfn.XLOOKUP(tbl_MTG_Set[[#This Row],[Type Name]], tbl_MTG_Set_Type[Set Type], tbl_MTG_Set_Type[Buy Window Month Start], "(Set Type not found)")</f>
        <v/>
      </c>
      <c r="K116" s="3">
        <f>tbl_MTG_Set[[#This Row],[Released On]]+tbl_MTG_Set[[#This Row],[Buy Window Month Start]]*365.25/12</f>
        <v/>
      </c>
      <c r="L116">
        <f>_xlfn.XLOOKUP(tbl_MTG_Set[[#This Row],[Type Name]], tbl_MTG_Set_Type[Set Type], tbl_MTG_Set_Type[Buy Window Month End], "(Set Type not found)", 0, 1)</f>
        <v/>
      </c>
      <c r="M116" s="3">
        <f>tbl_MTG_Set[[#This Row],[Released On]]+tbl_MTG_Set[[#This Row],[Buy Window Month End]]*365.25/12</f>
        <v/>
      </c>
      <c r="N116" s="3">
        <f>AND(NOW()&gt;=tbl_MTG_Set[[#This Row],[Buy Window Start]], NOW()&lt;=tbl_MTG_Set[[#This Row],[Buy Window End]])</f>
        <v/>
      </c>
      <c r="O116">
        <f>_xlfn.XLOOKUP(tbl_MTG_Set[[#This Row],[Type Name]], tbl_MTG_Set_Type[Set Type], tbl_MTG_Set_Type[Heavy Printing Window Month Start], "(Set Type not found)", 0, 1)</f>
        <v/>
      </c>
      <c r="P116" s="3">
        <f>tbl_MTG_Set[[#This Row],[Released On]]+tbl_MTG_Set[[#This Row],[Heavy Printing Window Month Start]]*365.25/12</f>
        <v/>
      </c>
      <c r="Q116">
        <f>_xlfn.XLOOKUP(tbl_MTG_Set[[#This Row],[Type Name]], tbl_MTG_Set_Type[Set Type], tbl_MTG_Set_Type[Heavy Printing Window Month End], "(Set Type not found)", 0, 1)</f>
        <v/>
      </c>
      <c r="R116" s="3">
        <f>tbl_MTG_Set[[#This Row],[Released On]]+tbl_MTG_Set[[#This Row],[Heavy Printing Window Month End]]*365.25/12</f>
        <v/>
      </c>
      <c r="S116" s="3">
        <f>AND(NOW()&gt;=tbl_MTG_Set[[#This Row],[Heavy Printing Window Start]], NOW()&lt;=tbl_MTG_Set[[#This Row],[Heavy Printing Window End]])</f>
        <v/>
      </c>
      <c r="T116">
        <f>_xlfn.XLOOKUP(tbl_MTG_Set[[#This Row],[Type Name]], tbl_MTG_Set_Type[Set Type], tbl_MTG_Set_Type[Sell Window Month Start], "(Set Type not found)", 0, 1)</f>
        <v/>
      </c>
      <c r="U116" s="3">
        <f>tbl_MTG_Set[[#This Row],[Released On]]+tbl_MTG_Set[[#This Row],[Sell Window Month Start]]*365.25/12</f>
        <v/>
      </c>
      <c r="V116">
        <f>_xlfn.XLOOKUP(tbl_MTG_Set[[#This Row],[Type Name]], tbl_MTG_Set_Type[Set Type], tbl_MTG_Set_Type[Sell Window Month End], "(Set Type not found)", 0, 1)</f>
        <v/>
      </c>
      <c r="W116" s="3">
        <f>tbl_MTG_Set[[#This Row],[Released On]]+tbl_MTG_Set[[#This Row],[Sell Window Month End]]*365.25/12</f>
        <v/>
      </c>
      <c r="X116" s="3">
        <f>AND(NOW()&gt;=tbl_MTG_Set[[#This Row],[Sell Window Start]], NOW()&lt;=tbl_MTG_Set[[#This Row],[Sell Window End]])</f>
        <v/>
      </c>
      <c r="AG116" s="10" t="n"/>
      <c r="AH116" s="10" t="n"/>
      <c r="AM116" s="10">
        <f t="array" ref="AM1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6" s="10">
        <f t="array" ref="AN1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6" s="4">
        <f>_xlfn.XLOOKUP(tbl_MTG_Set[[#This Row],[Play Booster Box Product Id]], tbl_Product[Product Id], tbl_Product[Pack Size])</f>
        <v/>
      </c>
      <c r="AP116" s="10">
        <f>(tbl_MTG_Set[[#This Row],[Play Booster Box Cost]]+v_Item_Shipping_Cost_In)/tbl_MTG_Set[[#This Row],[Play Booster Box Size]]</f>
        <v/>
      </c>
      <c r="AQ116" s="10">
        <f t="array" ref="AQ1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6" s="10" t="n"/>
      <c r="AS116" s="10" t="n"/>
      <c r="AT116" s="17">
        <f>tbl_MTG_Set[[#This Row],[Play Booster CardMarket Profit]]/tbl_MTG_Set[[#This Row],[Play Booster Cost]]</f>
        <v/>
      </c>
      <c r="AU116" s="10">
        <f>_xlfn.XLOOKUP(tbl_MTG_Set[[#This Row],[Collector Booster Box Product Id]], tbl_Product[Product Id], tbl_Product[Min Cost])</f>
        <v/>
      </c>
      <c r="AV116" s="10">
        <f>_xlfn.XLOOKUP(tbl_MTG_Set[[#This Row],[Collector Booster Box Product Id]], tbl_Product[Product Id], tbl_Product[Best Source])</f>
        <v/>
      </c>
      <c r="AW116" s="4">
        <f>_xlfn.XLOOKUP(tbl_MTG_Set[[#This Row],[Collector Booster Box Product Id]], tbl_Product[Product Id], tbl_Product[Pack Size])</f>
        <v/>
      </c>
      <c r="AX116" s="10">
        <f>(tbl_MTG_Set[[#This Row],[Collector Booster Box Cost]] + v_Item_Shipping_Cost_In) / tbl_MTG_Set[[#This Row],[Collector Booster Box Size]]</f>
        <v/>
      </c>
      <c r="AY116" s="10">
        <f t="array" ref="AY1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6" s="10" t="n"/>
      <c r="BA1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6" s="17">
        <f>tbl_MTG_Set[[#This Row],[Collector Booster CardMarket Profit]]/tbl_MTG_Set[[#This Row],[Collector Booster Cost]]</f>
        <v/>
      </c>
      <c r="BC116" s="10" t="n"/>
      <c r="BF116" s="10">
        <f>tbl_MTG_Set[[#This Row],[Play Booster Sell Price CardMarket]]*tbl_MTG_Set[[#This Row],[Play Booster Expected Market Value]]/tbl_MTG_Set[[#This Row],[Play Boost Sealed Market Value]]</f>
        <v/>
      </c>
      <c r="BG1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6" s="10">
        <f>tbl_MTG_Set[[#This Row],[Play Singles CardMarket Profit]]/tbl_MTG_Set[[#This Row],[Play Booster Cost]]</f>
        <v/>
      </c>
      <c r="BI116" s="10">
        <f>tbl_MTG_Set[[#This Row],[Play Singles CardMarket Profit]]&gt;0</f>
        <v/>
      </c>
      <c r="BJ116" s="10" t="n"/>
      <c r="BK116" s="10" t="n"/>
      <c r="BL116" s="10">
        <f>tbl_MTG_Set[[#This Row],[Collector Booster Sell Price CardMarket]]*tbl_MTG_Set[[#This Row],[Collector Booster Expected Market Value]]/tbl_MTG_Set[[#This Row],[Collector Boost Sealed Market Value]]</f>
        <v/>
      </c>
      <c r="BM1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6" s="10">
        <f>tbl_MTG_Set[[#This Row],[Collector Singles CardMarket Profit]]/tbl_MTG_Set[[#This Row],[Collector Booster Cost]]</f>
        <v/>
      </c>
      <c r="BO116" s="10">
        <f>tbl_MTG_Set[[#This Row],[Collector Singles CardMarket Profit]]&gt;0</f>
        <v/>
      </c>
      <c r="BP1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7">
      <c r="A117" t="n">
        <v>115</v>
      </c>
      <c r="B117" t="inlineStr">
        <is>
          <t>Alchemy: Outlaws of Thunder Junction YOTJ</t>
        </is>
      </c>
      <c r="C117" t="n">
        <v>30</v>
      </c>
      <c r="D117" s="3" t="n">
        <v>45419</v>
      </c>
      <c r="E117" t="inlineStr">
        <is>
          <t>Standard Expansion</t>
        </is>
      </c>
      <c r="F117" t="inlineStr">
        <is>
          <t>en es fr de it pt ja ko ru 汉语 漢語</t>
        </is>
      </c>
      <c r="G117" t="n">
        <v>176</v>
      </c>
      <c r="H117">
        <f>MONTH(NOW())+12*YEAR(NOW())-MONTH(tbl_MTG_Set[[#This Row],[Released On]])-12*YEAR(tbl_MTG_Set[[#This Row],[Released On]])</f>
        <v/>
      </c>
      <c r="I117">
        <f>_xlfn.XLOOKUP(tbl_MTG_Set[[#This Row],[Type Name]], tbl_MTG_Set_Type[Set Type], tbl_MTG_Set_Type[Index], "(Set Type not found)")</f>
        <v/>
      </c>
      <c r="J117">
        <f>_xlfn.XLOOKUP(tbl_MTG_Set[[#This Row],[Type Name]], tbl_MTG_Set_Type[Set Type], tbl_MTG_Set_Type[Buy Window Month Start], "(Set Type not found)")</f>
        <v/>
      </c>
      <c r="K117" s="3">
        <f>tbl_MTG_Set[[#This Row],[Released On]]+tbl_MTG_Set[[#This Row],[Buy Window Month Start]]*365.25/12</f>
        <v/>
      </c>
      <c r="L117">
        <f>_xlfn.XLOOKUP(tbl_MTG_Set[[#This Row],[Type Name]], tbl_MTG_Set_Type[Set Type], tbl_MTG_Set_Type[Buy Window Month End], "(Set Type not found)", 0, 1)</f>
        <v/>
      </c>
      <c r="M117" s="3">
        <f>tbl_MTG_Set[[#This Row],[Released On]]+tbl_MTG_Set[[#This Row],[Buy Window Month End]]*365.25/12</f>
        <v/>
      </c>
      <c r="N117" s="3">
        <f>AND(NOW()&gt;=tbl_MTG_Set[[#This Row],[Buy Window Start]], NOW()&lt;=tbl_MTG_Set[[#This Row],[Buy Window End]])</f>
        <v/>
      </c>
      <c r="O117">
        <f>_xlfn.XLOOKUP(tbl_MTG_Set[[#This Row],[Type Name]], tbl_MTG_Set_Type[Set Type], tbl_MTG_Set_Type[Heavy Printing Window Month Start], "(Set Type not found)", 0, 1)</f>
        <v/>
      </c>
      <c r="P117" s="3">
        <f>tbl_MTG_Set[[#This Row],[Released On]]+tbl_MTG_Set[[#This Row],[Heavy Printing Window Month Start]]*365.25/12</f>
        <v/>
      </c>
      <c r="Q117">
        <f>_xlfn.XLOOKUP(tbl_MTG_Set[[#This Row],[Type Name]], tbl_MTG_Set_Type[Set Type], tbl_MTG_Set_Type[Heavy Printing Window Month End], "(Set Type not found)", 0, 1)</f>
        <v/>
      </c>
      <c r="R117" s="3">
        <f>tbl_MTG_Set[[#This Row],[Released On]]+tbl_MTG_Set[[#This Row],[Heavy Printing Window Month End]]*365.25/12</f>
        <v/>
      </c>
      <c r="S117" s="3">
        <f>AND(NOW()&gt;=tbl_MTG_Set[[#This Row],[Heavy Printing Window Start]], NOW()&lt;=tbl_MTG_Set[[#This Row],[Heavy Printing Window End]])</f>
        <v/>
      </c>
      <c r="T117">
        <f>_xlfn.XLOOKUP(tbl_MTG_Set[[#This Row],[Type Name]], tbl_MTG_Set_Type[Set Type], tbl_MTG_Set_Type[Sell Window Month Start], "(Set Type not found)", 0, 1)</f>
        <v/>
      </c>
      <c r="U117" s="3">
        <f>tbl_MTG_Set[[#This Row],[Released On]]+tbl_MTG_Set[[#This Row],[Sell Window Month Start]]*365.25/12</f>
        <v/>
      </c>
      <c r="V117">
        <f>_xlfn.XLOOKUP(tbl_MTG_Set[[#This Row],[Type Name]], tbl_MTG_Set_Type[Set Type], tbl_MTG_Set_Type[Sell Window Month End], "(Set Type not found)", 0, 1)</f>
        <v/>
      </c>
      <c r="W117" s="3">
        <f>tbl_MTG_Set[[#This Row],[Released On]]+tbl_MTG_Set[[#This Row],[Sell Window Month End]]*365.25/12</f>
        <v/>
      </c>
      <c r="X117" s="3">
        <f>AND(NOW()&gt;=tbl_MTG_Set[[#This Row],[Sell Window Start]], NOW()&lt;=tbl_MTG_Set[[#This Row],[Sell Window End]])</f>
        <v/>
      </c>
      <c r="AG117" s="10" t="n"/>
      <c r="AH117" s="10" t="n"/>
      <c r="AM117" s="10">
        <f t="array" ref="AM1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7" s="10">
        <f t="array" ref="AN1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7" s="4">
        <f>_xlfn.XLOOKUP(tbl_MTG_Set[[#This Row],[Play Booster Box Product Id]], tbl_Product[Product Id], tbl_Product[Pack Size])</f>
        <v/>
      </c>
      <c r="AP117" s="10">
        <f>(tbl_MTG_Set[[#This Row],[Play Booster Box Cost]]+v_Item_Shipping_Cost_In)/tbl_MTG_Set[[#This Row],[Play Booster Box Size]]</f>
        <v/>
      </c>
      <c r="AQ117" s="10">
        <f t="array" ref="AQ1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7" s="10" t="n"/>
      <c r="AS117" s="10" t="n"/>
      <c r="AT117" s="17">
        <f>tbl_MTG_Set[[#This Row],[Play Booster CardMarket Profit]]/tbl_MTG_Set[[#This Row],[Play Booster Cost]]</f>
        <v/>
      </c>
      <c r="AU117" s="10">
        <f>_xlfn.XLOOKUP(tbl_MTG_Set[[#This Row],[Collector Booster Box Product Id]], tbl_Product[Product Id], tbl_Product[Min Cost])</f>
        <v/>
      </c>
      <c r="AV117" s="10">
        <f>_xlfn.XLOOKUP(tbl_MTG_Set[[#This Row],[Collector Booster Box Product Id]], tbl_Product[Product Id], tbl_Product[Best Source])</f>
        <v/>
      </c>
      <c r="AW117" s="4">
        <f>_xlfn.XLOOKUP(tbl_MTG_Set[[#This Row],[Collector Booster Box Product Id]], tbl_Product[Product Id], tbl_Product[Pack Size])</f>
        <v/>
      </c>
      <c r="AX117" s="10">
        <f>(tbl_MTG_Set[[#This Row],[Collector Booster Box Cost]] + v_Item_Shipping_Cost_In) / tbl_MTG_Set[[#This Row],[Collector Booster Box Size]]</f>
        <v/>
      </c>
      <c r="AY117" s="10">
        <f t="array" ref="AY1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7" s="10" t="n"/>
      <c r="BA1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7" s="17">
        <f>tbl_MTG_Set[[#This Row],[Collector Booster CardMarket Profit]]/tbl_MTG_Set[[#This Row],[Collector Booster Cost]]</f>
        <v/>
      </c>
      <c r="BC117" s="10" t="n"/>
      <c r="BF117" s="10">
        <f>tbl_MTG_Set[[#This Row],[Play Booster Sell Price CardMarket]]*tbl_MTG_Set[[#This Row],[Play Booster Expected Market Value]]/tbl_MTG_Set[[#This Row],[Play Boost Sealed Market Value]]</f>
        <v/>
      </c>
      <c r="BG1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7" s="10">
        <f>tbl_MTG_Set[[#This Row],[Play Singles CardMarket Profit]]/tbl_MTG_Set[[#This Row],[Play Booster Cost]]</f>
        <v/>
      </c>
      <c r="BI117" s="10">
        <f>tbl_MTG_Set[[#This Row],[Play Singles CardMarket Profit]]&gt;0</f>
        <v/>
      </c>
      <c r="BJ117" s="10" t="n"/>
      <c r="BK117" s="10" t="n"/>
      <c r="BL117" s="10">
        <f>tbl_MTG_Set[[#This Row],[Collector Booster Sell Price CardMarket]]*tbl_MTG_Set[[#This Row],[Collector Booster Expected Market Value]]/tbl_MTG_Set[[#This Row],[Collector Boost Sealed Market Value]]</f>
        <v/>
      </c>
      <c r="BM1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7" s="10">
        <f>tbl_MTG_Set[[#This Row],[Collector Singles CardMarket Profit]]/tbl_MTG_Set[[#This Row],[Collector Booster Cost]]</f>
        <v/>
      </c>
      <c r="BO117" s="10">
        <f>tbl_MTG_Set[[#This Row],[Collector Singles CardMarket Profit]]&gt;0</f>
        <v/>
      </c>
      <c r="BP1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8">
      <c r="A118" t="n">
        <v>116</v>
      </c>
      <c r="B118" t="inlineStr">
        <is>
          <t>Outlaws of Thunder Junction Art Series AOTJ</t>
        </is>
      </c>
      <c r="C118" t="n">
        <v>54</v>
      </c>
      <c r="D118" s="3" t="n">
        <v>45401</v>
      </c>
      <c r="E118" t="inlineStr">
        <is>
          <t>Standard Expansion</t>
        </is>
      </c>
      <c r="F118" t="inlineStr">
        <is>
          <t>en es fr de it pt ja ko ru 汉语 漢語</t>
        </is>
      </c>
      <c r="G118" t="n">
        <v>178</v>
      </c>
      <c r="H118">
        <f>MONTH(NOW())+12*YEAR(NOW())-MONTH(tbl_MTG_Set[[#This Row],[Released On]])-12*YEAR(tbl_MTG_Set[[#This Row],[Released On]])</f>
        <v/>
      </c>
      <c r="I118">
        <f>_xlfn.XLOOKUP(tbl_MTG_Set[[#This Row],[Type Name]], tbl_MTG_Set_Type[Set Type], tbl_MTG_Set_Type[Index], "(Set Type not found)")</f>
        <v/>
      </c>
      <c r="J118">
        <f>_xlfn.XLOOKUP(tbl_MTG_Set[[#This Row],[Type Name]], tbl_MTG_Set_Type[Set Type], tbl_MTG_Set_Type[Buy Window Month Start], "(Set Type not found)")</f>
        <v/>
      </c>
      <c r="K118" s="3">
        <f>tbl_MTG_Set[[#This Row],[Released On]]+tbl_MTG_Set[[#This Row],[Buy Window Month Start]]*365.25/12</f>
        <v/>
      </c>
      <c r="L118">
        <f>_xlfn.XLOOKUP(tbl_MTG_Set[[#This Row],[Type Name]], tbl_MTG_Set_Type[Set Type], tbl_MTG_Set_Type[Buy Window Month End], "(Set Type not found)", 0, 1)</f>
        <v/>
      </c>
      <c r="M118" s="3">
        <f>tbl_MTG_Set[[#This Row],[Released On]]+tbl_MTG_Set[[#This Row],[Buy Window Month End]]*365.25/12</f>
        <v/>
      </c>
      <c r="N118" s="3">
        <f>AND(NOW()&gt;=tbl_MTG_Set[[#This Row],[Buy Window Start]], NOW()&lt;=tbl_MTG_Set[[#This Row],[Buy Window End]])</f>
        <v/>
      </c>
      <c r="O118">
        <f>_xlfn.XLOOKUP(tbl_MTG_Set[[#This Row],[Type Name]], tbl_MTG_Set_Type[Set Type], tbl_MTG_Set_Type[Heavy Printing Window Month Start], "(Set Type not found)", 0, 1)</f>
        <v/>
      </c>
      <c r="P118" s="3">
        <f>tbl_MTG_Set[[#This Row],[Released On]]+tbl_MTG_Set[[#This Row],[Heavy Printing Window Month Start]]*365.25/12</f>
        <v/>
      </c>
      <c r="Q118">
        <f>_xlfn.XLOOKUP(tbl_MTG_Set[[#This Row],[Type Name]], tbl_MTG_Set_Type[Set Type], tbl_MTG_Set_Type[Heavy Printing Window Month End], "(Set Type not found)", 0, 1)</f>
        <v/>
      </c>
      <c r="R118" s="3">
        <f>tbl_MTG_Set[[#This Row],[Released On]]+tbl_MTG_Set[[#This Row],[Heavy Printing Window Month End]]*365.25/12</f>
        <v/>
      </c>
      <c r="S118" s="3">
        <f>AND(NOW()&gt;=tbl_MTG_Set[[#This Row],[Heavy Printing Window Start]], NOW()&lt;=tbl_MTG_Set[[#This Row],[Heavy Printing Window End]])</f>
        <v/>
      </c>
      <c r="T118">
        <f>_xlfn.XLOOKUP(tbl_MTG_Set[[#This Row],[Type Name]], tbl_MTG_Set_Type[Set Type], tbl_MTG_Set_Type[Sell Window Month Start], "(Set Type not found)", 0, 1)</f>
        <v/>
      </c>
      <c r="U118" s="3">
        <f>tbl_MTG_Set[[#This Row],[Released On]]+tbl_MTG_Set[[#This Row],[Sell Window Month Start]]*365.25/12</f>
        <v/>
      </c>
      <c r="V118">
        <f>_xlfn.XLOOKUP(tbl_MTG_Set[[#This Row],[Type Name]], tbl_MTG_Set_Type[Set Type], tbl_MTG_Set_Type[Sell Window Month End], "(Set Type not found)", 0, 1)</f>
        <v/>
      </c>
      <c r="W118" s="3">
        <f>tbl_MTG_Set[[#This Row],[Released On]]+tbl_MTG_Set[[#This Row],[Sell Window Month End]]*365.25/12</f>
        <v/>
      </c>
      <c r="X118" s="3">
        <f>AND(NOW()&gt;=tbl_MTG_Set[[#This Row],[Sell Window Start]], NOW()&lt;=tbl_MTG_Set[[#This Row],[Sell Window End]])</f>
        <v/>
      </c>
      <c r="AG118" s="10" t="n"/>
      <c r="AH118" s="10" t="n"/>
      <c r="AM118" s="10">
        <f t="array" ref="AM1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8" s="10">
        <f t="array" ref="AN1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8" s="4">
        <f>_xlfn.XLOOKUP(tbl_MTG_Set[[#This Row],[Play Booster Box Product Id]], tbl_Product[Product Id], tbl_Product[Pack Size])</f>
        <v/>
      </c>
      <c r="AP118" s="10">
        <f>(tbl_MTG_Set[[#This Row],[Play Booster Box Cost]]+v_Item_Shipping_Cost_In)/tbl_MTG_Set[[#This Row],[Play Booster Box Size]]</f>
        <v/>
      </c>
      <c r="AQ118" s="10">
        <f t="array" ref="AQ1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8" s="10" t="n"/>
      <c r="AS118" s="10" t="n"/>
      <c r="AT118" s="17">
        <f>tbl_MTG_Set[[#This Row],[Play Booster CardMarket Profit]]/tbl_MTG_Set[[#This Row],[Play Booster Cost]]</f>
        <v/>
      </c>
      <c r="AU118" s="10">
        <f>_xlfn.XLOOKUP(tbl_MTG_Set[[#This Row],[Collector Booster Box Product Id]], tbl_Product[Product Id], tbl_Product[Min Cost])</f>
        <v/>
      </c>
      <c r="AV118" s="10">
        <f>_xlfn.XLOOKUP(tbl_MTG_Set[[#This Row],[Collector Booster Box Product Id]], tbl_Product[Product Id], tbl_Product[Best Source])</f>
        <v/>
      </c>
      <c r="AW118" s="4">
        <f>_xlfn.XLOOKUP(tbl_MTG_Set[[#This Row],[Collector Booster Box Product Id]], tbl_Product[Product Id], tbl_Product[Pack Size])</f>
        <v/>
      </c>
      <c r="AX118" s="10">
        <f>(tbl_MTG_Set[[#This Row],[Collector Booster Box Cost]] + v_Item_Shipping_Cost_In) / tbl_MTG_Set[[#This Row],[Collector Booster Box Size]]</f>
        <v/>
      </c>
      <c r="AY118" s="10">
        <f t="array" ref="AY1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8" s="10" t="n"/>
      <c r="BA1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8" s="17">
        <f>tbl_MTG_Set[[#This Row],[Collector Booster CardMarket Profit]]/tbl_MTG_Set[[#This Row],[Collector Booster Cost]]</f>
        <v/>
      </c>
      <c r="BC118" s="10" t="n"/>
      <c r="BF118" s="10">
        <f>tbl_MTG_Set[[#This Row],[Play Booster Sell Price CardMarket]]*tbl_MTG_Set[[#This Row],[Play Booster Expected Market Value]]/tbl_MTG_Set[[#This Row],[Play Boost Sealed Market Value]]</f>
        <v/>
      </c>
      <c r="BG1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8" s="10">
        <f>tbl_MTG_Set[[#This Row],[Play Singles CardMarket Profit]]/tbl_MTG_Set[[#This Row],[Play Booster Cost]]</f>
        <v/>
      </c>
      <c r="BI118" s="10">
        <f>tbl_MTG_Set[[#This Row],[Play Singles CardMarket Profit]]&gt;0</f>
        <v/>
      </c>
      <c r="BJ118" s="10" t="n"/>
      <c r="BK118" s="10" t="n"/>
      <c r="BL118" s="10">
        <f>tbl_MTG_Set[[#This Row],[Collector Booster Sell Price CardMarket]]*tbl_MTG_Set[[#This Row],[Collector Booster Expected Market Value]]/tbl_MTG_Set[[#This Row],[Collector Boost Sealed Market Value]]</f>
        <v/>
      </c>
      <c r="BM1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8" s="10">
        <f>tbl_MTG_Set[[#This Row],[Collector Singles CardMarket Profit]]/tbl_MTG_Set[[#This Row],[Collector Booster Cost]]</f>
        <v/>
      </c>
      <c r="BO118" s="10">
        <f>tbl_MTG_Set[[#This Row],[Collector Singles CardMarket Profit]]&gt;0</f>
        <v/>
      </c>
      <c r="BP1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9">
      <c r="A119" t="n">
        <v>117</v>
      </c>
      <c r="B119" t="inlineStr">
        <is>
          <t>The Big Score BIG</t>
        </is>
      </c>
      <c r="C119" t="n">
        <v>95</v>
      </c>
      <c r="D119" s="3" t="n">
        <v>45401</v>
      </c>
      <c r="E119" t="inlineStr">
        <is>
          <t>Micro-sets</t>
        </is>
      </c>
      <c r="F119" t="inlineStr">
        <is>
          <t>en es fr de it pt ja ko ru 汉语 漢語</t>
        </is>
      </c>
      <c r="G119" t="n">
        <v>180</v>
      </c>
      <c r="H119">
        <f>MONTH(NOW())+12*YEAR(NOW())-MONTH(tbl_MTG_Set[[#This Row],[Released On]])-12*YEAR(tbl_MTG_Set[[#This Row],[Released On]])</f>
        <v/>
      </c>
      <c r="I119">
        <f>_xlfn.XLOOKUP(tbl_MTG_Set[[#This Row],[Type Name]], tbl_MTG_Set_Type[Set Type], tbl_MTG_Set_Type[Index], "(Set Type not found)")</f>
        <v/>
      </c>
      <c r="J119">
        <f>_xlfn.XLOOKUP(tbl_MTG_Set[[#This Row],[Type Name]], tbl_MTG_Set_Type[Set Type], tbl_MTG_Set_Type[Buy Window Month Start], "(Set Type not found)")</f>
        <v/>
      </c>
      <c r="K119" s="3">
        <f>tbl_MTG_Set[[#This Row],[Released On]]+tbl_MTG_Set[[#This Row],[Buy Window Month Start]]*365.25/12</f>
        <v/>
      </c>
      <c r="L119">
        <f>_xlfn.XLOOKUP(tbl_MTG_Set[[#This Row],[Type Name]], tbl_MTG_Set_Type[Set Type], tbl_MTG_Set_Type[Buy Window Month End], "(Set Type not found)", 0, 1)</f>
        <v/>
      </c>
      <c r="M119" s="3">
        <f>tbl_MTG_Set[[#This Row],[Released On]]+tbl_MTG_Set[[#This Row],[Buy Window Month End]]*365.25/12</f>
        <v/>
      </c>
      <c r="N119" s="3">
        <f>AND(NOW()&gt;=tbl_MTG_Set[[#This Row],[Buy Window Start]], NOW()&lt;=tbl_MTG_Set[[#This Row],[Buy Window End]])</f>
        <v/>
      </c>
      <c r="O119">
        <f>_xlfn.XLOOKUP(tbl_MTG_Set[[#This Row],[Type Name]], tbl_MTG_Set_Type[Set Type], tbl_MTG_Set_Type[Heavy Printing Window Month Start], "(Set Type not found)", 0, 1)</f>
        <v/>
      </c>
      <c r="P119" s="3">
        <f>tbl_MTG_Set[[#This Row],[Released On]]+tbl_MTG_Set[[#This Row],[Heavy Printing Window Month Start]]*365.25/12</f>
        <v/>
      </c>
      <c r="Q119">
        <f>_xlfn.XLOOKUP(tbl_MTG_Set[[#This Row],[Type Name]], tbl_MTG_Set_Type[Set Type], tbl_MTG_Set_Type[Heavy Printing Window Month End], "(Set Type not found)", 0, 1)</f>
        <v/>
      </c>
      <c r="R119" s="3">
        <f>tbl_MTG_Set[[#This Row],[Released On]]+tbl_MTG_Set[[#This Row],[Heavy Printing Window Month End]]*365.25/12</f>
        <v/>
      </c>
      <c r="S119" s="3">
        <f>AND(NOW()&gt;=tbl_MTG_Set[[#This Row],[Heavy Printing Window Start]], NOW()&lt;=tbl_MTG_Set[[#This Row],[Heavy Printing Window End]])</f>
        <v/>
      </c>
      <c r="T119">
        <f>_xlfn.XLOOKUP(tbl_MTG_Set[[#This Row],[Type Name]], tbl_MTG_Set_Type[Set Type], tbl_MTG_Set_Type[Sell Window Month Start], "(Set Type not found)", 0, 1)</f>
        <v/>
      </c>
      <c r="U119" s="3">
        <f>tbl_MTG_Set[[#This Row],[Released On]]+tbl_MTG_Set[[#This Row],[Sell Window Month Start]]*365.25/12</f>
        <v/>
      </c>
      <c r="V119">
        <f>_xlfn.XLOOKUP(tbl_MTG_Set[[#This Row],[Type Name]], tbl_MTG_Set_Type[Set Type], tbl_MTG_Set_Type[Sell Window Month End], "(Set Type not found)", 0, 1)</f>
        <v/>
      </c>
      <c r="W119" s="3">
        <f>tbl_MTG_Set[[#This Row],[Released On]]+tbl_MTG_Set[[#This Row],[Sell Window Month End]]*365.25/12</f>
        <v/>
      </c>
      <c r="X119" s="3">
        <f>AND(NOW()&gt;=tbl_MTG_Set[[#This Row],[Sell Window Start]], NOW()&lt;=tbl_MTG_Set[[#This Row],[Sell Window End]])</f>
        <v/>
      </c>
      <c r="AG119" s="10" t="n"/>
      <c r="AH119" s="10" t="n"/>
      <c r="AM119" s="10">
        <f t="array" ref="AM1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9" s="10">
        <f t="array" ref="AN1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9" s="4">
        <f>_xlfn.XLOOKUP(tbl_MTG_Set[[#This Row],[Play Booster Box Product Id]], tbl_Product[Product Id], tbl_Product[Pack Size])</f>
        <v/>
      </c>
      <c r="AP119" s="10">
        <f>(tbl_MTG_Set[[#This Row],[Play Booster Box Cost]]+v_Item_Shipping_Cost_In)/tbl_MTG_Set[[#This Row],[Play Booster Box Size]]</f>
        <v/>
      </c>
      <c r="AQ119" s="10">
        <f t="array" ref="AQ1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19" s="10" t="n"/>
      <c r="AS119" s="10" t="n"/>
      <c r="AT119" s="17">
        <f>tbl_MTG_Set[[#This Row],[Play Booster CardMarket Profit]]/tbl_MTG_Set[[#This Row],[Play Booster Cost]]</f>
        <v/>
      </c>
      <c r="AU119" s="10">
        <f>_xlfn.XLOOKUP(tbl_MTG_Set[[#This Row],[Collector Booster Box Product Id]], tbl_Product[Product Id], tbl_Product[Min Cost])</f>
        <v/>
      </c>
      <c r="AV119" s="10">
        <f>_xlfn.XLOOKUP(tbl_MTG_Set[[#This Row],[Collector Booster Box Product Id]], tbl_Product[Product Id], tbl_Product[Best Source])</f>
        <v/>
      </c>
      <c r="AW119" s="4">
        <f>_xlfn.XLOOKUP(tbl_MTG_Set[[#This Row],[Collector Booster Box Product Id]], tbl_Product[Product Id], tbl_Product[Pack Size])</f>
        <v/>
      </c>
      <c r="AX119" s="10">
        <f>(tbl_MTG_Set[[#This Row],[Collector Booster Box Cost]] + v_Item_Shipping_Cost_In) / tbl_MTG_Set[[#This Row],[Collector Booster Box Size]]</f>
        <v/>
      </c>
      <c r="AY119" s="10">
        <f t="array" ref="AY1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19" s="10" t="n"/>
      <c r="BA1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9" s="17">
        <f>tbl_MTG_Set[[#This Row],[Collector Booster CardMarket Profit]]/tbl_MTG_Set[[#This Row],[Collector Booster Cost]]</f>
        <v/>
      </c>
      <c r="BC119" s="10" t="n"/>
      <c r="BF119" s="10">
        <f>tbl_MTG_Set[[#This Row],[Play Booster Sell Price CardMarket]]*tbl_MTG_Set[[#This Row],[Play Booster Expected Market Value]]/tbl_MTG_Set[[#This Row],[Play Boost Sealed Market Value]]</f>
        <v/>
      </c>
      <c r="BG1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9" s="10">
        <f>tbl_MTG_Set[[#This Row],[Play Singles CardMarket Profit]]/tbl_MTG_Set[[#This Row],[Play Booster Cost]]</f>
        <v/>
      </c>
      <c r="BI119" s="10">
        <f>tbl_MTG_Set[[#This Row],[Play Singles CardMarket Profit]]&gt;0</f>
        <v/>
      </c>
      <c r="BJ119" s="10" t="n"/>
      <c r="BK119" s="10" t="n"/>
      <c r="BL119" s="10">
        <f>tbl_MTG_Set[[#This Row],[Collector Booster Sell Price CardMarket]]*tbl_MTG_Set[[#This Row],[Collector Booster Expected Market Value]]/tbl_MTG_Set[[#This Row],[Collector Boost Sealed Market Value]]</f>
        <v/>
      </c>
      <c r="BM1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9" s="10">
        <f>tbl_MTG_Set[[#This Row],[Collector Singles CardMarket Profit]]/tbl_MTG_Set[[#This Row],[Collector Booster Cost]]</f>
        <v/>
      </c>
      <c r="BO119" s="10">
        <f>tbl_MTG_Set[[#This Row],[Collector Singles CardMarket Profit]]&gt;0</f>
        <v/>
      </c>
      <c r="BP1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0">
      <c r="A120" t="n">
        <v>118</v>
      </c>
      <c r="B120" t="inlineStr">
        <is>
          <t>The Big Score Promos PBIG</t>
        </is>
      </c>
      <c r="C120" t="n">
        <v>5</v>
      </c>
      <c r="D120" s="3" t="n">
        <v>45870</v>
      </c>
      <c r="E120" t="inlineStr">
        <is>
          <t>Micro-sets</t>
        </is>
      </c>
      <c r="F120" t="inlineStr">
        <is>
          <t>en es fr de it pt ja ko ru 汉语 漢語</t>
        </is>
      </c>
      <c r="G120" t="n">
        <v>182</v>
      </c>
      <c r="H120">
        <f>MONTH(NOW())+12*YEAR(NOW())-MONTH(tbl_MTG_Set[[#This Row],[Released On]])-12*YEAR(tbl_MTG_Set[[#This Row],[Released On]])</f>
        <v/>
      </c>
      <c r="I120">
        <f>_xlfn.XLOOKUP(tbl_MTG_Set[[#This Row],[Type Name]], tbl_MTG_Set_Type[Set Type], tbl_MTG_Set_Type[Index], "(Set Type not found)")</f>
        <v/>
      </c>
      <c r="J120">
        <f>_xlfn.XLOOKUP(tbl_MTG_Set[[#This Row],[Type Name]], tbl_MTG_Set_Type[Set Type], tbl_MTG_Set_Type[Buy Window Month Start], "(Set Type not found)")</f>
        <v/>
      </c>
      <c r="K120" s="3">
        <f>tbl_MTG_Set[[#This Row],[Released On]]+tbl_MTG_Set[[#This Row],[Buy Window Month Start]]*365.25/12</f>
        <v/>
      </c>
      <c r="L120">
        <f>_xlfn.XLOOKUP(tbl_MTG_Set[[#This Row],[Type Name]], tbl_MTG_Set_Type[Set Type], tbl_MTG_Set_Type[Buy Window Month End], "(Set Type not found)", 0, 1)</f>
        <v/>
      </c>
      <c r="M120" s="3">
        <f>tbl_MTG_Set[[#This Row],[Released On]]+tbl_MTG_Set[[#This Row],[Buy Window Month End]]*365.25/12</f>
        <v/>
      </c>
      <c r="N120" s="3">
        <f>AND(NOW()&gt;=tbl_MTG_Set[[#This Row],[Buy Window Start]], NOW()&lt;=tbl_MTG_Set[[#This Row],[Buy Window End]])</f>
        <v/>
      </c>
      <c r="O120">
        <f>_xlfn.XLOOKUP(tbl_MTG_Set[[#This Row],[Type Name]], tbl_MTG_Set_Type[Set Type], tbl_MTG_Set_Type[Heavy Printing Window Month Start], "(Set Type not found)", 0, 1)</f>
        <v/>
      </c>
      <c r="P120" s="3">
        <f>tbl_MTG_Set[[#This Row],[Released On]]+tbl_MTG_Set[[#This Row],[Heavy Printing Window Month Start]]*365.25/12</f>
        <v/>
      </c>
      <c r="Q120">
        <f>_xlfn.XLOOKUP(tbl_MTG_Set[[#This Row],[Type Name]], tbl_MTG_Set_Type[Set Type], tbl_MTG_Set_Type[Heavy Printing Window Month End], "(Set Type not found)", 0, 1)</f>
        <v/>
      </c>
      <c r="R120" s="3">
        <f>tbl_MTG_Set[[#This Row],[Released On]]+tbl_MTG_Set[[#This Row],[Heavy Printing Window Month End]]*365.25/12</f>
        <v/>
      </c>
      <c r="S120" s="3">
        <f>AND(NOW()&gt;=tbl_MTG_Set[[#This Row],[Heavy Printing Window Start]], NOW()&lt;=tbl_MTG_Set[[#This Row],[Heavy Printing Window End]])</f>
        <v/>
      </c>
      <c r="T120">
        <f>_xlfn.XLOOKUP(tbl_MTG_Set[[#This Row],[Type Name]], tbl_MTG_Set_Type[Set Type], tbl_MTG_Set_Type[Sell Window Month Start], "(Set Type not found)", 0, 1)</f>
        <v/>
      </c>
      <c r="U120" s="3">
        <f>tbl_MTG_Set[[#This Row],[Released On]]+tbl_MTG_Set[[#This Row],[Sell Window Month Start]]*365.25/12</f>
        <v/>
      </c>
      <c r="V120">
        <f>_xlfn.XLOOKUP(tbl_MTG_Set[[#This Row],[Type Name]], tbl_MTG_Set_Type[Set Type], tbl_MTG_Set_Type[Sell Window Month End], "(Set Type not found)", 0, 1)</f>
        <v/>
      </c>
      <c r="W120" s="3">
        <f>tbl_MTG_Set[[#This Row],[Released On]]+tbl_MTG_Set[[#This Row],[Sell Window Month End]]*365.25/12</f>
        <v/>
      </c>
      <c r="X120" s="3">
        <f>AND(NOW()&gt;=tbl_MTG_Set[[#This Row],[Sell Window Start]], NOW()&lt;=tbl_MTG_Set[[#This Row],[Sell Window End]])</f>
        <v/>
      </c>
      <c r="AG120" s="10" t="n"/>
      <c r="AH120" s="10" t="n"/>
      <c r="AM120" s="10">
        <f t="array" ref="AM1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0" s="10">
        <f t="array" ref="AN1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0" s="4">
        <f>_xlfn.XLOOKUP(tbl_MTG_Set[[#This Row],[Play Booster Box Product Id]], tbl_Product[Product Id], tbl_Product[Pack Size])</f>
        <v/>
      </c>
      <c r="AP120" s="10">
        <f>(tbl_MTG_Set[[#This Row],[Play Booster Box Cost]]+v_Item_Shipping_Cost_In)/tbl_MTG_Set[[#This Row],[Play Booster Box Size]]</f>
        <v/>
      </c>
      <c r="AQ120" s="10">
        <f t="array" ref="AQ1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0" s="10" t="n"/>
      <c r="AS120" s="10" t="n"/>
      <c r="AT120" s="17">
        <f>tbl_MTG_Set[[#This Row],[Play Booster CardMarket Profit]]/tbl_MTG_Set[[#This Row],[Play Booster Cost]]</f>
        <v/>
      </c>
      <c r="AU120" s="10">
        <f>_xlfn.XLOOKUP(tbl_MTG_Set[[#This Row],[Collector Booster Box Product Id]], tbl_Product[Product Id], tbl_Product[Min Cost])</f>
        <v/>
      </c>
      <c r="AV120" s="10">
        <f>_xlfn.XLOOKUP(tbl_MTG_Set[[#This Row],[Collector Booster Box Product Id]], tbl_Product[Product Id], tbl_Product[Best Source])</f>
        <v/>
      </c>
      <c r="AW120" s="4">
        <f>_xlfn.XLOOKUP(tbl_MTG_Set[[#This Row],[Collector Booster Box Product Id]], tbl_Product[Product Id], tbl_Product[Pack Size])</f>
        <v/>
      </c>
      <c r="AX120" s="10">
        <f>(tbl_MTG_Set[[#This Row],[Collector Booster Box Cost]] + v_Item_Shipping_Cost_In) / tbl_MTG_Set[[#This Row],[Collector Booster Box Size]]</f>
        <v/>
      </c>
      <c r="AY120" s="10">
        <f t="array" ref="AY1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0" s="10" t="n"/>
      <c r="BA1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0" s="17">
        <f>tbl_MTG_Set[[#This Row],[Collector Booster CardMarket Profit]]/tbl_MTG_Set[[#This Row],[Collector Booster Cost]]</f>
        <v/>
      </c>
      <c r="BC120" s="10" t="n"/>
      <c r="BF120" s="10">
        <f>tbl_MTG_Set[[#This Row],[Play Booster Sell Price CardMarket]]*tbl_MTG_Set[[#This Row],[Play Booster Expected Market Value]]/tbl_MTG_Set[[#This Row],[Play Boost Sealed Market Value]]</f>
        <v/>
      </c>
      <c r="BG1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0" s="10">
        <f>tbl_MTG_Set[[#This Row],[Play Singles CardMarket Profit]]/tbl_MTG_Set[[#This Row],[Play Booster Cost]]</f>
        <v/>
      </c>
      <c r="BI120" s="10">
        <f>tbl_MTG_Set[[#This Row],[Play Singles CardMarket Profit]]&gt;0</f>
        <v/>
      </c>
      <c r="BJ120" s="10" t="n"/>
      <c r="BK120" s="10" t="n"/>
      <c r="BL120" s="10">
        <f>tbl_MTG_Set[[#This Row],[Collector Booster Sell Price CardMarket]]*tbl_MTG_Set[[#This Row],[Collector Booster Expected Market Value]]/tbl_MTG_Set[[#This Row],[Collector Boost Sealed Market Value]]</f>
        <v/>
      </c>
      <c r="BM1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0" s="10">
        <f>tbl_MTG_Set[[#This Row],[Collector Singles CardMarket Profit]]/tbl_MTG_Set[[#This Row],[Collector Booster Cost]]</f>
        <v/>
      </c>
      <c r="BO120" s="10">
        <f>tbl_MTG_Set[[#This Row],[Collector Singles CardMarket Profit]]&gt;0</f>
        <v/>
      </c>
      <c r="BP1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1">
      <c r="A121" t="n">
        <v>119</v>
      </c>
      <c r="B121" t="inlineStr">
        <is>
          <t>The Big Score Tokens TBIG</t>
        </is>
      </c>
      <c r="C121" t="n">
        <v>7</v>
      </c>
      <c r="D121" s="3" t="n">
        <v>45401</v>
      </c>
      <c r="E121" t="inlineStr">
        <is>
          <t>Micro-sets</t>
        </is>
      </c>
      <c r="F121" t="inlineStr">
        <is>
          <t>en es fr de it pt ja ko ru 汉语 漢語</t>
        </is>
      </c>
      <c r="G121" t="n">
        <v>184</v>
      </c>
      <c r="H121">
        <f>MONTH(NOW())+12*YEAR(NOW())-MONTH(tbl_MTG_Set[[#This Row],[Released On]])-12*YEAR(tbl_MTG_Set[[#This Row],[Released On]])</f>
        <v/>
      </c>
      <c r="I121">
        <f>_xlfn.XLOOKUP(tbl_MTG_Set[[#This Row],[Type Name]], tbl_MTG_Set_Type[Set Type], tbl_MTG_Set_Type[Index], "(Set Type not found)")</f>
        <v/>
      </c>
      <c r="J121">
        <f>_xlfn.XLOOKUP(tbl_MTG_Set[[#This Row],[Type Name]], tbl_MTG_Set_Type[Set Type], tbl_MTG_Set_Type[Buy Window Month Start], "(Set Type not found)")</f>
        <v/>
      </c>
      <c r="K121" s="3">
        <f>tbl_MTG_Set[[#This Row],[Released On]]+tbl_MTG_Set[[#This Row],[Buy Window Month Start]]*365.25/12</f>
        <v/>
      </c>
      <c r="L121">
        <f>_xlfn.XLOOKUP(tbl_MTG_Set[[#This Row],[Type Name]], tbl_MTG_Set_Type[Set Type], tbl_MTG_Set_Type[Buy Window Month End], "(Set Type not found)", 0, 1)</f>
        <v/>
      </c>
      <c r="M121" s="3">
        <f>tbl_MTG_Set[[#This Row],[Released On]]+tbl_MTG_Set[[#This Row],[Buy Window Month End]]*365.25/12</f>
        <v/>
      </c>
      <c r="N121" s="3">
        <f>AND(NOW()&gt;=tbl_MTG_Set[[#This Row],[Buy Window Start]], NOW()&lt;=tbl_MTG_Set[[#This Row],[Buy Window End]])</f>
        <v/>
      </c>
      <c r="O121">
        <f>_xlfn.XLOOKUP(tbl_MTG_Set[[#This Row],[Type Name]], tbl_MTG_Set_Type[Set Type], tbl_MTG_Set_Type[Heavy Printing Window Month Start], "(Set Type not found)", 0, 1)</f>
        <v/>
      </c>
      <c r="P121" s="3">
        <f>tbl_MTG_Set[[#This Row],[Released On]]+tbl_MTG_Set[[#This Row],[Heavy Printing Window Month Start]]*365.25/12</f>
        <v/>
      </c>
      <c r="Q121">
        <f>_xlfn.XLOOKUP(tbl_MTG_Set[[#This Row],[Type Name]], tbl_MTG_Set_Type[Set Type], tbl_MTG_Set_Type[Heavy Printing Window Month End], "(Set Type not found)", 0, 1)</f>
        <v/>
      </c>
      <c r="R121" s="3">
        <f>tbl_MTG_Set[[#This Row],[Released On]]+tbl_MTG_Set[[#This Row],[Heavy Printing Window Month End]]*365.25/12</f>
        <v/>
      </c>
      <c r="S121" s="3">
        <f>AND(NOW()&gt;=tbl_MTG_Set[[#This Row],[Heavy Printing Window Start]], NOW()&lt;=tbl_MTG_Set[[#This Row],[Heavy Printing Window End]])</f>
        <v/>
      </c>
      <c r="T121">
        <f>_xlfn.XLOOKUP(tbl_MTG_Set[[#This Row],[Type Name]], tbl_MTG_Set_Type[Set Type], tbl_MTG_Set_Type[Sell Window Month Start], "(Set Type not found)", 0, 1)</f>
        <v/>
      </c>
      <c r="U121" s="3">
        <f>tbl_MTG_Set[[#This Row],[Released On]]+tbl_MTG_Set[[#This Row],[Sell Window Month Start]]*365.25/12</f>
        <v/>
      </c>
      <c r="V121">
        <f>_xlfn.XLOOKUP(tbl_MTG_Set[[#This Row],[Type Name]], tbl_MTG_Set_Type[Set Type], tbl_MTG_Set_Type[Sell Window Month End], "(Set Type not found)", 0, 1)</f>
        <v/>
      </c>
      <c r="W121" s="3">
        <f>tbl_MTG_Set[[#This Row],[Released On]]+tbl_MTG_Set[[#This Row],[Sell Window Month End]]*365.25/12</f>
        <v/>
      </c>
      <c r="X121" s="3">
        <f>AND(NOW()&gt;=tbl_MTG_Set[[#This Row],[Sell Window Start]], NOW()&lt;=tbl_MTG_Set[[#This Row],[Sell Window End]])</f>
        <v/>
      </c>
      <c r="AG121" s="10" t="n"/>
      <c r="AH121" s="10" t="n"/>
      <c r="AM121" s="10">
        <f t="array" ref="AM1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1" s="10">
        <f t="array" ref="AN1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1" s="4">
        <f>_xlfn.XLOOKUP(tbl_MTG_Set[[#This Row],[Play Booster Box Product Id]], tbl_Product[Product Id], tbl_Product[Pack Size])</f>
        <v/>
      </c>
      <c r="AP121" s="10">
        <f>(tbl_MTG_Set[[#This Row],[Play Booster Box Cost]]+v_Item_Shipping_Cost_In)/tbl_MTG_Set[[#This Row],[Play Booster Box Size]]</f>
        <v/>
      </c>
      <c r="AQ121" s="10">
        <f t="array" ref="AQ1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1" s="10" t="n"/>
      <c r="AS121" s="10" t="n"/>
      <c r="AT121" s="17">
        <f>tbl_MTG_Set[[#This Row],[Play Booster CardMarket Profit]]/tbl_MTG_Set[[#This Row],[Play Booster Cost]]</f>
        <v/>
      </c>
      <c r="AU121" s="10">
        <f>_xlfn.XLOOKUP(tbl_MTG_Set[[#This Row],[Collector Booster Box Product Id]], tbl_Product[Product Id], tbl_Product[Min Cost])</f>
        <v/>
      </c>
      <c r="AV121" s="10">
        <f>_xlfn.XLOOKUP(tbl_MTG_Set[[#This Row],[Collector Booster Box Product Id]], tbl_Product[Product Id], tbl_Product[Best Source])</f>
        <v/>
      </c>
      <c r="AW121" s="4">
        <f>_xlfn.XLOOKUP(tbl_MTG_Set[[#This Row],[Collector Booster Box Product Id]], tbl_Product[Product Id], tbl_Product[Pack Size])</f>
        <v/>
      </c>
      <c r="AX121" s="10">
        <f>(tbl_MTG_Set[[#This Row],[Collector Booster Box Cost]] + v_Item_Shipping_Cost_In) / tbl_MTG_Set[[#This Row],[Collector Booster Box Size]]</f>
        <v/>
      </c>
      <c r="AY121" s="10">
        <f t="array" ref="AY1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1" s="10" t="n"/>
      <c r="BA1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1" s="17">
        <f>tbl_MTG_Set[[#This Row],[Collector Booster CardMarket Profit]]/tbl_MTG_Set[[#This Row],[Collector Booster Cost]]</f>
        <v/>
      </c>
      <c r="BC121" s="10" t="n"/>
      <c r="BF121" s="10">
        <f>tbl_MTG_Set[[#This Row],[Play Booster Sell Price CardMarket]]*tbl_MTG_Set[[#This Row],[Play Booster Expected Market Value]]/tbl_MTG_Set[[#This Row],[Play Boost Sealed Market Value]]</f>
        <v/>
      </c>
      <c r="BG1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1" s="10">
        <f>tbl_MTG_Set[[#This Row],[Play Singles CardMarket Profit]]/tbl_MTG_Set[[#This Row],[Play Booster Cost]]</f>
        <v/>
      </c>
      <c r="BI121" s="10">
        <f>tbl_MTG_Set[[#This Row],[Play Singles CardMarket Profit]]&gt;0</f>
        <v/>
      </c>
      <c r="BJ121" s="10" t="n"/>
      <c r="BK121" s="10" t="n"/>
      <c r="BL121" s="10">
        <f>tbl_MTG_Set[[#This Row],[Collector Booster Sell Price CardMarket]]*tbl_MTG_Set[[#This Row],[Collector Booster Expected Market Value]]/tbl_MTG_Set[[#This Row],[Collector Boost Sealed Market Value]]</f>
        <v/>
      </c>
      <c r="BM1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1" s="10">
        <f>tbl_MTG_Set[[#This Row],[Collector Singles CardMarket Profit]]/tbl_MTG_Set[[#This Row],[Collector Booster Cost]]</f>
        <v/>
      </c>
      <c r="BO121" s="10">
        <f>tbl_MTG_Set[[#This Row],[Collector Singles CardMarket Profit]]&gt;0</f>
        <v/>
      </c>
      <c r="BP1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2">
      <c r="A122" t="n">
        <v>120</v>
      </c>
      <c r="B122" t="inlineStr">
        <is>
          <t>Outlaws of Thunder Junction Commander OTC</t>
        </is>
      </c>
      <c r="C122" t="n">
        <v>342</v>
      </c>
      <c r="D122" s="3" t="n">
        <v>45401</v>
      </c>
      <c r="E122" t="inlineStr">
        <is>
          <t>Commander</t>
        </is>
      </c>
      <c r="F122" t="inlineStr">
        <is>
          <t>en es fr de it pt ja ko ru 汉语 漢語</t>
        </is>
      </c>
      <c r="G122" t="n">
        <v>186</v>
      </c>
      <c r="H122">
        <f>MONTH(NOW())+12*YEAR(NOW())-MONTH(tbl_MTG_Set[[#This Row],[Released On]])-12*YEAR(tbl_MTG_Set[[#This Row],[Released On]])</f>
        <v/>
      </c>
      <c r="I122">
        <f>_xlfn.XLOOKUP(tbl_MTG_Set[[#This Row],[Type Name]], tbl_MTG_Set_Type[Set Type], tbl_MTG_Set_Type[Index], "(Set Type not found)")</f>
        <v/>
      </c>
      <c r="J122">
        <f>_xlfn.XLOOKUP(tbl_MTG_Set[[#This Row],[Type Name]], tbl_MTG_Set_Type[Set Type], tbl_MTG_Set_Type[Buy Window Month Start], "(Set Type not found)")</f>
        <v/>
      </c>
      <c r="K122" s="3">
        <f>tbl_MTG_Set[[#This Row],[Released On]]+tbl_MTG_Set[[#This Row],[Buy Window Month Start]]*365.25/12</f>
        <v/>
      </c>
      <c r="L122">
        <f>_xlfn.XLOOKUP(tbl_MTG_Set[[#This Row],[Type Name]], tbl_MTG_Set_Type[Set Type], tbl_MTG_Set_Type[Buy Window Month End], "(Set Type not found)", 0, 1)</f>
        <v/>
      </c>
      <c r="M122" s="3">
        <f>tbl_MTG_Set[[#This Row],[Released On]]+tbl_MTG_Set[[#This Row],[Buy Window Month End]]*365.25/12</f>
        <v/>
      </c>
      <c r="N122" s="3">
        <f>AND(NOW()&gt;=tbl_MTG_Set[[#This Row],[Buy Window Start]], NOW()&lt;=tbl_MTG_Set[[#This Row],[Buy Window End]])</f>
        <v/>
      </c>
      <c r="O122">
        <f>_xlfn.XLOOKUP(tbl_MTG_Set[[#This Row],[Type Name]], tbl_MTG_Set_Type[Set Type], tbl_MTG_Set_Type[Heavy Printing Window Month Start], "(Set Type not found)", 0, 1)</f>
        <v/>
      </c>
      <c r="P122" s="3">
        <f>tbl_MTG_Set[[#This Row],[Released On]]+tbl_MTG_Set[[#This Row],[Heavy Printing Window Month Start]]*365.25/12</f>
        <v/>
      </c>
      <c r="Q122">
        <f>_xlfn.XLOOKUP(tbl_MTG_Set[[#This Row],[Type Name]], tbl_MTG_Set_Type[Set Type], tbl_MTG_Set_Type[Heavy Printing Window Month End], "(Set Type not found)", 0, 1)</f>
        <v/>
      </c>
      <c r="R122" s="3">
        <f>tbl_MTG_Set[[#This Row],[Released On]]+tbl_MTG_Set[[#This Row],[Heavy Printing Window Month End]]*365.25/12</f>
        <v/>
      </c>
      <c r="S122" s="3">
        <f>AND(NOW()&gt;=tbl_MTG_Set[[#This Row],[Heavy Printing Window Start]], NOW()&lt;=tbl_MTG_Set[[#This Row],[Heavy Printing Window End]])</f>
        <v/>
      </c>
      <c r="T122">
        <f>_xlfn.XLOOKUP(tbl_MTG_Set[[#This Row],[Type Name]], tbl_MTG_Set_Type[Set Type], tbl_MTG_Set_Type[Sell Window Month Start], "(Set Type not found)", 0, 1)</f>
        <v/>
      </c>
      <c r="U122" s="3">
        <f>tbl_MTG_Set[[#This Row],[Released On]]+tbl_MTG_Set[[#This Row],[Sell Window Month Start]]*365.25/12</f>
        <v/>
      </c>
      <c r="V122">
        <f>_xlfn.XLOOKUP(tbl_MTG_Set[[#This Row],[Type Name]], tbl_MTG_Set_Type[Set Type], tbl_MTG_Set_Type[Sell Window Month End], "(Set Type not found)", 0, 1)</f>
        <v/>
      </c>
      <c r="W122" s="3">
        <f>tbl_MTG_Set[[#This Row],[Released On]]+tbl_MTG_Set[[#This Row],[Sell Window Month End]]*365.25/12</f>
        <v/>
      </c>
      <c r="X122" s="3">
        <f>AND(NOW()&gt;=tbl_MTG_Set[[#This Row],[Sell Window Start]], NOW()&lt;=tbl_MTG_Set[[#This Row],[Sell Window End]])</f>
        <v/>
      </c>
      <c r="AG122" s="10" t="n"/>
      <c r="AH122" s="10" t="n"/>
      <c r="AM122" s="10">
        <f t="array" ref="AM1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2" s="10">
        <f t="array" ref="AN1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2" s="4">
        <f>_xlfn.XLOOKUP(tbl_MTG_Set[[#This Row],[Play Booster Box Product Id]], tbl_Product[Product Id], tbl_Product[Pack Size])</f>
        <v/>
      </c>
      <c r="AP122" s="10">
        <f>(tbl_MTG_Set[[#This Row],[Play Booster Box Cost]]+v_Item_Shipping_Cost_In)/tbl_MTG_Set[[#This Row],[Play Booster Box Size]]</f>
        <v/>
      </c>
      <c r="AQ122" s="10">
        <f t="array" ref="AQ1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2" s="10" t="n"/>
      <c r="AS122" s="10" t="n"/>
      <c r="AT122" s="17">
        <f>tbl_MTG_Set[[#This Row],[Play Booster CardMarket Profit]]/tbl_MTG_Set[[#This Row],[Play Booster Cost]]</f>
        <v/>
      </c>
      <c r="AU122" s="10">
        <f>_xlfn.XLOOKUP(tbl_MTG_Set[[#This Row],[Collector Booster Box Product Id]], tbl_Product[Product Id], tbl_Product[Min Cost])</f>
        <v/>
      </c>
      <c r="AV122" s="10">
        <f>_xlfn.XLOOKUP(tbl_MTG_Set[[#This Row],[Collector Booster Box Product Id]], tbl_Product[Product Id], tbl_Product[Best Source])</f>
        <v/>
      </c>
      <c r="AW122" s="4">
        <f>_xlfn.XLOOKUP(tbl_MTG_Set[[#This Row],[Collector Booster Box Product Id]], tbl_Product[Product Id], tbl_Product[Pack Size])</f>
        <v/>
      </c>
      <c r="AX122" s="10">
        <f>(tbl_MTG_Set[[#This Row],[Collector Booster Box Cost]] + v_Item_Shipping_Cost_In) / tbl_MTG_Set[[#This Row],[Collector Booster Box Size]]</f>
        <v/>
      </c>
      <c r="AY122" s="10">
        <f t="array" ref="AY1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2" s="10" t="n"/>
      <c r="BA1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2" s="17">
        <f>tbl_MTG_Set[[#This Row],[Collector Booster CardMarket Profit]]/tbl_MTG_Set[[#This Row],[Collector Booster Cost]]</f>
        <v/>
      </c>
      <c r="BC122" s="10" t="n"/>
      <c r="BF122" s="10">
        <f>tbl_MTG_Set[[#This Row],[Play Booster Sell Price CardMarket]]*tbl_MTG_Set[[#This Row],[Play Booster Expected Market Value]]/tbl_MTG_Set[[#This Row],[Play Boost Sealed Market Value]]</f>
        <v/>
      </c>
      <c r="BG1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2" s="10">
        <f>tbl_MTG_Set[[#This Row],[Play Singles CardMarket Profit]]/tbl_MTG_Set[[#This Row],[Play Booster Cost]]</f>
        <v/>
      </c>
      <c r="BI122" s="10">
        <f>tbl_MTG_Set[[#This Row],[Play Singles CardMarket Profit]]&gt;0</f>
        <v/>
      </c>
      <c r="BJ122" s="10" t="n"/>
      <c r="BK122" s="10" t="n"/>
      <c r="BL122" s="10">
        <f>tbl_MTG_Set[[#This Row],[Collector Booster Sell Price CardMarket]]*tbl_MTG_Set[[#This Row],[Collector Booster Expected Market Value]]/tbl_MTG_Set[[#This Row],[Collector Boost Sealed Market Value]]</f>
        <v/>
      </c>
      <c r="BM1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2" s="10">
        <f>tbl_MTG_Set[[#This Row],[Collector Singles CardMarket Profit]]/tbl_MTG_Set[[#This Row],[Collector Booster Cost]]</f>
        <v/>
      </c>
      <c r="BO122" s="10">
        <f>tbl_MTG_Set[[#This Row],[Collector Singles CardMarket Profit]]&gt;0</f>
        <v/>
      </c>
      <c r="BP1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3">
      <c r="A123" t="n">
        <v>121</v>
      </c>
      <c r="B123" t="inlineStr">
        <is>
          <t>Outlaws of Thunder Junction Commander Tokens TOTC</t>
        </is>
      </c>
      <c r="C123" t="n">
        <v>41</v>
      </c>
      <c r="D123" s="3" t="n">
        <v>45401</v>
      </c>
      <c r="E123" t="inlineStr">
        <is>
          <t>Commander</t>
        </is>
      </c>
      <c r="F123" t="inlineStr">
        <is>
          <t>en es fr de it pt ja ko ru 汉语 漢語</t>
        </is>
      </c>
      <c r="G123" t="n">
        <v>188</v>
      </c>
      <c r="H123">
        <f>MONTH(NOW())+12*YEAR(NOW())-MONTH(tbl_MTG_Set[[#This Row],[Released On]])-12*YEAR(tbl_MTG_Set[[#This Row],[Released On]])</f>
        <v/>
      </c>
      <c r="I123">
        <f>_xlfn.XLOOKUP(tbl_MTG_Set[[#This Row],[Type Name]], tbl_MTG_Set_Type[Set Type], tbl_MTG_Set_Type[Index], "(Set Type not found)")</f>
        <v/>
      </c>
      <c r="J123">
        <f>_xlfn.XLOOKUP(tbl_MTG_Set[[#This Row],[Type Name]], tbl_MTG_Set_Type[Set Type], tbl_MTG_Set_Type[Buy Window Month Start], "(Set Type not found)")</f>
        <v/>
      </c>
      <c r="K123" s="3">
        <f>tbl_MTG_Set[[#This Row],[Released On]]+tbl_MTG_Set[[#This Row],[Buy Window Month Start]]*365.25/12</f>
        <v/>
      </c>
      <c r="L123">
        <f>_xlfn.XLOOKUP(tbl_MTG_Set[[#This Row],[Type Name]], tbl_MTG_Set_Type[Set Type], tbl_MTG_Set_Type[Buy Window Month End], "(Set Type not found)", 0, 1)</f>
        <v/>
      </c>
      <c r="M123" s="3">
        <f>tbl_MTG_Set[[#This Row],[Released On]]+tbl_MTG_Set[[#This Row],[Buy Window Month End]]*365.25/12</f>
        <v/>
      </c>
      <c r="N123" s="3">
        <f>AND(NOW()&gt;=tbl_MTG_Set[[#This Row],[Buy Window Start]], NOW()&lt;=tbl_MTG_Set[[#This Row],[Buy Window End]])</f>
        <v/>
      </c>
      <c r="O123">
        <f>_xlfn.XLOOKUP(tbl_MTG_Set[[#This Row],[Type Name]], tbl_MTG_Set_Type[Set Type], tbl_MTG_Set_Type[Heavy Printing Window Month Start], "(Set Type not found)", 0, 1)</f>
        <v/>
      </c>
      <c r="P123" s="3">
        <f>tbl_MTG_Set[[#This Row],[Released On]]+tbl_MTG_Set[[#This Row],[Heavy Printing Window Month Start]]*365.25/12</f>
        <v/>
      </c>
      <c r="Q123">
        <f>_xlfn.XLOOKUP(tbl_MTG_Set[[#This Row],[Type Name]], tbl_MTG_Set_Type[Set Type], tbl_MTG_Set_Type[Heavy Printing Window Month End], "(Set Type not found)", 0, 1)</f>
        <v/>
      </c>
      <c r="R123" s="3">
        <f>tbl_MTG_Set[[#This Row],[Released On]]+tbl_MTG_Set[[#This Row],[Heavy Printing Window Month End]]*365.25/12</f>
        <v/>
      </c>
      <c r="S123" s="3">
        <f>AND(NOW()&gt;=tbl_MTG_Set[[#This Row],[Heavy Printing Window Start]], NOW()&lt;=tbl_MTG_Set[[#This Row],[Heavy Printing Window End]])</f>
        <v/>
      </c>
      <c r="T123">
        <f>_xlfn.XLOOKUP(tbl_MTG_Set[[#This Row],[Type Name]], tbl_MTG_Set_Type[Set Type], tbl_MTG_Set_Type[Sell Window Month Start], "(Set Type not found)", 0, 1)</f>
        <v/>
      </c>
      <c r="U123" s="3">
        <f>tbl_MTG_Set[[#This Row],[Released On]]+tbl_MTG_Set[[#This Row],[Sell Window Month Start]]*365.25/12</f>
        <v/>
      </c>
      <c r="V123">
        <f>_xlfn.XLOOKUP(tbl_MTG_Set[[#This Row],[Type Name]], tbl_MTG_Set_Type[Set Type], tbl_MTG_Set_Type[Sell Window Month End], "(Set Type not found)", 0, 1)</f>
        <v/>
      </c>
      <c r="W123" s="3">
        <f>tbl_MTG_Set[[#This Row],[Released On]]+tbl_MTG_Set[[#This Row],[Sell Window Month End]]*365.25/12</f>
        <v/>
      </c>
      <c r="X123" s="3">
        <f>AND(NOW()&gt;=tbl_MTG_Set[[#This Row],[Sell Window Start]], NOW()&lt;=tbl_MTG_Set[[#This Row],[Sell Window End]])</f>
        <v/>
      </c>
      <c r="AG123" s="10" t="n"/>
      <c r="AH123" s="10" t="n"/>
      <c r="AM123" s="10">
        <f t="array" ref="AM1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3" s="10">
        <f t="array" ref="AN1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3" s="4">
        <f>_xlfn.XLOOKUP(tbl_MTG_Set[[#This Row],[Play Booster Box Product Id]], tbl_Product[Product Id], tbl_Product[Pack Size])</f>
        <v/>
      </c>
      <c r="AP123" s="10">
        <f>(tbl_MTG_Set[[#This Row],[Play Booster Box Cost]]+v_Item_Shipping_Cost_In)/tbl_MTG_Set[[#This Row],[Play Booster Box Size]]</f>
        <v/>
      </c>
      <c r="AQ123" s="10">
        <f t="array" ref="AQ1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3" s="10" t="n"/>
      <c r="AS123" s="10" t="n"/>
      <c r="AT123" s="17">
        <f>tbl_MTG_Set[[#This Row],[Play Booster CardMarket Profit]]/tbl_MTG_Set[[#This Row],[Play Booster Cost]]</f>
        <v/>
      </c>
      <c r="AU123" s="10">
        <f>_xlfn.XLOOKUP(tbl_MTG_Set[[#This Row],[Collector Booster Box Product Id]], tbl_Product[Product Id], tbl_Product[Min Cost])</f>
        <v/>
      </c>
      <c r="AV123" s="10">
        <f>_xlfn.XLOOKUP(tbl_MTG_Set[[#This Row],[Collector Booster Box Product Id]], tbl_Product[Product Id], tbl_Product[Best Source])</f>
        <v/>
      </c>
      <c r="AW123" s="4">
        <f>_xlfn.XLOOKUP(tbl_MTG_Set[[#This Row],[Collector Booster Box Product Id]], tbl_Product[Product Id], tbl_Product[Pack Size])</f>
        <v/>
      </c>
      <c r="AX123" s="10">
        <f>(tbl_MTG_Set[[#This Row],[Collector Booster Box Cost]] + v_Item_Shipping_Cost_In) / tbl_MTG_Set[[#This Row],[Collector Booster Box Size]]</f>
        <v/>
      </c>
      <c r="AY123" s="10">
        <f t="array" ref="AY1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3" s="10" t="n"/>
      <c r="BA1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3" s="17">
        <f>tbl_MTG_Set[[#This Row],[Collector Booster CardMarket Profit]]/tbl_MTG_Set[[#This Row],[Collector Booster Cost]]</f>
        <v/>
      </c>
      <c r="BC123" s="10" t="n"/>
      <c r="BF123" s="10">
        <f>tbl_MTG_Set[[#This Row],[Play Booster Sell Price CardMarket]]*tbl_MTG_Set[[#This Row],[Play Booster Expected Market Value]]/tbl_MTG_Set[[#This Row],[Play Boost Sealed Market Value]]</f>
        <v/>
      </c>
      <c r="BG1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3" s="10">
        <f>tbl_MTG_Set[[#This Row],[Play Singles CardMarket Profit]]/tbl_MTG_Set[[#This Row],[Play Booster Cost]]</f>
        <v/>
      </c>
      <c r="BI123" s="10">
        <f>tbl_MTG_Set[[#This Row],[Play Singles CardMarket Profit]]&gt;0</f>
        <v/>
      </c>
      <c r="BJ123" s="10" t="n"/>
      <c r="BK123" s="10" t="n"/>
      <c r="BL123" s="10">
        <f>tbl_MTG_Set[[#This Row],[Collector Booster Sell Price CardMarket]]*tbl_MTG_Set[[#This Row],[Collector Booster Expected Market Value]]/tbl_MTG_Set[[#This Row],[Collector Boost Sealed Market Value]]</f>
        <v/>
      </c>
      <c r="BM1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3" s="10">
        <f>tbl_MTG_Set[[#This Row],[Collector Singles CardMarket Profit]]/tbl_MTG_Set[[#This Row],[Collector Booster Cost]]</f>
        <v/>
      </c>
      <c r="BO123" s="10">
        <f>tbl_MTG_Set[[#This Row],[Collector Singles CardMarket Profit]]&gt;0</f>
        <v/>
      </c>
      <c r="BP1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4">
      <c r="A124" t="n">
        <v>122</v>
      </c>
      <c r="B124" t="inlineStr">
        <is>
          <t>Fallout PIP</t>
        </is>
      </c>
      <c r="C124" t="n">
        <v>1068</v>
      </c>
      <c r="D124" s="3" t="n">
        <v>45359</v>
      </c>
      <c r="F124" t="inlineStr">
        <is>
          <t>en es fr de it pt ja ko ru 汉语 漢語</t>
        </is>
      </c>
      <c r="G124" t="n">
        <v>190</v>
      </c>
      <c r="H124">
        <f>MONTH(NOW())+12*YEAR(NOW())-MONTH(tbl_MTG_Set[[#This Row],[Released On]])-12*YEAR(tbl_MTG_Set[[#This Row],[Released On]])</f>
        <v/>
      </c>
      <c r="I124">
        <f>_xlfn.XLOOKUP(tbl_MTG_Set[[#This Row],[Type Name]], tbl_MTG_Set_Type[Set Type], tbl_MTG_Set_Type[Index], "(Set Type not found)")</f>
        <v/>
      </c>
      <c r="J124">
        <f>_xlfn.XLOOKUP(tbl_MTG_Set[[#This Row],[Type Name]], tbl_MTG_Set_Type[Set Type], tbl_MTG_Set_Type[Buy Window Month Start], "(Set Type not found)")</f>
        <v/>
      </c>
      <c r="K124" s="3">
        <f>tbl_MTG_Set[[#This Row],[Released On]]+tbl_MTG_Set[[#This Row],[Buy Window Month Start]]*365.25/12</f>
        <v/>
      </c>
      <c r="L124">
        <f>_xlfn.XLOOKUP(tbl_MTG_Set[[#This Row],[Type Name]], tbl_MTG_Set_Type[Set Type], tbl_MTG_Set_Type[Buy Window Month End], "(Set Type not found)", 0, 1)</f>
        <v/>
      </c>
      <c r="M124" s="3">
        <f>tbl_MTG_Set[[#This Row],[Released On]]+tbl_MTG_Set[[#This Row],[Buy Window Month End]]*365.25/12</f>
        <v/>
      </c>
      <c r="N124" s="3">
        <f>AND(NOW()&gt;=tbl_MTG_Set[[#This Row],[Buy Window Start]], NOW()&lt;=tbl_MTG_Set[[#This Row],[Buy Window End]])</f>
        <v/>
      </c>
      <c r="O124">
        <f>_xlfn.XLOOKUP(tbl_MTG_Set[[#This Row],[Type Name]], tbl_MTG_Set_Type[Set Type], tbl_MTG_Set_Type[Heavy Printing Window Month Start], "(Set Type not found)", 0, 1)</f>
        <v/>
      </c>
      <c r="P124" s="3">
        <f>tbl_MTG_Set[[#This Row],[Released On]]+tbl_MTG_Set[[#This Row],[Heavy Printing Window Month Start]]*365.25/12</f>
        <v/>
      </c>
      <c r="Q124">
        <f>_xlfn.XLOOKUP(tbl_MTG_Set[[#This Row],[Type Name]], tbl_MTG_Set_Type[Set Type], tbl_MTG_Set_Type[Heavy Printing Window Month End], "(Set Type not found)", 0, 1)</f>
        <v/>
      </c>
      <c r="R124" s="3">
        <f>tbl_MTG_Set[[#This Row],[Released On]]+tbl_MTG_Set[[#This Row],[Heavy Printing Window Month End]]*365.25/12</f>
        <v/>
      </c>
      <c r="S124" s="3">
        <f>AND(NOW()&gt;=tbl_MTG_Set[[#This Row],[Heavy Printing Window Start]], NOW()&lt;=tbl_MTG_Set[[#This Row],[Heavy Printing Window End]])</f>
        <v/>
      </c>
      <c r="T124">
        <f>_xlfn.XLOOKUP(tbl_MTG_Set[[#This Row],[Type Name]], tbl_MTG_Set_Type[Set Type], tbl_MTG_Set_Type[Sell Window Month Start], "(Set Type not found)", 0, 1)</f>
        <v/>
      </c>
      <c r="U124" s="3">
        <f>tbl_MTG_Set[[#This Row],[Released On]]+tbl_MTG_Set[[#This Row],[Sell Window Month Start]]*365.25/12</f>
        <v/>
      </c>
      <c r="V124">
        <f>_xlfn.XLOOKUP(tbl_MTG_Set[[#This Row],[Type Name]], tbl_MTG_Set_Type[Set Type], tbl_MTG_Set_Type[Sell Window Month End], "(Set Type not found)", 0, 1)</f>
        <v/>
      </c>
      <c r="W124" s="3">
        <f>tbl_MTG_Set[[#This Row],[Released On]]+tbl_MTG_Set[[#This Row],[Sell Window Month End]]*365.25/12</f>
        <v/>
      </c>
      <c r="X124" s="3">
        <f>AND(NOW()&gt;=tbl_MTG_Set[[#This Row],[Sell Window Start]], NOW()&lt;=tbl_MTG_Set[[#This Row],[Sell Window End]])</f>
        <v/>
      </c>
      <c r="AG124" s="10" t="n"/>
      <c r="AH124" s="10" t="n"/>
      <c r="AM124" s="10">
        <f t="array" ref="AM1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4" s="10">
        <f t="array" ref="AN1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4" s="4">
        <f>_xlfn.XLOOKUP(tbl_MTG_Set[[#This Row],[Play Booster Box Product Id]], tbl_Product[Product Id], tbl_Product[Pack Size])</f>
        <v/>
      </c>
      <c r="AP124" s="10">
        <f>(tbl_MTG_Set[[#This Row],[Play Booster Box Cost]]+v_Item_Shipping_Cost_In)/tbl_MTG_Set[[#This Row],[Play Booster Box Size]]</f>
        <v/>
      </c>
      <c r="AQ124" s="10">
        <f t="array" ref="AQ1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4" s="10" t="n"/>
      <c r="AS124" s="10" t="n"/>
      <c r="AT124" s="17">
        <f>tbl_MTG_Set[[#This Row],[Play Booster CardMarket Profit]]/tbl_MTG_Set[[#This Row],[Play Booster Cost]]</f>
        <v/>
      </c>
      <c r="AU124" s="10">
        <f>_xlfn.XLOOKUP(tbl_MTG_Set[[#This Row],[Collector Booster Box Product Id]], tbl_Product[Product Id], tbl_Product[Min Cost])</f>
        <v/>
      </c>
      <c r="AV124" s="10">
        <f>_xlfn.XLOOKUP(tbl_MTG_Set[[#This Row],[Collector Booster Box Product Id]], tbl_Product[Product Id], tbl_Product[Best Source])</f>
        <v/>
      </c>
      <c r="AW124" s="4">
        <f>_xlfn.XLOOKUP(tbl_MTG_Set[[#This Row],[Collector Booster Box Product Id]], tbl_Product[Product Id], tbl_Product[Pack Size])</f>
        <v/>
      </c>
      <c r="AX124" s="10">
        <f>(tbl_MTG_Set[[#This Row],[Collector Booster Box Cost]] + v_Item_Shipping_Cost_In) / tbl_MTG_Set[[#This Row],[Collector Booster Box Size]]</f>
        <v/>
      </c>
      <c r="AY124" s="10">
        <f t="array" ref="AY1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4" s="10" t="n"/>
      <c r="BA1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4" s="17">
        <f>tbl_MTG_Set[[#This Row],[Collector Booster CardMarket Profit]]/tbl_MTG_Set[[#This Row],[Collector Booster Cost]]</f>
        <v/>
      </c>
      <c r="BC124" s="10" t="n"/>
      <c r="BF124" s="10">
        <f>tbl_MTG_Set[[#This Row],[Play Booster Sell Price CardMarket]]*tbl_MTG_Set[[#This Row],[Play Booster Expected Market Value]]/tbl_MTG_Set[[#This Row],[Play Boost Sealed Market Value]]</f>
        <v/>
      </c>
      <c r="BG1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4" s="10">
        <f>tbl_MTG_Set[[#This Row],[Play Singles CardMarket Profit]]/tbl_MTG_Set[[#This Row],[Play Booster Cost]]</f>
        <v/>
      </c>
      <c r="BI124" s="10">
        <f>tbl_MTG_Set[[#This Row],[Play Singles CardMarket Profit]]&gt;0</f>
        <v/>
      </c>
      <c r="BJ124" s="10" t="n"/>
      <c r="BK124" s="10" t="n"/>
      <c r="BL124" s="10">
        <f>tbl_MTG_Set[[#This Row],[Collector Booster Sell Price CardMarket]]*tbl_MTG_Set[[#This Row],[Collector Booster Expected Market Value]]/tbl_MTG_Set[[#This Row],[Collector Boost Sealed Market Value]]</f>
        <v/>
      </c>
      <c r="BM1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4" s="10">
        <f>tbl_MTG_Set[[#This Row],[Collector Singles CardMarket Profit]]/tbl_MTG_Set[[#This Row],[Collector Booster Cost]]</f>
        <v/>
      </c>
      <c r="BO124" s="10">
        <f>tbl_MTG_Set[[#This Row],[Collector Singles CardMarket Profit]]&gt;0</f>
        <v/>
      </c>
      <c r="BP1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5">
      <c r="A125" t="n">
        <v>123</v>
      </c>
      <c r="B125" t="inlineStr">
        <is>
          <t>Fallout Tokens TPIP</t>
        </is>
      </c>
      <c r="C125" t="n">
        <v>22</v>
      </c>
      <c r="D125" s="3" t="n">
        <v>45359</v>
      </c>
      <c r="F125" t="inlineStr">
        <is>
          <t>en es fr de it pt ja ko ru 汉语 漢語</t>
        </is>
      </c>
      <c r="G125" t="n">
        <v>192</v>
      </c>
      <c r="H125">
        <f>MONTH(NOW())+12*YEAR(NOW())-MONTH(tbl_MTG_Set[[#This Row],[Released On]])-12*YEAR(tbl_MTG_Set[[#This Row],[Released On]])</f>
        <v/>
      </c>
      <c r="I125">
        <f>_xlfn.XLOOKUP(tbl_MTG_Set[[#This Row],[Type Name]], tbl_MTG_Set_Type[Set Type], tbl_MTG_Set_Type[Index], "(Set Type not found)")</f>
        <v/>
      </c>
      <c r="J125">
        <f>_xlfn.XLOOKUP(tbl_MTG_Set[[#This Row],[Type Name]], tbl_MTG_Set_Type[Set Type], tbl_MTG_Set_Type[Buy Window Month Start], "(Set Type not found)")</f>
        <v/>
      </c>
      <c r="K125" s="3">
        <f>tbl_MTG_Set[[#This Row],[Released On]]+tbl_MTG_Set[[#This Row],[Buy Window Month Start]]*365.25/12</f>
        <v/>
      </c>
      <c r="L125">
        <f>_xlfn.XLOOKUP(tbl_MTG_Set[[#This Row],[Type Name]], tbl_MTG_Set_Type[Set Type], tbl_MTG_Set_Type[Buy Window Month End], "(Set Type not found)", 0, 1)</f>
        <v/>
      </c>
      <c r="M125" s="3">
        <f>tbl_MTG_Set[[#This Row],[Released On]]+tbl_MTG_Set[[#This Row],[Buy Window Month End]]*365.25/12</f>
        <v/>
      </c>
      <c r="N125" s="3">
        <f>AND(NOW()&gt;=tbl_MTG_Set[[#This Row],[Buy Window Start]], NOW()&lt;=tbl_MTG_Set[[#This Row],[Buy Window End]])</f>
        <v/>
      </c>
      <c r="O125">
        <f>_xlfn.XLOOKUP(tbl_MTG_Set[[#This Row],[Type Name]], tbl_MTG_Set_Type[Set Type], tbl_MTG_Set_Type[Heavy Printing Window Month Start], "(Set Type not found)", 0, 1)</f>
        <v/>
      </c>
      <c r="P125" s="3">
        <f>tbl_MTG_Set[[#This Row],[Released On]]+tbl_MTG_Set[[#This Row],[Heavy Printing Window Month Start]]*365.25/12</f>
        <v/>
      </c>
      <c r="Q125">
        <f>_xlfn.XLOOKUP(tbl_MTG_Set[[#This Row],[Type Name]], tbl_MTG_Set_Type[Set Type], tbl_MTG_Set_Type[Heavy Printing Window Month End], "(Set Type not found)", 0, 1)</f>
        <v/>
      </c>
      <c r="R125" s="3">
        <f>tbl_MTG_Set[[#This Row],[Released On]]+tbl_MTG_Set[[#This Row],[Heavy Printing Window Month End]]*365.25/12</f>
        <v/>
      </c>
      <c r="S125" s="3">
        <f>AND(NOW()&gt;=tbl_MTG_Set[[#This Row],[Heavy Printing Window Start]], NOW()&lt;=tbl_MTG_Set[[#This Row],[Heavy Printing Window End]])</f>
        <v/>
      </c>
      <c r="T125">
        <f>_xlfn.XLOOKUP(tbl_MTG_Set[[#This Row],[Type Name]], tbl_MTG_Set_Type[Set Type], tbl_MTG_Set_Type[Sell Window Month Start], "(Set Type not found)", 0, 1)</f>
        <v/>
      </c>
      <c r="U125" s="3">
        <f>tbl_MTG_Set[[#This Row],[Released On]]+tbl_MTG_Set[[#This Row],[Sell Window Month Start]]*365.25/12</f>
        <v/>
      </c>
      <c r="V125">
        <f>_xlfn.XLOOKUP(tbl_MTG_Set[[#This Row],[Type Name]], tbl_MTG_Set_Type[Set Type], tbl_MTG_Set_Type[Sell Window Month End], "(Set Type not found)", 0, 1)</f>
        <v/>
      </c>
      <c r="W125" s="3">
        <f>tbl_MTG_Set[[#This Row],[Released On]]+tbl_MTG_Set[[#This Row],[Sell Window Month End]]*365.25/12</f>
        <v/>
      </c>
      <c r="X125" s="3">
        <f>AND(NOW()&gt;=tbl_MTG_Set[[#This Row],[Sell Window Start]], NOW()&lt;=tbl_MTG_Set[[#This Row],[Sell Window End]])</f>
        <v/>
      </c>
      <c r="AG125" s="10" t="n"/>
      <c r="AH125" s="10" t="n"/>
      <c r="AM125" s="10">
        <f t="array" ref="AM1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5" s="10">
        <f t="array" ref="AN1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5" s="4">
        <f>_xlfn.XLOOKUP(tbl_MTG_Set[[#This Row],[Play Booster Box Product Id]], tbl_Product[Product Id], tbl_Product[Pack Size])</f>
        <v/>
      </c>
      <c r="AP125" s="10">
        <f>(tbl_MTG_Set[[#This Row],[Play Booster Box Cost]]+v_Item_Shipping_Cost_In)/tbl_MTG_Set[[#This Row],[Play Booster Box Size]]</f>
        <v/>
      </c>
      <c r="AQ125" s="10">
        <f t="array" ref="AQ1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5" s="10" t="n"/>
      <c r="AS125" s="10" t="n"/>
      <c r="AT125" s="17">
        <f>tbl_MTG_Set[[#This Row],[Play Booster CardMarket Profit]]/tbl_MTG_Set[[#This Row],[Play Booster Cost]]</f>
        <v/>
      </c>
      <c r="AU125" s="10">
        <f>_xlfn.XLOOKUP(tbl_MTG_Set[[#This Row],[Collector Booster Box Product Id]], tbl_Product[Product Id], tbl_Product[Min Cost])</f>
        <v/>
      </c>
      <c r="AV125" s="10">
        <f>_xlfn.XLOOKUP(tbl_MTG_Set[[#This Row],[Collector Booster Box Product Id]], tbl_Product[Product Id], tbl_Product[Best Source])</f>
        <v/>
      </c>
      <c r="AW125" s="4">
        <f>_xlfn.XLOOKUP(tbl_MTG_Set[[#This Row],[Collector Booster Box Product Id]], tbl_Product[Product Id], tbl_Product[Pack Size])</f>
        <v/>
      </c>
      <c r="AX125" s="10">
        <f>(tbl_MTG_Set[[#This Row],[Collector Booster Box Cost]] + v_Item_Shipping_Cost_In) / tbl_MTG_Set[[#This Row],[Collector Booster Box Size]]</f>
        <v/>
      </c>
      <c r="AY125" s="10">
        <f t="array" ref="AY1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5" s="10" t="n"/>
      <c r="BA1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5" s="17">
        <f>tbl_MTG_Set[[#This Row],[Collector Booster CardMarket Profit]]/tbl_MTG_Set[[#This Row],[Collector Booster Cost]]</f>
        <v/>
      </c>
      <c r="BC125" s="10" t="n"/>
      <c r="BF125" s="10">
        <f>tbl_MTG_Set[[#This Row],[Play Booster Sell Price CardMarket]]*tbl_MTG_Set[[#This Row],[Play Booster Expected Market Value]]/tbl_MTG_Set[[#This Row],[Play Boost Sealed Market Value]]</f>
        <v/>
      </c>
      <c r="BG1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5" s="10">
        <f>tbl_MTG_Set[[#This Row],[Play Singles CardMarket Profit]]/tbl_MTG_Set[[#This Row],[Play Booster Cost]]</f>
        <v/>
      </c>
      <c r="BI125" s="10">
        <f>tbl_MTG_Set[[#This Row],[Play Singles CardMarket Profit]]&gt;0</f>
        <v/>
      </c>
      <c r="BJ125" s="10" t="n"/>
      <c r="BK125" s="10" t="n"/>
      <c r="BL125" s="10">
        <f>tbl_MTG_Set[[#This Row],[Collector Booster Sell Price CardMarket]]*tbl_MTG_Set[[#This Row],[Collector Booster Expected Market Value]]/tbl_MTG_Set[[#This Row],[Collector Boost Sealed Market Value]]</f>
        <v/>
      </c>
      <c r="BM1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5" s="10">
        <f>tbl_MTG_Set[[#This Row],[Collector Singles CardMarket Profit]]/tbl_MTG_Set[[#This Row],[Collector Booster Cost]]</f>
        <v/>
      </c>
      <c r="BO125" s="10">
        <f>tbl_MTG_Set[[#This Row],[Collector Singles CardMarket Profit]]&gt;0</f>
        <v/>
      </c>
      <c r="BP1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6">
      <c r="A126" t="n">
        <v>124</v>
      </c>
      <c r="B126" t="inlineStr">
        <is>
          <t>Murders at Karlov Manor MKM</t>
        </is>
      </c>
      <c r="C126" t="n">
        <v>451</v>
      </c>
      <c r="D126" s="3" t="n">
        <v>45331</v>
      </c>
      <c r="E126" t="inlineStr">
        <is>
          <t>Standard Expansion</t>
        </is>
      </c>
      <c r="F126" t="inlineStr">
        <is>
          <t>en es fr de it pt ja ko ru 汉语 漢語</t>
        </is>
      </c>
      <c r="G126" t="n">
        <v>194</v>
      </c>
      <c r="H126">
        <f>MONTH(NOW())+12*YEAR(NOW())-MONTH(tbl_MTG_Set[[#This Row],[Released On]])-12*YEAR(tbl_MTG_Set[[#This Row],[Released On]])</f>
        <v/>
      </c>
      <c r="I126">
        <f>_xlfn.XLOOKUP(tbl_MTG_Set[[#This Row],[Type Name]], tbl_MTG_Set_Type[Set Type], tbl_MTG_Set_Type[Index], "(Set Type not found)")</f>
        <v/>
      </c>
      <c r="J126">
        <f>_xlfn.XLOOKUP(tbl_MTG_Set[[#This Row],[Type Name]], tbl_MTG_Set_Type[Set Type], tbl_MTG_Set_Type[Buy Window Month Start], "(Set Type not found)")</f>
        <v/>
      </c>
      <c r="K126" s="3">
        <f>tbl_MTG_Set[[#This Row],[Released On]]+tbl_MTG_Set[[#This Row],[Buy Window Month Start]]*365.25/12</f>
        <v/>
      </c>
      <c r="L126">
        <f>_xlfn.XLOOKUP(tbl_MTG_Set[[#This Row],[Type Name]], tbl_MTG_Set_Type[Set Type], tbl_MTG_Set_Type[Buy Window Month End], "(Set Type not found)", 0, 1)</f>
        <v/>
      </c>
      <c r="M126" s="3">
        <f>tbl_MTG_Set[[#This Row],[Released On]]+tbl_MTG_Set[[#This Row],[Buy Window Month End]]*365.25/12</f>
        <v/>
      </c>
      <c r="N126" s="3">
        <f>AND(NOW()&gt;=tbl_MTG_Set[[#This Row],[Buy Window Start]], NOW()&lt;=tbl_MTG_Set[[#This Row],[Buy Window End]])</f>
        <v/>
      </c>
      <c r="O126">
        <f>_xlfn.XLOOKUP(tbl_MTG_Set[[#This Row],[Type Name]], tbl_MTG_Set_Type[Set Type], tbl_MTG_Set_Type[Heavy Printing Window Month Start], "(Set Type not found)", 0, 1)</f>
        <v/>
      </c>
      <c r="P126" s="3">
        <f>tbl_MTG_Set[[#This Row],[Released On]]+tbl_MTG_Set[[#This Row],[Heavy Printing Window Month Start]]*365.25/12</f>
        <v/>
      </c>
      <c r="Q126">
        <f>_xlfn.XLOOKUP(tbl_MTG_Set[[#This Row],[Type Name]], tbl_MTG_Set_Type[Set Type], tbl_MTG_Set_Type[Heavy Printing Window Month End], "(Set Type not found)", 0, 1)</f>
        <v/>
      </c>
      <c r="R126" s="3">
        <f>tbl_MTG_Set[[#This Row],[Released On]]+tbl_MTG_Set[[#This Row],[Heavy Printing Window Month End]]*365.25/12</f>
        <v/>
      </c>
      <c r="S126" s="3">
        <f>AND(NOW()&gt;=tbl_MTG_Set[[#This Row],[Heavy Printing Window Start]], NOW()&lt;=tbl_MTG_Set[[#This Row],[Heavy Printing Window End]])</f>
        <v/>
      </c>
      <c r="T126">
        <f>_xlfn.XLOOKUP(tbl_MTG_Set[[#This Row],[Type Name]], tbl_MTG_Set_Type[Set Type], tbl_MTG_Set_Type[Sell Window Month Start], "(Set Type not found)", 0, 1)</f>
        <v/>
      </c>
      <c r="U126" s="3">
        <f>tbl_MTG_Set[[#This Row],[Released On]]+tbl_MTG_Set[[#This Row],[Sell Window Month Start]]*365.25/12</f>
        <v/>
      </c>
      <c r="V126">
        <f>_xlfn.XLOOKUP(tbl_MTG_Set[[#This Row],[Type Name]], tbl_MTG_Set_Type[Set Type], tbl_MTG_Set_Type[Sell Window Month End], "(Set Type not found)", 0, 1)</f>
        <v/>
      </c>
      <c r="W126" s="3">
        <f>tbl_MTG_Set[[#This Row],[Released On]]+tbl_MTG_Set[[#This Row],[Sell Window Month End]]*365.25/12</f>
        <v/>
      </c>
      <c r="X126" s="3">
        <f>AND(NOW()&gt;=tbl_MTG_Set[[#This Row],[Sell Window Start]], NOW()&lt;=tbl_MTG_Set[[#This Row],[Sell Window End]])</f>
        <v/>
      </c>
      <c r="Y126" s="10" t="n">
        <v>128</v>
      </c>
      <c r="Z126" s="10" t="n">
        <v>115</v>
      </c>
      <c r="AD126" s="10">
        <f>(Y126+96/20)/36</f>
        <v/>
      </c>
      <c r="AE126" s="10">
        <f>(Z126+96/20)/36</f>
        <v/>
      </c>
      <c r="AG126" s="10" t="n"/>
      <c r="AH126" s="10" t="n"/>
      <c r="AI126" s="4" t="n">
        <v>80</v>
      </c>
      <c r="AJ126" s="4" t="n">
        <v>35</v>
      </c>
      <c r="AK126" s="4" t="n">
        <v>124</v>
      </c>
      <c r="AL126" s="4" t="n">
        <v>123</v>
      </c>
      <c r="AM126" s="10">
        <f t="array" ref="AM1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6" s="10">
        <f t="array" ref="AN1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6" s="4">
        <f>_xlfn.XLOOKUP(tbl_MTG_Set[[#This Row],[Play Booster Box Product Id]], tbl_Product[Product Id], tbl_Product[Pack Size])</f>
        <v/>
      </c>
      <c r="AP126" s="10">
        <f>(tbl_MTG_Set[[#This Row],[Play Booster Box Cost]]+v_Item_Shipping_Cost_In)/tbl_MTG_Set[[#This Row],[Play Booster Box Size]]</f>
        <v/>
      </c>
      <c r="AQ126" s="10">
        <f t="array" ref="AQ1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6" s="10" t="n">
        <v>3</v>
      </c>
      <c r="AS12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26" s="17">
        <f>tbl_MTG_Set[[#This Row],[Play Booster CardMarket Profit]]/tbl_MTG_Set[[#This Row],[Play Booster Cost]]</f>
        <v/>
      </c>
      <c r="AU126" s="10">
        <f>_xlfn.XLOOKUP(tbl_MTG_Set[[#This Row],[Collector Booster Box Product Id]], tbl_Product[Product Id], tbl_Product[Min Cost])</f>
        <v/>
      </c>
      <c r="AV126" s="10">
        <f>_xlfn.XLOOKUP(tbl_MTG_Set[[#This Row],[Collector Booster Box Product Id]], tbl_Product[Product Id], tbl_Product[Best Source])</f>
        <v/>
      </c>
      <c r="AW126" s="4">
        <f>_xlfn.XLOOKUP(tbl_MTG_Set[[#This Row],[Collector Booster Box Product Id]], tbl_Product[Product Id], tbl_Product[Pack Size])</f>
        <v/>
      </c>
      <c r="AX126" s="10">
        <f>(tbl_MTG_Set[[#This Row],[Collector Booster Box Cost]] + v_Item_Shipping_Cost_In) / tbl_MTG_Set[[#This Row],[Collector Booster Box Size]]</f>
        <v/>
      </c>
      <c r="AY126" s="10">
        <f t="array" ref="AY1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6" s="10" t="n"/>
      <c r="BA1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6" s="17">
        <f>tbl_MTG_Set[[#This Row],[Collector Booster CardMarket Profit]]/tbl_MTG_Set[[#This Row],[Collector Booster Cost]]</f>
        <v/>
      </c>
      <c r="BC126" s="15" t="inlineStr">
        <is>
          <t>https://www.mtgstocks.com/sets/1868-murders-at-karlov-manor#ev</t>
        </is>
      </c>
      <c r="BD126" s="11" t="n">
        <v>4.4</v>
      </c>
      <c r="BE126" s="11" t="n">
        <v>4.6</v>
      </c>
      <c r="BF126" s="10">
        <f>tbl_MTG_Set[[#This Row],[Play Booster Sell Price CardMarket]]*tbl_MTG_Set[[#This Row],[Play Booster Expected Market Value]]/tbl_MTG_Set[[#This Row],[Play Boost Sealed Market Value]]</f>
        <v/>
      </c>
      <c r="BG1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6" s="17">
        <f>tbl_MTG_Set[[#This Row],[Play Singles CardMarket Profit]]/tbl_MTG_Set[[#This Row],[Play Booster Cost]]</f>
        <v/>
      </c>
      <c r="BI126" s="10">
        <f>tbl_MTG_Set[[#This Row],[Play Singles CardMarket Profit]]&gt;0</f>
        <v/>
      </c>
      <c r="BJ126" s="10" t="n">
        <v>14.9</v>
      </c>
      <c r="BK126" s="10" t="n">
        <v>26.53</v>
      </c>
      <c r="BL126" s="10">
        <f>tbl_MTG_Set[[#This Row],[Collector Booster Sell Price CardMarket]]*tbl_MTG_Set[[#This Row],[Collector Booster Expected Market Value]]/tbl_MTG_Set[[#This Row],[Collector Boost Sealed Market Value]]</f>
        <v/>
      </c>
      <c r="BM1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6" s="17">
        <f>tbl_MTG_Set[[#This Row],[Collector Singles CardMarket Profit]]/tbl_MTG_Set[[#This Row],[Collector Booster Cost]]</f>
        <v/>
      </c>
      <c r="BO126" s="10">
        <f>tbl_MTG_Set[[#This Row],[Collector Singles CardMarket Profit]]&gt;0</f>
        <v/>
      </c>
      <c r="BP1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7">
      <c r="A127" t="n">
        <v>125</v>
      </c>
      <c r="B127" t="inlineStr">
        <is>
          <t>Murders at Karlov Manor Promos PMKM</t>
        </is>
      </c>
      <c r="C127" t="n">
        <v>180</v>
      </c>
      <c r="D127" s="3" t="n">
        <v>45331</v>
      </c>
      <c r="E127" t="inlineStr">
        <is>
          <t>Standard Expansion</t>
        </is>
      </c>
      <c r="F127" t="inlineStr">
        <is>
          <t>en es fr de it pt ja ko ru 汉语 漢語</t>
        </is>
      </c>
      <c r="G127" t="n">
        <v>196</v>
      </c>
      <c r="H127">
        <f>MONTH(NOW())+12*YEAR(NOW())-MONTH(tbl_MTG_Set[[#This Row],[Released On]])-12*YEAR(tbl_MTG_Set[[#This Row],[Released On]])</f>
        <v/>
      </c>
      <c r="I127">
        <f>_xlfn.XLOOKUP(tbl_MTG_Set[[#This Row],[Type Name]], tbl_MTG_Set_Type[Set Type], tbl_MTG_Set_Type[Index], "(Set Type not found)")</f>
        <v/>
      </c>
      <c r="J127">
        <f>_xlfn.XLOOKUP(tbl_MTG_Set[[#This Row],[Type Name]], tbl_MTG_Set_Type[Set Type], tbl_MTG_Set_Type[Buy Window Month Start], "(Set Type not found)")</f>
        <v/>
      </c>
      <c r="K127" s="3">
        <f>tbl_MTG_Set[[#This Row],[Released On]]+tbl_MTG_Set[[#This Row],[Buy Window Month Start]]*365.25/12</f>
        <v/>
      </c>
      <c r="L127">
        <f>_xlfn.XLOOKUP(tbl_MTG_Set[[#This Row],[Type Name]], tbl_MTG_Set_Type[Set Type], tbl_MTG_Set_Type[Buy Window Month End], "(Set Type not found)", 0, 1)</f>
        <v/>
      </c>
      <c r="M127" s="3">
        <f>tbl_MTG_Set[[#This Row],[Released On]]+tbl_MTG_Set[[#This Row],[Buy Window Month End]]*365.25/12</f>
        <v/>
      </c>
      <c r="N127" s="3">
        <f>AND(NOW()&gt;=tbl_MTG_Set[[#This Row],[Buy Window Start]], NOW()&lt;=tbl_MTG_Set[[#This Row],[Buy Window End]])</f>
        <v/>
      </c>
      <c r="O127">
        <f>_xlfn.XLOOKUP(tbl_MTG_Set[[#This Row],[Type Name]], tbl_MTG_Set_Type[Set Type], tbl_MTG_Set_Type[Heavy Printing Window Month Start], "(Set Type not found)", 0, 1)</f>
        <v/>
      </c>
      <c r="P127" s="3">
        <f>tbl_MTG_Set[[#This Row],[Released On]]+tbl_MTG_Set[[#This Row],[Heavy Printing Window Month Start]]*365.25/12</f>
        <v/>
      </c>
      <c r="Q127">
        <f>_xlfn.XLOOKUP(tbl_MTG_Set[[#This Row],[Type Name]], tbl_MTG_Set_Type[Set Type], tbl_MTG_Set_Type[Heavy Printing Window Month End], "(Set Type not found)", 0, 1)</f>
        <v/>
      </c>
      <c r="R127" s="3">
        <f>tbl_MTG_Set[[#This Row],[Released On]]+tbl_MTG_Set[[#This Row],[Heavy Printing Window Month End]]*365.25/12</f>
        <v/>
      </c>
      <c r="S127" s="3">
        <f>AND(NOW()&gt;=tbl_MTG_Set[[#This Row],[Heavy Printing Window Start]], NOW()&lt;=tbl_MTG_Set[[#This Row],[Heavy Printing Window End]])</f>
        <v/>
      </c>
      <c r="T127">
        <f>_xlfn.XLOOKUP(tbl_MTG_Set[[#This Row],[Type Name]], tbl_MTG_Set_Type[Set Type], tbl_MTG_Set_Type[Sell Window Month Start], "(Set Type not found)", 0, 1)</f>
        <v/>
      </c>
      <c r="U127" s="3">
        <f>tbl_MTG_Set[[#This Row],[Released On]]+tbl_MTG_Set[[#This Row],[Sell Window Month Start]]*365.25/12</f>
        <v/>
      </c>
      <c r="V127">
        <f>_xlfn.XLOOKUP(tbl_MTG_Set[[#This Row],[Type Name]], tbl_MTG_Set_Type[Set Type], tbl_MTG_Set_Type[Sell Window Month End], "(Set Type not found)", 0, 1)</f>
        <v/>
      </c>
      <c r="W127" s="3">
        <f>tbl_MTG_Set[[#This Row],[Released On]]+tbl_MTG_Set[[#This Row],[Sell Window Month End]]*365.25/12</f>
        <v/>
      </c>
      <c r="X127" s="3">
        <f>AND(NOW()&gt;=tbl_MTG_Set[[#This Row],[Sell Window Start]], NOW()&lt;=tbl_MTG_Set[[#This Row],[Sell Window End]])</f>
        <v/>
      </c>
      <c r="AG127" s="10" t="n"/>
      <c r="AH127" s="10" t="n"/>
      <c r="AM127" s="10">
        <f t="array" ref="AM1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7" s="10">
        <f t="array" ref="AN1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7" s="4">
        <f>_xlfn.XLOOKUP(tbl_MTG_Set[[#This Row],[Play Booster Box Product Id]], tbl_Product[Product Id], tbl_Product[Pack Size])</f>
        <v/>
      </c>
      <c r="AP127" s="10">
        <f>(tbl_MTG_Set[[#This Row],[Play Booster Box Cost]]+v_Item_Shipping_Cost_In)/tbl_MTG_Set[[#This Row],[Play Booster Box Size]]</f>
        <v/>
      </c>
      <c r="AQ127" s="10">
        <f t="array" ref="AQ1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7" s="10" t="n"/>
      <c r="AS127" s="10" t="n"/>
      <c r="AT127" s="17">
        <f>tbl_MTG_Set[[#This Row],[Play Booster CardMarket Profit]]/tbl_MTG_Set[[#This Row],[Play Booster Cost]]</f>
        <v/>
      </c>
      <c r="AU127" s="10">
        <f>_xlfn.XLOOKUP(tbl_MTG_Set[[#This Row],[Collector Booster Box Product Id]], tbl_Product[Product Id], tbl_Product[Min Cost])</f>
        <v/>
      </c>
      <c r="AV127" s="10">
        <f>_xlfn.XLOOKUP(tbl_MTG_Set[[#This Row],[Collector Booster Box Product Id]], tbl_Product[Product Id], tbl_Product[Best Source])</f>
        <v/>
      </c>
      <c r="AW127" s="4">
        <f>_xlfn.XLOOKUP(tbl_MTG_Set[[#This Row],[Collector Booster Box Product Id]], tbl_Product[Product Id], tbl_Product[Pack Size])</f>
        <v/>
      </c>
      <c r="AX127" s="10">
        <f>(tbl_MTG_Set[[#This Row],[Collector Booster Box Cost]] + v_Item_Shipping_Cost_In) / tbl_MTG_Set[[#This Row],[Collector Booster Box Size]]</f>
        <v/>
      </c>
      <c r="AY127" s="10">
        <f t="array" ref="AY1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7" s="10" t="n"/>
      <c r="BA1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7" s="17">
        <f>tbl_MTG_Set[[#This Row],[Collector Booster CardMarket Profit]]/tbl_MTG_Set[[#This Row],[Collector Booster Cost]]</f>
        <v/>
      </c>
      <c r="BC127" s="10" t="n"/>
      <c r="BF127" s="10">
        <f>tbl_MTG_Set[[#This Row],[Play Booster Sell Price CardMarket]]*tbl_MTG_Set[[#This Row],[Play Booster Expected Market Value]]/tbl_MTG_Set[[#This Row],[Play Boost Sealed Market Value]]</f>
        <v/>
      </c>
      <c r="BG1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7" s="10">
        <f>tbl_MTG_Set[[#This Row],[Play Singles CardMarket Profit]]/tbl_MTG_Set[[#This Row],[Play Booster Cost]]</f>
        <v/>
      </c>
      <c r="BI127" s="10">
        <f>tbl_MTG_Set[[#This Row],[Play Singles CardMarket Profit]]&gt;0</f>
        <v/>
      </c>
      <c r="BJ127" s="10" t="n"/>
      <c r="BK127" s="10" t="n"/>
      <c r="BL127" s="10">
        <f>tbl_MTG_Set[[#This Row],[Collector Booster Sell Price CardMarket]]*tbl_MTG_Set[[#This Row],[Collector Booster Expected Market Value]]/tbl_MTG_Set[[#This Row],[Collector Boost Sealed Market Value]]</f>
        <v/>
      </c>
      <c r="BM1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7" s="10">
        <f>tbl_MTG_Set[[#This Row],[Collector Singles CardMarket Profit]]/tbl_MTG_Set[[#This Row],[Collector Booster Cost]]</f>
        <v/>
      </c>
      <c r="BO127" s="10">
        <f>tbl_MTG_Set[[#This Row],[Collector Singles CardMarket Profit]]&gt;0</f>
        <v/>
      </c>
      <c r="BP1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8">
      <c r="A128" t="n">
        <v>126</v>
      </c>
      <c r="B128" t="inlineStr">
        <is>
          <t>Murders at Karlov Manor Tokens TMKM</t>
        </is>
      </c>
      <c r="C128" t="n">
        <v>22</v>
      </c>
      <c r="D128" s="3" t="n">
        <v>45331</v>
      </c>
      <c r="E128" t="inlineStr">
        <is>
          <t>Standard Expansion</t>
        </is>
      </c>
      <c r="F128" t="inlineStr">
        <is>
          <t>en es fr de it pt ja ko ru 汉语 漢語</t>
        </is>
      </c>
      <c r="G128" t="n">
        <v>198</v>
      </c>
      <c r="H128">
        <f>MONTH(NOW())+12*YEAR(NOW())-MONTH(tbl_MTG_Set[[#This Row],[Released On]])-12*YEAR(tbl_MTG_Set[[#This Row],[Released On]])</f>
        <v/>
      </c>
      <c r="I128">
        <f>_xlfn.XLOOKUP(tbl_MTG_Set[[#This Row],[Type Name]], tbl_MTG_Set_Type[Set Type], tbl_MTG_Set_Type[Index], "(Set Type not found)")</f>
        <v/>
      </c>
      <c r="J128">
        <f>_xlfn.XLOOKUP(tbl_MTG_Set[[#This Row],[Type Name]], tbl_MTG_Set_Type[Set Type], tbl_MTG_Set_Type[Buy Window Month Start], "(Set Type not found)")</f>
        <v/>
      </c>
      <c r="K128" s="3">
        <f>tbl_MTG_Set[[#This Row],[Released On]]+tbl_MTG_Set[[#This Row],[Buy Window Month Start]]*365.25/12</f>
        <v/>
      </c>
      <c r="L128">
        <f>_xlfn.XLOOKUP(tbl_MTG_Set[[#This Row],[Type Name]], tbl_MTG_Set_Type[Set Type], tbl_MTG_Set_Type[Buy Window Month End], "(Set Type not found)", 0, 1)</f>
        <v/>
      </c>
      <c r="M128" s="3">
        <f>tbl_MTG_Set[[#This Row],[Released On]]+tbl_MTG_Set[[#This Row],[Buy Window Month End]]*365.25/12</f>
        <v/>
      </c>
      <c r="N128" s="3">
        <f>AND(NOW()&gt;=tbl_MTG_Set[[#This Row],[Buy Window Start]], NOW()&lt;=tbl_MTG_Set[[#This Row],[Buy Window End]])</f>
        <v/>
      </c>
      <c r="O128">
        <f>_xlfn.XLOOKUP(tbl_MTG_Set[[#This Row],[Type Name]], tbl_MTG_Set_Type[Set Type], tbl_MTG_Set_Type[Heavy Printing Window Month Start], "(Set Type not found)", 0, 1)</f>
        <v/>
      </c>
      <c r="P128" s="3">
        <f>tbl_MTG_Set[[#This Row],[Released On]]+tbl_MTG_Set[[#This Row],[Heavy Printing Window Month Start]]*365.25/12</f>
        <v/>
      </c>
      <c r="Q128">
        <f>_xlfn.XLOOKUP(tbl_MTG_Set[[#This Row],[Type Name]], tbl_MTG_Set_Type[Set Type], tbl_MTG_Set_Type[Heavy Printing Window Month End], "(Set Type not found)", 0, 1)</f>
        <v/>
      </c>
      <c r="R128" s="3">
        <f>tbl_MTG_Set[[#This Row],[Released On]]+tbl_MTG_Set[[#This Row],[Heavy Printing Window Month End]]*365.25/12</f>
        <v/>
      </c>
      <c r="S128" s="3">
        <f>AND(NOW()&gt;=tbl_MTG_Set[[#This Row],[Heavy Printing Window Start]], NOW()&lt;=tbl_MTG_Set[[#This Row],[Heavy Printing Window End]])</f>
        <v/>
      </c>
      <c r="T128">
        <f>_xlfn.XLOOKUP(tbl_MTG_Set[[#This Row],[Type Name]], tbl_MTG_Set_Type[Set Type], tbl_MTG_Set_Type[Sell Window Month Start], "(Set Type not found)", 0, 1)</f>
        <v/>
      </c>
      <c r="U128" s="3">
        <f>tbl_MTG_Set[[#This Row],[Released On]]+tbl_MTG_Set[[#This Row],[Sell Window Month Start]]*365.25/12</f>
        <v/>
      </c>
      <c r="V128">
        <f>_xlfn.XLOOKUP(tbl_MTG_Set[[#This Row],[Type Name]], tbl_MTG_Set_Type[Set Type], tbl_MTG_Set_Type[Sell Window Month End], "(Set Type not found)", 0, 1)</f>
        <v/>
      </c>
      <c r="W128" s="3">
        <f>tbl_MTG_Set[[#This Row],[Released On]]+tbl_MTG_Set[[#This Row],[Sell Window Month End]]*365.25/12</f>
        <v/>
      </c>
      <c r="X128" s="3">
        <f>AND(NOW()&gt;=tbl_MTG_Set[[#This Row],[Sell Window Start]], NOW()&lt;=tbl_MTG_Set[[#This Row],[Sell Window End]])</f>
        <v/>
      </c>
      <c r="AG128" s="10" t="n"/>
      <c r="AH128" s="10" t="n"/>
      <c r="AM128" s="10">
        <f t="array" ref="AM1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8" s="10">
        <f t="array" ref="AN1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8" s="4">
        <f>_xlfn.XLOOKUP(tbl_MTG_Set[[#This Row],[Play Booster Box Product Id]], tbl_Product[Product Id], tbl_Product[Pack Size])</f>
        <v/>
      </c>
      <c r="AP128" s="10">
        <f>(tbl_MTG_Set[[#This Row],[Play Booster Box Cost]]+v_Item_Shipping_Cost_In)/tbl_MTG_Set[[#This Row],[Play Booster Box Size]]</f>
        <v/>
      </c>
      <c r="AQ128" s="10">
        <f t="array" ref="AQ1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8" s="10" t="n"/>
      <c r="AS128" s="10" t="n"/>
      <c r="AT128" s="17">
        <f>tbl_MTG_Set[[#This Row],[Play Booster CardMarket Profit]]/tbl_MTG_Set[[#This Row],[Play Booster Cost]]</f>
        <v/>
      </c>
      <c r="AU128" s="10">
        <f>_xlfn.XLOOKUP(tbl_MTG_Set[[#This Row],[Collector Booster Box Product Id]], tbl_Product[Product Id], tbl_Product[Min Cost])</f>
        <v/>
      </c>
      <c r="AV128" s="10">
        <f>_xlfn.XLOOKUP(tbl_MTG_Set[[#This Row],[Collector Booster Box Product Id]], tbl_Product[Product Id], tbl_Product[Best Source])</f>
        <v/>
      </c>
      <c r="AW128" s="4">
        <f>_xlfn.XLOOKUP(tbl_MTG_Set[[#This Row],[Collector Booster Box Product Id]], tbl_Product[Product Id], tbl_Product[Pack Size])</f>
        <v/>
      </c>
      <c r="AX128" s="10">
        <f>(tbl_MTG_Set[[#This Row],[Collector Booster Box Cost]] + v_Item_Shipping_Cost_In) / tbl_MTG_Set[[#This Row],[Collector Booster Box Size]]</f>
        <v/>
      </c>
      <c r="AY128" s="10">
        <f t="array" ref="AY1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8" s="10" t="n"/>
      <c r="BA1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8" s="17">
        <f>tbl_MTG_Set[[#This Row],[Collector Booster CardMarket Profit]]/tbl_MTG_Set[[#This Row],[Collector Booster Cost]]</f>
        <v/>
      </c>
      <c r="BC128" s="10" t="n"/>
      <c r="BF128" s="10">
        <f>tbl_MTG_Set[[#This Row],[Play Booster Sell Price CardMarket]]*tbl_MTG_Set[[#This Row],[Play Booster Expected Market Value]]/tbl_MTG_Set[[#This Row],[Play Boost Sealed Market Value]]</f>
        <v/>
      </c>
      <c r="BG1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8" s="10">
        <f>tbl_MTG_Set[[#This Row],[Play Singles CardMarket Profit]]/tbl_MTG_Set[[#This Row],[Play Booster Cost]]</f>
        <v/>
      </c>
      <c r="BI128" s="10">
        <f>tbl_MTG_Set[[#This Row],[Play Singles CardMarket Profit]]&gt;0</f>
        <v/>
      </c>
      <c r="BJ128" s="10" t="n"/>
      <c r="BK128" s="10" t="n"/>
      <c r="BL128" s="10">
        <f>tbl_MTG_Set[[#This Row],[Collector Booster Sell Price CardMarket]]*tbl_MTG_Set[[#This Row],[Collector Booster Expected Market Value]]/tbl_MTG_Set[[#This Row],[Collector Boost Sealed Market Value]]</f>
        <v/>
      </c>
      <c r="BM1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8" s="10">
        <f>tbl_MTG_Set[[#This Row],[Collector Singles CardMarket Profit]]/tbl_MTG_Set[[#This Row],[Collector Booster Cost]]</f>
        <v/>
      </c>
      <c r="BO128" s="10">
        <f>tbl_MTG_Set[[#This Row],[Collector Singles CardMarket Profit]]&gt;0</f>
        <v/>
      </c>
      <c r="BP1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9">
      <c r="A129" t="n">
        <v>127</v>
      </c>
      <c r="B129" t="inlineStr">
        <is>
          <t>Alchemy: Murders at Karlov Manor YMKM</t>
        </is>
      </c>
      <c r="C129" t="n">
        <v>30</v>
      </c>
      <c r="D129" s="3" t="n">
        <v>45356</v>
      </c>
      <c r="E129" t="inlineStr">
        <is>
          <t>Standard Expansion</t>
        </is>
      </c>
      <c r="F129" t="inlineStr">
        <is>
          <t>en es fr de it pt ja ko ru 汉语 漢語</t>
        </is>
      </c>
      <c r="G129" t="n">
        <v>200</v>
      </c>
      <c r="H129">
        <f>MONTH(NOW())+12*YEAR(NOW())-MONTH(tbl_MTG_Set[[#This Row],[Released On]])-12*YEAR(tbl_MTG_Set[[#This Row],[Released On]])</f>
        <v/>
      </c>
      <c r="I129">
        <f>_xlfn.XLOOKUP(tbl_MTG_Set[[#This Row],[Type Name]], tbl_MTG_Set_Type[Set Type], tbl_MTG_Set_Type[Index], "(Set Type not found)")</f>
        <v/>
      </c>
      <c r="J129">
        <f>_xlfn.XLOOKUP(tbl_MTG_Set[[#This Row],[Type Name]], tbl_MTG_Set_Type[Set Type], tbl_MTG_Set_Type[Buy Window Month Start], "(Set Type not found)")</f>
        <v/>
      </c>
      <c r="K129" s="3">
        <f>tbl_MTG_Set[[#This Row],[Released On]]+tbl_MTG_Set[[#This Row],[Buy Window Month Start]]*365.25/12</f>
        <v/>
      </c>
      <c r="L129">
        <f>_xlfn.XLOOKUP(tbl_MTG_Set[[#This Row],[Type Name]], tbl_MTG_Set_Type[Set Type], tbl_MTG_Set_Type[Buy Window Month End], "(Set Type not found)", 0, 1)</f>
        <v/>
      </c>
      <c r="M129" s="3">
        <f>tbl_MTG_Set[[#This Row],[Released On]]+tbl_MTG_Set[[#This Row],[Buy Window Month End]]*365.25/12</f>
        <v/>
      </c>
      <c r="N129" s="3">
        <f>AND(NOW()&gt;=tbl_MTG_Set[[#This Row],[Buy Window Start]], NOW()&lt;=tbl_MTG_Set[[#This Row],[Buy Window End]])</f>
        <v/>
      </c>
      <c r="O129">
        <f>_xlfn.XLOOKUP(tbl_MTG_Set[[#This Row],[Type Name]], tbl_MTG_Set_Type[Set Type], tbl_MTG_Set_Type[Heavy Printing Window Month Start], "(Set Type not found)", 0, 1)</f>
        <v/>
      </c>
      <c r="P129" s="3">
        <f>tbl_MTG_Set[[#This Row],[Released On]]+tbl_MTG_Set[[#This Row],[Heavy Printing Window Month Start]]*365.25/12</f>
        <v/>
      </c>
      <c r="Q129">
        <f>_xlfn.XLOOKUP(tbl_MTG_Set[[#This Row],[Type Name]], tbl_MTG_Set_Type[Set Type], tbl_MTG_Set_Type[Heavy Printing Window Month End], "(Set Type not found)", 0, 1)</f>
        <v/>
      </c>
      <c r="R129" s="3">
        <f>tbl_MTG_Set[[#This Row],[Released On]]+tbl_MTG_Set[[#This Row],[Heavy Printing Window Month End]]*365.25/12</f>
        <v/>
      </c>
      <c r="S129" s="3">
        <f>AND(NOW()&gt;=tbl_MTG_Set[[#This Row],[Heavy Printing Window Start]], NOW()&lt;=tbl_MTG_Set[[#This Row],[Heavy Printing Window End]])</f>
        <v/>
      </c>
      <c r="T129">
        <f>_xlfn.XLOOKUP(tbl_MTG_Set[[#This Row],[Type Name]], tbl_MTG_Set_Type[Set Type], tbl_MTG_Set_Type[Sell Window Month Start], "(Set Type not found)", 0, 1)</f>
        <v/>
      </c>
      <c r="U129" s="3">
        <f>tbl_MTG_Set[[#This Row],[Released On]]+tbl_MTG_Set[[#This Row],[Sell Window Month Start]]*365.25/12</f>
        <v/>
      </c>
      <c r="V129">
        <f>_xlfn.XLOOKUP(tbl_MTG_Set[[#This Row],[Type Name]], tbl_MTG_Set_Type[Set Type], tbl_MTG_Set_Type[Sell Window Month End], "(Set Type not found)", 0, 1)</f>
        <v/>
      </c>
      <c r="W129" s="3">
        <f>tbl_MTG_Set[[#This Row],[Released On]]+tbl_MTG_Set[[#This Row],[Sell Window Month End]]*365.25/12</f>
        <v/>
      </c>
      <c r="X129" s="3">
        <f>AND(NOW()&gt;=tbl_MTG_Set[[#This Row],[Sell Window Start]], NOW()&lt;=tbl_MTG_Set[[#This Row],[Sell Window End]])</f>
        <v/>
      </c>
      <c r="AG129" s="10" t="n"/>
      <c r="AH129" s="10" t="n"/>
      <c r="AM129" s="10">
        <f t="array" ref="AM1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9" s="10">
        <f t="array" ref="AN1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9" s="4">
        <f>_xlfn.XLOOKUP(tbl_MTG_Set[[#This Row],[Play Booster Box Product Id]], tbl_Product[Product Id], tbl_Product[Pack Size])</f>
        <v/>
      </c>
      <c r="AP129" s="10">
        <f>(tbl_MTG_Set[[#This Row],[Play Booster Box Cost]]+v_Item_Shipping_Cost_In)/tbl_MTG_Set[[#This Row],[Play Booster Box Size]]</f>
        <v/>
      </c>
      <c r="AQ129" s="10">
        <f t="array" ref="AQ1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29" s="10" t="n"/>
      <c r="AS129" s="10" t="n"/>
      <c r="AT129" s="17">
        <f>tbl_MTG_Set[[#This Row],[Play Booster CardMarket Profit]]/tbl_MTG_Set[[#This Row],[Play Booster Cost]]</f>
        <v/>
      </c>
      <c r="AU129" s="10">
        <f>_xlfn.XLOOKUP(tbl_MTG_Set[[#This Row],[Collector Booster Box Product Id]], tbl_Product[Product Id], tbl_Product[Min Cost])</f>
        <v/>
      </c>
      <c r="AV129" s="10">
        <f>_xlfn.XLOOKUP(tbl_MTG_Set[[#This Row],[Collector Booster Box Product Id]], tbl_Product[Product Id], tbl_Product[Best Source])</f>
        <v/>
      </c>
      <c r="AW129" s="4">
        <f>_xlfn.XLOOKUP(tbl_MTG_Set[[#This Row],[Collector Booster Box Product Id]], tbl_Product[Product Id], tbl_Product[Pack Size])</f>
        <v/>
      </c>
      <c r="AX129" s="10">
        <f>(tbl_MTG_Set[[#This Row],[Collector Booster Box Cost]] + v_Item_Shipping_Cost_In) / tbl_MTG_Set[[#This Row],[Collector Booster Box Size]]</f>
        <v/>
      </c>
      <c r="AY129" s="10">
        <f t="array" ref="AY1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29" s="10" t="n"/>
      <c r="BA1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9" s="17">
        <f>tbl_MTG_Set[[#This Row],[Collector Booster CardMarket Profit]]/tbl_MTG_Set[[#This Row],[Collector Booster Cost]]</f>
        <v/>
      </c>
      <c r="BC129" s="10" t="n"/>
      <c r="BF129" s="10">
        <f>tbl_MTG_Set[[#This Row],[Play Booster Sell Price CardMarket]]*tbl_MTG_Set[[#This Row],[Play Booster Expected Market Value]]/tbl_MTG_Set[[#This Row],[Play Boost Sealed Market Value]]</f>
        <v/>
      </c>
      <c r="BG1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9" s="10">
        <f>tbl_MTG_Set[[#This Row],[Play Singles CardMarket Profit]]/tbl_MTG_Set[[#This Row],[Play Booster Cost]]</f>
        <v/>
      </c>
      <c r="BI129" s="10">
        <f>tbl_MTG_Set[[#This Row],[Play Singles CardMarket Profit]]&gt;0</f>
        <v/>
      </c>
      <c r="BJ129" s="10" t="n"/>
      <c r="BK129" s="10" t="n"/>
      <c r="BL129" s="10">
        <f>tbl_MTG_Set[[#This Row],[Collector Booster Sell Price CardMarket]]*tbl_MTG_Set[[#This Row],[Collector Booster Expected Market Value]]/tbl_MTG_Set[[#This Row],[Collector Boost Sealed Market Value]]</f>
        <v/>
      </c>
      <c r="BM1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9" s="10">
        <f>tbl_MTG_Set[[#This Row],[Collector Singles CardMarket Profit]]/tbl_MTG_Set[[#This Row],[Collector Booster Cost]]</f>
        <v/>
      </c>
      <c r="BO129" s="10">
        <f>tbl_MTG_Set[[#This Row],[Collector Singles CardMarket Profit]]&gt;0</f>
        <v/>
      </c>
      <c r="BP1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0">
      <c r="A130" t="n">
        <v>128</v>
      </c>
      <c r="B130" t="inlineStr">
        <is>
          <t>Ravnica: Clue Edition CLU</t>
        </is>
      </c>
      <c r="C130" t="n">
        <v>284</v>
      </c>
      <c r="D130" s="3" t="n">
        <v>45345</v>
      </c>
      <c r="E130" t="inlineStr">
        <is>
          <t>Micro-sets</t>
        </is>
      </c>
      <c r="F130" t="inlineStr">
        <is>
          <t>en es fr de it pt ja ko ru 汉语 漢語</t>
        </is>
      </c>
      <c r="G130" t="n">
        <v>202</v>
      </c>
      <c r="H130">
        <f>MONTH(NOW())+12*YEAR(NOW())-MONTH(tbl_MTG_Set[[#This Row],[Released On]])-12*YEAR(tbl_MTG_Set[[#This Row],[Released On]])</f>
        <v/>
      </c>
      <c r="I130">
        <f>_xlfn.XLOOKUP(tbl_MTG_Set[[#This Row],[Type Name]], tbl_MTG_Set_Type[Set Type], tbl_MTG_Set_Type[Index], "(Set Type not found)")</f>
        <v/>
      </c>
      <c r="J130">
        <f>_xlfn.XLOOKUP(tbl_MTG_Set[[#This Row],[Type Name]], tbl_MTG_Set_Type[Set Type], tbl_MTG_Set_Type[Buy Window Month Start], "(Set Type not found)")</f>
        <v/>
      </c>
      <c r="K130" s="3">
        <f>tbl_MTG_Set[[#This Row],[Released On]]+tbl_MTG_Set[[#This Row],[Buy Window Month Start]]*365.25/12</f>
        <v/>
      </c>
      <c r="L130">
        <f>_xlfn.XLOOKUP(tbl_MTG_Set[[#This Row],[Type Name]], tbl_MTG_Set_Type[Set Type], tbl_MTG_Set_Type[Buy Window Month End], "(Set Type not found)", 0, 1)</f>
        <v/>
      </c>
      <c r="M130" s="3">
        <f>tbl_MTG_Set[[#This Row],[Released On]]+tbl_MTG_Set[[#This Row],[Buy Window Month End]]*365.25/12</f>
        <v/>
      </c>
      <c r="N130" s="3">
        <f>AND(NOW()&gt;=tbl_MTG_Set[[#This Row],[Buy Window Start]], NOW()&lt;=tbl_MTG_Set[[#This Row],[Buy Window End]])</f>
        <v/>
      </c>
      <c r="O130">
        <f>_xlfn.XLOOKUP(tbl_MTG_Set[[#This Row],[Type Name]], tbl_MTG_Set_Type[Set Type], tbl_MTG_Set_Type[Heavy Printing Window Month Start], "(Set Type not found)", 0, 1)</f>
        <v/>
      </c>
      <c r="P130" s="3">
        <f>tbl_MTG_Set[[#This Row],[Released On]]+tbl_MTG_Set[[#This Row],[Heavy Printing Window Month Start]]*365.25/12</f>
        <v/>
      </c>
      <c r="Q130">
        <f>_xlfn.XLOOKUP(tbl_MTG_Set[[#This Row],[Type Name]], tbl_MTG_Set_Type[Set Type], tbl_MTG_Set_Type[Heavy Printing Window Month End], "(Set Type not found)", 0, 1)</f>
        <v/>
      </c>
      <c r="R130" s="3">
        <f>tbl_MTG_Set[[#This Row],[Released On]]+tbl_MTG_Set[[#This Row],[Heavy Printing Window Month End]]*365.25/12</f>
        <v/>
      </c>
      <c r="S130" s="3">
        <f>AND(NOW()&gt;=tbl_MTG_Set[[#This Row],[Heavy Printing Window Start]], NOW()&lt;=tbl_MTG_Set[[#This Row],[Heavy Printing Window End]])</f>
        <v/>
      </c>
      <c r="T130">
        <f>_xlfn.XLOOKUP(tbl_MTG_Set[[#This Row],[Type Name]], tbl_MTG_Set_Type[Set Type], tbl_MTG_Set_Type[Sell Window Month Start], "(Set Type not found)", 0, 1)</f>
        <v/>
      </c>
      <c r="U130" s="3">
        <f>tbl_MTG_Set[[#This Row],[Released On]]+tbl_MTG_Set[[#This Row],[Sell Window Month Start]]*365.25/12</f>
        <v/>
      </c>
      <c r="V130">
        <f>_xlfn.XLOOKUP(tbl_MTG_Set[[#This Row],[Type Name]], tbl_MTG_Set_Type[Set Type], tbl_MTG_Set_Type[Sell Window Month End], "(Set Type not found)", 0, 1)</f>
        <v/>
      </c>
      <c r="W130" s="3">
        <f>tbl_MTG_Set[[#This Row],[Released On]]+tbl_MTG_Set[[#This Row],[Sell Window Month End]]*365.25/12</f>
        <v/>
      </c>
      <c r="X130" s="3">
        <f>AND(NOW()&gt;=tbl_MTG_Set[[#This Row],[Sell Window Start]], NOW()&lt;=tbl_MTG_Set[[#This Row],[Sell Window End]])</f>
        <v/>
      </c>
      <c r="AG130" s="10" t="n"/>
      <c r="AH130" s="10" t="n"/>
      <c r="AM130" s="10">
        <f t="array" ref="AM1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0" s="10">
        <f t="array" ref="AN1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0" s="4">
        <f>_xlfn.XLOOKUP(tbl_MTG_Set[[#This Row],[Play Booster Box Product Id]], tbl_Product[Product Id], tbl_Product[Pack Size])</f>
        <v/>
      </c>
      <c r="AP130" s="10">
        <f>(tbl_MTG_Set[[#This Row],[Play Booster Box Cost]]+v_Item_Shipping_Cost_In)/tbl_MTG_Set[[#This Row],[Play Booster Box Size]]</f>
        <v/>
      </c>
      <c r="AQ130" s="10">
        <f t="array" ref="AQ1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0" s="10" t="n"/>
      <c r="AS130" s="10" t="n"/>
      <c r="AT130" s="17">
        <f>tbl_MTG_Set[[#This Row],[Play Booster CardMarket Profit]]/tbl_MTG_Set[[#This Row],[Play Booster Cost]]</f>
        <v/>
      </c>
      <c r="AU130" s="10">
        <f>_xlfn.XLOOKUP(tbl_MTG_Set[[#This Row],[Collector Booster Box Product Id]], tbl_Product[Product Id], tbl_Product[Min Cost])</f>
        <v/>
      </c>
      <c r="AV130" s="10">
        <f>_xlfn.XLOOKUP(tbl_MTG_Set[[#This Row],[Collector Booster Box Product Id]], tbl_Product[Product Id], tbl_Product[Best Source])</f>
        <v/>
      </c>
      <c r="AW130" s="4">
        <f>_xlfn.XLOOKUP(tbl_MTG_Set[[#This Row],[Collector Booster Box Product Id]], tbl_Product[Product Id], tbl_Product[Pack Size])</f>
        <v/>
      </c>
      <c r="AX130" s="10">
        <f>(tbl_MTG_Set[[#This Row],[Collector Booster Box Cost]] + v_Item_Shipping_Cost_In) / tbl_MTG_Set[[#This Row],[Collector Booster Box Size]]</f>
        <v/>
      </c>
      <c r="AY130" s="10">
        <f t="array" ref="AY1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0" s="10" t="n"/>
      <c r="BA1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0" s="17">
        <f>tbl_MTG_Set[[#This Row],[Collector Booster CardMarket Profit]]/tbl_MTG_Set[[#This Row],[Collector Booster Cost]]</f>
        <v/>
      </c>
      <c r="BC130" s="10" t="n"/>
      <c r="BF130" s="10">
        <f>tbl_MTG_Set[[#This Row],[Play Booster Sell Price CardMarket]]*tbl_MTG_Set[[#This Row],[Play Booster Expected Market Value]]/tbl_MTG_Set[[#This Row],[Play Boost Sealed Market Value]]</f>
        <v/>
      </c>
      <c r="BG1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0" s="10">
        <f>tbl_MTG_Set[[#This Row],[Play Singles CardMarket Profit]]/tbl_MTG_Set[[#This Row],[Play Booster Cost]]</f>
        <v/>
      </c>
      <c r="BI130" s="10">
        <f>tbl_MTG_Set[[#This Row],[Play Singles CardMarket Profit]]&gt;0</f>
        <v/>
      </c>
      <c r="BJ130" s="10" t="n"/>
      <c r="BK130" s="10" t="n"/>
      <c r="BL130" s="10">
        <f>tbl_MTG_Set[[#This Row],[Collector Booster Sell Price CardMarket]]*tbl_MTG_Set[[#This Row],[Collector Booster Expected Market Value]]/tbl_MTG_Set[[#This Row],[Collector Boost Sealed Market Value]]</f>
        <v/>
      </c>
      <c r="BM1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0" s="10">
        <f>tbl_MTG_Set[[#This Row],[Collector Singles CardMarket Profit]]/tbl_MTG_Set[[#This Row],[Collector Booster Cost]]</f>
        <v/>
      </c>
      <c r="BO130" s="10">
        <f>tbl_MTG_Set[[#This Row],[Collector Singles CardMarket Profit]]&gt;0</f>
        <v/>
      </c>
      <c r="BP1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1">
      <c r="A131" t="n">
        <v>129</v>
      </c>
      <c r="B131" t="inlineStr">
        <is>
          <t>Ravnica: Clue Edition Front Cards FCLU</t>
        </is>
      </c>
      <c r="C131" t="n">
        <v>10</v>
      </c>
      <c r="D131" s="3" t="n">
        <v>45345</v>
      </c>
      <c r="E131" t="inlineStr">
        <is>
          <t>Micro-sets</t>
        </is>
      </c>
      <c r="F131" t="inlineStr">
        <is>
          <t>en es fr de it pt ja ko ru 汉语 漢語</t>
        </is>
      </c>
      <c r="G131" t="n">
        <v>204</v>
      </c>
      <c r="H131">
        <f>MONTH(NOW())+12*YEAR(NOW())-MONTH(tbl_MTG_Set[[#This Row],[Released On]])-12*YEAR(tbl_MTG_Set[[#This Row],[Released On]])</f>
        <v/>
      </c>
      <c r="I131">
        <f>_xlfn.XLOOKUP(tbl_MTG_Set[[#This Row],[Type Name]], tbl_MTG_Set_Type[Set Type], tbl_MTG_Set_Type[Index], "(Set Type not found)")</f>
        <v/>
      </c>
      <c r="J131">
        <f>_xlfn.XLOOKUP(tbl_MTG_Set[[#This Row],[Type Name]], tbl_MTG_Set_Type[Set Type], tbl_MTG_Set_Type[Buy Window Month Start], "(Set Type not found)")</f>
        <v/>
      </c>
      <c r="K131" s="3">
        <f>tbl_MTG_Set[[#This Row],[Released On]]+tbl_MTG_Set[[#This Row],[Buy Window Month Start]]*365.25/12</f>
        <v/>
      </c>
      <c r="L131">
        <f>_xlfn.XLOOKUP(tbl_MTG_Set[[#This Row],[Type Name]], tbl_MTG_Set_Type[Set Type], tbl_MTG_Set_Type[Buy Window Month End], "(Set Type not found)", 0, 1)</f>
        <v/>
      </c>
      <c r="M131" s="3">
        <f>tbl_MTG_Set[[#This Row],[Released On]]+tbl_MTG_Set[[#This Row],[Buy Window Month End]]*365.25/12</f>
        <v/>
      </c>
      <c r="N131" s="3">
        <f>AND(NOW()&gt;=tbl_MTG_Set[[#This Row],[Buy Window Start]], NOW()&lt;=tbl_MTG_Set[[#This Row],[Buy Window End]])</f>
        <v/>
      </c>
      <c r="O131">
        <f>_xlfn.XLOOKUP(tbl_MTG_Set[[#This Row],[Type Name]], tbl_MTG_Set_Type[Set Type], tbl_MTG_Set_Type[Heavy Printing Window Month Start], "(Set Type not found)", 0, 1)</f>
        <v/>
      </c>
      <c r="P131" s="3">
        <f>tbl_MTG_Set[[#This Row],[Released On]]+tbl_MTG_Set[[#This Row],[Heavy Printing Window Month Start]]*365.25/12</f>
        <v/>
      </c>
      <c r="Q131">
        <f>_xlfn.XLOOKUP(tbl_MTG_Set[[#This Row],[Type Name]], tbl_MTG_Set_Type[Set Type], tbl_MTG_Set_Type[Heavy Printing Window Month End], "(Set Type not found)", 0, 1)</f>
        <v/>
      </c>
      <c r="R131" s="3">
        <f>tbl_MTG_Set[[#This Row],[Released On]]+tbl_MTG_Set[[#This Row],[Heavy Printing Window Month End]]*365.25/12</f>
        <v/>
      </c>
      <c r="S131" s="3">
        <f>AND(NOW()&gt;=tbl_MTG_Set[[#This Row],[Heavy Printing Window Start]], NOW()&lt;=tbl_MTG_Set[[#This Row],[Heavy Printing Window End]])</f>
        <v/>
      </c>
      <c r="T131">
        <f>_xlfn.XLOOKUP(tbl_MTG_Set[[#This Row],[Type Name]], tbl_MTG_Set_Type[Set Type], tbl_MTG_Set_Type[Sell Window Month Start], "(Set Type not found)", 0, 1)</f>
        <v/>
      </c>
      <c r="U131" s="3">
        <f>tbl_MTG_Set[[#This Row],[Released On]]+tbl_MTG_Set[[#This Row],[Sell Window Month Start]]*365.25/12</f>
        <v/>
      </c>
      <c r="V131">
        <f>_xlfn.XLOOKUP(tbl_MTG_Set[[#This Row],[Type Name]], tbl_MTG_Set_Type[Set Type], tbl_MTG_Set_Type[Sell Window Month End], "(Set Type not found)", 0, 1)</f>
        <v/>
      </c>
      <c r="W131" s="3">
        <f>tbl_MTG_Set[[#This Row],[Released On]]+tbl_MTG_Set[[#This Row],[Sell Window Month End]]*365.25/12</f>
        <v/>
      </c>
      <c r="X131" s="3">
        <f>AND(NOW()&gt;=tbl_MTG_Set[[#This Row],[Sell Window Start]], NOW()&lt;=tbl_MTG_Set[[#This Row],[Sell Window End]])</f>
        <v/>
      </c>
      <c r="AG131" s="10" t="n"/>
      <c r="AH131" s="10" t="n"/>
      <c r="AM131" s="10">
        <f t="array" ref="AM1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1" s="10">
        <f t="array" ref="AN1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1" s="4">
        <f>_xlfn.XLOOKUP(tbl_MTG_Set[[#This Row],[Play Booster Box Product Id]], tbl_Product[Product Id], tbl_Product[Pack Size])</f>
        <v/>
      </c>
      <c r="AP131" s="10">
        <f>(tbl_MTG_Set[[#This Row],[Play Booster Box Cost]]+v_Item_Shipping_Cost_In)/tbl_MTG_Set[[#This Row],[Play Booster Box Size]]</f>
        <v/>
      </c>
      <c r="AQ131" s="10">
        <f t="array" ref="AQ1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1" s="10" t="n"/>
      <c r="AS131" s="10" t="n"/>
      <c r="AT131" s="17">
        <f>tbl_MTG_Set[[#This Row],[Play Booster CardMarket Profit]]/tbl_MTG_Set[[#This Row],[Play Booster Cost]]</f>
        <v/>
      </c>
      <c r="AU131" s="10">
        <f>_xlfn.XLOOKUP(tbl_MTG_Set[[#This Row],[Collector Booster Box Product Id]], tbl_Product[Product Id], tbl_Product[Min Cost])</f>
        <v/>
      </c>
      <c r="AV131" s="10">
        <f>_xlfn.XLOOKUP(tbl_MTG_Set[[#This Row],[Collector Booster Box Product Id]], tbl_Product[Product Id], tbl_Product[Best Source])</f>
        <v/>
      </c>
      <c r="AW131" s="4">
        <f>_xlfn.XLOOKUP(tbl_MTG_Set[[#This Row],[Collector Booster Box Product Id]], tbl_Product[Product Id], tbl_Product[Pack Size])</f>
        <v/>
      </c>
      <c r="AX131" s="10">
        <f>(tbl_MTG_Set[[#This Row],[Collector Booster Box Cost]] + v_Item_Shipping_Cost_In) / tbl_MTG_Set[[#This Row],[Collector Booster Box Size]]</f>
        <v/>
      </c>
      <c r="AY131" s="10">
        <f t="array" ref="AY1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1" s="10" t="n"/>
      <c r="BA1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1" s="17">
        <f>tbl_MTG_Set[[#This Row],[Collector Booster CardMarket Profit]]/tbl_MTG_Set[[#This Row],[Collector Booster Cost]]</f>
        <v/>
      </c>
      <c r="BC131" s="10" t="n"/>
      <c r="BF131" s="10">
        <f>tbl_MTG_Set[[#This Row],[Play Booster Sell Price CardMarket]]*tbl_MTG_Set[[#This Row],[Play Booster Expected Market Value]]/tbl_MTG_Set[[#This Row],[Play Boost Sealed Market Value]]</f>
        <v/>
      </c>
      <c r="BG1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1" s="10">
        <f>tbl_MTG_Set[[#This Row],[Play Singles CardMarket Profit]]/tbl_MTG_Set[[#This Row],[Play Booster Cost]]</f>
        <v/>
      </c>
      <c r="BI131" s="10">
        <f>tbl_MTG_Set[[#This Row],[Play Singles CardMarket Profit]]&gt;0</f>
        <v/>
      </c>
      <c r="BJ131" s="10" t="n"/>
      <c r="BK131" s="10" t="n"/>
      <c r="BL131" s="10">
        <f>tbl_MTG_Set[[#This Row],[Collector Booster Sell Price CardMarket]]*tbl_MTG_Set[[#This Row],[Collector Booster Expected Market Value]]/tbl_MTG_Set[[#This Row],[Collector Boost Sealed Market Value]]</f>
        <v/>
      </c>
      <c r="BM1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1" s="10">
        <f>tbl_MTG_Set[[#This Row],[Collector Singles CardMarket Profit]]/tbl_MTG_Set[[#This Row],[Collector Booster Cost]]</f>
        <v/>
      </c>
      <c r="BO131" s="10">
        <f>tbl_MTG_Set[[#This Row],[Collector Singles CardMarket Profit]]&gt;0</f>
        <v/>
      </c>
      <c r="BP1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2">
      <c r="A132" t="n">
        <v>130</v>
      </c>
      <c r="B132" t="inlineStr">
        <is>
          <t>MKM Standard Showdown PSS4</t>
        </is>
      </c>
      <c r="C132" t="n">
        <v>5</v>
      </c>
      <c r="D132" s="3" t="n">
        <v>45332</v>
      </c>
      <c r="E132" t="inlineStr">
        <is>
          <t>Standard Expansion</t>
        </is>
      </c>
      <c r="F132" t="inlineStr">
        <is>
          <t>en es fr de it pt ja ko ru 汉语 漢語</t>
        </is>
      </c>
      <c r="G132" t="n">
        <v>206</v>
      </c>
      <c r="H132">
        <f>MONTH(NOW())+12*YEAR(NOW())-MONTH(tbl_MTG_Set[[#This Row],[Released On]])-12*YEAR(tbl_MTG_Set[[#This Row],[Released On]])</f>
        <v/>
      </c>
      <c r="I132">
        <f>_xlfn.XLOOKUP(tbl_MTG_Set[[#This Row],[Type Name]], tbl_MTG_Set_Type[Set Type], tbl_MTG_Set_Type[Index], "(Set Type not found)")</f>
        <v/>
      </c>
      <c r="J132">
        <f>_xlfn.XLOOKUP(tbl_MTG_Set[[#This Row],[Type Name]], tbl_MTG_Set_Type[Set Type], tbl_MTG_Set_Type[Buy Window Month Start], "(Set Type not found)")</f>
        <v/>
      </c>
      <c r="K132" s="3">
        <f>tbl_MTG_Set[[#This Row],[Released On]]+tbl_MTG_Set[[#This Row],[Buy Window Month Start]]*365.25/12</f>
        <v/>
      </c>
      <c r="L132">
        <f>_xlfn.XLOOKUP(tbl_MTG_Set[[#This Row],[Type Name]], tbl_MTG_Set_Type[Set Type], tbl_MTG_Set_Type[Buy Window Month End], "(Set Type not found)", 0, 1)</f>
        <v/>
      </c>
      <c r="M132" s="3">
        <f>tbl_MTG_Set[[#This Row],[Released On]]+tbl_MTG_Set[[#This Row],[Buy Window Month End]]*365.25/12</f>
        <v/>
      </c>
      <c r="N132" s="3">
        <f>AND(NOW()&gt;=tbl_MTG_Set[[#This Row],[Buy Window Start]], NOW()&lt;=tbl_MTG_Set[[#This Row],[Buy Window End]])</f>
        <v/>
      </c>
      <c r="O132">
        <f>_xlfn.XLOOKUP(tbl_MTG_Set[[#This Row],[Type Name]], tbl_MTG_Set_Type[Set Type], tbl_MTG_Set_Type[Heavy Printing Window Month Start], "(Set Type not found)", 0, 1)</f>
        <v/>
      </c>
      <c r="P132" s="3">
        <f>tbl_MTG_Set[[#This Row],[Released On]]+tbl_MTG_Set[[#This Row],[Heavy Printing Window Month Start]]*365.25/12</f>
        <v/>
      </c>
      <c r="Q132">
        <f>_xlfn.XLOOKUP(tbl_MTG_Set[[#This Row],[Type Name]], tbl_MTG_Set_Type[Set Type], tbl_MTG_Set_Type[Heavy Printing Window Month End], "(Set Type not found)", 0, 1)</f>
        <v/>
      </c>
      <c r="R132" s="3">
        <f>tbl_MTG_Set[[#This Row],[Released On]]+tbl_MTG_Set[[#This Row],[Heavy Printing Window Month End]]*365.25/12</f>
        <v/>
      </c>
      <c r="S132" s="3">
        <f>AND(NOW()&gt;=tbl_MTG_Set[[#This Row],[Heavy Printing Window Start]], NOW()&lt;=tbl_MTG_Set[[#This Row],[Heavy Printing Window End]])</f>
        <v/>
      </c>
      <c r="T132">
        <f>_xlfn.XLOOKUP(tbl_MTG_Set[[#This Row],[Type Name]], tbl_MTG_Set_Type[Set Type], tbl_MTG_Set_Type[Sell Window Month Start], "(Set Type not found)", 0, 1)</f>
        <v/>
      </c>
      <c r="U132" s="3">
        <f>tbl_MTG_Set[[#This Row],[Released On]]+tbl_MTG_Set[[#This Row],[Sell Window Month Start]]*365.25/12</f>
        <v/>
      </c>
      <c r="V132">
        <f>_xlfn.XLOOKUP(tbl_MTG_Set[[#This Row],[Type Name]], tbl_MTG_Set_Type[Set Type], tbl_MTG_Set_Type[Sell Window Month End], "(Set Type not found)", 0, 1)</f>
        <v/>
      </c>
      <c r="W132" s="3">
        <f>tbl_MTG_Set[[#This Row],[Released On]]+tbl_MTG_Set[[#This Row],[Sell Window Month End]]*365.25/12</f>
        <v/>
      </c>
      <c r="X132" s="3">
        <f>AND(NOW()&gt;=tbl_MTG_Set[[#This Row],[Sell Window Start]], NOW()&lt;=tbl_MTG_Set[[#This Row],[Sell Window End]])</f>
        <v/>
      </c>
      <c r="AG132" s="10" t="n"/>
      <c r="AH132" s="10" t="n"/>
      <c r="AM132" s="10">
        <f t="array" ref="AM1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2" s="10">
        <f t="array" ref="AN1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2" s="4">
        <f>_xlfn.XLOOKUP(tbl_MTG_Set[[#This Row],[Play Booster Box Product Id]], tbl_Product[Product Id], tbl_Product[Pack Size])</f>
        <v/>
      </c>
      <c r="AP132" s="10">
        <f>(tbl_MTG_Set[[#This Row],[Play Booster Box Cost]]+v_Item_Shipping_Cost_In)/tbl_MTG_Set[[#This Row],[Play Booster Box Size]]</f>
        <v/>
      </c>
      <c r="AQ132" s="10">
        <f t="array" ref="AQ1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2" s="10" t="n"/>
      <c r="AS132" s="10" t="n"/>
      <c r="AT132" s="17">
        <f>tbl_MTG_Set[[#This Row],[Play Booster CardMarket Profit]]/tbl_MTG_Set[[#This Row],[Play Booster Cost]]</f>
        <v/>
      </c>
      <c r="AU132" s="10">
        <f>_xlfn.XLOOKUP(tbl_MTG_Set[[#This Row],[Collector Booster Box Product Id]], tbl_Product[Product Id], tbl_Product[Min Cost])</f>
        <v/>
      </c>
      <c r="AV132" s="10">
        <f>_xlfn.XLOOKUP(tbl_MTG_Set[[#This Row],[Collector Booster Box Product Id]], tbl_Product[Product Id], tbl_Product[Best Source])</f>
        <v/>
      </c>
      <c r="AW132" s="4">
        <f>_xlfn.XLOOKUP(tbl_MTG_Set[[#This Row],[Collector Booster Box Product Id]], tbl_Product[Product Id], tbl_Product[Pack Size])</f>
        <v/>
      </c>
      <c r="AX132" s="10">
        <f>(tbl_MTG_Set[[#This Row],[Collector Booster Box Cost]] + v_Item_Shipping_Cost_In) / tbl_MTG_Set[[#This Row],[Collector Booster Box Size]]</f>
        <v/>
      </c>
      <c r="AY132" s="10">
        <f t="array" ref="AY1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2" s="10" t="n"/>
      <c r="BA1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2" s="17">
        <f>tbl_MTG_Set[[#This Row],[Collector Booster CardMarket Profit]]/tbl_MTG_Set[[#This Row],[Collector Booster Cost]]</f>
        <v/>
      </c>
      <c r="BC132" s="10" t="n"/>
      <c r="BF132" s="10">
        <f>tbl_MTG_Set[[#This Row],[Play Booster Sell Price CardMarket]]*tbl_MTG_Set[[#This Row],[Play Booster Expected Market Value]]/tbl_MTG_Set[[#This Row],[Play Boost Sealed Market Value]]</f>
        <v/>
      </c>
      <c r="BG1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2" s="10">
        <f>tbl_MTG_Set[[#This Row],[Play Singles CardMarket Profit]]/tbl_MTG_Set[[#This Row],[Play Booster Cost]]</f>
        <v/>
      </c>
      <c r="BI132" s="10">
        <f>tbl_MTG_Set[[#This Row],[Play Singles CardMarket Profit]]&gt;0</f>
        <v/>
      </c>
      <c r="BJ132" s="10" t="n"/>
      <c r="BK132" s="10" t="n"/>
      <c r="BL132" s="10">
        <f>tbl_MTG_Set[[#This Row],[Collector Booster Sell Price CardMarket]]*tbl_MTG_Set[[#This Row],[Collector Booster Expected Market Value]]/tbl_MTG_Set[[#This Row],[Collector Boost Sealed Market Value]]</f>
        <v/>
      </c>
      <c r="BM1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2" s="10">
        <f>tbl_MTG_Set[[#This Row],[Collector Singles CardMarket Profit]]/tbl_MTG_Set[[#This Row],[Collector Booster Cost]]</f>
        <v/>
      </c>
      <c r="BO132" s="10">
        <f>tbl_MTG_Set[[#This Row],[Collector Singles CardMarket Profit]]&gt;0</f>
        <v/>
      </c>
      <c r="BP1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3">
      <c r="A133" t="n">
        <v>131</v>
      </c>
      <c r="B133" t="inlineStr">
        <is>
          <t>Murders at Karlov Manor Art Series AMKM</t>
        </is>
      </c>
      <c r="C133" t="n">
        <v>49</v>
      </c>
      <c r="D133" s="3" t="n">
        <v>45331</v>
      </c>
      <c r="E133" t="inlineStr">
        <is>
          <t>Standard Expansion</t>
        </is>
      </c>
      <c r="F133" t="inlineStr">
        <is>
          <t>en es fr de it pt ja ko ru 汉语 漢語</t>
        </is>
      </c>
      <c r="G133" t="n">
        <v>208</v>
      </c>
      <c r="H133">
        <f>MONTH(NOW())+12*YEAR(NOW())-MONTH(tbl_MTG_Set[[#This Row],[Released On]])-12*YEAR(tbl_MTG_Set[[#This Row],[Released On]])</f>
        <v/>
      </c>
      <c r="I133">
        <f>_xlfn.XLOOKUP(tbl_MTG_Set[[#This Row],[Type Name]], tbl_MTG_Set_Type[Set Type], tbl_MTG_Set_Type[Index], "(Set Type not found)")</f>
        <v/>
      </c>
      <c r="J133">
        <f>_xlfn.XLOOKUP(tbl_MTG_Set[[#This Row],[Type Name]], tbl_MTG_Set_Type[Set Type], tbl_MTG_Set_Type[Buy Window Month Start], "(Set Type not found)")</f>
        <v/>
      </c>
      <c r="K133" s="3">
        <f>tbl_MTG_Set[[#This Row],[Released On]]+tbl_MTG_Set[[#This Row],[Buy Window Month Start]]*365.25/12</f>
        <v/>
      </c>
      <c r="L133">
        <f>_xlfn.XLOOKUP(tbl_MTG_Set[[#This Row],[Type Name]], tbl_MTG_Set_Type[Set Type], tbl_MTG_Set_Type[Buy Window Month End], "(Set Type not found)", 0, 1)</f>
        <v/>
      </c>
      <c r="M133" s="3">
        <f>tbl_MTG_Set[[#This Row],[Released On]]+tbl_MTG_Set[[#This Row],[Buy Window Month End]]*365.25/12</f>
        <v/>
      </c>
      <c r="N133" s="3">
        <f>AND(NOW()&gt;=tbl_MTG_Set[[#This Row],[Buy Window Start]], NOW()&lt;=tbl_MTG_Set[[#This Row],[Buy Window End]])</f>
        <v/>
      </c>
      <c r="O133">
        <f>_xlfn.XLOOKUP(tbl_MTG_Set[[#This Row],[Type Name]], tbl_MTG_Set_Type[Set Type], tbl_MTG_Set_Type[Heavy Printing Window Month Start], "(Set Type not found)", 0, 1)</f>
        <v/>
      </c>
      <c r="P133" s="3">
        <f>tbl_MTG_Set[[#This Row],[Released On]]+tbl_MTG_Set[[#This Row],[Heavy Printing Window Month Start]]*365.25/12</f>
        <v/>
      </c>
      <c r="Q133">
        <f>_xlfn.XLOOKUP(tbl_MTG_Set[[#This Row],[Type Name]], tbl_MTG_Set_Type[Set Type], tbl_MTG_Set_Type[Heavy Printing Window Month End], "(Set Type not found)", 0, 1)</f>
        <v/>
      </c>
      <c r="R133" s="3">
        <f>tbl_MTG_Set[[#This Row],[Released On]]+tbl_MTG_Set[[#This Row],[Heavy Printing Window Month End]]*365.25/12</f>
        <v/>
      </c>
      <c r="S133" s="3">
        <f>AND(NOW()&gt;=tbl_MTG_Set[[#This Row],[Heavy Printing Window Start]], NOW()&lt;=tbl_MTG_Set[[#This Row],[Heavy Printing Window End]])</f>
        <v/>
      </c>
      <c r="T133">
        <f>_xlfn.XLOOKUP(tbl_MTG_Set[[#This Row],[Type Name]], tbl_MTG_Set_Type[Set Type], tbl_MTG_Set_Type[Sell Window Month Start], "(Set Type not found)", 0, 1)</f>
        <v/>
      </c>
      <c r="U133" s="3">
        <f>tbl_MTG_Set[[#This Row],[Released On]]+tbl_MTG_Set[[#This Row],[Sell Window Month Start]]*365.25/12</f>
        <v/>
      </c>
      <c r="V133">
        <f>_xlfn.XLOOKUP(tbl_MTG_Set[[#This Row],[Type Name]], tbl_MTG_Set_Type[Set Type], tbl_MTG_Set_Type[Sell Window Month End], "(Set Type not found)", 0, 1)</f>
        <v/>
      </c>
      <c r="W133" s="3">
        <f>tbl_MTG_Set[[#This Row],[Released On]]+tbl_MTG_Set[[#This Row],[Sell Window Month End]]*365.25/12</f>
        <v/>
      </c>
      <c r="X133" s="3">
        <f>AND(NOW()&gt;=tbl_MTG_Set[[#This Row],[Sell Window Start]], NOW()&lt;=tbl_MTG_Set[[#This Row],[Sell Window End]])</f>
        <v/>
      </c>
      <c r="AG133" s="10" t="n"/>
      <c r="AH133" s="10" t="n"/>
      <c r="AM133" s="10">
        <f t="array" ref="AM1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3" s="10">
        <f t="array" ref="AN1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3" s="4">
        <f>_xlfn.XLOOKUP(tbl_MTG_Set[[#This Row],[Play Booster Box Product Id]], tbl_Product[Product Id], tbl_Product[Pack Size])</f>
        <v/>
      </c>
      <c r="AP133" s="10">
        <f>(tbl_MTG_Set[[#This Row],[Play Booster Box Cost]]+v_Item_Shipping_Cost_In)/tbl_MTG_Set[[#This Row],[Play Booster Box Size]]</f>
        <v/>
      </c>
      <c r="AQ133" s="10">
        <f t="array" ref="AQ1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3" s="10" t="n"/>
      <c r="AS133" s="10" t="n"/>
      <c r="AT133" s="17">
        <f>tbl_MTG_Set[[#This Row],[Play Booster CardMarket Profit]]/tbl_MTG_Set[[#This Row],[Play Booster Cost]]</f>
        <v/>
      </c>
      <c r="AU133" s="10">
        <f>_xlfn.XLOOKUP(tbl_MTG_Set[[#This Row],[Collector Booster Box Product Id]], tbl_Product[Product Id], tbl_Product[Min Cost])</f>
        <v/>
      </c>
      <c r="AV133" s="10">
        <f>_xlfn.XLOOKUP(tbl_MTG_Set[[#This Row],[Collector Booster Box Product Id]], tbl_Product[Product Id], tbl_Product[Best Source])</f>
        <v/>
      </c>
      <c r="AW133" s="4">
        <f>_xlfn.XLOOKUP(tbl_MTG_Set[[#This Row],[Collector Booster Box Product Id]], tbl_Product[Product Id], tbl_Product[Pack Size])</f>
        <v/>
      </c>
      <c r="AX133" s="10">
        <f>(tbl_MTG_Set[[#This Row],[Collector Booster Box Cost]] + v_Item_Shipping_Cost_In) / tbl_MTG_Set[[#This Row],[Collector Booster Box Size]]</f>
        <v/>
      </c>
      <c r="AY133" s="10">
        <f t="array" ref="AY1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3" s="10" t="n"/>
      <c r="BA1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3" s="17">
        <f>tbl_MTG_Set[[#This Row],[Collector Booster CardMarket Profit]]/tbl_MTG_Set[[#This Row],[Collector Booster Cost]]</f>
        <v/>
      </c>
      <c r="BC133" s="10" t="n"/>
      <c r="BF133" s="10">
        <f>tbl_MTG_Set[[#This Row],[Play Booster Sell Price CardMarket]]*tbl_MTG_Set[[#This Row],[Play Booster Expected Market Value]]/tbl_MTG_Set[[#This Row],[Play Boost Sealed Market Value]]</f>
        <v/>
      </c>
      <c r="BG1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3" s="10">
        <f>tbl_MTG_Set[[#This Row],[Play Singles CardMarket Profit]]/tbl_MTG_Set[[#This Row],[Play Booster Cost]]</f>
        <v/>
      </c>
      <c r="BI133" s="10">
        <f>tbl_MTG_Set[[#This Row],[Play Singles CardMarket Profit]]&gt;0</f>
        <v/>
      </c>
      <c r="BJ133" s="10" t="n"/>
      <c r="BK133" s="10" t="n"/>
      <c r="BL133" s="10">
        <f>tbl_MTG_Set[[#This Row],[Collector Booster Sell Price CardMarket]]*tbl_MTG_Set[[#This Row],[Collector Booster Expected Market Value]]/tbl_MTG_Set[[#This Row],[Collector Boost Sealed Market Value]]</f>
        <v/>
      </c>
      <c r="BM1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3" s="10">
        <f>tbl_MTG_Set[[#This Row],[Collector Singles CardMarket Profit]]/tbl_MTG_Set[[#This Row],[Collector Booster Cost]]</f>
        <v/>
      </c>
      <c r="BO133" s="10">
        <f>tbl_MTG_Set[[#This Row],[Collector Singles CardMarket Profit]]&gt;0</f>
        <v/>
      </c>
      <c r="BP1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4">
      <c r="A134" t="n">
        <v>132</v>
      </c>
      <c r="B134" t="inlineStr">
        <is>
          <t>MKM Japanese Promo Tokens WMKM</t>
        </is>
      </c>
      <c r="C134" t="n">
        <v>4</v>
      </c>
      <c r="D134" s="3" t="n">
        <v>45331</v>
      </c>
      <c r="E134" t="inlineStr">
        <is>
          <t>Standard Expansion</t>
        </is>
      </c>
      <c r="F134" t="inlineStr">
        <is>
          <t>en es fr de it pt ja ko ru 汉语 漢語</t>
        </is>
      </c>
      <c r="G134" t="n">
        <v>210</v>
      </c>
      <c r="H134">
        <f>MONTH(NOW())+12*YEAR(NOW())-MONTH(tbl_MTG_Set[[#This Row],[Released On]])-12*YEAR(tbl_MTG_Set[[#This Row],[Released On]])</f>
        <v/>
      </c>
      <c r="I134">
        <f>_xlfn.XLOOKUP(tbl_MTG_Set[[#This Row],[Type Name]], tbl_MTG_Set_Type[Set Type], tbl_MTG_Set_Type[Index], "(Set Type not found)")</f>
        <v/>
      </c>
      <c r="J134">
        <f>_xlfn.XLOOKUP(tbl_MTG_Set[[#This Row],[Type Name]], tbl_MTG_Set_Type[Set Type], tbl_MTG_Set_Type[Buy Window Month Start], "(Set Type not found)")</f>
        <v/>
      </c>
      <c r="K134" s="3">
        <f>tbl_MTG_Set[[#This Row],[Released On]]+tbl_MTG_Set[[#This Row],[Buy Window Month Start]]*365.25/12</f>
        <v/>
      </c>
      <c r="L134">
        <f>_xlfn.XLOOKUP(tbl_MTG_Set[[#This Row],[Type Name]], tbl_MTG_Set_Type[Set Type], tbl_MTG_Set_Type[Buy Window Month End], "(Set Type not found)", 0, 1)</f>
        <v/>
      </c>
      <c r="M134" s="3">
        <f>tbl_MTG_Set[[#This Row],[Released On]]+tbl_MTG_Set[[#This Row],[Buy Window Month End]]*365.25/12</f>
        <v/>
      </c>
      <c r="N134" s="3">
        <f>AND(NOW()&gt;=tbl_MTG_Set[[#This Row],[Buy Window Start]], NOW()&lt;=tbl_MTG_Set[[#This Row],[Buy Window End]])</f>
        <v/>
      </c>
      <c r="O134">
        <f>_xlfn.XLOOKUP(tbl_MTG_Set[[#This Row],[Type Name]], tbl_MTG_Set_Type[Set Type], tbl_MTG_Set_Type[Heavy Printing Window Month Start], "(Set Type not found)", 0, 1)</f>
        <v/>
      </c>
      <c r="P134" s="3">
        <f>tbl_MTG_Set[[#This Row],[Released On]]+tbl_MTG_Set[[#This Row],[Heavy Printing Window Month Start]]*365.25/12</f>
        <v/>
      </c>
      <c r="Q134">
        <f>_xlfn.XLOOKUP(tbl_MTG_Set[[#This Row],[Type Name]], tbl_MTG_Set_Type[Set Type], tbl_MTG_Set_Type[Heavy Printing Window Month End], "(Set Type not found)", 0, 1)</f>
        <v/>
      </c>
      <c r="R134" s="3">
        <f>tbl_MTG_Set[[#This Row],[Released On]]+tbl_MTG_Set[[#This Row],[Heavy Printing Window Month End]]*365.25/12</f>
        <v/>
      </c>
      <c r="S134" s="3">
        <f>AND(NOW()&gt;=tbl_MTG_Set[[#This Row],[Heavy Printing Window Start]], NOW()&lt;=tbl_MTG_Set[[#This Row],[Heavy Printing Window End]])</f>
        <v/>
      </c>
      <c r="T134">
        <f>_xlfn.XLOOKUP(tbl_MTG_Set[[#This Row],[Type Name]], tbl_MTG_Set_Type[Set Type], tbl_MTG_Set_Type[Sell Window Month Start], "(Set Type not found)", 0, 1)</f>
        <v/>
      </c>
      <c r="U134" s="3">
        <f>tbl_MTG_Set[[#This Row],[Released On]]+tbl_MTG_Set[[#This Row],[Sell Window Month Start]]*365.25/12</f>
        <v/>
      </c>
      <c r="V134">
        <f>_xlfn.XLOOKUP(tbl_MTG_Set[[#This Row],[Type Name]], tbl_MTG_Set_Type[Set Type], tbl_MTG_Set_Type[Sell Window Month End], "(Set Type not found)", 0, 1)</f>
        <v/>
      </c>
      <c r="W134" s="3">
        <f>tbl_MTG_Set[[#This Row],[Released On]]+tbl_MTG_Set[[#This Row],[Sell Window Month End]]*365.25/12</f>
        <v/>
      </c>
      <c r="X134" s="3">
        <f>AND(NOW()&gt;=tbl_MTG_Set[[#This Row],[Sell Window Start]], NOW()&lt;=tbl_MTG_Set[[#This Row],[Sell Window End]])</f>
        <v/>
      </c>
      <c r="AG134" s="10" t="n"/>
      <c r="AH134" s="10" t="n"/>
      <c r="AM134" s="10">
        <f t="array" ref="AM1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4" s="10">
        <f t="array" ref="AN1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4" s="4">
        <f>_xlfn.XLOOKUP(tbl_MTG_Set[[#This Row],[Play Booster Box Product Id]], tbl_Product[Product Id], tbl_Product[Pack Size])</f>
        <v/>
      </c>
      <c r="AP134" s="10">
        <f>(tbl_MTG_Set[[#This Row],[Play Booster Box Cost]]+v_Item_Shipping_Cost_In)/tbl_MTG_Set[[#This Row],[Play Booster Box Size]]</f>
        <v/>
      </c>
      <c r="AQ134" s="10">
        <f t="array" ref="AQ1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4" s="10" t="n"/>
      <c r="AS134" s="10" t="n"/>
      <c r="AT134" s="17">
        <f>tbl_MTG_Set[[#This Row],[Play Booster CardMarket Profit]]/tbl_MTG_Set[[#This Row],[Play Booster Cost]]</f>
        <v/>
      </c>
      <c r="AU134" s="10">
        <f>_xlfn.XLOOKUP(tbl_MTG_Set[[#This Row],[Collector Booster Box Product Id]], tbl_Product[Product Id], tbl_Product[Min Cost])</f>
        <v/>
      </c>
      <c r="AV134" s="10">
        <f>_xlfn.XLOOKUP(tbl_MTG_Set[[#This Row],[Collector Booster Box Product Id]], tbl_Product[Product Id], tbl_Product[Best Source])</f>
        <v/>
      </c>
      <c r="AW134" s="4">
        <f>_xlfn.XLOOKUP(tbl_MTG_Set[[#This Row],[Collector Booster Box Product Id]], tbl_Product[Product Id], tbl_Product[Pack Size])</f>
        <v/>
      </c>
      <c r="AX134" s="10">
        <f>(tbl_MTG_Set[[#This Row],[Collector Booster Box Cost]] + v_Item_Shipping_Cost_In) / tbl_MTG_Set[[#This Row],[Collector Booster Box Size]]</f>
        <v/>
      </c>
      <c r="AY134" s="10">
        <f t="array" ref="AY1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4" s="10" t="n"/>
      <c r="BA1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4" s="17">
        <f>tbl_MTG_Set[[#This Row],[Collector Booster CardMarket Profit]]/tbl_MTG_Set[[#This Row],[Collector Booster Cost]]</f>
        <v/>
      </c>
      <c r="BC134" s="10" t="n"/>
      <c r="BF134" s="10">
        <f>tbl_MTG_Set[[#This Row],[Play Booster Sell Price CardMarket]]*tbl_MTG_Set[[#This Row],[Play Booster Expected Market Value]]/tbl_MTG_Set[[#This Row],[Play Boost Sealed Market Value]]</f>
        <v/>
      </c>
      <c r="BG1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4" s="10">
        <f>tbl_MTG_Set[[#This Row],[Play Singles CardMarket Profit]]/tbl_MTG_Set[[#This Row],[Play Booster Cost]]</f>
        <v/>
      </c>
      <c r="BI134" s="10">
        <f>tbl_MTG_Set[[#This Row],[Play Singles CardMarket Profit]]&gt;0</f>
        <v/>
      </c>
      <c r="BJ134" s="10" t="n"/>
      <c r="BK134" s="10" t="n"/>
      <c r="BL134" s="10">
        <f>tbl_MTG_Set[[#This Row],[Collector Booster Sell Price CardMarket]]*tbl_MTG_Set[[#This Row],[Collector Booster Expected Market Value]]/tbl_MTG_Set[[#This Row],[Collector Boost Sealed Market Value]]</f>
        <v/>
      </c>
      <c r="BM1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4" s="10">
        <f>tbl_MTG_Set[[#This Row],[Collector Singles CardMarket Profit]]/tbl_MTG_Set[[#This Row],[Collector Booster Cost]]</f>
        <v/>
      </c>
      <c r="BO134" s="10">
        <f>tbl_MTG_Set[[#This Row],[Collector Singles CardMarket Profit]]&gt;0</f>
        <v/>
      </c>
      <c r="BP1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5">
      <c r="A135" t="n">
        <v>133</v>
      </c>
      <c r="B135" t="inlineStr">
        <is>
          <t>Murders at Karlov Manor Commander MKC</t>
        </is>
      </c>
      <c r="C135" t="n">
        <v>358</v>
      </c>
      <c r="D135" s="3" t="n">
        <v>45331</v>
      </c>
      <c r="E135" t="inlineStr">
        <is>
          <t>Commander</t>
        </is>
      </c>
      <c r="F135" t="inlineStr">
        <is>
          <t>en es fr de it pt ja ko ru 汉语 漢語</t>
        </is>
      </c>
      <c r="G135" t="n">
        <v>212</v>
      </c>
      <c r="H135">
        <f>MONTH(NOW())+12*YEAR(NOW())-MONTH(tbl_MTG_Set[[#This Row],[Released On]])-12*YEAR(tbl_MTG_Set[[#This Row],[Released On]])</f>
        <v/>
      </c>
      <c r="I135">
        <f>_xlfn.XLOOKUP(tbl_MTG_Set[[#This Row],[Type Name]], tbl_MTG_Set_Type[Set Type], tbl_MTG_Set_Type[Index], "(Set Type not found)")</f>
        <v/>
      </c>
      <c r="J135">
        <f>_xlfn.XLOOKUP(tbl_MTG_Set[[#This Row],[Type Name]], tbl_MTG_Set_Type[Set Type], tbl_MTG_Set_Type[Buy Window Month Start], "(Set Type not found)")</f>
        <v/>
      </c>
      <c r="K135" s="3">
        <f>tbl_MTG_Set[[#This Row],[Released On]]+tbl_MTG_Set[[#This Row],[Buy Window Month Start]]*365.25/12</f>
        <v/>
      </c>
      <c r="L135">
        <f>_xlfn.XLOOKUP(tbl_MTG_Set[[#This Row],[Type Name]], tbl_MTG_Set_Type[Set Type], tbl_MTG_Set_Type[Buy Window Month End], "(Set Type not found)", 0, 1)</f>
        <v/>
      </c>
      <c r="M135" s="3">
        <f>tbl_MTG_Set[[#This Row],[Released On]]+tbl_MTG_Set[[#This Row],[Buy Window Month End]]*365.25/12</f>
        <v/>
      </c>
      <c r="N135" s="3">
        <f>AND(NOW()&gt;=tbl_MTG_Set[[#This Row],[Buy Window Start]], NOW()&lt;=tbl_MTG_Set[[#This Row],[Buy Window End]])</f>
        <v/>
      </c>
      <c r="O135">
        <f>_xlfn.XLOOKUP(tbl_MTG_Set[[#This Row],[Type Name]], tbl_MTG_Set_Type[Set Type], tbl_MTG_Set_Type[Heavy Printing Window Month Start], "(Set Type not found)", 0, 1)</f>
        <v/>
      </c>
      <c r="P135" s="3">
        <f>tbl_MTG_Set[[#This Row],[Released On]]+tbl_MTG_Set[[#This Row],[Heavy Printing Window Month Start]]*365.25/12</f>
        <v/>
      </c>
      <c r="Q135">
        <f>_xlfn.XLOOKUP(tbl_MTG_Set[[#This Row],[Type Name]], tbl_MTG_Set_Type[Set Type], tbl_MTG_Set_Type[Heavy Printing Window Month End], "(Set Type not found)", 0, 1)</f>
        <v/>
      </c>
      <c r="R135" s="3">
        <f>tbl_MTG_Set[[#This Row],[Released On]]+tbl_MTG_Set[[#This Row],[Heavy Printing Window Month End]]*365.25/12</f>
        <v/>
      </c>
      <c r="S135" s="3">
        <f>AND(NOW()&gt;=tbl_MTG_Set[[#This Row],[Heavy Printing Window Start]], NOW()&lt;=tbl_MTG_Set[[#This Row],[Heavy Printing Window End]])</f>
        <v/>
      </c>
      <c r="T135">
        <f>_xlfn.XLOOKUP(tbl_MTG_Set[[#This Row],[Type Name]], tbl_MTG_Set_Type[Set Type], tbl_MTG_Set_Type[Sell Window Month Start], "(Set Type not found)", 0, 1)</f>
        <v/>
      </c>
      <c r="U135" s="3">
        <f>tbl_MTG_Set[[#This Row],[Released On]]+tbl_MTG_Set[[#This Row],[Sell Window Month Start]]*365.25/12</f>
        <v/>
      </c>
      <c r="V135">
        <f>_xlfn.XLOOKUP(tbl_MTG_Set[[#This Row],[Type Name]], tbl_MTG_Set_Type[Set Type], tbl_MTG_Set_Type[Sell Window Month End], "(Set Type not found)", 0, 1)</f>
        <v/>
      </c>
      <c r="W135" s="3">
        <f>tbl_MTG_Set[[#This Row],[Released On]]+tbl_MTG_Set[[#This Row],[Sell Window Month End]]*365.25/12</f>
        <v/>
      </c>
      <c r="X135" s="3">
        <f>AND(NOW()&gt;=tbl_MTG_Set[[#This Row],[Sell Window Start]], NOW()&lt;=tbl_MTG_Set[[#This Row],[Sell Window End]])</f>
        <v/>
      </c>
      <c r="AG135" s="10" t="n"/>
      <c r="AH135" s="10" t="n"/>
      <c r="AM135" s="10">
        <f t="array" ref="AM1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5" s="10">
        <f t="array" ref="AN1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5" s="4">
        <f>_xlfn.XLOOKUP(tbl_MTG_Set[[#This Row],[Play Booster Box Product Id]], tbl_Product[Product Id], tbl_Product[Pack Size])</f>
        <v/>
      </c>
      <c r="AP135" s="10">
        <f>(tbl_MTG_Set[[#This Row],[Play Booster Box Cost]]+v_Item_Shipping_Cost_In)/tbl_MTG_Set[[#This Row],[Play Booster Box Size]]</f>
        <v/>
      </c>
      <c r="AQ135" s="10">
        <f t="array" ref="AQ1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5" s="10" t="n"/>
      <c r="AS135" s="10" t="n"/>
      <c r="AT135" s="17">
        <f>tbl_MTG_Set[[#This Row],[Play Booster CardMarket Profit]]/tbl_MTG_Set[[#This Row],[Play Booster Cost]]</f>
        <v/>
      </c>
      <c r="AU135" s="10">
        <f>_xlfn.XLOOKUP(tbl_MTG_Set[[#This Row],[Collector Booster Box Product Id]], tbl_Product[Product Id], tbl_Product[Min Cost])</f>
        <v/>
      </c>
      <c r="AV135" s="10">
        <f>_xlfn.XLOOKUP(tbl_MTG_Set[[#This Row],[Collector Booster Box Product Id]], tbl_Product[Product Id], tbl_Product[Best Source])</f>
        <v/>
      </c>
      <c r="AW135" s="4">
        <f>_xlfn.XLOOKUP(tbl_MTG_Set[[#This Row],[Collector Booster Box Product Id]], tbl_Product[Product Id], tbl_Product[Pack Size])</f>
        <v/>
      </c>
      <c r="AX135" s="10">
        <f>(tbl_MTG_Set[[#This Row],[Collector Booster Box Cost]] + v_Item_Shipping_Cost_In) / tbl_MTG_Set[[#This Row],[Collector Booster Box Size]]</f>
        <v/>
      </c>
      <c r="AY135" s="10">
        <f t="array" ref="AY1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5" s="10" t="n"/>
      <c r="BA1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5" s="17">
        <f>tbl_MTG_Set[[#This Row],[Collector Booster CardMarket Profit]]/tbl_MTG_Set[[#This Row],[Collector Booster Cost]]</f>
        <v/>
      </c>
      <c r="BC135" s="10" t="n"/>
      <c r="BF135" s="10">
        <f>tbl_MTG_Set[[#This Row],[Play Booster Sell Price CardMarket]]*tbl_MTG_Set[[#This Row],[Play Booster Expected Market Value]]/tbl_MTG_Set[[#This Row],[Play Boost Sealed Market Value]]</f>
        <v/>
      </c>
      <c r="BG1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5" s="10">
        <f>tbl_MTG_Set[[#This Row],[Play Singles CardMarket Profit]]/tbl_MTG_Set[[#This Row],[Play Booster Cost]]</f>
        <v/>
      </c>
      <c r="BI135" s="10">
        <f>tbl_MTG_Set[[#This Row],[Play Singles CardMarket Profit]]&gt;0</f>
        <v/>
      </c>
      <c r="BJ135" s="10" t="n"/>
      <c r="BK135" s="10" t="n"/>
      <c r="BL135" s="10">
        <f>tbl_MTG_Set[[#This Row],[Collector Booster Sell Price CardMarket]]*tbl_MTG_Set[[#This Row],[Collector Booster Expected Market Value]]/tbl_MTG_Set[[#This Row],[Collector Boost Sealed Market Value]]</f>
        <v/>
      </c>
      <c r="BM1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5" s="10">
        <f>tbl_MTG_Set[[#This Row],[Collector Singles CardMarket Profit]]/tbl_MTG_Set[[#This Row],[Collector Booster Cost]]</f>
        <v/>
      </c>
      <c r="BO135" s="10">
        <f>tbl_MTG_Set[[#This Row],[Collector Singles CardMarket Profit]]&gt;0</f>
        <v/>
      </c>
      <c r="BP1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6">
      <c r="A136" t="n">
        <v>134</v>
      </c>
      <c r="B136" t="inlineStr">
        <is>
          <t>Murders at Karlov Manor Commander Tokens TMKC</t>
        </is>
      </c>
      <c r="C136" t="n">
        <v>31</v>
      </c>
      <c r="D136" s="3" t="n">
        <v>45331</v>
      </c>
      <c r="E136" t="inlineStr">
        <is>
          <t>Commander</t>
        </is>
      </c>
      <c r="F136" t="inlineStr">
        <is>
          <t>en es fr de it pt ja ko ru 汉语 漢語</t>
        </is>
      </c>
      <c r="G136" t="n">
        <v>214</v>
      </c>
      <c r="H136">
        <f>MONTH(NOW())+12*YEAR(NOW())-MONTH(tbl_MTG_Set[[#This Row],[Released On]])-12*YEAR(tbl_MTG_Set[[#This Row],[Released On]])</f>
        <v/>
      </c>
      <c r="I136">
        <f>_xlfn.XLOOKUP(tbl_MTG_Set[[#This Row],[Type Name]], tbl_MTG_Set_Type[Set Type], tbl_MTG_Set_Type[Index], "(Set Type not found)")</f>
        <v/>
      </c>
      <c r="J136">
        <f>_xlfn.XLOOKUP(tbl_MTG_Set[[#This Row],[Type Name]], tbl_MTG_Set_Type[Set Type], tbl_MTG_Set_Type[Buy Window Month Start], "(Set Type not found)")</f>
        <v/>
      </c>
      <c r="K136" s="3">
        <f>tbl_MTG_Set[[#This Row],[Released On]]+tbl_MTG_Set[[#This Row],[Buy Window Month Start]]*365.25/12</f>
        <v/>
      </c>
      <c r="L136">
        <f>_xlfn.XLOOKUP(tbl_MTG_Set[[#This Row],[Type Name]], tbl_MTG_Set_Type[Set Type], tbl_MTG_Set_Type[Buy Window Month End], "(Set Type not found)", 0, 1)</f>
        <v/>
      </c>
      <c r="M136" s="3">
        <f>tbl_MTG_Set[[#This Row],[Released On]]+tbl_MTG_Set[[#This Row],[Buy Window Month End]]*365.25/12</f>
        <v/>
      </c>
      <c r="N136" s="3">
        <f>AND(NOW()&gt;=tbl_MTG_Set[[#This Row],[Buy Window Start]], NOW()&lt;=tbl_MTG_Set[[#This Row],[Buy Window End]])</f>
        <v/>
      </c>
      <c r="O136">
        <f>_xlfn.XLOOKUP(tbl_MTG_Set[[#This Row],[Type Name]], tbl_MTG_Set_Type[Set Type], tbl_MTG_Set_Type[Heavy Printing Window Month Start], "(Set Type not found)", 0, 1)</f>
        <v/>
      </c>
      <c r="P136" s="3">
        <f>tbl_MTG_Set[[#This Row],[Released On]]+tbl_MTG_Set[[#This Row],[Heavy Printing Window Month Start]]*365.25/12</f>
        <v/>
      </c>
      <c r="Q136">
        <f>_xlfn.XLOOKUP(tbl_MTG_Set[[#This Row],[Type Name]], tbl_MTG_Set_Type[Set Type], tbl_MTG_Set_Type[Heavy Printing Window Month End], "(Set Type not found)", 0, 1)</f>
        <v/>
      </c>
      <c r="R136" s="3">
        <f>tbl_MTG_Set[[#This Row],[Released On]]+tbl_MTG_Set[[#This Row],[Heavy Printing Window Month End]]*365.25/12</f>
        <v/>
      </c>
      <c r="S136" s="3">
        <f>AND(NOW()&gt;=tbl_MTG_Set[[#This Row],[Heavy Printing Window Start]], NOW()&lt;=tbl_MTG_Set[[#This Row],[Heavy Printing Window End]])</f>
        <v/>
      </c>
      <c r="T136">
        <f>_xlfn.XLOOKUP(tbl_MTG_Set[[#This Row],[Type Name]], tbl_MTG_Set_Type[Set Type], tbl_MTG_Set_Type[Sell Window Month Start], "(Set Type not found)", 0, 1)</f>
        <v/>
      </c>
      <c r="U136" s="3">
        <f>tbl_MTG_Set[[#This Row],[Released On]]+tbl_MTG_Set[[#This Row],[Sell Window Month Start]]*365.25/12</f>
        <v/>
      </c>
      <c r="V136">
        <f>_xlfn.XLOOKUP(tbl_MTG_Set[[#This Row],[Type Name]], tbl_MTG_Set_Type[Set Type], tbl_MTG_Set_Type[Sell Window Month End], "(Set Type not found)", 0, 1)</f>
        <v/>
      </c>
      <c r="W136" s="3">
        <f>tbl_MTG_Set[[#This Row],[Released On]]+tbl_MTG_Set[[#This Row],[Sell Window Month End]]*365.25/12</f>
        <v/>
      </c>
      <c r="X136" s="3">
        <f>AND(NOW()&gt;=tbl_MTG_Set[[#This Row],[Sell Window Start]], NOW()&lt;=tbl_MTG_Set[[#This Row],[Sell Window End]])</f>
        <v/>
      </c>
      <c r="AG136" s="10" t="n"/>
      <c r="AH136" s="10" t="n"/>
      <c r="AM136" s="10">
        <f t="array" ref="AM1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6" s="10">
        <f t="array" ref="AN1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6" s="4">
        <f>_xlfn.XLOOKUP(tbl_MTG_Set[[#This Row],[Play Booster Box Product Id]], tbl_Product[Product Id], tbl_Product[Pack Size])</f>
        <v/>
      </c>
      <c r="AP136" s="10">
        <f>(tbl_MTG_Set[[#This Row],[Play Booster Box Cost]]+v_Item_Shipping_Cost_In)/tbl_MTG_Set[[#This Row],[Play Booster Box Size]]</f>
        <v/>
      </c>
      <c r="AQ136" s="10">
        <f t="array" ref="AQ1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6" s="10" t="n"/>
      <c r="AS136" s="10" t="n"/>
      <c r="AT136" s="17">
        <f>tbl_MTG_Set[[#This Row],[Play Booster CardMarket Profit]]/tbl_MTG_Set[[#This Row],[Play Booster Cost]]</f>
        <v/>
      </c>
      <c r="AU136" s="10">
        <f>_xlfn.XLOOKUP(tbl_MTG_Set[[#This Row],[Collector Booster Box Product Id]], tbl_Product[Product Id], tbl_Product[Min Cost])</f>
        <v/>
      </c>
      <c r="AV136" s="10">
        <f>_xlfn.XLOOKUP(tbl_MTG_Set[[#This Row],[Collector Booster Box Product Id]], tbl_Product[Product Id], tbl_Product[Best Source])</f>
        <v/>
      </c>
      <c r="AW136" s="4">
        <f>_xlfn.XLOOKUP(tbl_MTG_Set[[#This Row],[Collector Booster Box Product Id]], tbl_Product[Product Id], tbl_Product[Pack Size])</f>
        <v/>
      </c>
      <c r="AX136" s="10">
        <f>(tbl_MTG_Set[[#This Row],[Collector Booster Box Cost]] + v_Item_Shipping_Cost_In) / tbl_MTG_Set[[#This Row],[Collector Booster Box Size]]</f>
        <v/>
      </c>
      <c r="AY136" s="10">
        <f t="array" ref="AY1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6" s="10" t="n"/>
      <c r="BA1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6" s="17">
        <f>tbl_MTG_Set[[#This Row],[Collector Booster CardMarket Profit]]/tbl_MTG_Set[[#This Row],[Collector Booster Cost]]</f>
        <v/>
      </c>
      <c r="BC136" s="10" t="n"/>
      <c r="BF136" s="10">
        <f>tbl_MTG_Set[[#This Row],[Play Booster Sell Price CardMarket]]*tbl_MTG_Set[[#This Row],[Play Booster Expected Market Value]]/tbl_MTG_Set[[#This Row],[Play Boost Sealed Market Value]]</f>
        <v/>
      </c>
      <c r="BG1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6" s="10">
        <f>tbl_MTG_Set[[#This Row],[Play Singles CardMarket Profit]]/tbl_MTG_Set[[#This Row],[Play Booster Cost]]</f>
        <v/>
      </c>
      <c r="BI136" s="10">
        <f>tbl_MTG_Set[[#This Row],[Play Singles CardMarket Profit]]&gt;0</f>
        <v/>
      </c>
      <c r="BJ136" s="10" t="n"/>
      <c r="BK136" s="10" t="n"/>
      <c r="BL136" s="10">
        <f>tbl_MTG_Set[[#This Row],[Collector Booster Sell Price CardMarket]]*tbl_MTG_Set[[#This Row],[Collector Booster Expected Market Value]]/tbl_MTG_Set[[#This Row],[Collector Boost Sealed Market Value]]</f>
        <v/>
      </c>
      <c r="BM1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6" s="10">
        <f>tbl_MTG_Set[[#This Row],[Collector Singles CardMarket Profit]]/tbl_MTG_Set[[#This Row],[Collector Booster Cost]]</f>
        <v/>
      </c>
      <c r="BO136" s="10">
        <f>tbl_MTG_Set[[#This Row],[Collector Singles CardMarket Profit]]&gt;0</f>
        <v/>
      </c>
      <c r="BP1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7">
      <c r="A137" t="n">
        <v>135</v>
      </c>
      <c r="B137" t="inlineStr">
        <is>
          <t>Year of the Dragon 2024 PL24</t>
        </is>
      </c>
      <c r="C137" t="n">
        <v>7</v>
      </c>
      <c r="D137" s="3" t="n">
        <v>45330</v>
      </c>
      <c r="F137" t="inlineStr">
        <is>
          <t>en es fr de it pt ja ko ru 汉语 漢語</t>
        </is>
      </c>
      <c r="G137" t="n">
        <v>216</v>
      </c>
      <c r="H137">
        <f>MONTH(NOW())+12*YEAR(NOW())-MONTH(tbl_MTG_Set[[#This Row],[Released On]])-12*YEAR(tbl_MTG_Set[[#This Row],[Released On]])</f>
        <v/>
      </c>
      <c r="I137">
        <f>_xlfn.XLOOKUP(tbl_MTG_Set[[#This Row],[Type Name]], tbl_MTG_Set_Type[Set Type], tbl_MTG_Set_Type[Index], "(Set Type not found)")</f>
        <v/>
      </c>
      <c r="J137">
        <f>_xlfn.XLOOKUP(tbl_MTG_Set[[#This Row],[Type Name]], tbl_MTG_Set_Type[Set Type], tbl_MTG_Set_Type[Buy Window Month Start], "(Set Type not found)")</f>
        <v/>
      </c>
      <c r="K137" s="3">
        <f>tbl_MTG_Set[[#This Row],[Released On]]+tbl_MTG_Set[[#This Row],[Buy Window Month Start]]*365.25/12</f>
        <v/>
      </c>
      <c r="L137">
        <f>_xlfn.XLOOKUP(tbl_MTG_Set[[#This Row],[Type Name]], tbl_MTG_Set_Type[Set Type], tbl_MTG_Set_Type[Buy Window Month End], "(Set Type not found)", 0, 1)</f>
        <v/>
      </c>
      <c r="M137" s="3">
        <f>tbl_MTG_Set[[#This Row],[Released On]]+tbl_MTG_Set[[#This Row],[Buy Window Month End]]*365.25/12</f>
        <v/>
      </c>
      <c r="N137" s="3">
        <f>AND(NOW()&gt;=tbl_MTG_Set[[#This Row],[Buy Window Start]], NOW()&lt;=tbl_MTG_Set[[#This Row],[Buy Window End]])</f>
        <v/>
      </c>
      <c r="O137">
        <f>_xlfn.XLOOKUP(tbl_MTG_Set[[#This Row],[Type Name]], tbl_MTG_Set_Type[Set Type], tbl_MTG_Set_Type[Heavy Printing Window Month Start], "(Set Type not found)", 0, 1)</f>
        <v/>
      </c>
      <c r="P137" s="3">
        <f>tbl_MTG_Set[[#This Row],[Released On]]+tbl_MTG_Set[[#This Row],[Heavy Printing Window Month Start]]*365.25/12</f>
        <v/>
      </c>
      <c r="Q137">
        <f>_xlfn.XLOOKUP(tbl_MTG_Set[[#This Row],[Type Name]], tbl_MTG_Set_Type[Set Type], tbl_MTG_Set_Type[Heavy Printing Window Month End], "(Set Type not found)", 0, 1)</f>
        <v/>
      </c>
      <c r="R137" s="3">
        <f>tbl_MTG_Set[[#This Row],[Released On]]+tbl_MTG_Set[[#This Row],[Heavy Printing Window Month End]]*365.25/12</f>
        <v/>
      </c>
      <c r="S137" s="3">
        <f>AND(NOW()&gt;=tbl_MTG_Set[[#This Row],[Heavy Printing Window Start]], NOW()&lt;=tbl_MTG_Set[[#This Row],[Heavy Printing Window End]])</f>
        <v/>
      </c>
      <c r="T137">
        <f>_xlfn.XLOOKUP(tbl_MTG_Set[[#This Row],[Type Name]], tbl_MTG_Set_Type[Set Type], tbl_MTG_Set_Type[Sell Window Month Start], "(Set Type not found)", 0, 1)</f>
        <v/>
      </c>
      <c r="U137" s="3">
        <f>tbl_MTG_Set[[#This Row],[Released On]]+tbl_MTG_Set[[#This Row],[Sell Window Month Start]]*365.25/12</f>
        <v/>
      </c>
      <c r="V137">
        <f>_xlfn.XLOOKUP(tbl_MTG_Set[[#This Row],[Type Name]], tbl_MTG_Set_Type[Set Type], tbl_MTG_Set_Type[Sell Window Month End], "(Set Type not found)", 0, 1)</f>
        <v/>
      </c>
      <c r="W137" s="3">
        <f>tbl_MTG_Set[[#This Row],[Released On]]+tbl_MTG_Set[[#This Row],[Sell Window Month End]]*365.25/12</f>
        <v/>
      </c>
      <c r="X137" s="3">
        <f>AND(NOW()&gt;=tbl_MTG_Set[[#This Row],[Sell Window Start]], NOW()&lt;=tbl_MTG_Set[[#This Row],[Sell Window End]])</f>
        <v/>
      </c>
      <c r="AG137" s="10" t="n"/>
      <c r="AH137" s="10" t="n"/>
      <c r="AM137" s="10">
        <f t="array" ref="AM1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7" s="10">
        <f t="array" ref="AN1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7" s="4">
        <f>_xlfn.XLOOKUP(tbl_MTG_Set[[#This Row],[Play Booster Box Product Id]], tbl_Product[Product Id], tbl_Product[Pack Size])</f>
        <v/>
      </c>
      <c r="AP137" s="10">
        <f>(tbl_MTG_Set[[#This Row],[Play Booster Box Cost]]+v_Item_Shipping_Cost_In)/tbl_MTG_Set[[#This Row],[Play Booster Box Size]]</f>
        <v/>
      </c>
      <c r="AQ137" s="10">
        <f t="array" ref="AQ1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7" s="10" t="n"/>
      <c r="AS137" s="10" t="n"/>
      <c r="AT137" s="17">
        <f>tbl_MTG_Set[[#This Row],[Play Booster CardMarket Profit]]/tbl_MTG_Set[[#This Row],[Play Booster Cost]]</f>
        <v/>
      </c>
      <c r="AU137" s="10">
        <f>_xlfn.XLOOKUP(tbl_MTG_Set[[#This Row],[Collector Booster Box Product Id]], tbl_Product[Product Id], tbl_Product[Min Cost])</f>
        <v/>
      </c>
      <c r="AV137" s="10">
        <f>_xlfn.XLOOKUP(tbl_MTG_Set[[#This Row],[Collector Booster Box Product Id]], tbl_Product[Product Id], tbl_Product[Best Source])</f>
        <v/>
      </c>
      <c r="AW137" s="4">
        <f>_xlfn.XLOOKUP(tbl_MTG_Set[[#This Row],[Collector Booster Box Product Id]], tbl_Product[Product Id], tbl_Product[Pack Size])</f>
        <v/>
      </c>
      <c r="AX137" s="10">
        <f>(tbl_MTG_Set[[#This Row],[Collector Booster Box Cost]] + v_Item_Shipping_Cost_In) / tbl_MTG_Set[[#This Row],[Collector Booster Box Size]]</f>
        <v/>
      </c>
      <c r="AY137" s="10">
        <f t="array" ref="AY1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7" s="10" t="n"/>
      <c r="BA1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7" s="17">
        <f>tbl_MTG_Set[[#This Row],[Collector Booster CardMarket Profit]]/tbl_MTG_Set[[#This Row],[Collector Booster Cost]]</f>
        <v/>
      </c>
      <c r="BC137" s="10" t="n"/>
      <c r="BF137" s="10">
        <f>tbl_MTG_Set[[#This Row],[Play Booster Sell Price CardMarket]]*tbl_MTG_Set[[#This Row],[Play Booster Expected Market Value]]/tbl_MTG_Set[[#This Row],[Play Boost Sealed Market Value]]</f>
        <v/>
      </c>
      <c r="BG1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7" s="10">
        <f>tbl_MTG_Set[[#This Row],[Play Singles CardMarket Profit]]/tbl_MTG_Set[[#This Row],[Play Booster Cost]]</f>
        <v/>
      </c>
      <c r="BI137" s="10">
        <f>tbl_MTG_Set[[#This Row],[Play Singles CardMarket Profit]]&gt;0</f>
        <v/>
      </c>
      <c r="BJ137" s="10" t="n"/>
      <c r="BK137" s="10" t="n"/>
      <c r="BL137" s="10">
        <f>tbl_MTG_Set[[#This Row],[Collector Booster Sell Price CardMarket]]*tbl_MTG_Set[[#This Row],[Collector Booster Expected Market Value]]/tbl_MTG_Set[[#This Row],[Collector Boost Sealed Market Value]]</f>
        <v/>
      </c>
      <c r="BM1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7" s="10">
        <f>tbl_MTG_Set[[#This Row],[Collector Singles CardMarket Profit]]/tbl_MTG_Set[[#This Row],[Collector Booster Cost]]</f>
        <v/>
      </c>
      <c r="BO137" s="10">
        <f>tbl_MTG_Set[[#This Row],[Collector Singles CardMarket Profit]]&gt;0</f>
        <v/>
      </c>
      <c r="BP1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8">
      <c r="A138" t="n">
        <v>136</v>
      </c>
      <c r="B138" t="inlineStr">
        <is>
          <t>Ravnica Remastered RVR</t>
        </is>
      </c>
      <c r="C138" t="n">
        <v>531</v>
      </c>
      <c r="D138" s="3" t="n">
        <v>45303</v>
      </c>
      <c r="E138" t="inlineStr">
        <is>
          <t>Remastered</t>
        </is>
      </c>
      <c r="F138" t="inlineStr">
        <is>
          <t>en es fr de it pt ja ko ru 汉语 漢語</t>
        </is>
      </c>
      <c r="G138" t="n">
        <v>218</v>
      </c>
      <c r="H138">
        <f>MONTH(NOW())+12*YEAR(NOW())-MONTH(tbl_MTG_Set[[#This Row],[Released On]])-12*YEAR(tbl_MTG_Set[[#This Row],[Released On]])</f>
        <v/>
      </c>
      <c r="I138">
        <f>_xlfn.XLOOKUP(tbl_MTG_Set[[#This Row],[Type Name]], tbl_MTG_Set_Type[Set Type], tbl_MTG_Set_Type[Index], "(Set Type not found)")</f>
        <v/>
      </c>
      <c r="J138">
        <f>_xlfn.XLOOKUP(tbl_MTG_Set[[#This Row],[Type Name]], tbl_MTG_Set_Type[Set Type], tbl_MTG_Set_Type[Buy Window Month Start], "(Set Type not found)")</f>
        <v/>
      </c>
      <c r="K138" s="3">
        <f>tbl_MTG_Set[[#This Row],[Released On]]+tbl_MTG_Set[[#This Row],[Buy Window Month Start]]*365.25/12</f>
        <v/>
      </c>
      <c r="L138">
        <f>_xlfn.XLOOKUP(tbl_MTG_Set[[#This Row],[Type Name]], tbl_MTG_Set_Type[Set Type], tbl_MTG_Set_Type[Buy Window Month End], "(Set Type not found)", 0, 1)</f>
        <v/>
      </c>
      <c r="M138" s="3">
        <f>tbl_MTG_Set[[#This Row],[Released On]]+tbl_MTG_Set[[#This Row],[Buy Window Month End]]*365.25/12</f>
        <v/>
      </c>
      <c r="N138" s="3">
        <f>AND(NOW()&gt;=tbl_MTG_Set[[#This Row],[Buy Window Start]], NOW()&lt;=tbl_MTG_Set[[#This Row],[Buy Window End]])</f>
        <v/>
      </c>
      <c r="O138">
        <f>_xlfn.XLOOKUP(tbl_MTG_Set[[#This Row],[Type Name]], tbl_MTG_Set_Type[Set Type], tbl_MTG_Set_Type[Heavy Printing Window Month Start], "(Set Type not found)", 0, 1)</f>
        <v/>
      </c>
      <c r="P138" s="3">
        <f>tbl_MTG_Set[[#This Row],[Released On]]+tbl_MTG_Set[[#This Row],[Heavy Printing Window Month Start]]*365.25/12</f>
        <v/>
      </c>
      <c r="Q138">
        <f>_xlfn.XLOOKUP(tbl_MTG_Set[[#This Row],[Type Name]], tbl_MTG_Set_Type[Set Type], tbl_MTG_Set_Type[Heavy Printing Window Month End], "(Set Type not found)", 0, 1)</f>
        <v/>
      </c>
      <c r="R138" s="3">
        <f>tbl_MTG_Set[[#This Row],[Released On]]+tbl_MTG_Set[[#This Row],[Heavy Printing Window Month End]]*365.25/12</f>
        <v/>
      </c>
      <c r="S138" s="3">
        <f>AND(NOW()&gt;=tbl_MTG_Set[[#This Row],[Heavy Printing Window Start]], NOW()&lt;=tbl_MTG_Set[[#This Row],[Heavy Printing Window End]])</f>
        <v/>
      </c>
      <c r="T138">
        <f>_xlfn.XLOOKUP(tbl_MTG_Set[[#This Row],[Type Name]], tbl_MTG_Set_Type[Set Type], tbl_MTG_Set_Type[Sell Window Month Start], "(Set Type not found)", 0, 1)</f>
        <v/>
      </c>
      <c r="U138" s="3">
        <f>tbl_MTG_Set[[#This Row],[Released On]]+tbl_MTG_Set[[#This Row],[Sell Window Month Start]]*365.25/12</f>
        <v/>
      </c>
      <c r="V138">
        <f>_xlfn.XLOOKUP(tbl_MTG_Set[[#This Row],[Type Name]], tbl_MTG_Set_Type[Set Type], tbl_MTG_Set_Type[Sell Window Month End], "(Set Type not found)", 0, 1)</f>
        <v/>
      </c>
      <c r="W138" s="3">
        <f>tbl_MTG_Set[[#This Row],[Released On]]+tbl_MTG_Set[[#This Row],[Sell Window Month End]]*365.25/12</f>
        <v/>
      </c>
      <c r="X138" s="3">
        <f>AND(NOW()&gt;=tbl_MTG_Set[[#This Row],[Sell Window Start]], NOW()&lt;=tbl_MTG_Set[[#This Row],[Sell Window End]])</f>
        <v/>
      </c>
      <c r="Y138" s="10" t="n">
        <v>160</v>
      </c>
      <c r="Z138" s="10" t="n">
        <v>180</v>
      </c>
      <c r="AC138" s="10" t="n">
        <v>170</v>
      </c>
      <c r="AD138" s="10">
        <f>(Y138+96/20)/36</f>
        <v/>
      </c>
      <c r="AE138" s="10">
        <f>(Z138+96/20)/36</f>
        <v/>
      </c>
      <c r="AF138" s="10">
        <f>(AA138+96/20)/36</f>
        <v/>
      </c>
      <c r="AG138" s="10">
        <f>(AB138+96/20)/36</f>
        <v/>
      </c>
      <c r="AH138" s="10">
        <f>(AC138+96/20)/36</f>
        <v/>
      </c>
      <c r="AI138" s="4" t="n">
        <v>68</v>
      </c>
      <c r="AJ138" s="4" t="n">
        <v>23</v>
      </c>
      <c r="AK138" s="4" t="n">
        <v>130</v>
      </c>
      <c r="AL138" s="4" t="n">
        <v>129</v>
      </c>
      <c r="AM138" s="10">
        <f t="array" ref="AM1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8" s="10">
        <f t="array" ref="AN1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8" s="4">
        <f>_xlfn.XLOOKUP(tbl_MTG_Set[[#This Row],[Play Booster Box Product Id]], tbl_Product[Product Id], tbl_Product[Pack Size])</f>
        <v/>
      </c>
      <c r="AP138" s="10">
        <f>(tbl_MTG_Set[[#This Row],[Play Booster Box Cost]]+v_Item_Shipping_Cost_In)/tbl_MTG_Set[[#This Row],[Play Booster Box Size]]</f>
        <v/>
      </c>
      <c r="AQ138" s="10">
        <f t="array" ref="AQ1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8" s="10" t="n">
        <v>5</v>
      </c>
      <c r="AS13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38" s="17">
        <f>tbl_MTG_Set[[#This Row],[Play Booster CardMarket Profit]]/tbl_MTG_Set[[#This Row],[Play Booster Cost]]</f>
        <v/>
      </c>
      <c r="AU138" s="10">
        <f>_xlfn.XLOOKUP(tbl_MTG_Set[[#This Row],[Collector Booster Box Product Id]], tbl_Product[Product Id], tbl_Product[Min Cost])</f>
        <v/>
      </c>
      <c r="AV138" s="10">
        <f>_xlfn.XLOOKUP(tbl_MTG_Set[[#This Row],[Collector Booster Box Product Id]], tbl_Product[Product Id], tbl_Product[Best Source])</f>
        <v/>
      </c>
      <c r="AW138" s="4">
        <f>_xlfn.XLOOKUP(tbl_MTG_Set[[#This Row],[Collector Booster Box Product Id]], tbl_Product[Product Id], tbl_Product[Pack Size])</f>
        <v/>
      </c>
      <c r="AX138" s="10">
        <f>(tbl_MTG_Set[[#This Row],[Collector Booster Box Cost]] + v_Item_Shipping_Cost_In) / tbl_MTG_Set[[#This Row],[Collector Booster Box Size]]</f>
        <v/>
      </c>
      <c r="AY138" s="10">
        <f t="array" ref="AY1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8" s="10" t="n"/>
      <c r="BA1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8" s="17">
        <f>tbl_MTG_Set[[#This Row],[Collector Booster CardMarket Profit]]/tbl_MTG_Set[[#This Row],[Collector Booster Cost]]</f>
        <v/>
      </c>
      <c r="BC138" s="10" t="n"/>
      <c r="BF138" s="10">
        <f>tbl_MTG_Set[[#This Row],[Play Booster Sell Price CardMarket]]*tbl_MTG_Set[[#This Row],[Play Booster Expected Market Value]]/tbl_MTG_Set[[#This Row],[Play Boost Sealed Market Value]]</f>
        <v/>
      </c>
      <c r="BG1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8" s="17">
        <f>tbl_MTG_Set[[#This Row],[Play Singles CardMarket Profit]]/tbl_MTG_Set[[#This Row],[Play Booster Cost]]</f>
        <v/>
      </c>
      <c r="BI138" s="10">
        <f>tbl_MTG_Set[[#This Row],[Play Singles CardMarket Profit]]&gt;0</f>
        <v/>
      </c>
      <c r="BJ138" s="10" t="n"/>
      <c r="BK138" s="10" t="n"/>
      <c r="BL138" s="10">
        <f>tbl_MTG_Set[[#This Row],[Collector Booster Sell Price CardMarket]]*tbl_MTG_Set[[#This Row],[Collector Booster Expected Market Value]]/tbl_MTG_Set[[#This Row],[Collector Boost Sealed Market Value]]</f>
        <v/>
      </c>
      <c r="BM1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8" s="17">
        <f>tbl_MTG_Set[[#This Row],[Collector Singles CardMarket Profit]]/tbl_MTG_Set[[#This Row],[Collector Booster Cost]]</f>
        <v/>
      </c>
      <c r="BO138" s="10">
        <f>tbl_MTG_Set[[#This Row],[Collector Singles CardMarket Profit]]&gt;0</f>
        <v/>
      </c>
      <c r="BP1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8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9">
      <c r="A139" t="n">
        <v>137</v>
      </c>
      <c r="B139" t="inlineStr">
        <is>
          <t>Ravnica Remastered Tokens TRVR</t>
        </is>
      </c>
      <c r="C139" t="n">
        <v>20</v>
      </c>
      <c r="D139" s="3" t="n">
        <v>45303</v>
      </c>
      <c r="E139" t="inlineStr">
        <is>
          <t>Remastered</t>
        </is>
      </c>
      <c r="F139" t="inlineStr">
        <is>
          <t>en es fr de it pt ja ko ru 汉语 漢語</t>
        </is>
      </c>
      <c r="G139" t="n">
        <v>220</v>
      </c>
      <c r="H139">
        <f>MONTH(NOW())+12*YEAR(NOW())-MONTH(tbl_MTG_Set[[#This Row],[Released On]])-12*YEAR(tbl_MTG_Set[[#This Row],[Released On]])</f>
        <v/>
      </c>
      <c r="I139">
        <f>_xlfn.XLOOKUP(tbl_MTG_Set[[#This Row],[Type Name]], tbl_MTG_Set_Type[Set Type], tbl_MTG_Set_Type[Index], "(Set Type not found)")</f>
        <v/>
      </c>
      <c r="J139">
        <f>_xlfn.XLOOKUP(tbl_MTG_Set[[#This Row],[Type Name]], tbl_MTG_Set_Type[Set Type], tbl_MTG_Set_Type[Buy Window Month Start], "(Set Type not found)")</f>
        <v/>
      </c>
      <c r="K139" s="3">
        <f>tbl_MTG_Set[[#This Row],[Released On]]+tbl_MTG_Set[[#This Row],[Buy Window Month Start]]*365.25/12</f>
        <v/>
      </c>
      <c r="L139">
        <f>_xlfn.XLOOKUP(tbl_MTG_Set[[#This Row],[Type Name]], tbl_MTG_Set_Type[Set Type], tbl_MTG_Set_Type[Buy Window Month End], "(Set Type not found)", 0, 1)</f>
        <v/>
      </c>
      <c r="M139" s="3">
        <f>tbl_MTG_Set[[#This Row],[Released On]]+tbl_MTG_Set[[#This Row],[Buy Window Month End]]*365.25/12</f>
        <v/>
      </c>
      <c r="N139" s="3">
        <f>AND(NOW()&gt;=tbl_MTG_Set[[#This Row],[Buy Window Start]], NOW()&lt;=tbl_MTG_Set[[#This Row],[Buy Window End]])</f>
        <v/>
      </c>
      <c r="O139">
        <f>_xlfn.XLOOKUP(tbl_MTG_Set[[#This Row],[Type Name]], tbl_MTG_Set_Type[Set Type], tbl_MTG_Set_Type[Heavy Printing Window Month Start], "(Set Type not found)", 0, 1)</f>
        <v/>
      </c>
      <c r="P139" s="3">
        <f>tbl_MTG_Set[[#This Row],[Released On]]+tbl_MTG_Set[[#This Row],[Heavy Printing Window Month Start]]*365.25/12</f>
        <v/>
      </c>
      <c r="Q139">
        <f>_xlfn.XLOOKUP(tbl_MTG_Set[[#This Row],[Type Name]], tbl_MTG_Set_Type[Set Type], tbl_MTG_Set_Type[Heavy Printing Window Month End], "(Set Type not found)", 0, 1)</f>
        <v/>
      </c>
      <c r="R139" s="3">
        <f>tbl_MTG_Set[[#This Row],[Released On]]+tbl_MTG_Set[[#This Row],[Heavy Printing Window Month End]]*365.25/12</f>
        <v/>
      </c>
      <c r="S139" s="3">
        <f>AND(NOW()&gt;=tbl_MTG_Set[[#This Row],[Heavy Printing Window Start]], NOW()&lt;=tbl_MTG_Set[[#This Row],[Heavy Printing Window End]])</f>
        <v/>
      </c>
      <c r="T139">
        <f>_xlfn.XLOOKUP(tbl_MTG_Set[[#This Row],[Type Name]], tbl_MTG_Set_Type[Set Type], tbl_MTG_Set_Type[Sell Window Month Start], "(Set Type not found)", 0, 1)</f>
        <v/>
      </c>
      <c r="U139" s="3">
        <f>tbl_MTG_Set[[#This Row],[Released On]]+tbl_MTG_Set[[#This Row],[Sell Window Month Start]]*365.25/12</f>
        <v/>
      </c>
      <c r="V139">
        <f>_xlfn.XLOOKUP(tbl_MTG_Set[[#This Row],[Type Name]], tbl_MTG_Set_Type[Set Type], tbl_MTG_Set_Type[Sell Window Month End], "(Set Type not found)", 0, 1)</f>
        <v/>
      </c>
      <c r="W139" s="3">
        <f>tbl_MTG_Set[[#This Row],[Released On]]+tbl_MTG_Set[[#This Row],[Sell Window Month End]]*365.25/12</f>
        <v/>
      </c>
      <c r="X139" s="3">
        <f>AND(NOW()&gt;=tbl_MTG_Set[[#This Row],[Sell Window Start]], NOW()&lt;=tbl_MTG_Set[[#This Row],[Sell Window End]])</f>
        <v/>
      </c>
      <c r="AG139" s="10" t="n"/>
      <c r="AH139" s="10" t="n"/>
      <c r="AM139" s="10">
        <f t="array" ref="AM1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9" s="10">
        <f t="array" ref="AN1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9" s="4">
        <f>_xlfn.XLOOKUP(tbl_MTG_Set[[#This Row],[Play Booster Box Product Id]], tbl_Product[Product Id], tbl_Product[Pack Size])</f>
        <v/>
      </c>
      <c r="AP139" s="10">
        <f>(tbl_MTG_Set[[#This Row],[Play Booster Box Cost]]+v_Item_Shipping_Cost_In)/tbl_MTG_Set[[#This Row],[Play Booster Box Size]]</f>
        <v/>
      </c>
      <c r="AQ139" s="10">
        <f t="array" ref="AQ1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39" s="10" t="n"/>
      <c r="AS139" s="10" t="n"/>
      <c r="AT139" s="17">
        <f>tbl_MTG_Set[[#This Row],[Play Booster CardMarket Profit]]/tbl_MTG_Set[[#This Row],[Play Booster Cost]]</f>
        <v/>
      </c>
      <c r="AU139" s="10">
        <f>_xlfn.XLOOKUP(tbl_MTG_Set[[#This Row],[Collector Booster Box Product Id]], tbl_Product[Product Id], tbl_Product[Min Cost])</f>
        <v/>
      </c>
      <c r="AV139" s="10">
        <f>_xlfn.XLOOKUP(tbl_MTG_Set[[#This Row],[Collector Booster Box Product Id]], tbl_Product[Product Id], tbl_Product[Best Source])</f>
        <v/>
      </c>
      <c r="AW139" s="4">
        <f>_xlfn.XLOOKUP(tbl_MTG_Set[[#This Row],[Collector Booster Box Product Id]], tbl_Product[Product Id], tbl_Product[Pack Size])</f>
        <v/>
      </c>
      <c r="AX139" s="10">
        <f>(tbl_MTG_Set[[#This Row],[Collector Booster Box Cost]] + v_Item_Shipping_Cost_In) / tbl_MTG_Set[[#This Row],[Collector Booster Box Size]]</f>
        <v/>
      </c>
      <c r="AY139" s="10">
        <f t="array" ref="AY1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39" s="10" t="n"/>
      <c r="BA1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9" s="17">
        <f>tbl_MTG_Set[[#This Row],[Collector Booster CardMarket Profit]]/tbl_MTG_Set[[#This Row],[Collector Booster Cost]]</f>
        <v/>
      </c>
      <c r="BC139" s="10" t="n"/>
      <c r="BF139" s="10">
        <f>tbl_MTG_Set[[#This Row],[Play Booster Sell Price CardMarket]]*tbl_MTG_Set[[#This Row],[Play Booster Expected Market Value]]/tbl_MTG_Set[[#This Row],[Play Boost Sealed Market Value]]</f>
        <v/>
      </c>
      <c r="BG1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9" s="10">
        <f>tbl_MTG_Set[[#This Row],[Play Singles CardMarket Profit]]/tbl_MTG_Set[[#This Row],[Play Booster Cost]]</f>
        <v/>
      </c>
      <c r="BI139" s="10">
        <f>tbl_MTG_Set[[#This Row],[Play Singles CardMarket Profit]]&gt;0</f>
        <v/>
      </c>
      <c r="BJ139" s="10" t="n"/>
      <c r="BK139" s="10" t="n"/>
      <c r="BL139" s="10">
        <f>tbl_MTG_Set[[#This Row],[Collector Booster Sell Price CardMarket]]*tbl_MTG_Set[[#This Row],[Collector Booster Expected Market Value]]/tbl_MTG_Set[[#This Row],[Collector Boost Sealed Market Value]]</f>
        <v/>
      </c>
      <c r="BM1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9" s="10">
        <f>tbl_MTG_Set[[#This Row],[Collector Singles CardMarket Profit]]/tbl_MTG_Set[[#This Row],[Collector Booster Cost]]</f>
        <v/>
      </c>
      <c r="BO139" s="10">
        <f>tbl_MTG_Set[[#This Row],[Collector Singles CardMarket Profit]]&gt;0</f>
        <v/>
      </c>
      <c r="BP1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0">
      <c r="A140" t="n">
        <v>138</v>
      </c>
      <c r="B140" t="inlineStr">
        <is>
          <t>MagicFest 2024 PF24</t>
        </is>
      </c>
      <c r="C140" t="n">
        <v>2</v>
      </c>
      <c r="D140" s="3" t="n">
        <v>45292</v>
      </c>
      <c r="F140" t="inlineStr">
        <is>
          <t>en es fr de it pt ja ko ru 汉语 漢語</t>
        </is>
      </c>
      <c r="G140" t="n">
        <v>222</v>
      </c>
      <c r="H140">
        <f>MONTH(NOW())+12*YEAR(NOW())-MONTH(tbl_MTG_Set[[#This Row],[Released On]])-12*YEAR(tbl_MTG_Set[[#This Row],[Released On]])</f>
        <v/>
      </c>
      <c r="I140">
        <f>_xlfn.XLOOKUP(tbl_MTG_Set[[#This Row],[Type Name]], tbl_MTG_Set_Type[Set Type], tbl_MTG_Set_Type[Index], "(Set Type not found)")</f>
        <v/>
      </c>
      <c r="J140">
        <f>_xlfn.XLOOKUP(tbl_MTG_Set[[#This Row],[Type Name]], tbl_MTG_Set_Type[Set Type], tbl_MTG_Set_Type[Buy Window Month Start], "(Set Type not found)")</f>
        <v/>
      </c>
      <c r="K140" s="3">
        <f>tbl_MTG_Set[[#This Row],[Released On]]+tbl_MTG_Set[[#This Row],[Buy Window Month Start]]*365.25/12</f>
        <v/>
      </c>
      <c r="L140">
        <f>_xlfn.XLOOKUP(tbl_MTG_Set[[#This Row],[Type Name]], tbl_MTG_Set_Type[Set Type], tbl_MTG_Set_Type[Buy Window Month End], "(Set Type not found)", 0, 1)</f>
        <v/>
      </c>
      <c r="M140" s="3">
        <f>tbl_MTG_Set[[#This Row],[Released On]]+tbl_MTG_Set[[#This Row],[Buy Window Month End]]*365.25/12</f>
        <v/>
      </c>
      <c r="N140" s="3">
        <f>AND(NOW()&gt;=tbl_MTG_Set[[#This Row],[Buy Window Start]], NOW()&lt;=tbl_MTG_Set[[#This Row],[Buy Window End]])</f>
        <v/>
      </c>
      <c r="O140">
        <f>_xlfn.XLOOKUP(tbl_MTG_Set[[#This Row],[Type Name]], tbl_MTG_Set_Type[Set Type], tbl_MTG_Set_Type[Heavy Printing Window Month Start], "(Set Type not found)", 0, 1)</f>
        <v/>
      </c>
      <c r="P140" s="3">
        <f>tbl_MTG_Set[[#This Row],[Released On]]+tbl_MTG_Set[[#This Row],[Heavy Printing Window Month Start]]*365.25/12</f>
        <v/>
      </c>
      <c r="Q140">
        <f>_xlfn.XLOOKUP(tbl_MTG_Set[[#This Row],[Type Name]], tbl_MTG_Set_Type[Set Type], tbl_MTG_Set_Type[Heavy Printing Window Month End], "(Set Type not found)", 0, 1)</f>
        <v/>
      </c>
      <c r="R140" s="3">
        <f>tbl_MTG_Set[[#This Row],[Released On]]+tbl_MTG_Set[[#This Row],[Heavy Printing Window Month End]]*365.25/12</f>
        <v/>
      </c>
      <c r="S140" s="3">
        <f>AND(NOW()&gt;=tbl_MTG_Set[[#This Row],[Heavy Printing Window Start]], NOW()&lt;=tbl_MTG_Set[[#This Row],[Heavy Printing Window End]])</f>
        <v/>
      </c>
      <c r="T140">
        <f>_xlfn.XLOOKUP(tbl_MTG_Set[[#This Row],[Type Name]], tbl_MTG_Set_Type[Set Type], tbl_MTG_Set_Type[Sell Window Month Start], "(Set Type not found)", 0, 1)</f>
        <v/>
      </c>
      <c r="U140" s="3">
        <f>tbl_MTG_Set[[#This Row],[Released On]]+tbl_MTG_Set[[#This Row],[Sell Window Month Start]]*365.25/12</f>
        <v/>
      </c>
      <c r="V140">
        <f>_xlfn.XLOOKUP(tbl_MTG_Set[[#This Row],[Type Name]], tbl_MTG_Set_Type[Set Type], tbl_MTG_Set_Type[Sell Window Month End], "(Set Type not found)", 0, 1)</f>
        <v/>
      </c>
      <c r="W140" s="3">
        <f>tbl_MTG_Set[[#This Row],[Released On]]+tbl_MTG_Set[[#This Row],[Sell Window Month End]]*365.25/12</f>
        <v/>
      </c>
      <c r="X140" s="3">
        <f>AND(NOW()&gt;=tbl_MTG_Set[[#This Row],[Sell Window Start]], NOW()&lt;=tbl_MTG_Set[[#This Row],[Sell Window End]])</f>
        <v/>
      </c>
      <c r="AG140" s="10" t="n"/>
      <c r="AH140" s="10" t="n"/>
      <c r="AM140" s="10">
        <f t="array" ref="AM1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0" s="10">
        <f t="array" ref="AN1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0" s="4">
        <f>_xlfn.XLOOKUP(tbl_MTG_Set[[#This Row],[Play Booster Box Product Id]], tbl_Product[Product Id], tbl_Product[Pack Size])</f>
        <v/>
      </c>
      <c r="AP140" s="10">
        <f>(tbl_MTG_Set[[#This Row],[Play Booster Box Cost]]+v_Item_Shipping_Cost_In)/tbl_MTG_Set[[#This Row],[Play Booster Box Size]]</f>
        <v/>
      </c>
      <c r="AQ140" s="10">
        <f t="array" ref="AQ1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0" s="10" t="n"/>
      <c r="AS140" s="10" t="n"/>
      <c r="AT140" s="17">
        <f>tbl_MTG_Set[[#This Row],[Play Booster CardMarket Profit]]/tbl_MTG_Set[[#This Row],[Play Booster Cost]]</f>
        <v/>
      </c>
      <c r="AU140" s="10">
        <f>_xlfn.XLOOKUP(tbl_MTG_Set[[#This Row],[Collector Booster Box Product Id]], tbl_Product[Product Id], tbl_Product[Min Cost])</f>
        <v/>
      </c>
      <c r="AV140" s="10">
        <f>_xlfn.XLOOKUP(tbl_MTG_Set[[#This Row],[Collector Booster Box Product Id]], tbl_Product[Product Id], tbl_Product[Best Source])</f>
        <v/>
      </c>
      <c r="AW140" s="4">
        <f>_xlfn.XLOOKUP(tbl_MTG_Set[[#This Row],[Collector Booster Box Product Id]], tbl_Product[Product Id], tbl_Product[Pack Size])</f>
        <v/>
      </c>
      <c r="AX140" s="10">
        <f>(tbl_MTG_Set[[#This Row],[Collector Booster Box Cost]] + v_Item_Shipping_Cost_In) / tbl_MTG_Set[[#This Row],[Collector Booster Box Size]]</f>
        <v/>
      </c>
      <c r="AY140" s="10">
        <f t="array" ref="AY1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0" s="10" t="n"/>
      <c r="BA1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0" s="17">
        <f>tbl_MTG_Set[[#This Row],[Collector Booster CardMarket Profit]]/tbl_MTG_Set[[#This Row],[Collector Booster Cost]]</f>
        <v/>
      </c>
      <c r="BC140" s="10" t="n"/>
      <c r="BF140" s="10">
        <f>tbl_MTG_Set[[#This Row],[Play Booster Sell Price CardMarket]]*tbl_MTG_Set[[#This Row],[Play Booster Expected Market Value]]/tbl_MTG_Set[[#This Row],[Play Boost Sealed Market Value]]</f>
        <v/>
      </c>
      <c r="BG1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0" s="10">
        <f>tbl_MTG_Set[[#This Row],[Play Singles CardMarket Profit]]/tbl_MTG_Set[[#This Row],[Play Booster Cost]]</f>
        <v/>
      </c>
      <c r="BI140" s="10">
        <f>tbl_MTG_Set[[#This Row],[Play Singles CardMarket Profit]]&gt;0</f>
        <v/>
      </c>
      <c r="BJ140" s="10" t="n"/>
      <c r="BK140" s="10" t="n"/>
      <c r="BL140" s="10">
        <f>tbl_MTG_Set[[#This Row],[Collector Booster Sell Price CardMarket]]*tbl_MTG_Set[[#This Row],[Collector Booster Expected Market Value]]/tbl_MTG_Set[[#This Row],[Collector Boost Sealed Market Value]]</f>
        <v/>
      </c>
      <c r="BM1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0" s="10">
        <f>tbl_MTG_Set[[#This Row],[Collector Singles CardMarket Profit]]/tbl_MTG_Set[[#This Row],[Collector Booster Cost]]</f>
        <v/>
      </c>
      <c r="BO140" s="10">
        <f>tbl_MTG_Set[[#This Row],[Collector Singles CardMarket Profit]]&gt;0</f>
        <v/>
      </c>
      <c r="BP1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1">
      <c r="A141" t="n">
        <v>139</v>
      </c>
      <c r="B141" t="inlineStr">
        <is>
          <t>Wizards Play Network 2024 PW24</t>
        </is>
      </c>
      <c r="C141" t="n">
        <v>18</v>
      </c>
      <c r="D141" s="3" t="n">
        <v>45292</v>
      </c>
      <c r="F141" t="inlineStr">
        <is>
          <t>en es fr de it pt ja ko ru 汉语 漢語</t>
        </is>
      </c>
      <c r="G141" t="n">
        <v>224</v>
      </c>
      <c r="H141">
        <f>MONTH(NOW())+12*YEAR(NOW())-MONTH(tbl_MTG_Set[[#This Row],[Released On]])-12*YEAR(tbl_MTG_Set[[#This Row],[Released On]])</f>
        <v/>
      </c>
      <c r="I141">
        <f>_xlfn.XLOOKUP(tbl_MTG_Set[[#This Row],[Type Name]], tbl_MTG_Set_Type[Set Type], tbl_MTG_Set_Type[Index], "(Set Type not found)")</f>
        <v/>
      </c>
      <c r="J141">
        <f>_xlfn.XLOOKUP(tbl_MTG_Set[[#This Row],[Type Name]], tbl_MTG_Set_Type[Set Type], tbl_MTG_Set_Type[Buy Window Month Start], "(Set Type not found)")</f>
        <v/>
      </c>
      <c r="K141" s="3">
        <f>tbl_MTG_Set[[#This Row],[Released On]]+tbl_MTG_Set[[#This Row],[Buy Window Month Start]]*365.25/12</f>
        <v/>
      </c>
      <c r="L141">
        <f>_xlfn.XLOOKUP(tbl_MTG_Set[[#This Row],[Type Name]], tbl_MTG_Set_Type[Set Type], tbl_MTG_Set_Type[Buy Window Month End], "(Set Type not found)", 0, 1)</f>
        <v/>
      </c>
      <c r="M141" s="3">
        <f>tbl_MTG_Set[[#This Row],[Released On]]+tbl_MTG_Set[[#This Row],[Buy Window Month End]]*365.25/12</f>
        <v/>
      </c>
      <c r="N141" s="3">
        <f>AND(NOW()&gt;=tbl_MTG_Set[[#This Row],[Buy Window Start]], NOW()&lt;=tbl_MTG_Set[[#This Row],[Buy Window End]])</f>
        <v/>
      </c>
      <c r="O141">
        <f>_xlfn.XLOOKUP(tbl_MTG_Set[[#This Row],[Type Name]], tbl_MTG_Set_Type[Set Type], tbl_MTG_Set_Type[Heavy Printing Window Month Start], "(Set Type not found)", 0, 1)</f>
        <v/>
      </c>
      <c r="P141" s="3">
        <f>tbl_MTG_Set[[#This Row],[Released On]]+tbl_MTG_Set[[#This Row],[Heavy Printing Window Month Start]]*365.25/12</f>
        <v/>
      </c>
      <c r="Q141">
        <f>_xlfn.XLOOKUP(tbl_MTG_Set[[#This Row],[Type Name]], tbl_MTG_Set_Type[Set Type], tbl_MTG_Set_Type[Heavy Printing Window Month End], "(Set Type not found)", 0, 1)</f>
        <v/>
      </c>
      <c r="R141" s="3">
        <f>tbl_MTG_Set[[#This Row],[Released On]]+tbl_MTG_Set[[#This Row],[Heavy Printing Window Month End]]*365.25/12</f>
        <v/>
      </c>
      <c r="S141" s="3">
        <f>AND(NOW()&gt;=tbl_MTG_Set[[#This Row],[Heavy Printing Window Start]], NOW()&lt;=tbl_MTG_Set[[#This Row],[Heavy Printing Window End]])</f>
        <v/>
      </c>
      <c r="T141">
        <f>_xlfn.XLOOKUP(tbl_MTG_Set[[#This Row],[Type Name]], tbl_MTG_Set_Type[Set Type], tbl_MTG_Set_Type[Sell Window Month Start], "(Set Type not found)", 0, 1)</f>
        <v/>
      </c>
      <c r="U141" s="3">
        <f>tbl_MTG_Set[[#This Row],[Released On]]+tbl_MTG_Set[[#This Row],[Sell Window Month Start]]*365.25/12</f>
        <v/>
      </c>
      <c r="V141">
        <f>_xlfn.XLOOKUP(tbl_MTG_Set[[#This Row],[Type Name]], tbl_MTG_Set_Type[Set Type], tbl_MTG_Set_Type[Sell Window Month End], "(Set Type not found)", 0, 1)</f>
        <v/>
      </c>
      <c r="W141" s="3">
        <f>tbl_MTG_Set[[#This Row],[Released On]]+tbl_MTG_Set[[#This Row],[Sell Window Month End]]*365.25/12</f>
        <v/>
      </c>
      <c r="X141" s="3">
        <f>AND(NOW()&gt;=tbl_MTG_Set[[#This Row],[Sell Window Start]], NOW()&lt;=tbl_MTG_Set[[#This Row],[Sell Window End]])</f>
        <v/>
      </c>
      <c r="AG141" s="10" t="n"/>
      <c r="AH141" s="10" t="n"/>
      <c r="AM141" s="10">
        <f t="array" ref="AM1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1" s="10">
        <f t="array" ref="AN1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1" s="4">
        <f>_xlfn.XLOOKUP(tbl_MTG_Set[[#This Row],[Play Booster Box Product Id]], tbl_Product[Product Id], tbl_Product[Pack Size])</f>
        <v/>
      </c>
      <c r="AP141" s="10">
        <f>(tbl_MTG_Set[[#This Row],[Play Booster Box Cost]]+v_Item_Shipping_Cost_In)/tbl_MTG_Set[[#This Row],[Play Booster Box Size]]</f>
        <v/>
      </c>
      <c r="AQ141" s="10">
        <f t="array" ref="AQ1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1" s="10" t="n"/>
      <c r="AS141" s="10" t="n"/>
      <c r="AT141" s="17">
        <f>tbl_MTG_Set[[#This Row],[Play Booster CardMarket Profit]]/tbl_MTG_Set[[#This Row],[Play Booster Cost]]</f>
        <v/>
      </c>
      <c r="AU141" s="10">
        <f>_xlfn.XLOOKUP(tbl_MTG_Set[[#This Row],[Collector Booster Box Product Id]], tbl_Product[Product Id], tbl_Product[Min Cost])</f>
        <v/>
      </c>
      <c r="AV141" s="10">
        <f>_xlfn.XLOOKUP(tbl_MTG_Set[[#This Row],[Collector Booster Box Product Id]], tbl_Product[Product Id], tbl_Product[Best Source])</f>
        <v/>
      </c>
      <c r="AW141" s="4">
        <f>_xlfn.XLOOKUP(tbl_MTG_Set[[#This Row],[Collector Booster Box Product Id]], tbl_Product[Product Id], tbl_Product[Pack Size])</f>
        <v/>
      </c>
      <c r="AX141" s="10">
        <f>(tbl_MTG_Set[[#This Row],[Collector Booster Box Cost]] + v_Item_Shipping_Cost_In) / tbl_MTG_Set[[#This Row],[Collector Booster Box Size]]</f>
        <v/>
      </c>
      <c r="AY141" s="10">
        <f t="array" ref="AY1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1" s="10" t="n"/>
      <c r="BA1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1" s="17">
        <f>tbl_MTG_Set[[#This Row],[Collector Booster CardMarket Profit]]/tbl_MTG_Set[[#This Row],[Collector Booster Cost]]</f>
        <v/>
      </c>
      <c r="BC141" s="10" t="n"/>
      <c r="BF141" s="10">
        <f>tbl_MTG_Set[[#This Row],[Play Booster Sell Price CardMarket]]*tbl_MTG_Set[[#This Row],[Play Booster Expected Market Value]]/tbl_MTG_Set[[#This Row],[Play Boost Sealed Market Value]]</f>
        <v/>
      </c>
      <c r="BG1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1" s="10">
        <f>tbl_MTG_Set[[#This Row],[Play Singles CardMarket Profit]]/tbl_MTG_Set[[#This Row],[Play Booster Cost]]</f>
        <v/>
      </c>
      <c r="BI141" s="10">
        <f>tbl_MTG_Set[[#This Row],[Play Singles CardMarket Profit]]&gt;0</f>
        <v/>
      </c>
      <c r="BJ141" s="10" t="n"/>
      <c r="BK141" s="10" t="n"/>
      <c r="BL141" s="10">
        <f>tbl_MTG_Set[[#This Row],[Collector Booster Sell Price CardMarket]]*tbl_MTG_Set[[#This Row],[Collector Booster Expected Market Value]]/tbl_MTG_Set[[#This Row],[Collector Boost Sealed Market Value]]</f>
        <v/>
      </c>
      <c r="BM1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1" s="10">
        <f>tbl_MTG_Set[[#This Row],[Collector Singles CardMarket Profit]]/tbl_MTG_Set[[#This Row],[Collector Booster Cost]]</f>
        <v/>
      </c>
      <c r="BO141" s="10">
        <f>tbl_MTG_Set[[#This Row],[Collector Singles CardMarket Profit]]&gt;0</f>
        <v/>
      </c>
      <c r="BP1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2">
      <c r="A142" t="n">
        <v>140</v>
      </c>
      <c r="B142" t="inlineStr">
        <is>
          <t>Special Guests SPG</t>
        </is>
      </c>
      <c r="C142" t="n">
        <v>134</v>
      </c>
      <c r="D142" s="3" t="n">
        <v>45247</v>
      </c>
      <c r="F142" t="inlineStr">
        <is>
          <t>en es fr de it pt ja ko ru 汉语 漢語</t>
        </is>
      </c>
      <c r="G142" t="n">
        <v>226</v>
      </c>
      <c r="H142">
        <f>MONTH(NOW())+12*YEAR(NOW())-MONTH(tbl_MTG_Set[[#This Row],[Released On]])-12*YEAR(tbl_MTG_Set[[#This Row],[Released On]])</f>
        <v/>
      </c>
      <c r="I142">
        <f>_xlfn.XLOOKUP(tbl_MTG_Set[[#This Row],[Type Name]], tbl_MTG_Set_Type[Set Type], tbl_MTG_Set_Type[Index], "(Set Type not found)")</f>
        <v/>
      </c>
      <c r="J142">
        <f>_xlfn.XLOOKUP(tbl_MTG_Set[[#This Row],[Type Name]], tbl_MTG_Set_Type[Set Type], tbl_MTG_Set_Type[Buy Window Month Start], "(Set Type not found)")</f>
        <v/>
      </c>
      <c r="K142" s="3">
        <f>tbl_MTG_Set[[#This Row],[Released On]]+tbl_MTG_Set[[#This Row],[Buy Window Month Start]]*365.25/12</f>
        <v/>
      </c>
      <c r="L142">
        <f>_xlfn.XLOOKUP(tbl_MTG_Set[[#This Row],[Type Name]], tbl_MTG_Set_Type[Set Type], tbl_MTG_Set_Type[Buy Window Month End], "(Set Type not found)", 0, 1)</f>
        <v/>
      </c>
      <c r="M142" s="3">
        <f>tbl_MTG_Set[[#This Row],[Released On]]+tbl_MTG_Set[[#This Row],[Buy Window Month End]]*365.25/12</f>
        <v/>
      </c>
      <c r="N142" s="3">
        <f>AND(NOW()&gt;=tbl_MTG_Set[[#This Row],[Buy Window Start]], NOW()&lt;=tbl_MTG_Set[[#This Row],[Buy Window End]])</f>
        <v/>
      </c>
      <c r="O142">
        <f>_xlfn.XLOOKUP(tbl_MTG_Set[[#This Row],[Type Name]], tbl_MTG_Set_Type[Set Type], tbl_MTG_Set_Type[Heavy Printing Window Month Start], "(Set Type not found)", 0, 1)</f>
        <v/>
      </c>
      <c r="P142" s="3">
        <f>tbl_MTG_Set[[#This Row],[Released On]]+tbl_MTG_Set[[#This Row],[Heavy Printing Window Month Start]]*365.25/12</f>
        <v/>
      </c>
      <c r="Q142">
        <f>_xlfn.XLOOKUP(tbl_MTG_Set[[#This Row],[Type Name]], tbl_MTG_Set_Type[Set Type], tbl_MTG_Set_Type[Heavy Printing Window Month End], "(Set Type not found)", 0, 1)</f>
        <v/>
      </c>
      <c r="R142" s="3">
        <f>tbl_MTG_Set[[#This Row],[Released On]]+tbl_MTG_Set[[#This Row],[Heavy Printing Window Month End]]*365.25/12</f>
        <v/>
      </c>
      <c r="S142" s="3">
        <f>AND(NOW()&gt;=tbl_MTG_Set[[#This Row],[Heavy Printing Window Start]], NOW()&lt;=tbl_MTG_Set[[#This Row],[Heavy Printing Window End]])</f>
        <v/>
      </c>
      <c r="T142">
        <f>_xlfn.XLOOKUP(tbl_MTG_Set[[#This Row],[Type Name]], tbl_MTG_Set_Type[Set Type], tbl_MTG_Set_Type[Sell Window Month Start], "(Set Type not found)", 0, 1)</f>
        <v/>
      </c>
      <c r="U142" s="3">
        <f>tbl_MTG_Set[[#This Row],[Released On]]+tbl_MTG_Set[[#This Row],[Sell Window Month Start]]*365.25/12</f>
        <v/>
      </c>
      <c r="V142">
        <f>_xlfn.XLOOKUP(tbl_MTG_Set[[#This Row],[Type Name]], tbl_MTG_Set_Type[Set Type], tbl_MTG_Set_Type[Sell Window Month End], "(Set Type not found)", 0, 1)</f>
        <v/>
      </c>
      <c r="W142" s="3">
        <f>tbl_MTG_Set[[#This Row],[Released On]]+tbl_MTG_Set[[#This Row],[Sell Window Month End]]*365.25/12</f>
        <v/>
      </c>
      <c r="X142" s="3">
        <f>AND(NOW()&gt;=tbl_MTG_Set[[#This Row],[Sell Window Start]], NOW()&lt;=tbl_MTG_Set[[#This Row],[Sell Window End]])</f>
        <v/>
      </c>
      <c r="AG142" s="10" t="n"/>
      <c r="AH142" s="10" t="n"/>
      <c r="AM142" s="10">
        <f t="array" ref="AM1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2" s="10">
        <f t="array" ref="AN1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2" s="4">
        <f>_xlfn.XLOOKUP(tbl_MTG_Set[[#This Row],[Play Booster Box Product Id]], tbl_Product[Product Id], tbl_Product[Pack Size])</f>
        <v/>
      </c>
      <c r="AP142" s="10">
        <f>(tbl_MTG_Set[[#This Row],[Play Booster Box Cost]]+v_Item_Shipping_Cost_In)/tbl_MTG_Set[[#This Row],[Play Booster Box Size]]</f>
        <v/>
      </c>
      <c r="AQ142" s="10">
        <f t="array" ref="AQ1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2" s="10" t="n"/>
      <c r="AS142" s="10" t="n"/>
      <c r="AT142" s="17">
        <f>tbl_MTG_Set[[#This Row],[Play Booster CardMarket Profit]]/tbl_MTG_Set[[#This Row],[Play Booster Cost]]</f>
        <v/>
      </c>
      <c r="AU142" s="10">
        <f>_xlfn.XLOOKUP(tbl_MTG_Set[[#This Row],[Collector Booster Box Product Id]], tbl_Product[Product Id], tbl_Product[Min Cost])</f>
        <v/>
      </c>
      <c r="AV142" s="10">
        <f>_xlfn.XLOOKUP(tbl_MTG_Set[[#This Row],[Collector Booster Box Product Id]], tbl_Product[Product Id], tbl_Product[Best Source])</f>
        <v/>
      </c>
      <c r="AW142" s="4">
        <f>_xlfn.XLOOKUP(tbl_MTG_Set[[#This Row],[Collector Booster Box Product Id]], tbl_Product[Product Id], tbl_Product[Pack Size])</f>
        <v/>
      </c>
      <c r="AX142" s="10">
        <f>(tbl_MTG_Set[[#This Row],[Collector Booster Box Cost]] + v_Item_Shipping_Cost_In) / tbl_MTG_Set[[#This Row],[Collector Booster Box Size]]</f>
        <v/>
      </c>
      <c r="AY142" s="10">
        <f t="array" ref="AY1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2" s="10" t="n"/>
      <c r="BA1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2" s="17">
        <f>tbl_MTG_Set[[#This Row],[Collector Booster CardMarket Profit]]/tbl_MTG_Set[[#This Row],[Collector Booster Cost]]</f>
        <v/>
      </c>
      <c r="BC142" s="10" t="n"/>
      <c r="BF142" s="10">
        <f>tbl_MTG_Set[[#This Row],[Play Booster Sell Price CardMarket]]*tbl_MTG_Set[[#This Row],[Play Booster Expected Market Value]]/tbl_MTG_Set[[#This Row],[Play Boost Sealed Market Value]]</f>
        <v/>
      </c>
      <c r="BG1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2" s="10">
        <f>tbl_MTG_Set[[#This Row],[Play Singles CardMarket Profit]]/tbl_MTG_Set[[#This Row],[Play Booster Cost]]</f>
        <v/>
      </c>
      <c r="BI142" s="10">
        <f>tbl_MTG_Set[[#This Row],[Play Singles CardMarket Profit]]&gt;0</f>
        <v/>
      </c>
      <c r="BJ142" s="10" t="n"/>
      <c r="BK142" s="10" t="n"/>
      <c r="BL142" s="10">
        <f>tbl_MTG_Set[[#This Row],[Collector Booster Sell Price CardMarket]]*tbl_MTG_Set[[#This Row],[Collector Booster Expected Market Value]]/tbl_MTG_Set[[#This Row],[Collector Boost Sealed Market Value]]</f>
        <v/>
      </c>
      <c r="BM1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2" s="10">
        <f>tbl_MTG_Set[[#This Row],[Collector Singles CardMarket Profit]]/tbl_MTG_Set[[#This Row],[Collector Booster Cost]]</f>
        <v/>
      </c>
      <c r="BO142" s="10">
        <f>tbl_MTG_Set[[#This Row],[Collector Singles CardMarket Profit]]&gt;0</f>
        <v/>
      </c>
      <c r="BP1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3">
      <c r="A143" t="n">
        <v>141</v>
      </c>
      <c r="B143" t="inlineStr">
        <is>
          <t>The Lost Caverns of Ixalan LCI</t>
        </is>
      </c>
      <c r="C143" t="n">
        <v>416</v>
      </c>
      <c r="D143" s="3" t="n">
        <v>45247</v>
      </c>
      <c r="E143" t="inlineStr">
        <is>
          <t>Standard Expansion</t>
        </is>
      </c>
      <c r="F143" t="inlineStr">
        <is>
          <t>en es fr de it pt ja ko ru 汉语 漢語</t>
        </is>
      </c>
      <c r="G143" t="n">
        <v>228</v>
      </c>
      <c r="H143">
        <f>MONTH(NOW())+12*YEAR(NOW())-MONTH(tbl_MTG_Set[[#This Row],[Released On]])-12*YEAR(tbl_MTG_Set[[#This Row],[Released On]])</f>
        <v/>
      </c>
      <c r="I143">
        <f>_xlfn.XLOOKUP(tbl_MTG_Set[[#This Row],[Type Name]], tbl_MTG_Set_Type[Set Type], tbl_MTG_Set_Type[Index], "(Set Type not found)")</f>
        <v/>
      </c>
      <c r="J143">
        <f>_xlfn.XLOOKUP(tbl_MTG_Set[[#This Row],[Type Name]], tbl_MTG_Set_Type[Set Type], tbl_MTG_Set_Type[Buy Window Month Start], "(Set Type not found)")</f>
        <v/>
      </c>
      <c r="K143" s="3">
        <f>tbl_MTG_Set[[#This Row],[Released On]]+tbl_MTG_Set[[#This Row],[Buy Window Month Start]]*365.25/12</f>
        <v/>
      </c>
      <c r="L143">
        <f>_xlfn.XLOOKUP(tbl_MTG_Set[[#This Row],[Type Name]], tbl_MTG_Set_Type[Set Type], tbl_MTG_Set_Type[Buy Window Month End], "(Set Type not found)", 0, 1)</f>
        <v/>
      </c>
      <c r="M143" s="3">
        <f>tbl_MTG_Set[[#This Row],[Released On]]+tbl_MTG_Set[[#This Row],[Buy Window Month End]]*365.25/12</f>
        <v/>
      </c>
      <c r="N143" s="3">
        <f>AND(NOW()&gt;=tbl_MTG_Set[[#This Row],[Buy Window Start]], NOW()&lt;=tbl_MTG_Set[[#This Row],[Buy Window End]])</f>
        <v/>
      </c>
      <c r="O143">
        <f>_xlfn.XLOOKUP(tbl_MTG_Set[[#This Row],[Type Name]], tbl_MTG_Set_Type[Set Type], tbl_MTG_Set_Type[Heavy Printing Window Month Start], "(Set Type not found)", 0, 1)</f>
        <v/>
      </c>
      <c r="P143" s="3">
        <f>tbl_MTG_Set[[#This Row],[Released On]]+tbl_MTG_Set[[#This Row],[Heavy Printing Window Month Start]]*365.25/12</f>
        <v/>
      </c>
      <c r="Q143">
        <f>_xlfn.XLOOKUP(tbl_MTG_Set[[#This Row],[Type Name]], tbl_MTG_Set_Type[Set Type], tbl_MTG_Set_Type[Heavy Printing Window Month End], "(Set Type not found)", 0, 1)</f>
        <v/>
      </c>
      <c r="R143" s="3">
        <f>tbl_MTG_Set[[#This Row],[Released On]]+tbl_MTG_Set[[#This Row],[Heavy Printing Window Month End]]*365.25/12</f>
        <v/>
      </c>
      <c r="S143" s="3">
        <f>AND(NOW()&gt;=tbl_MTG_Set[[#This Row],[Heavy Printing Window Start]], NOW()&lt;=tbl_MTG_Set[[#This Row],[Heavy Printing Window End]])</f>
        <v/>
      </c>
      <c r="T143">
        <f>_xlfn.XLOOKUP(tbl_MTG_Set[[#This Row],[Type Name]], tbl_MTG_Set_Type[Set Type], tbl_MTG_Set_Type[Sell Window Month Start], "(Set Type not found)", 0, 1)</f>
        <v/>
      </c>
      <c r="U143" s="3">
        <f>tbl_MTG_Set[[#This Row],[Released On]]+tbl_MTG_Set[[#This Row],[Sell Window Month Start]]*365.25/12</f>
        <v/>
      </c>
      <c r="V143">
        <f>_xlfn.XLOOKUP(tbl_MTG_Set[[#This Row],[Type Name]], tbl_MTG_Set_Type[Set Type], tbl_MTG_Set_Type[Sell Window Month End], "(Set Type not found)", 0, 1)</f>
        <v/>
      </c>
      <c r="W143" s="3">
        <f>tbl_MTG_Set[[#This Row],[Released On]]+tbl_MTG_Set[[#This Row],[Sell Window Month End]]*365.25/12</f>
        <v/>
      </c>
      <c r="X143" s="3">
        <f>AND(NOW()&gt;=tbl_MTG_Set[[#This Row],[Sell Window Start]], NOW()&lt;=tbl_MTG_Set[[#This Row],[Sell Window End]])</f>
        <v/>
      </c>
      <c r="Y143" s="10" t="n">
        <v>144</v>
      </c>
      <c r="Z143" s="10" t="n">
        <v>116</v>
      </c>
      <c r="AD143" s="10">
        <f>(Y143+96/20)/30</f>
        <v/>
      </c>
      <c r="AE143" s="10">
        <f>(Z143+96/20)/30</f>
        <v/>
      </c>
      <c r="AG143" s="10" t="n"/>
      <c r="AH143" s="10" t="n"/>
      <c r="AI143" s="4" t="n">
        <v>47</v>
      </c>
      <c r="AJ143" s="4" t="n">
        <v>2</v>
      </c>
      <c r="AK143" s="4" t="n">
        <v>142</v>
      </c>
      <c r="AL143" s="4" t="n">
        <v>141</v>
      </c>
      <c r="AM143" s="10">
        <f t="array" ref="AM1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3" s="10">
        <f t="array" ref="AN1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3" s="4">
        <f>_xlfn.XLOOKUP(tbl_MTG_Set[[#This Row],[Play Booster Box Product Id]], tbl_Product[Product Id], tbl_Product[Pack Size])</f>
        <v/>
      </c>
      <c r="AP143" s="10">
        <f>(tbl_MTG_Set[[#This Row],[Play Booster Box Cost]]+v_Item_Shipping_Cost_In)/tbl_MTG_Set[[#This Row],[Play Booster Box Size]]</f>
        <v/>
      </c>
      <c r="AQ143" s="10">
        <f t="array" ref="AQ1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3" s="10" t="n">
        <v>8</v>
      </c>
      <c r="AS14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43" s="17">
        <f>tbl_MTG_Set[[#This Row],[Play Booster CardMarket Profit]]/tbl_MTG_Set[[#This Row],[Play Booster Cost]]</f>
        <v/>
      </c>
      <c r="AU143" s="10">
        <f>_xlfn.XLOOKUP(tbl_MTG_Set[[#This Row],[Collector Booster Box Product Id]], tbl_Product[Product Id], tbl_Product[Min Cost])</f>
        <v/>
      </c>
      <c r="AV143" s="10">
        <f>_xlfn.XLOOKUP(tbl_MTG_Set[[#This Row],[Collector Booster Box Product Id]], tbl_Product[Product Id], tbl_Product[Best Source])</f>
        <v/>
      </c>
      <c r="AW143" s="4">
        <f>_xlfn.XLOOKUP(tbl_MTG_Set[[#This Row],[Collector Booster Box Product Id]], tbl_Product[Product Id], tbl_Product[Pack Size])</f>
        <v/>
      </c>
      <c r="AX143" s="10">
        <f>(tbl_MTG_Set[[#This Row],[Collector Booster Box Cost]] + v_Item_Shipping_Cost_In) / tbl_MTG_Set[[#This Row],[Collector Booster Box Size]]</f>
        <v/>
      </c>
      <c r="AY143" s="10">
        <f t="array" ref="AY1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3" s="10" t="n"/>
      <c r="BA1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3" s="17">
        <f>tbl_MTG_Set[[#This Row],[Collector Booster CardMarket Profit]]/tbl_MTG_Set[[#This Row],[Collector Booster Cost]]</f>
        <v/>
      </c>
      <c r="BC143" s="10" t="n"/>
      <c r="BF143" s="10">
        <f>tbl_MTG_Set[[#This Row],[Play Booster Sell Price CardMarket]]*tbl_MTG_Set[[#This Row],[Play Booster Expected Market Value]]/tbl_MTG_Set[[#This Row],[Play Boost Sealed Market Value]]</f>
        <v/>
      </c>
      <c r="BG1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3" s="17">
        <f>tbl_MTG_Set[[#This Row],[Play Singles CardMarket Profit]]/tbl_MTG_Set[[#This Row],[Play Booster Cost]]</f>
        <v/>
      </c>
      <c r="BI143" s="10">
        <f>tbl_MTG_Set[[#This Row],[Play Singles CardMarket Profit]]&gt;0</f>
        <v/>
      </c>
      <c r="BJ143" s="10" t="n"/>
      <c r="BK143" s="10" t="n"/>
      <c r="BL143" s="10">
        <f>tbl_MTG_Set[[#This Row],[Collector Booster Sell Price CardMarket]]*tbl_MTG_Set[[#This Row],[Collector Booster Expected Market Value]]/tbl_MTG_Set[[#This Row],[Collector Boost Sealed Market Value]]</f>
        <v/>
      </c>
      <c r="BM1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3" s="17">
        <f>tbl_MTG_Set[[#This Row],[Collector Singles CardMarket Profit]]/tbl_MTG_Set[[#This Row],[Collector Booster Cost]]</f>
        <v/>
      </c>
      <c r="BO143" s="10">
        <f>tbl_MTG_Set[[#This Row],[Collector Singles CardMarket Profit]]&gt;0</f>
        <v/>
      </c>
      <c r="BP1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3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4">
      <c r="A144" t="n">
        <v>142</v>
      </c>
      <c r="B144" t="inlineStr">
        <is>
          <t>The Lost Caverns of Ixalan Promos PLCI</t>
        </is>
      </c>
      <c r="C144" t="n">
        <v>136</v>
      </c>
      <c r="D144" s="3" t="n">
        <v>45247</v>
      </c>
      <c r="E144" t="inlineStr">
        <is>
          <t>Standard Expansion</t>
        </is>
      </c>
      <c r="F144" t="inlineStr">
        <is>
          <t>en es fr de it pt ja ko ru 汉语 漢語</t>
        </is>
      </c>
      <c r="G144" t="n">
        <v>230</v>
      </c>
      <c r="H144">
        <f>MONTH(NOW())+12*YEAR(NOW())-MONTH(tbl_MTG_Set[[#This Row],[Released On]])-12*YEAR(tbl_MTG_Set[[#This Row],[Released On]])</f>
        <v/>
      </c>
      <c r="I144">
        <f>_xlfn.XLOOKUP(tbl_MTG_Set[[#This Row],[Type Name]], tbl_MTG_Set_Type[Set Type], tbl_MTG_Set_Type[Index], "(Set Type not found)")</f>
        <v/>
      </c>
      <c r="J144">
        <f>_xlfn.XLOOKUP(tbl_MTG_Set[[#This Row],[Type Name]], tbl_MTG_Set_Type[Set Type], tbl_MTG_Set_Type[Buy Window Month Start], "(Set Type not found)")</f>
        <v/>
      </c>
      <c r="K144" s="3">
        <f>tbl_MTG_Set[[#This Row],[Released On]]+tbl_MTG_Set[[#This Row],[Buy Window Month Start]]*365.25/12</f>
        <v/>
      </c>
      <c r="L144">
        <f>_xlfn.XLOOKUP(tbl_MTG_Set[[#This Row],[Type Name]], tbl_MTG_Set_Type[Set Type], tbl_MTG_Set_Type[Buy Window Month End], "(Set Type not found)", 0, 1)</f>
        <v/>
      </c>
      <c r="M144" s="3">
        <f>tbl_MTG_Set[[#This Row],[Released On]]+tbl_MTG_Set[[#This Row],[Buy Window Month End]]*365.25/12</f>
        <v/>
      </c>
      <c r="N144" s="3">
        <f>AND(NOW()&gt;=tbl_MTG_Set[[#This Row],[Buy Window Start]], NOW()&lt;=tbl_MTG_Set[[#This Row],[Buy Window End]])</f>
        <v/>
      </c>
      <c r="O144">
        <f>_xlfn.XLOOKUP(tbl_MTG_Set[[#This Row],[Type Name]], tbl_MTG_Set_Type[Set Type], tbl_MTG_Set_Type[Heavy Printing Window Month Start], "(Set Type not found)", 0, 1)</f>
        <v/>
      </c>
      <c r="P144" s="3">
        <f>tbl_MTG_Set[[#This Row],[Released On]]+tbl_MTG_Set[[#This Row],[Heavy Printing Window Month Start]]*365.25/12</f>
        <v/>
      </c>
      <c r="Q144">
        <f>_xlfn.XLOOKUP(tbl_MTG_Set[[#This Row],[Type Name]], tbl_MTG_Set_Type[Set Type], tbl_MTG_Set_Type[Heavy Printing Window Month End], "(Set Type not found)", 0, 1)</f>
        <v/>
      </c>
      <c r="R144" s="3">
        <f>tbl_MTG_Set[[#This Row],[Released On]]+tbl_MTG_Set[[#This Row],[Heavy Printing Window Month End]]*365.25/12</f>
        <v/>
      </c>
      <c r="S144" s="3">
        <f>AND(NOW()&gt;=tbl_MTG_Set[[#This Row],[Heavy Printing Window Start]], NOW()&lt;=tbl_MTG_Set[[#This Row],[Heavy Printing Window End]])</f>
        <v/>
      </c>
      <c r="T144">
        <f>_xlfn.XLOOKUP(tbl_MTG_Set[[#This Row],[Type Name]], tbl_MTG_Set_Type[Set Type], tbl_MTG_Set_Type[Sell Window Month Start], "(Set Type not found)", 0, 1)</f>
        <v/>
      </c>
      <c r="U144" s="3">
        <f>tbl_MTG_Set[[#This Row],[Released On]]+tbl_MTG_Set[[#This Row],[Sell Window Month Start]]*365.25/12</f>
        <v/>
      </c>
      <c r="V144">
        <f>_xlfn.XLOOKUP(tbl_MTG_Set[[#This Row],[Type Name]], tbl_MTG_Set_Type[Set Type], tbl_MTG_Set_Type[Sell Window Month End], "(Set Type not found)", 0, 1)</f>
        <v/>
      </c>
      <c r="W144" s="3">
        <f>tbl_MTG_Set[[#This Row],[Released On]]+tbl_MTG_Set[[#This Row],[Sell Window Month End]]*365.25/12</f>
        <v/>
      </c>
      <c r="X144" s="3">
        <f>AND(NOW()&gt;=tbl_MTG_Set[[#This Row],[Sell Window Start]], NOW()&lt;=tbl_MTG_Set[[#This Row],[Sell Window End]])</f>
        <v/>
      </c>
      <c r="AG144" s="10" t="n"/>
      <c r="AH144" s="10" t="n"/>
      <c r="AM144" s="10">
        <f t="array" ref="AM1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4" s="10">
        <f t="array" ref="AN1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4" s="4">
        <f>_xlfn.XLOOKUP(tbl_MTG_Set[[#This Row],[Play Booster Box Product Id]], tbl_Product[Product Id], tbl_Product[Pack Size])</f>
        <v/>
      </c>
      <c r="AP144" s="10">
        <f>(tbl_MTG_Set[[#This Row],[Play Booster Box Cost]]+v_Item_Shipping_Cost_In)/tbl_MTG_Set[[#This Row],[Play Booster Box Size]]</f>
        <v/>
      </c>
      <c r="AQ144" s="10">
        <f t="array" ref="AQ1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4" s="10" t="n"/>
      <c r="AS144" s="10" t="n"/>
      <c r="AT144" s="17">
        <f>tbl_MTG_Set[[#This Row],[Play Booster CardMarket Profit]]/tbl_MTG_Set[[#This Row],[Play Booster Cost]]</f>
        <v/>
      </c>
      <c r="AU144" s="10">
        <f>_xlfn.XLOOKUP(tbl_MTG_Set[[#This Row],[Collector Booster Box Product Id]], tbl_Product[Product Id], tbl_Product[Min Cost])</f>
        <v/>
      </c>
      <c r="AV144" s="10">
        <f>_xlfn.XLOOKUP(tbl_MTG_Set[[#This Row],[Collector Booster Box Product Id]], tbl_Product[Product Id], tbl_Product[Best Source])</f>
        <v/>
      </c>
      <c r="AW144" s="4">
        <f>_xlfn.XLOOKUP(tbl_MTG_Set[[#This Row],[Collector Booster Box Product Id]], tbl_Product[Product Id], tbl_Product[Pack Size])</f>
        <v/>
      </c>
      <c r="AX144" s="10">
        <f>(tbl_MTG_Set[[#This Row],[Collector Booster Box Cost]] + v_Item_Shipping_Cost_In) / tbl_MTG_Set[[#This Row],[Collector Booster Box Size]]</f>
        <v/>
      </c>
      <c r="AY144" s="10">
        <f t="array" ref="AY1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4" s="10" t="n"/>
      <c r="BA1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4" s="17">
        <f>tbl_MTG_Set[[#This Row],[Collector Booster CardMarket Profit]]/tbl_MTG_Set[[#This Row],[Collector Booster Cost]]</f>
        <v/>
      </c>
      <c r="BC144" s="10" t="n"/>
      <c r="BF144" s="10">
        <f>tbl_MTG_Set[[#This Row],[Play Booster Sell Price CardMarket]]*tbl_MTG_Set[[#This Row],[Play Booster Expected Market Value]]/tbl_MTG_Set[[#This Row],[Play Boost Sealed Market Value]]</f>
        <v/>
      </c>
      <c r="BG1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4" s="10">
        <f>tbl_MTG_Set[[#This Row],[Play Singles CardMarket Profit]]/tbl_MTG_Set[[#This Row],[Play Booster Cost]]</f>
        <v/>
      </c>
      <c r="BI144" s="10">
        <f>tbl_MTG_Set[[#This Row],[Play Singles CardMarket Profit]]&gt;0</f>
        <v/>
      </c>
      <c r="BJ144" s="10" t="n"/>
      <c r="BK144" s="10" t="n"/>
      <c r="BL144" s="10">
        <f>tbl_MTG_Set[[#This Row],[Collector Booster Sell Price CardMarket]]*tbl_MTG_Set[[#This Row],[Collector Booster Expected Market Value]]/tbl_MTG_Set[[#This Row],[Collector Boost Sealed Market Value]]</f>
        <v/>
      </c>
      <c r="BM1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4" s="10">
        <f>tbl_MTG_Set[[#This Row],[Collector Singles CardMarket Profit]]/tbl_MTG_Set[[#This Row],[Collector Booster Cost]]</f>
        <v/>
      </c>
      <c r="BO144" s="10">
        <f>tbl_MTG_Set[[#This Row],[Collector Singles CardMarket Profit]]&gt;0</f>
        <v/>
      </c>
      <c r="BP1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5">
      <c r="A145" t="n">
        <v>143</v>
      </c>
      <c r="B145" t="inlineStr">
        <is>
          <t>The Lost Caverns of Ixalan Tokens TLCI</t>
        </is>
      </c>
      <c r="C145" t="n">
        <v>19</v>
      </c>
      <c r="D145" s="3" t="n">
        <v>45247</v>
      </c>
      <c r="E145" t="inlineStr">
        <is>
          <t>Standard Expansion</t>
        </is>
      </c>
      <c r="F145" t="inlineStr">
        <is>
          <t>en es fr de it pt ja ko ru 汉语 漢語</t>
        </is>
      </c>
      <c r="G145" t="n">
        <v>232</v>
      </c>
      <c r="H145">
        <f>MONTH(NOW())+12*YEAR(NOW())-MONTH(tbl_MTG_Set[[#This Row],[Released On]])-12*YEAR(tbl_MTG_Set[[#This Row],[Released On]])</f>
        <v/>
      </c>
      <c r="I145">
        <f>_xlfn.XLOOKUP(tbl_MTG_Set[[#This Row],[Type Name]], tbl_MTG_Set_Type[Set Type], tbl_MTG_Set_Type[Index], "(Set Type not found)")</f>
        <v/>
      </c>
      <c r="J145">
        <f>_xlfn.XLOOKUP(tbl_MTG_Set[[#This Row],[Type Name]], tbl_MTG_Set_Type[Set Type], tbl_MTG_Set_Type[Buy Window Month Start], "(Set Type not found)")</f>
        <v/>
      </c>
      <c r="K145" s="3">
        <f>tbl_MTG_Set[[#This Row],[Released On]]+tbl_MTG_Set[[#This Row],[Buy Window Month Start]]*365.25/12</f>
        <v/>
      </c>
      <c r="L145">
        <f>_xlfn.XLOOKUP(tbl_MTG_Set[[#This Row],[Type Name]], tbl_MTG_Set_Type[Set Type], tbl_MTG_Set_Type[Buy Window Month End], "(Set Type not found)", 0, 1)</f>
        <v/>
      </c>
      <c r="M145" s="3">
        <f>tbl_MTG_Set[[#This Row],[Released On]]+tbl_MTG_Set[[#This Row],[Buy Window Month End]]*365.25/12</f>
        <v/>
      </c>
      <c r="N145" s="3">
        <f>AND(NOW()&gt;=tbl_MTG_Set[[#This Row],[Buy Window Start]], NOW()&lt;=tbl_MTG_Set[[#This Row],[Buy Window End]])</f>
        <v/>
      </c>
      <c r="O145">
        <f>_xlfn.XLOOKUP(tbl_MTG_Set[[#This Row],[Type Name]], tbl_MTG_Set_Type[Set Type], tbl_MTG_Set_Type[Heavy Printing Window Month Start], "(Set Type not found)", 0, 1)</f>
        <v/>
      </c>
      <c r="P145" s="3">
        <f>tbl_MTG_Set[[#This Row],[Released On]]+tbl_MTG_Set[[#This Row],[Heavy Printing Window Month Start]]*365.25/12</f>
        <v/>
      </c>
      <c r="Q145">
        <f>_xlfn.XLOOKUP(tbl_MTG_Set[[#This Row],[Type Name]], tbl_MTG_Set_Type[Set Type], tbl_MTG_Set_Type[Heavy Printing Window Month End], "(Set Type not found)", 0, 1)</f>
        <v/>
      </c>
      <c r="R145" s="3">
        <f>tbl_MTG_Set[[#This Row],[Released On]]+tbl_MTG_Set[[#This Row],[Heavy Printing Window Month End]]*365.25/12</f>
        <v/>
      </c>
      <c r="S145" s="3">
        <f>AND(NOW()&gt;=tbl_MTG_Set[[#This Row],[Heavy Printing Window Start]], NOW()&lt;=tbl_MTG_Set[[#This Row],[Heavy Printing Window End]])</f>
        <v/>
      </c>
      <c r="T145">
        <f>_xlfn.XLOOKUP(tbl_MTG_Set[[#This Row],[Type Name]], tbl_MTG_Set_Type[Set Type], tbl_MTG_Set_Type[Sell Window Month Start], "(Set Type not found)", 0, 1)</f>
        <v/>
      </c>
      <c r="U145" s="3">
        <f>tbl_MTG_Set[[#This Row],[Released On]]+tbl_MTG_Set[[#This Row],[Sell Window Month Start]]*365.25/12</f>
        <v/>
      </c>
      <c r="V145">
        <f>_xlfn.XLOOKUP(tbl_MTG_Set[[#This Row],[Type Name]], tbl_MTG_Set_Type[Set Type], tbl_MTG_Set_Type[Sell Window Month End], "(Set Type not found)", 0, 1)</f>
        <v/>
      </c>
      <c r="W145" s="3">
        <f>tbl_MTG_Set[[#This Row],[Released On]]+tbl_MTG_Set[[#This Row],[Sell Window Month End]]*365.25/12</f>
        <v/>
      </c>
      <c r="X145" s="3">
        <f>AND(NOW()&gt;=tbl_MTG_Set[[#This Row],[Sell Window Start]], NOW()&lt;=tbl_MTG_Set[[#This Row],[Sell Window End]])</f>
        <v/>
      </c>
      <c r="AG145" s="10" t="n"/>
      <c r="AH145" s="10" t="n"/>
      <c r="AM145" s="10">
        <f t="array" ref="AM1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5" s="10">
        <f t="array" ref="AN1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5" s="4">
        <f>_xlfn.XLOOKUP(tbl_MTG_Set[[#This Row],[Play Booster Box Product Id]], tbl_Product[Product Id], tbl_Product[Pack Size])</f>
        <v/>
      </c>
      <c r="AP145" s="10">
        <f>(tbl_MTG_Set[[#This Row],[Play Booster Box Cost]]+v_Item_Shipping_Cost_In)/tbl_MTG_Set[[#This Row],[Play Booster Box Size]]</f>
        <v/>
      </c>
      <c r="AQ145" s="10">
        <f t="array" ref="AQ1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5" s="10" t="n"/>
      <c r="AS145" s="10" t="n"/>
      <c r="AT145" s="17">
        <f>tbl_MTG_Set[[#This Row],[Play Booster CardMarket Profit]]/tbl_MTG_Set[[#This Row],[Play Booster Cost]]</f>
        <v/>
      </c>
      <c r="AU145" s="10">
        <f>_xlfn.XLOOKUP(tbl_MTG_Set[[#This Row],[Collector Booster Box Product Id]], tbl_Product[Product Id], tbl_Product[Min Cost])</f>
        <v/>
      </c>
      <c r="AV145" s="10">
        <f>_xlfn.XLOOKUP(tbl_MTG_Set[[#This Row],[Collector Booster Box Product Id]], tbl_Product[Product Id], tbl_Product[Best Source])</f>
        <v/>
      </c>
      <c r="AW145" s="4">
        <f>_xlfn.XLOOKUP(tbl_MTG_Set[[#This Row],[Collector Booster Box Product Id]], tbl_Product[Product Id], tbl_Product[Pack Size])</f>
        <v/>
      </c>
      <c r="AX145" s="10">
        <f>(tbl_MTG_Set[[#This Row],[Collector Booster Box Cost]] + v_Item_Shipping_Cost_In) / tbl_MTG_Set[[#This Row],[Collector Booster Box Size]]</f>
        <v/>
      </c>
      <c r="AY145" s="10">
        <f t="array" ref="AY1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5" s="10" t="n"/>
      <c r="BA1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5" s="17">
        <f>tbl_MTG_Set[[#This Row],[Collector Booster CardMarket Profit]]/tbl_MTG_Set[[#This Row],[Collector Booster Cost]]</f>
        <v/>
      </c>
      <c r="BC145" s="10" t="n"/>
      <c r="BF145" s="10">
        <f>tbl_MTG_Set[[#This Row],[Play Booster Sell Price CardMarket]]*tbl_MTG_Set[[#This Row],[Play Booster Expected Market Value]]/tbl_MTG_Set[[#This Row],[Play Boost Sealed Market Value]]</f>
        <v/>
      </c>
      <c r="BG1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5" s="10">
        <f>tbl_MTG_Set[[#This Row],[Play Singles CardMarket Profit]]/tbl_MTG_Set[[#This Row],[Play Booster Cost]]</f>
        <v/>
      </c>
      <c r="BI145" s="10">
        <f>tbl_MTG_Set[[#This Row],[Play Singles CardMarket Profit]]&gt;0</f>
        <v/>
      </c>
      <c r="BJ145" s="10" t="n"/>
      <c r="BK145" s="10" t="n"/>
      <c r="BL145" s="10">
        <f>tbl_MTG_Set[[#This Row],[Collector Booster Sell Price CardMarket]]*tbl_MTG_Set[[#This Row],[Collector Booster Expected Market Value]]/tbl_MTG_Set[[#This Row],[Collector Boost Sealed Market Value]]</f>
        <v/>
      </c>
      <c r="BM1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5" s="10">
        <f>tbl_MTG_Set[[#This Row],[Collector Singles CardMarket Profit]]/tbl_MTG_Set[[#This Row],[Collector Booster Cost]]</f>
        <v/>
      </c>
      <c r="BO145" s="10">
        <f>tbl_MTG_Set[[#This Row],[Collector Singles CardMarket Profit]]&gt;0</f>
        <v/>
      </c>
      <c r="BP1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6">
      <c r="A146" t="n">
        <v>144</v>
      </c>
      <c r="B146" t="inlineStr">
        <is>
          <t>Alchemy: Ixalan YLCI</t>
        </is>
      </c>
      <c r="C146" t="n">
        <v>30</v>
      </c>
      <c r="D146" s="3" t="n">
        <v>45265</v>
      </c>
      <c r="F146" t="inlineStr">
        <is>
          <t>en es fr de it pt ja ko ru 汉语 漢語</t>
        </is>
      </c>
      <c r="G146" t="n">
        <v>234</v>
      </c>
      <c r="H146">
        <f>MONTH(NOW())+12*YEAR(NOW())-MONTH(tbl_MTG_Set[[#This Row],[Released On]])-12*YEAR(tbl_MTG_Set[[#This Row],[Released On]])</f>
        <v/>
      </c>
      <c r="I146">
        <f>_xlfn.XLOOKUP(tbl_MTG_Set[[#This Row],[Type Name]], tbl_MTG_Set_Type[Set Type], tbl_MTG_Set_Type[Index], "(Set Type not found)")</f>
        <v/>
      </c>
      <c r="J146">
        <f>_xlfn.XLOOKUP(tbl_MTG_Set[[#This Row],[Type Name]], tbl_MTG_Set_Type[Set Type], tbl_MTG_Set_Type[Buy Window Month Start], "(Set Type not found)")</f>
        <v/>
      </c>
      <c r="K146" s="3">
        <f>tbl_MTG_Set[[#This Row],[Released On]]+tbl_MTG_Set[[#This Row],[Buy Window Month Start]]*365.25/12</f>
        <v/>
      </c>
      <c r="L146">
        <f>_xlfn.XLOOKUP(tbl_MTG_Set[[#This Row],[Type Name]], tbl_MTG_Set_Type[Set Type], tbl_MTG_Set_Type[Buy Window Month End], "(Set Type not found)", 0, 1)</f>
        <v/>
      </c>
      <c r="M146" s="3">
        <f>tbl_MTG_Set[[#This Row],[Released On]]+tbl_MTG_Set[[#This Row],[Buy Window Month End]]*365.25/12</f>
        <v/>
      </c>
      <c r="N146" s="3">
        <f>AND(NOW()&gt;=tbl_MTG_Set[[#This Row],[Buy Window Start]], NOW()&lt;=tbl_MTG_Set[[#This Row],[Buy Window End]])</f>
        <v/>
      </c>
      <c r="O146">
        <f>_xlfn.XLOOKUP(tbl_MTG_Set[[#This Row],[Type Name]], tbl_MTG_Set_Type[Set Type], tbl_MTG_Set_Type[Heavy Printing Window Month Start], "(Set Type not found)", 0, 1)</f>
        <v/>
      </c>
      <c r="P146" s="3">
        <f>tbl_MTG_Set[[#This Row],[Released On]]+tbl_MTG_Set[[#This Row],[Heavy Printing Window Month Start]]*365.25/12</f>
        <v/>
      </c>
      <c r="Q146">
        <f>_xlfn.XLOOKUP(tbl_MTG_Set[[#This Row],[Type Name]], tbl_MTG_Set_Type[Set Type], tbl_MTG_Set_Type[Heavy Printing Window Month End], "(Set Type not found)", 0, 1)</f>
        <v/>
      </c>
      <c r="R146" s="3">
        <f>tbl_MTG_Set[[#This Row],[Released On]]+tbl_MTG_Set[[#This Row],[Heavy Printing Window Month End]]*365.25/12</f>
        <v/>
      </c>
      <c r="S146" s="3">
        <f>AND(NOW()&gt;=tbl_MTG_Set[[#This Row],[Heavy Printing Window Start]], NOW()&lt;=tbl_MTG_Set[[#This Row],[Heavy Printing Window End]])</f>
        <v/>
      </c>
      <c r="T146">
        <f>_xlfn.XLOOKUP(tbl_MTG_Set[[#This Row],[Type Name]], tbl_MTG_Set_Type[Set Type], tbl_MTG_Set_Type[Sell Window Month Start], "(Set Type not found)", 0, 1)</f>
        <v/>
      </c>
      <c r="U146" s="3">
        <f>tbl_MTG_Set[[#This Row],[Released On]]+tbl_MTG_Set[[#This Row],[Sell Window Month Start]]*365.25/12</f>
        <v/>
      </c>
      <c r="V146">
        <f>_xlfn.XLOOKUP(tbl_MTG_Set[[#This Row],[Type Name]], tbl_MTG_Set_Type[Set Type], tbl_MTG_Set_Type[Sell Window Month End], "(Set Type not found)", 0, 1)</f>
        <v/>
      </c>
      <c r="W146" s="3">
        <f>tbl_MTG_Set[[#This Row],[Released On]]+tbl_MTG_Set[[#This Row],[Sell Window Month End]]*365.25/12</f>
        <v/>
      </c>
      <c r="X146" s="3">
        <f>AND(NOW()&gt;=tbl_MTG_Set[[#This Row],[Sell Window Start]], NOW()&lt;=tbl_MTG_Set[[#This Row],[Sell Window End]])</f>
        <v/>
      </c>
      <c r="AG146" s="10" t="n"/>
      <c r="AH146" s="10" t="n"/>
      <c r="AM146" s="10">
        <f t="array" ref="AM1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6" s="10">
        <f t="array" ref="AN1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6" s="4">
        <f>_xlfn.XLOOKUP(tbl_MTG_Set[[#This Row],[Play Booster Box Product Id]], tbl_Product[Product Id], tbl_Product[Pack Size])</f>
        <v/>
      </c>
      <c r="AP146" s="10">
        <f>(tbl_MTG_Set[[#This Row],[Play Booster Box Cost]]+v_Item_Shipping_Cost_In)/tbl_MTG_Set[[#This Row],[Play Booster Box Size]]</f>
        <v/>
      </c>
      <c r="AQ146" s="10">
        <f t="array" ref="AQ1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6" s="10" t="n"/>
      <c r="AS146" s="10" t="n"/>
      <c r="AT146" s="17">
        <f>tbl_MTG_Set[[#This Row],[Play Booster CardMarket Profit]]/tbl_MTG_Set[[#This Row],[Play Booster Cost]]</f>
        <v/>
      </c>
      <c r="AU146" s="10">
        <f>_xlfn.XLOOKUP(tbl_MTG_Set[[#This Row],[Collector Booster Box Product Id]], tbl_Product[Product Id], tbl_Product[Min Cost])</f>
        <v/>
      </c>
      <c r="AV146" s="10">
        <f>_xlfn.XLOOKUP(tbl_MTG_Set[[#This Row],[Collector Booster Box Product Id]], tbl_Product[Product Id], tbl_Product[Best Source])</f>
        <v/>
      </c>
      <c r="AW146" s="4">
        <f>_xlfn.XLOOKUP(tbl_MTG_Set[[#This Row],[Collector Booster Box Product Id]], tbl_Product[Product Id], tbl_Product[Pack Size])</f>
        <v/>
      </c>
      <c r="AX146" s="10">
        <f>(tbl_MTG_Set[[#This Row],[Collector Booster Box Cost]] + v_Item_Shipping_Cost_In) / tbl_MTG_Set[[#This Row],[Collector Booster Box Size]]</f>
        <v/>
      </c>
      <c r="AY146" s="10">
        <f t="array" ref="AY1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6" s="10" t="n"/>
      <c r="BA1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6" s="17">
        <f>tbl_MTG_Set[[#This Row],[Collector Booster CardMarket Profit]]/tbl_MTG_Set[[#This Row],[Collector Booster Cost]]</f>
        <v/>
      </c>
      <c r="BC146" s="10" t="n"/>
      <c r="BF146" s="10">
        <f>tbl_MTG_Set[[#This Row],[Play Booster Sell Price CardMarket]]*tbl_MTG_Set[[#This Row],[Play Booster Expected Market Value]]/tbl_MTG_Set[[#This Row],[Play Boost Sealed Market Value]]</f>
        <v/>
      </c>
      <c r="BG1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6" s="10">
        <f>tbl_MTG_Set[[#This Row],[Play Singles CardMarket Profit]]/tbl_MTG_Set[[#This Row],[Play Booster Cost]]</f>
        <v/>
      </c>
      <c r="BI146" s="10">
        <f>tbl_MTG_Set[[#This Row],[Play Singles CardMarket Profit]]&gt;0</f>
        <v/>
      </c>
      <c r="BJ146" s="10" t="n"/>
      <c r="BK146" s="10" t="n"/>
      <c r="BL146" s="10">
        <f>tbl_MTG_Set[[#This Row],[Collector Booster Sell Price CardMarket]]*tbl_MTG_Set[[#This Row],[Collector Booster Expected Market Value]]/tbl_MTG_Set[[#This Row],[Collector Boost Sealed Market Value]]</f>
        <v/>
      </c>
      <c r="BM1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6" s="10">
        <f>tbl_MTG_Set[[#This Row],[Collector Singles CardMarket Profit]]/tbl_MTG_Set[[#This Row],[Collector Booster Cost]]</f>
        <v/>
      </c>
      <c r="BO146" s="10">
        <f>tbl_MTG_Set[[#This Row],[Collector Singles CardMarket Profit]]&gt;0</f>
        <v/>
      </c>
      <c r="BP1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7">
      <c r="A147" t="n">
        <v>145</v>
      </c>
      <c r="B147" t="inlineStr">
        <is>
          <t>The Lost Caverns of Ixalan Art Series ALCI</t>
        </is>
      </c>
      <c r="C147" t="n">
        <v>81</v>
      </c>
      <c r="D147" s="3" t="n">
        <v>45247</v>
      </c>
      <c r="E147" t="inlineStr">
        <is>
          <t>Standard Expansion</t>
        </is>
      </c>
      <c r="F147" t="inlineStr">
        <is>
          <t>en es fr de it pt ja ko ru 汉语 漢語</t>
        </is>
      </c>
      <c r="G147" t="n">
        <v>236</v>
      </c>
      <c r="H147">
        <f>MONTH(NOW())+12*YEAR(NOW())-MONTH(tbl_MTG_Set[[#This Row],[Released On]])-12*YEAR(tbl_MTG_Set[[#This Row],[Released On]])</f>
        <v/>
      </c>
      <c r="I147">
        <f>_xlfn.XLOOKUP(tbl_MTG_Set[[#This Row],[Type Name]], tbl_MTG_Set_Type[Set Type], tbl_MTG_Set_Type[Index], "(Set Type not found)")</f>
        <v/>
      </c>
      <c r="J147">
        <f>_xlfn.XLOOKUP(tbl_MTG_Set[[#This Row],[Type Name]], tbl_MTG_Set_Type[Set Type], tbl_MTG_Set_Type[Buy Window Month Start], "(Set Type not found)")</f>
        <v/>
      </c>
      <c r="K147" s="3">
        <f>tbl_MTG_Set[[#This Row],[Released On]]+tbl_MTG_Set[[#This Row],[Buy Window Month Start]]*365.25/12</f>
        <v/>
      </c>
      <c r="L147">
        <f>_xlfn.XLOOKUP(tbl_MTG_Set[[#This Row],[Type Name]], tbl_MTG_Set_Type[Set Type], tbl_MTG_Set_Type[Buy Window Month End], "(Set Type not found)", 0, 1)</f>
        <v/>
      </c>
      <c r="M147" s="3">
        <f>tbl_MTG_Set[[#This Row],[Released On]]+tbl_MTG_Set[[#This Row],[Buy Window Month End]]*365.25/12</f>
        <v/>
      </c>
      <c r="N147" s="3">
        <f>AND(NOW()&gt;=tbl_MTG_Set[[#This Row],[Buy Window Start]], NOW()&lt;=tbl_MTG_Set[[#This Row],[Buy Window End]])</f>
        <v/>
      </c>
      <c r="O147">
        <f>_xlfn.XLOOKUP(tbl_MTG_Set[[#This Row],[Type Name]], tbl_MTG_Set_Type[Set Type], tbl_MTG_Set_Type[Heavy Printing Window Month Start], "(Set Type not found)", 0, 1)</f>
        <v/>
      </c>
      <c r="P147" s="3">
        <f>tbl_MTG_Set[[#This Row],[Released On]]+tbl_MTG_Set[[#This Row],[Heavy Printing Window Month Start]]*365.25/12</f>
        <v/>
      </c>
      <c r="Q147">
        <f>_xlfn.XLOOKUP(tbl_MTG_Set[[#This Row],[Type Name]], tbl_MTG_Set_Type[Set Type], tbl_MTG_Set_Type[Heavy Printing Window Month End], "(Set Type not found)", 0, 1)</f>
        <v/>
      </c>
      <c r="R147" s="3">
        <f>tbl_MTG_Set[[#This Row],[Released On]]+tbl_MTG_Set[[#This Row],[Heavy Printing Window Month End]]*365.25/12</f>
        <v/>
      </c>
      <c r="S147" s="3">
        <f>AND(NOW()&gt;=tbl_MTG_Set[[#This Row],[Heavy Printing Window Start]], NOW()&lt;=tbl_MTG_Set[[#This Row],[Heavy Printing Window End]])</f>
        <v/>
      </c>
      <c r="T147">
        <f>_xlfn.XLOOKUP(tbl_MTG_Set[[#This Row],[Type Name]], tbl_MTG_Set_Type[Set Type], tbl_MTG_Set_Type[Sell Window Month Start], "(Set Type not found)", 0, 1)</f>
        <v/>
      </c>
      <c r="U147" s="3">
        <f>tbl_MTG_Set[[#This Row],[Released On]]+tbl_MTG_Set[[#This Row],[Sell Window Month Start]]*365.25/12</f>
        <v/>
      </c>
      <c r="V147">
        <f>_xlfn.XLOOKUP(tbl_MTG_Set[[#This Row],[Type Name]], tbl_MTG_Set_Type[Set Type], tbl_MTG_Set_Type[Sell Window Month End], "(Set Type not found)", 0, 1)</f>
        <v/>
      </c>
      <c r="W147" s="3">
        <f>tbl_MTG_Set[[#This Row],[Released On]]+tbl_MTG_Set[[#This Row],[Sell Window Month End]]*365.25/12</f>
        <v/>
      </c>
      <c r="X147" s="3">
        <f>AND(NOW()&gt;=tbl_MTG_Set[[#This Row],[Sell Window Start]], NOW()&lt;=tbl_MTG_Set[[#This Row],[Sell Window End]])</f>
        <v/>
      </c>
      <c r="AG147" s="10" t="n"/>
      <c r="AH147" s="10" t="n"/>
      <c r="AM147" s="10">
        <f t="array" ref="AM1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7" s="10">
        <f t="array" ref="AN1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7" s="4">
        <f>_xlfn.XLOOKUP(tbl_MTG_Set[[#This Row],[Play Booster Box Product Id]], tbl_Product[Product Id], tbl_Product[Pack Size])</f>
        <v/>
      </c>
      <c r="AP147" s="10">
        <f>(tbl_MTG_Set[[#This Row],[Play Booster Box Cost]]+v_Item_Shipping_Cost_In)/tbl_MTG_Set[[#This Row],[Play Booster Box Size]]</f>
        <v/>
      </c>
      <c r="AQ147" s="10">
        <f t="array" ref="AQ1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7" s="10" t="n"/>
      <c r="AS147" s="10" t="n"/>
      <c r="AT147" s="17">
        <f>tbl_MTG_Set[[#This Row],[Play Booster CardMarket Profit]]/tbl_MTG_Set[[#This Row],[Play Booster Cost]]</f>
        <v/>
      </c>
      <c r="AU147" s="10">
        <f>_xlfn.XLOOKUP(tbl_MTG_Set[[#This Row],[Collector Booster Box Product Id]], tbl_Product[Product Id], tbl_Product[Min Cost])</f>
        <v/>
      </c>
      <c r="AV147" s="10">
        <f>_xlfn.XLOOKUP(tbl_MTG_Set[[#This Row],[Collector Booster Box Product Id]], tbl_Product[Product Id], tbl_Product[Best Source])</f>
        <v/>
      </c>
      <c r="AW147" s="4">
        <f>_xlfn.XLOOKUP(tbl_MTG_Set[[#This Row],[Collector Booster Box Product Id]], tbl_Product[Product Id], tbl_Product[Pack Size])</f>
        <v/>
      </c>
      <c r="AX147" s="10">
        <f>(tbl_MTG_Set[[#This Row],[Collector Booster Box Cost]] + v_Item_Shipping_Cost_In) / tbl_MTG_Set[[#This Row],[Collector Booster Box Size]]</f>
        <v/>
      </c>
      <c r="AY147" s="10">
        <f t="array" ref="AY1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7" s="10" t="n"/>
      <c r="BA1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7" s="17">
        <f>tbl_MTG_Set[[#This Row],[Collector Booster CardMarket Profit]]/tbl_MTG_Set[[#This Row],[Collector Booster Cost]]</f>
        <v/>
      </c>
      <c r="BC147" s="10" t="n"/>
      <c r="BF147" s="10">
        <f>tbl_MTG_Set[[#This Row],[Play Booster Sell Price CardMarket]]*tbl_MTG_Set[[#This Row],[Play Booster Expected Market Value]]/tbl_MTG_Set[[#This Row],[Play Boost Sealed Market Value]]</f>
        <v/>
      </c>
      <c r="BG1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7" s="10">
        <f>tbl_MTG_Set[[#This Row],[Play Singles CardMarket Profit]]/tbl_MTG_Set[[#This Row],[Play Booster Cost]]</f>
        <v/>
      </c>
      <c r="BI147" s="10">
        <f>tbl_MTG_Set[[#This Row],[Play Singles CardMarket Profit]]&gt;0</f>
        <v/>
      </c>
      <c r="BJ147" s="10" t="n"/>
      <c r="BK147" s="10" t="n"/>
      <c r="BL147" s="10">
        <f>tbl_MTG_Set[[#This Row],[Collector Booster Sell Price CardMarket]]*tbl_MTG_Set[[#This Row],[Collector Booster Expected Market Value]]/tbl_MTG_Set[[#This Row],[Collector Boost Sealed Market Value]]</f>
        <v/>
      </c>
      <c r="BM1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7" s="10">
        <f>tbl_MTG_Set[[#This Row],[Collector Singles CardMarket Profit]]/tbl_MTG_Set[[#This Row],[Collector Booster Cost]]</f>
        <v/>
      </c>
      <c r="BO147" s="10">
        <f>tbl_MTG_Set[[#This Row],[Collector Singles CardMarket Profit]]&gt;0</f>
        <v/>
      </c>
      <c r="BP1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8">
      <c r="A148" t="n">
        <v>146</v>
      </c>
      <c r="B148" t="inlineStr">
        <is>
          <t>The Lost Caverns of Ixalan Substitute Cards SLCI</t>
        </is>
      </c>
      <c r="C148" t="n">
        <v>1</v>
      </c>
      <c r="D148" s="3" t="n">
        <v>45247</v>
      </c>
      <c r="E148" t="inlineStr">
        <is>
          <t>Standard Expansion</t>
        </is>
      </c>
      <c r="F148" t="inlineStr">
        <is>
          <t>en es fr de it pt ja ko ru 汉语 漢語</t>
        </is>
      </c>
      <c r="G148" t="n">
        <v>238</v>
      </c>
      <c r="H148">
        <f>MONTH(NOW())+12*YEAR(NOW())-MONTH(tbl_MTG_Set[[#This Row],[Released On]])-12*YEAR(tbl_MTG_Set[[#This Row],[Released On]])</f>
        <v/>
      </c>
      <c r="I148">
        <f>_xlfn.XLOOKUP(tbl_MTG_Set[[#This Row],[Type Name]], tbl_MTG_Set_Type[Set Type], tbl_MTG_Set_Type[Index], "(Set Type not found)")</f>
        <v/>
      </c>
      <c r="J148">
        <f>_xlfn.XLOOKUP(tbl_MTG_Set[[#This Row],[Type Name]], tbl_MTG_Set_Type[Set Type], tbl_MTG_Set_Type[Buy Window Month Start], "(Set Type not found)")</f>
        <v/>
      </c>
      <c r="K148" s="3">
        <f>tbl_MTG_Set[[#This Row],[Released On]]+tbl_MTG_Set[[#This Row],[Buy Window Month Start]]*365.25/12</f>
        <v/>
      </c>
      <c r="L148">
        <f>_xlfn.XLOOKUP(tbl_MTG_Set[[#This Row],[Type Name]], tbl_MTG_Set_Type[Set Type], tbl_MTG_Set_Type[Buy Window Month End], "(Set Type not found)", 0, 1)</f>
        <v/>
      </c>
      <c r="M148" s="3">
        <f>tbl_MTG_Set[[#This Row],[Released On]]+tbl_MTG_Set[[#This Row],[Buy Window Month End]]*365.25/12</f>
        <v/>
      </c>
      <c r="N148" s="3">
        <f>AND(NOW()&gt;=tbl_MTG_Set[[#This Row],[Buy Window Start]], NOW()&lt;=tbl_MTG_Set[[#This Row],[Buy Window End]])</f>
        <v/>
      </c>
      <c r="O148">
        <f>_xlfn.XLOOKUP(tbl_MTG_Set[[#This Row],[Type Name]], tbl_MTG_Set_Type[Set Type], tbl_MTG_Set_Type[Heavy Printing Window Month Start], "(Set Type not found)", 0, 1)</f>
        <v/>
      </c>
      <c r="P148" s="3">
        <f>tbl_MTG_Set[[#This Row],[Released On]]+tbl_MTG_Set[[#This Row],[Heavy Printing Window Month Start]]*365.25/12</f>
        <v/>
      </c>
      <c r="Q148">
        <f>_xlfn.XLOOKUP(tbl_MTG_Set[[#This Row],[Type Name]], tbl_MTG_Set_Type[Set Type], tbl_MTG_Set_Type[Heavy Printing Window Month End], "(Set Type not found)", 0, 1)</f>
        <v/>
      </c>
      <c r="R148" s="3">
        <f>tbl_MTG_Set[[#This Row],[Released On]]+tbl_MTG_Set[[#This Row],[Heavy Printing Window Month End]]*365.25/12</f>
        <v/>
      </c>
      <c r="S148" s="3">
        <f>AND(NOW()&gt;=tbl_MTG_Set[[#This Row],[Heavy Printing Window Start]], NOW()&lt;=tbl_MTG_Set[[#This Row],[Heavy Printing Window End]])</f>
        <v/>
      </c>
      <c r="T148">
        <f>_xlfn.XLOOKUP(tbl_MTG_Set[[#This Row],[Type Name]], tbl_MTG_Set_Type[Set Type], tbl_MTG_Set_Type[Sell Window Month Start], "(Set Type not found)", 0, 1)</f>
        <v/>
      </c>
      <c r="U148" s="3">
        <f>tbl_MTG_Set[[#This Row],[Released On]]+tbl_MTG_Set[[#This Row],[Sell Window Month Start]]*365.25/12</f>
        <v/>
      </c>
      <c r="V148">
        <f>_xlfn.XLOOKUP(tbl_MTG_Set[[#This Row],[Type Name]], tbl_MTG_Set_Type[Set Type], tbl_MTG_Set_Type[Sell Window Month End], "(Set Type not found)", 0, 1)</f>
        <v/>
      </c>
      <c r="W148" s="3">
        <f>tbl_MTG_Set[[#This Row],[Released On]]+tbl_MTG_Set[[#This Row],[Sell Window Month End]]*365.25/12</f>
        <v/>
      </c>
      <c r="X148" s="3">
        <f>AND(NOW()&gt;=tbl_MTG_Set[[#This Row],[Sell Window Start]], NOW()&lt;=tbl_MTG_Set[[#This Row],[Sell Window End]])</f>
        <v/>
      </c>
      <c r="AG148" s="10" t="n"/>
      <c r="AH148" s="10" t="n"/>
      <c r="AM148" s="10">
        <f t="array" ref="AM1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8" s="10">
        <f t="array" ref="AN1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8" s="4">
        <f>_xlfn.XLOOKUP(tbl_MTG_Set[[#This Row],[Play Booster Box Product Id]], tbl_Product[Product Id], tbl_Product[Pack Size])</f>
        <v/>
      </c>
      <c r="AP148" s="10">
        <f>(tbl_MTG_Set[[#This Row],[Play Booster Box Cost]]+v_Item_Shipping_Cost_In)/tbl_MTG_Set[[#This Row],[Play Booster Box Size]]</f>
        <v/>
      </c>
      <c r="AQ148" s="10">
        <f t="array" ref="AQ1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8" s="10" t="n"/>
      <c r="AS148" s="10" t="n"/>
      <c r="AT148" s="17">
        <f>tbl_MTG_Set[[#This Row],[Play Booster CardMarket Profit]]/tbl_MTG_Set[[#This Row],[Play Booster Cost]]</f>
        <v/>
      </c>
      <c r="AU148" s="10">
        <f>_xlfn.XLOOKUP(tbl_MTG_Set[[#This Row],[Collector Booster Box Product Id]], tbl_Product[Product Id], tbl_Product[Min Cost])</f>
        <v/>
      </c>
      <c r="AV148" s="10">
        <f>_xlfn.XLOOKUP(tbl_MTG_Set[[#This Row],[Collector Booster Box Product Id]], tbl_Product[Product Id], tbl_Product[Best Source])</f>
        <v/>
      </c>
      <c r="AW148" s="4">
        <f>_xlfn.XLOOKUP(tbl_MTG_Set[[#This Row],[Collector Booster Box Product Id]], tbl_Product[Product Id], tbl_Product[Pack Size])</f>
        <v/>
      </c>
      <c r="AX148" s="10">
        <f>(tbl_MTG_Set[[#This Row],[Collector Booster Box Cost]] + v_Item_Shipping_Cost_In) / tbl_MTG_Set[[#This Row],[Collector Booster Box Size]]</f>
        <v/>
      </c>
      <c r="AY148" s="10">
        <f t="array" ref="AY1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8" s="10" t="n"/>
      <c r="BA1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8" s="17">
        <f>tbl_MTG_Set[[#This Row],[Collector Booster CardMarket Profit]]/tbl_MTG_Set[[#This Row],[Collector Booster Cost]]</f>
        <v/>
      </c>
      <c r="BC148" s="10" t="n"/>
      <c r="BF148" s="10">
        <f>tbl_MTG_Set[[#This Row],[Play Booster Sell Price CardMarket]]*tbl_MTG_Set[[#This Row],[Play Booster Expected Market Value]]/tbl_MTG_Set[[#This Row],[Play Boost Sealed Market Value]]</f>
        <v/>
      </c>
      <c r="BG1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8" s="10">
        <f>tbl_MTG_Set[[#This Row],[Play Singles CardMarket Profit]]/tbl_MTG_Set[[#This Row],[Play Booster Cost]]</f>
        <v/>
      </c>
      <c r="BI148" s="10">
        <f>tbl_MTG_Set[[#This Row],[Play Singles CardMarket Profit]]&gt;0</f>
        <v/>
      </c>
      <c r="BJ148" s="10" t="n"/>
      <c r="BK148" s="10" t="n"/>
      <c r="BL148" s="10">
        <f>tbl_MTG_Set[[#This Row],[Collector Booster Sell Price CardMarket]]*tbl_MTG_Set[[#This Row],[Collector Booster Expected Market Value]]/tbl_MTG_Set[[#This Row],[Collector Boost Sealed Market Value]]</f>
        <v/>
      </c>
      <c r="BM1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8" s="10">
        <f>tbl_MTG_Set[[#This Row],[Collector Singles CardMarket Profit]]/tbl_MTG_Set[[#This Row],[Collector Booster Cost]]</f>
        <v/>
      </c>
      <c r="BO148" s="10">
        <f>tbl_MTG_Set[[#This Row],[Collector Singles CardMarket Profit]]&gt;0</f>
        <v/>
      </c>
      <c r="BP1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9">
      <c r="A149" t="n">
        <v>147</v>
      </c>
      <c r="B149" t="inlineStr">
        <is>
          <t>Jurassic World Collection REX</t>
        </is>
      </c>
      <c r="C149" t="n">
        <v>45</v>
      </c>
      <c r="D149" s="3" t="n">
        <v>45247</v>
      </c>
      <c r="E149" t="inlineStr">
        <is>
          <t>Universes Beyond</t>
        </is>
      </c>
      <c r="F149" t="inlineStr">
        <is>
          <t>en es fr de it pt ja ko ru 汉语 漢語</t>
        </is>
      </c>
      <c r="G149" t="n">
        <v>240</v>
      </c>
      <c r="H149">
        <f>MONTH(NOW())+12*YEAR(NOW())-MONTH(tbl_MTG_Set[[#This Row],[Released On]])-12*YEAR(tbl_MTG_Set[[#This Row],[Released On]])</f>
        <v/>
      </c>
      <c r="I149">
        <f>_xlfn.XLOOKUP(tbl_MTG_Set[[#This Row],[Type Name]], tbl_MTG_Set_Type[Set Type], tbl_MTG_Set_Type[Index], "(Set Type not found)")</f>
        <v/>
      </c>
      <c r="J149">
        <f>_xlfn.XLOOKUP(tbl_MTG_Set[[#This Row],[Type Name]], tbl_MTG_Set_Type[Set Type], tbl_MTG_Set_Type[Buy Window Month Start], "(Set Type not found)")</f>
        <v/>
      </c>
      <c r="K149" s="3">
        <f>tbl_MTG_Set[[#This Row],[Released On]]+tbl_MTG_Set[[#This Row],[Buy Window Month Start]]*365.25/12</f>
        <v/>
      </c>
      <c r="L149">
        <f>_xlfn.XLOOKUP(tbl_MTG_Set[[#This Row],[Type Name]], tbl_MTG_Set_Type[Set Type], tbl_MTG_Set_Type[Buy Window Month End], "(Set Type not found)", 0, 1)</f>
        <v/>
      </c>
      <c r="M149" s="3">
        <f>tbl_MTG_Set[[#This Row],[Released On]]+tbl_MTG_Set[[#This Row],[Buy Window Month End]]*365.25/12</f>
        <v/>
      </c>
      <c r="N149" s="3">
        <f>AND(NOW()&gt;=tbl_MTG_Set[[#This Row],[Buy Window Start]], NOW()&lt;=tbl_MTG_Set[[#This Row],[Buy Window End]])</f>
        <v/>
      </c>
      <c r="O149">
        <f>_xlfn.XLOOKUP(tbl_MTG_Set[[#This Row],[Type Name]], tbl_MTG_Set_Type[Set Type], tbl_MTG_Set_Type[Heavy Printing Window Month Start], "(Set Type not found)", 0, 1)</f>
        <v/>
      </c>
      <c r="P149" s="3">
        <f>tbl_MTG_Set[[#This Row],[Released On]]+tbl_MTG_Set[[#This Row],[Heavy Printing Window Month Start]]*365.25/12</f>
        <v/>
      </c>
      <c r="Q149">
        <f>_xlfn.XLOOKUP(tbl_MTG_Set[[#This Row],[Type Name]], tbl_MTG_Set_Type[Set Type], tbl_MTG_Set_Type[Heavy Printing Window Month End], "(Set Type not found)", 0, 1)</f>
        <v/>
      </c>
      <c r="R149" s="3">
        <f>tbl_MTG_Set[[#This Row],[Released On]]+tbl_MTG_Set[[#This Row],[Heavy Printing Window Month End]]*365.25/12</f>
        <v/>
      </c>
      <c r="S149" s="3">
        <f>AND(NOW()&gt;=tbl_MTG_Set[[#This Row],[Heavy Printing Window Start]], NOW()&lt;=tbl_MTG_Set[[#This Row],[Heavy Printing Window End]])</f>
        <v/>
      </c>
      <c r="T149">
        <f>_xlfn.XLOOKUP(tbl_MTG_Set[[#This Row],[Type Name]], tbl_MTG_Set_Type[Set Type], tbl_MTG_Set_Type[Sell Window Month Start], "(Set Type not found)", 0, 1)</f>
        <v/>
      </c>
      <c r="U149" s="3">
        <f>tbl_MTG_Set[[#This Row],[Released On]]+tbl_MTG_Set[[#This Row],[Sell Window Month Start]]*365.25/12</f>
        <v/>
      </c>
      <c r="V149">
        <f>_xlfn.XLOOKUP(tbl_MTG_Set[[#This Row],[Type Name]], tbl_MTG_Set_Type[Set Type], tbl_MTG_Set_Type[Sell Window Month End], "(Set Type not found)", 0, 1)</f>
        <v/>
      </c>
      <c r="W149" s="3">
        <f>tbl_MTG_Set[[#This Row],[Released On]]+tbl_MTG_Set[[#This Row],[Sell Window Month End]]*365.25/12</f>
        <v/>
      </c>
      <c r="X149" s="3">
        <f>AND(NOW()&gt;=tbl_MTG_Set[[#This Row],[Sell Window Start]], NOW()&lt;=tbl_MTG_Set[[#This Row],[Sell Window End]])</f>
        <v/>
      </c>
      <c r="AG149" s="10" t="n"/>
      <c r="AH149" s="10" t="n"/>
      <c r="AM149" s="10">
        <f t="array" ref="AM1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9" s="10">
        <f t="array" ref="AN1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9" s="4">
        <f>_xlfn.XLOOKUP(tbl_MTG_Set[[#This Row],[Play Booster Box Product Id]], tbl_Product[Product Id], tbl_Product[Pack Size])</f>
        <v/>
      </c>
      <c r="AP149" s="10">
        <f>(tbl_MTG_Set[[#This Row],[Play Booster Box Cost]]+v_Item_Shipping_Cost_In)/tbl_MTG_Set[[#This Row],[Play Booster Box Size]]</f>
        <v/>
      </c>
      <c r="AQ149" s="10">
        <f t="array" ref="AQ1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49" s="10" t="n"/>
      <c r="AS149" s="10" t="n"/>
      <c r="AT149" s="17">
        <f>tbl_MTG_Set[[#This Row],[Play Booster CardMarket Profit]]/tbl_MTG_Set[[#This Row],[Play Booster Cost]]</f>
        <v/>
      </c>
      <c r="AU149" s="10">
        <f>_xlfn.XLOOKUP(tbl_MTG_Set[[#This Row],[Collector Booster Box Product Id]], tbl_Product[Product Id], tbl_Product[Min Cost])</f>
        <v/>
      </c>
      <c r="AV149" s="10">
        <f>_xlfn.XLOOKUP(tbl_MTG_Set[[#This Row],[Collector Booster Box Product Id]], tbl_Product[Product Id], tbl_Product[Best Source])</f>
        <v/>
      </c>
      <c r="AW149" s="4">
        <f>_xlfn.XLOOKUP(tbl_MTG_Set[[#This Row],[Collector Booster Box Product Id]], tbl_Product[Product Id], tbl_Product[Pack Size])</f>
        <v/>
      </c>
      <c r="AX149" s="10">
        <f>(tbl_MTG_Set[[#This Row],[Collector Booster Box Cost]] + v_Item_Shipping_Cost_In) / tbl_MTG_Set[[#This Row],[Collector Booster Box Size]]</f>
        <v/>
      </c>
      <c r="AY149" s="10">
        <f t="array" ref="AY1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49" s="10" t="n"/>
      <c r="BA1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9" s="17">
        <f>tbl_MTG_Set[[#This Row],[Collector Booster CardMarket Profit]]/tbl_MTG_Set[[#This Row],[Collector Booster Cost]]</f>
        <v/>
      </c>
      <c r="BC149" s="10" t="n"/>
      <c r="BF149" s="10">
        <f>tbl_MTG_Set[[#This Row],[Play Booster Sell Price CardMarket]]*tbl_MTG_Set[[#This Row],[Play Booster Expected Market Value]]/tbl_MTG_Set[[#This Row],[Play Boost Sealed Market Value]]</f>
        <v/>
      </c>
      <c r="BG1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9" s="10">
        <f>tbl_MTG_Set[[#This Row],[Play Singles CardMarket Profit]]/tbl_MTG_Set[[#This Row],[Play Booster Cost]]</f>
        <v/>
      </c>
      <c r="BI149" s="10">
        <f>tbl_MTG_Set[[#This Row],[Play Singles CardMarket Profit]]&gt;0</f>
        <v/>
      </c>
      <c r="BJ149" s="10" t="n"/>
      <c r="BK149" s="10" t="n"/>
      <c r="BL149" s="10">
        <f>tbl_MTG_Set[[#This Row],[Collector Booster Sell Price CardMarket]]*tbl_MTG_Set[[#This Row],[Collector Booster Expected Market Value]]/tbl_MTG_Set[[#This Row],[Collector Boost Sealed Market Value]]</f>
        <v/>
      </c>
      <c r="BM1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9" s="10">
        <f>tbl_MTG_Set[[#This Row],[Collector Singles CardMarket Profit]]/tbl_MTG_Set[[#This Row],[Collector Booster Cost]]</f>
        <v/>
      </c>
      <c r="BO149" s="10">
        <f>tbl_MTG_Set[[#This Row],[Collector Singles CardMarket Profit]]&gt;0</f>
        <v/>
      </c>
      <c r="BP1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0">
      <c r="A150" t="n">
        <v>148</v>
      </c>
      <c r="B150" t="inlineStr">
        <is>
          <t>Jurassic World Collection Tokens TREX</t>
        </is>
      </c>
      <c r="C150" t="n">
        <v>2</v>
      </c>
      <c r="D150" s="3" t="n">
        <v>45247</v>
      </c>
      <c r="E150" t="inlineStr">
        <is>
          <t>Universes Beyond</t>
        </is>
      </c>
      <c r="F150" t="inlineStr">
        <is>
          <t>en es fr de it pt ja ko ru 汉语 漢語</t>
        </is>
      </c>
      <c r="G150" t="n">
        <v>242</v>
      </c>
      <c r="H150">
        <f>MONTH(NOW())+12*YEAR(NOW())-MONTH(tbl_MTG_Set[[#This Row],[Released On]])-12*YEAR(tbl_MTG_Set[[#This Row],[Released On]])</f>
        <v/>
      </c>
      <c r="I150">
        <f>_xlfn.XLOOKUP(tbl_MTG_Set[[#This Row],[Type Name]], tbl_MTG_Set_Type[Set Type], tbl_MTG_Set_Type[Index], "(Set Type not found)")</f>
        <v/>
      </c>
      <c r="J150">
        <f>_xlfn.XLOOKUP(tbl_MTG_Set[[#This Row],[Type Name]], tbl_MTG_Set_Type[Set Type], tbl_MTG_Set_Type[Buy Window Month Start], "(Set Type not found)")</f>
        <v/>
      </c>
      <c r="K150" s="3">
        <f>tbl_MTG_Set[[#This Row],[Released On]]+tbl_MTG_Set[[#This Row],[Buy Window Month Start]]*365.25/12</f>
        <v/>
      </c>
      <c r="L150">
        <f>_xlfn.XLOOKUP(tbl_MTG_Set[[#This Row],[Type Name]], tbl_MTG_Set_Type[Set Type], tbl_MTG_Set_Type[Buy Window Month End], "(Set Type not found)", 0, 1)</f>
        <v/>
      </c>
      <c r="M150" s="3">
        <f>tbl_MTG_Set[[#This Row],[Released On]]+tbl_MTG_Set[[#This Row],[Buy Window Month End]]*365.25/12</f>
        <v/>
      </c>
      <c r="N150" s="3">
        <f>AND(NOW()&gt;=tbl_MTG_Set[[#This Row],[Buy Window Start]], NOW()&lt;=tbl_MTG_Set[[#This Row],[Buy Window End]])</f>
        <v/>
      </c>
      <c r="O150">
        <f>_xlfn.XLOOKUP(tbl_MTG_Set[[#This Row],[Type Name]], tbl_MTG_Set_Type[Set Type], tbl_MTG_Set_Type[Heavy Printing Window Month Start], "(Set Type not found)", 0, 1)</f>
        <v/>
      </c>
      <c r="P150" s="3">
        <f>tbl_MTG_Set[[#This Row],[Released On]]+tbl_MTG_Set[[#This Row],[Heavy Printing Window Month Start]]*365.25/12</f>
        <v/>
      </c>
      <c r="Q150">
        <f>_xlfn.XLOOKUP(tbl_MTG_Set[[#This Row],[Type Name]], tbl_MTG_Set_Type[Set Type], tbl_MTG_Set_Type[Heavy Printing Window Month End], "(Set Type not found)", 0, 1)</f>
        <v/>
      </c>
      <c r="R150" s="3">
        <f>tbl_MTG_Set[[#This Row],[Released On]]+tbl_MTG_Set[[#This Row],[Heavy Printing Window Month End]]*365.25/12</f>
        <v/>
      </c>
      <c r="S150" s="3">
        <f>AND(NOW()&gt;=tbl_MTG_Set[[#This Row],[Heavy Printing Window Start]], NOW()&lt;=tbl_MTG_Set[[#This Row],[Heavy Printing Window End]])</f>
        <v/>
      </c>
      <c r="T150">
        <f>_xlfn.XLOOKUP(tbl_MTG_Set[[#This Row],[Type Name]], tbl_MTG_Set_Type[Set Type], tbl_MTG_Set_Type[Sell Window Month Start], "(Set Type not found)", 0, 1)</f>
        <v/>
      </c>
      <c r="U150" s="3">
        <f>tbl_MTG_Set[[#This Row],[Released On]]+tbl_MTG_Set[[#This Row],[Sell Window Month Start]]*365.25/12</f>
        <v/>
      </c>
      <c r="V150">
        <f>_xlfn.XLOOKUP(tbl_MTG_Set[[#This Row],[Type Name]], tbl_MTG_Set_Type[Set Type], tbl_MTG_Set_Type[Sell Window Month End], "(Set Type not found)", 0, 1)</f>
        <v/>
      </c>
      <c r="W150" s="3">
        <f>tbl_MTG_Set[[#This Row],[Released On]]+tbl_MTG_Set[[#This Row],[Sell Window Month End]]*365.25/12</f>
        <v/>
      </c>
      <c r="X150" s="3">
        <f>AND(NOW()&gt;=tbl_MTG_Set[[#This Row],[Sell Window Start]], NOW()&lt;=tbl_MTG_Set[[#This Row],[Sell Window End]])</f>
        <v/>
      </c>
      <c r="AG150" s="10" t="n"/>
      <c r="AH150" s="10" t="n"/>
      <c r="AM150" s="10">
        <f t="array" ref="AM1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0" s="10">
        <f t="array" ref="AN1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0" s="4">
        <f>_xlfn.XLOOKUP(tbl_MTG_Set[[#This Row],[Play Booster Box Product Id]], tbl_Product[Product Id], tbl_Product[Pack Size])</f>
        <v/>
      </c>
      <c r="AP150" s="10">
        <f>(tbl_MTG_Set[[#This Row],[Play Booster Box Cost]]+v_Item_Shipping_Cost_In)/tbl_MTG_Set[[#This Row],[Play Booster Box Size]]</f>
        <v/>
      </c>
      <c r="AQ150" s="10">
        <f t="array" ref="AQ1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0" s="10" t="n"/>
      <c r="AS150" s="10" t="n"/>
      <c r="AT150" s="17">
        <f>tbl_MTG_Set[[#This Row],[Play Booster CardMarket Profit]]/tbl_MTG_Set[[#This Row],[Play Booster Cost]]</f>
        <v/>
      </c>
      <c r="AU150" s="10">
        <f>_xlfn.XLOOKUP(tbl_MTG_Set[[#This Row],[Collector Booster Box Product Id]], tbl_Product[Product Id], tbl_Product[Min Cost])</f>
        <v/>
      </c>
      <c r="AV150" s="10">
        <f>_xlfn.XLOOKUP(tbl_MTG_Set[[#This Row],[Collector Booster Box Product Id]], tbl_Product[Product Id], tbl_Product[Best Source])</f>
        <v/>
      </c>
      <c r="AW150" s="4">
        <f>_xlfn.XLOOKUP(tbl_MTG_Set[[#This Row],[Collector Booster Box Product Id]], tbl_Product[Product Id], tbl_Product[Pack Size])</f>
        <v/>
      </c>
      <c r="AX150" s="10">
        <f>(tbl_MTG_Set[[#This Row],[Collector Booster Box Cost]] + v_Item_Shipping_Cost_In) / tbl_MTG_Set[[#This Row],[Collector Booster Box Size]]</f>
        <v/>
      </c>
      <c r="AY150" s="10">
        <f t="array" ref="AY1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0" s="10" t="n"/>
      <c r="BA1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0" s="17">
        <f>tbl_MTG_Set[[#This Row],[Collector Booster CardMarket Profit]]/tbl_MTG_Set[[#This Row],[Collector Booster Cost]]</f>
        <v/>
      </c>
      <c r="BC150" s="10" t="n"/>
      <c r="BF150" s="10">
        <f>tbl_MTG_Set[[#This Row],[Play Booster Sell Price CardMarket]]*tbl_MTG_Set[[#This Row],[Play Booster Expected Market Value]]/tbl_MTG_Set[[#This Row],[Play Boost Sealed Market Value]]</f>
        <v/>
      </c>
      <c r="BG1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0" s="10">
        <f>tbl_MTG_Set[[#This Row],[Play Singles CardMarket Profit]]/tbl_MTG_Set[[#This Row],[Play Booster Cost]]</f>
        <v/>
      </c>
      <c r="BI150" s="10">
        <f>tbl_MTG_Set[[#This Row],[Play Singles CardMarket Profit]]&gt;0</f>
        <v/>
      </c>
      <c r="BJ150" s="10" t="n"/>
      <c r="BK150" s="10" t="n"/>
      <c r="BL150" s="10">
        <f>tbl_MTG_Set[[#This Row],[Collector Booster Sell Price CardMarket]]*tbl_MTG_Set[[#This Row],[Collector Booster Expected Market Value]]/tbl_MTG_Set[[#This Row],[Collector Boost Sealed Market Value]]</f>
        <v/>
      </c>
      <c r="BM1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0" s="10">
        <f>tbl_MTG_Set[[#This Row],[Collector Singles CardMarket Profit]]/tbl_MTG_Set[[#This Row],[Collector Booster Cost]]</f>
        <v/>
      </c>
      <c r="BO150" s="10">
        <f>tbl_MTG_Set[[#This Row],[Collector Singles CardMarket Profit]]&gt;0</f>
        <v/>
      </c>
      <c r="BP1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1">
      <c r="A151" t="n">
        <v>149</v>
      </c>
      <c r="B151" t="inlineStr">
        <is>
          <t>The Lost Caverns of Ixalan Commander LCC</t>
        </is>
      </c>
      <c r="C151" t="n">
        <v>370</v>
      </c>
      <c r="D151" s="3" t="n">
        <v>45247</v>
      </c>
      <c r="E151" t="inlineStr">
        <is>
          <t>Commander</t>
        </is>
      </c>
      <c r="F151" t="inlineStr">
        <is>
          <t>en es fr de it pt ja ko ru 汉语 漢語</t>
        </is>
      </c>
      <c r="G151" t="n">
        <v>244</v>
      </c>
      <c r="H151">
        <f>MONTH(NOW())+12*YEAR(NOW())-MONTH(tbl_MTG_Set[[#This Row],[Released On]])-12*YEAR(tbl_MTG_Set[[#This Row],[Released On]])</f>
        <v/>
      </c>
      <c r="I151">
        <f>_xlfn.XLOOKUP(tbl_MTG_Set[[#This Row],[Type Name]], tbl_MTG_Set_Type[Set Type], tbl_MTG_Set_Type[Index], "(Set Type not found)")</f>
        <v/>
      </c>
      <c r="J151">
        <f>_xlfn.XLOOKUP(tbl_MTG_Set[[#This Row],[Type Name]], tbl_MTG_Set_Type[Set Type], tbl_MTG_Set_Type[Buy Window Month Start], "(Set Type not found)")</f>
        <v/>
      </c>
      <c r="K151" s="3">
        <f>tbl_MTG_Set[[#This Row],[Released On]]+tbl_MTG_Set[[#This Row],[Buy Window Month Start]]*365.25/12</f>
        <v/>
      </c>
      <c r="L151">
        <f>_xlfn.XLOOKUP(tbl_MTG_Set[[#This Row],[Type Name]], tbl_MTG_Set_Type[Set Type], tbl_MTG_Set_Type[Buy Window Month End], "(Set Type not found)", 0, 1)</f>
        <v/>
      </c>
      <c r="M151" s="3">
        <f>tbl_MTG_Set[[#This Row],[Released On]]+tbl_MTG_Set[[#This Row],[Buy Window Month End]]*365.25/12</f>
        <v/>
      </c>
      <c r="N151" s="3">
        <f>AND(NOW()&gt;=tbl_MTG_Set[[#This Row],[Buy Window Start]], NOW()&lt;=tbl_MTG_Set[[#This Row],[Buy Window End]])</f>
        <v/>
      </c>
      <c r="O151">
        <f>_xlfn.XLOOKUP(tbl_MTG_Set[[#This Row],[Type Name]], tbl_MTG_Set_Type[Set Type], tbl_MTG_Set_Type[Heavy Printing Window Month Start], "(Set Type not found)", 0, 1)</f>
        <v/>
      </c>
      <c r="P151" s="3">
        <f>tbl_MTG_Set[[#This Row],[Released On]]+tbl_MTG_Set[[#This Row],[Heavy Printing Window Month Start]]*365.25/12</f>
        <v/>
      </c>
      <c r="Q151">
        <f>_xlfn.XLOOKUP(tbl_MTG_Set[[#This Row],[Type Name]], tbl_MTG_Set_Type[Set Type], tbl_MTG_Set_Type[Heavy Printing Window Month End], "(Set Type not found)", 0, 1)</f>
        <v/>
      </c>
      <c r="R151" s="3">
        <f>tbl_MTG_Set[[#This Row],[Released On]]+tbl_MTG_Set[[#This Row],[Heavy Printing Window Month End]]*365.25/12</f>
        <v/>
      </c>
      <c r="S151" s="3">
        <f>AND(NOW()&gt;=tbl_MTG_Set[[#This Row],[Heavy Printing Window Start]], NOW()&lt;=tbl_MTG_Set[[#This Row],[Heavy Printing Window End]])</f>
        <v/>
      </c>
      <c r="T151">
        <f>_xlfn.XLOOKUP(tbl_MTG_Set[[#This Row],[Type Name]], tbl_MTG_Set_Type[Set Type], tbl_MTG_Set_Type[Sell Window Month Start], "(Set Type not found)", 0, 1)</f>
        <v/>
      </c>
      <c r="U151" s="3">
        <f>tbl_MTG_Set[[#This Row],[Released On]]+tbl_MTG_Set[[#This Row],[Sell Window Month Start]]*365.25/12</f>
        <v/>
      </c>
      <c r="V151">
        <f>_xlfn.XLOOKUP(tbl_MTG_Set[[#This Row],[Type Name]], tbl_MTG_Set_Type[Set Type], tbl_MTG_Set_Type[Sell Window Month End], "(Set Type not found)", 0, 1)</f>
        <v/>
      </c>
      <c r="W151" s="3">
        <f>tbl_MTG_Set[[#This Row],[Released On]]+tbl_MTG_Set[[#This Row],[Sell Window Month End]]*365.25/12</f>
        <v/>
      </c>
      <c r="X151" s="3">
        <f>AND(NOW()&gt;=tbl_MTG_Set[[#This Row],[Sell Window Start]], NOW()&lt;=tbl_MTG_Set[[#This Row],[Sell Window End]])</f>
        <v/>
      </c>
      <c r="AG151" s="10" t="n"/>
      <c r="AH151" s="10" t="n"/>
      <c r="AM151" s="10">
        <f t="array" ref="AM1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1" s="10">
        <f t="array" ref="AN1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1" s="4">
        <f>_xlfn.XLOOKUP(tbl_MTG_Set[[#This Row],[Play Booster Box Product Id]], tbl_Product[Product Id], tbl_Product[Pack Size])</f>
        <v/>
      </c>
      <c r="AP151" s="10">
        <f>(tbl_MTG_Set[[#This Row],[Play Booster Box Cost]]+v_Item_Shipping_Cost_In)/tbl_MTG_Set[[#This Row],[Play Booster Box Size]]</f>
        <v/>
      </c>
      <c r="AQ151" s="10">
        <f t="array" ref="AQ1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1" s="10" t="n"/>
      <c r="AS151" s="10" t="n"/>
      <c r="AT151" s="17">
        <f>tbl_MTG_Set[[#This Row],[Play Booster CardMarket Profit]]/tbl_MTG_Set[[#This Row],[Play Booster Cost]]</f>
        <v/>
      </c>
      <c r="AU151" s="10">
        <f>_xlfn.XLOOKUP(tbl_MTG_Set[[#This Row],[Collector Booster Box Product Id]], tbl_Product[Product Id], tbl_Product[Min Cost])</f>
        <v/>
      </c>
      <c r="AV151" s="10">
        <f>_xlfn.XLOOKUP(tbl_MTG_Set[[#This Row],[Collector Booster Box Product Id]], tbl_Product[Product Id], tbl_Product[Best Source])</f>
        <v/>
      </c>
      <c r="AW151" s="4">
        <f>_xlfn.XLOOKUP(tbl_MTG_Set[[#This Row],[Collector Booster Box Product Id]], tbl_Product[Product Id], tbl_Product[Pack Size])</f>
        <v/>
      </c>
      <c r="AX151" s="10">
        <f>(tbl_MTG_Set[[#This Row],[Collector Booster Box Cost]] + v_Item_Shipping_Cost_In) / tbl_MTG_Set[[#This Row],[Collector Booster Box Size]]</f>
        <v/>
      </c>
      <c r="AY151" s="10">
        <f t="array" ref="AY1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1" s="10" t="n"/>
      <c r="BA1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1" s="17">
        <f>tbl_MTG_Set[[#This Row],[Collector Booster CardMarket Profit]]/tbl_MTG_Set[[#This Row],[Collector Booster Cost]]</f>
        <v/>
      </c>
      <c r="BC151" s="10" t="n"/>
      <c r="BF151" s="10">
        <f>tbl_MTG_Set[[#This Row],[Play Booster Sell Price CardMarket]]*tbl_MTG_Set[[#This Row],[Play Booster Expected Market Value]]/tbl_MTG_Set[[#This Row],[Play Boost Sealed Market Value]]</f>
        <v/>
      </c>
      <c r="BG1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1" s="10">
        <f>tbl_MTG_Set[[#This Row],[Play Singles CardMarket Profit]]/tbl_MTG_Set[[#This Row],[Play Booster Cost]]</f>
        <v/>
      </c>
      <c r="BI151" s="10">
        <f>tbl_MTG_Set[[#This Row],[Play Singles CardMarket Profit]]&gt;0</f>
        <v/>
      </c>
      <c r="BJ151" s="10" t="n"/>
      <c r="BK151" s="10" t="n"/>
      <c r="BL151" s="10">
        <f>tbl_MTG_Set[[#This Row],[Collector Booster Sell Price CardMarket]]*tbl_MTG_Set[[#This Row],[Collector Booster Expected Market Value]]/tbl_MTG_Set[[#This Row],[Collector Boost Sealed Market Value]]</f>
        <v/>
      </c>
      <c r="BM1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1" s="10">
        <f>tbl_MTG_Set[[#This Row],[Collector Singles CardMarket Profit]]/tbl_MTG_Set[[#This Row],[Collector Booster Cost]]</f>
        <v/>
      </c>
      <c r="BO151" s="10">
        <f>tbl_MTG_Set[[#This Row],[Collector Singles CardMarket Profit]]&gt;0</f>
        <v/>
      </c>
      <c r="BP1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2">
      <c r="A152" t="n">
        <v>150</v>
      </c>
      <c r="B152" t="inlineStr">
        <is>
          <t>The Lost Caverns of Ixalan Commander Tokens TLCC</t>
        </is>
      </c>
      <c r="C152" t="n">
        <v>18</v>
      </c>
      <c r="D152" s="3" t="n">
        <v>45247</v>
      </c>
      <c r="E152" t="inlineStr">
        <is>
          <t>Commander</t>
        </is>
      </c>
      <c r="F152" t="inlineStr">
        <is>
          <t>en es fr de it pt ja ko ru 汉语 漢語</t>
        </is>
      </c>
      <c r="G152" t="n">
        <v>246</v>
      </c>
      <c r="H152">
        <f>MONTH(NOW())+12*YEAR(NOW())-MONTH(tbl_MTG_Set[[#This Row],[Released On]])-12*YEAR(tbl_MTG_Set[[#This Row],[Released On]])</f>
        <v/>
      </c>
      <c r="I152">
        <f>_xlfn.XLOOKUP(tbl_MTG_Set[[#This Row],[Type Name]], tbl_MTG_Set_Type[Set Type], tbl_MTG_Set_Type[Index], "(Set Type not found)")</f>
        <v/>
      </c>
      <c r="J152">
        <f>_xlfn.XLOOKUP(tbl_MTG_Set[[#This Row],[Type Name]], tbl_MTG_Set_Type[Set Type], tbl_MTG_Set_Type[Buy Window Month Start], "(Set Type not found)")</f>
        <v/>
      </c>
      <c r="K152" s="3">
        <f>tbl_MTG_Set[[#This Row],[Released On]]+tbl_MTG_Set[[#This Row],[Buy Window Month Start]]*365.25/12</f>
        <v/>
      </c>
      <c r="L152">
        <f>_xlfn.XLOOKUP(tbl_MTG_Set[[#This Row],[Type Name]], tbl_MTG_Set_Type[Set Type], tbl_MTG_Set_Type[Buy Window Month End], "(Set Type not found)", 0, 1)</f>
        <v/>
      </c>
      <c r="M152" s="3">
        <f>tbl_MTG_Set[[#This Row],[Released On]]+tbl_MTG_Set[[#This Row],[Buy Window Month End]]*365.25/12</f>
        <v/>
      </c>
      <c r="N152" s="3">
        <f>AND(NOW()&gt;=tbl_MTG_Set[[#This Row],[Buy Window Start]], NOW()&lt;=tbl_MTG_Set[[#This Row],[Buy Window End]])</f>
        <v/>
      </c>
      <c r="O152">
        <f>_xlfn.XLOOKUP(tbl_MTG_Set[[#This Row],[Type Name]], tbl_MTG_Set_Type[Set Type], tbl_MTG_Set_Type[Heavy Printing Window Month Start], "(Set Type not found)", 0, 1)</f>
        <v/>
      </c>
      <c r="P152" s="3">
        <f>tbl_MTG_Set[[#This Row],[Released On]]+tbl_MTG_Set[[#This Row],[Heavy Printing Window Month Start]]*365.25/12</f>
        <v/>
      </c>
      <c r="Q152">
        <f>_xlfn.XLOOKUP(tbl_MTG_Set[[#This Row],[Type Name]], tbl_MTG_Set_Type[Set Type], tbl_MTG_Set_Type[Heavy Printing Window Month End], "(Set Type not found)", 0, 1)</f>
        <v/>
      </c>
      <c r="R152" s="3">
        <f>tbl_MTG_Set[[#This Row],[Released On]]+tbl_MTG_Set[[#This Row],[Heavy Printing Window Month End]]*365.25/12</f>
        <v/>
      </c>
      <c r="S152" s="3">
        <f>AND(NOW()&gt;=tbl_MTG_Set[[#This Row],[Heavy Printing Window Start]], NOW()&lt;=tbl_MTG_Set[[#This Row],[Heavy Printing Window End]])</f>
        <v/>
      </c>
      <c r="T152">
        <f>_xlfn.XLOOKUP(tbl_MTG_Set[[#This Row],[Type Name]], tbl_MTG_Set_Type[Set Type], tbl_MTG_Set_Type[Sell Window Month Start], "(Set Type not found)", 0, 1)</f>
        <v/>
      </c>
      <c r="U152" s="3">
        <f>tbl_MTG_Set[[#This Row],[Released On]]+tbl_MTG_Set[[#This Row],[Sell Window Month Start]]*365.25/12</f>
        <v/>
      </c>
      <c r="V152">
        <f>_xlfn.XLOOKUP(tbl_MTG_Set[[#This Row],[Type Name]], tbl_MTG_Set_Type[Set Type], tbl_MTG_Set_Type[Sell Window Month End], "(Set Type not found)", 0, 1)</f>
        <v/>
      </c>
      <c r="W152" s="3">
        <f>tbl_MTG_Set[[#This Row],[Released On]]+tbl_MTG_Set[[#This Row],[Sell Window Month End]]*365.25/12</f>
        <v/>
      </c>
      <c r="X152" s="3">
        <f>AND(NOW()&gt;=tbl_MTG_Set[[#This Row],[Sell Window Start]], NOW()&lt;=tbl_MTG_Set[[#This Row],[Sell Window End]])</f>
        <v/>
      </c>
      <c r="AG152" s="10" t="n"/>
      <c r="AH152" s="10" t="n"/>
      <c r="AM152" s="10">
        <f t="array" ref="AM1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2" s="10">
        <f t="array" ref="AN1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2" s="4">
        <f>_xlfn.XLOOKUP(tbl_MTG_Set[[#This Row],[Play Booster Box Product Id]], tbl_Product[Product Id], tbl_Product[Pack Size])</f>
        <v/>
      </c>
      <c r="AP152" s="10">
        <f>(tbl_MTG_Set[[#This Row],[Play Booster Box Cost]]+v_Item_Shipping_Cost_In)/tbl_MTG_Set[[#This Row],[Play Booster Box Size]]</f>
        <v/>
      </c>
      <c r="AQ152" s="10">
        <f t="array" ref="AQ1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2" s="10" t="n"/>
      <c r="AS152" s="10" t="n"/>
      <c r="AT152" s="17">
        <f>tbl_MTG_Set[[#This Row],[Play Booster CardMarket Profit]]/tbl_MTG_Set[[#This Row],[Play Booster Cost]]</f>
        <v/>
      </c>
      <c r="AU152" s="10">
        <f>_xlfn.XLOOKUP(tbl_MTG_Set[[#This Row],[Collector Booster Box Product Id]], tbl_Product[Product Id], tbl_Product[Min Cost])</f>
        <v/>
      </c>
      <c r="AV152" s="10">
        <f>_xlfn.XLOOKUP(tbl_MTG_Set[[#This Row],[Collector Booster Box Product Id]], tbl_Product[Product Id], tbl_Product[Best Source])</f>
        <v/>
      </c>
      <c r="AW152" s="4">
        <f>_xlfn.XLOOKUP(tbl_MTG_Set[[#This Row],[Collector Booster Box Product Id]], tbl_Product[Product Id], tbl_Product[Pack Size])</f>
        <v/>
      </c>
      <c r="AX152" s="10">
        <f>(tbl_MTG_Set[[#This Row],[Collector Booster Box Cost]] + v_Item_Shipping_Cost_In) / tbl_MTG_Set[[#This Row],[Collector Booster Box Size]]</f>
        <v/>
      </c>
      <c r="AY152" s="10">
        <f t="array" ref="AY1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2" s="10" t="n"/>
      <c r="BA1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2" s="17">
        <f>tbl_MTG_Set[[#This Row],[Collector Booster CardMarket Profit]]/tbl_MTG_Set[[#This Row],[Collector Booster Cost]]</f>
        <v/>
      </c>
      <c r="BC152" s="10" t="n"/>
      <c r="BF152" s="10">
        <f>tbl_MTG_Set[[#This Row],[Play Booster Sell Price CardMarket]]*tbl_MTG_Set[[#This Row],[Play Booster Expected Market Value]]/tbl_MTG_Set[[#This Row],[Play Boost Sealed Market Value]]</f>
        <v/>
      </c>
      <c r="BG1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2" s="10">
        <f>tbl_MTG_Set[[#This Row],[Play Singles CardMarket Profit]]/tbl_MTG_Set[[#This Row],[Play Booster Cost]]</f>
        <v/>
      </c>
      <c r="BI152" s="10">
        <f>tbl_MTG_Set[[#This Row],[Play Singles CardMarket Profit]]&gt;0</f>
        <v/>
      </c>
      <c r="BJ152" s="10" t="n"/>
      <c r="BK152" s="10" t="n"/>
      <c r="BL152" s="10">
        <f>tbl_MTG_Set[[#This Row],[Collector Booster Sell Price CardMarket]]*tbl_MTG_Set[[#This Row],[Collector Booster Expected Market Value]]/tbl_MTG_Set[[#This Row],[Collector Boost Sealed Market Value]]</f>
        <v/>
      </c>
      <c r="BM1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2" s="10">
        <f>tbl_MTG_Set[[#This Row],[Collector Singles CardMarket Profit]]/tbl_MTG_Set[[#This Row],[Collector Booster Cost]]</f>
        <v/>
      </c>
      <c r="BO152" s="10">
        <f>tbl_MTG_Set[[#This Row],[Collector Singles CardMarket Profit]]&gt;0</f>
        <v/>
      </c>
      <c r="BP1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3">
      <c r="A153" t="n">
        <v>151</v>
      </c>
      <c r="B153" t="inlineStr">
        <is>
          <t>Doctor Who WHO</t>
        </is>
      </c>
      <c r="C153" t="n">
        <v>1178</v>
      </c>
      <c r="D153" s="3" t="n">
        <v>45212</v>
      </c>
      <c r="E153" t="inlineStr">
        <is>
          <t>Universes Beyond</t>
        </is>
      </c>
      <c r="F153" t="inlineStr">
        <is>
          <t>en es fr de it pt ja ko ru 汉语 漢語</t>
        </is>
      </c>
      <c r="G153" t="n">
        <v>248</v>
      </c>
      <c r="H153">
        <f>MONTH(NOW())+12*YEAR(NOW())-MONTH(tbl_MTG_Set[[#This Row],[Released On]])-12*YEAR(tbl_MTG_Set[[#This Row],[Released On]])</f>
        <v/>
      </c>
      <c r="I153">
        <f>_xlfn.XLOOKUP(tbl_MTG_Set[[#This Row],[Type Name]], tbl_MTG_Set_Type[Set Type], tbl_MTG_Set_Type[Index], "(Set Type not found)")</f>
        <v/>
      </c>
      <c r="J153">
        <f>_xlfn.XLOOKUP(tbl_MTG_Set[[#This Row],[Type Name]], tbl_MTG_Set_Type[Set Type], tbl_MTG_Set_Type[Buy Window Month Start], "(Set Type not found)")</f>
        <v/>
      </c>
      <c r="K153" s="3">
        <f>tbl_MTG_Set[[#This Row],[Released On]]+tbl_MTG_Set[[#This Row],[Buy Window Month Start]]*365.25/12</f>
        <v/>
      </c>
      <c r="L153">
        <f>_xlfn.XLOOKUP(tbl_MTG_Set[[#This Row],[Type Name]], tbl_MTG_Set_Type[Set Type], tbl_MTG_Set_Type[Buy Window Month End], "(Set Type not found)", 0, 1)</f>
        <v/>
      </c>
      <c r="M153" s="3">
        <f>tbl_MTG_Set[[#This Row],[Released On]]+tbl_MTG_Set[[#This Row],[Buy Window Month End]]*365.25/12</f>
        <v/>
      </c>
      <c r="N153" s="3">
        <f>AND(NOW()&gt;=tbl_MTG_Set[[#This Row],[Buy Window Start]], NOW()&lt;=tbl_MTG_Set[[#This Row],[Buy Window End]])</f>
        <v/>
      </c>
      <c r="O153">
        <f>_xlfn.XLOOKUP(tbl_MTG_Set[[#This Row],[Type Name]], tbl_MTG_Set_Type[Set Type], tbl_MTG_Set_Type[Heavy Printing Window Month Start], "(Set Type not found)", 0, 1)</f>
        <v/>
      </c>
      <c r="P153" s="3">
        <f>tbl_MTG_Set[[#This Row],[Released On]]+tbl_MTG_Set[[#This Row],[Heavy Printing Window Month Start]]*365.25/12</f>
        <v/>
      </c>
      <c r="Q153">
        <f>_xlfn.XLOOKUP(tbl_MTG_Set[[#This Row],[Type Name]], tbl_MTG_Set_Type[Set Type], tbl_MTG_Set_Type[Heavy Printing Window Month End], "(Set Type not found)", 0, 1)</f>
        <v/>
      </c>
      <c r="R153" s="3">
        <f>tbl_MTG_Set[[#This Row],[Released On]]+tbl_MTG_Set[[#This Row],[Heavy Printing Window Month End]]*365.25/12</f>
        <v/>
      </c>
      <c r="S153" s="3">
        <f>AND(NOW()&gt;=tbl_MTG_Set[[#This Row],[Heavy Printing Window Start]], NOW()&lt;=tbl_MTG_Set[[#This Row],[Heavy Printing Window End]])</f>
        <v/>
      </c>
      <c r="T153">
        <f>_xlfn.XLOOKUP(tbl_MTG_Set[[#This Row],[Type Name]], tbl_MTG_Set_Type[Set Type], tbl_MTG_Set_Type[Sell Window Month Start], "(Set Type not found)", 0, 1)</f>
        <v/>
      </c>
      <c r="U153" s="3">
        <f>tbl_MTG_Set[[#This Row],[Released On]]+tbl_MTG_Set[[#This Row],[Sell Window Month Start]]*365.25/12</f>
        <v/>
      </c>
      <c r="V153">
        <f>_xlfn.XLOOKUP(tbl_MTG_Set[[#This Row],[Type Name]], tbl_MTG_Set_Type[Set Type], tbl_MTG_Set_Type[Sell Window Month End], "(Set Type not found)", 0, 1)</f>
        <v/>
      </c>
      <c r="W153" s="3">
        <f>tbl_MTG_Set[[#This Row],[Released On]]+tbl_MTG_Set[[#This Row],[Sell Window Month End]]*365.25/12</f>
        <v/>
      </c>
      <c r="X153" s="3">
        <f>AND(NOW()&gt;=tbl_MTG_Set[[#This Row],[Sell Window Start]], NOW()&lt;=tbl_MTG_Set[[#This Row],[Sell Window End]])</f>
        <v/>
      </c>
      <c r="AG153" s="10" t="n"/>
      <c r="AH153" s="10" t="n"/>
      <c r="AM153" s="10">
        <f t="array" ref="AM1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3" s="10">
        <f t="array" ref="AN1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3" s="4">
        <f>_xlfn.XLOOKUP(tbl_MTG_Set[[#This Row],[Play Booster Box Product Id]], tbl_Product[Product Id], tbl_Product[Pack Size])</f>
        <v/>
      </c>
      <c r="AP153" s="10">
        <f>(tbl_MTG_Set[[#This Row],[Play Booster Box Cost]]+v_Item_Shipping_Cost_In)/tbl_MTG_Set[[#This Row],[Play Booster Box Size]]</f>
        <v/>
      </c>
      <c r="AQ153" s="10">
        <f t="array" ref="AQ1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3" s="10" t="n"/>
      <c r="AS153" s="10" t="n"/>
      <c r="AT153" s="17">
        <f>tbl_MTG_Set[[#This Row],[Play Booster CardMarket Profit]]/tbl_MTG_Set[[#This Row],[Play Booster Cost]]</f>
        <v/>
      </c>
      <c r="AU153" s="10">
        <f>_xlfn.XLOOKUP(tbl_MTG_Set[[#This Row],[Collector Booster Box Product Id]], tbl_Product[Product Id], tbl_Product[Min Cost])</f>
        <v/>
      </c>
      <c r="AV153" s="10">
        <f>_xlfn.XLOOKUP(tbl_MTG_Set[[#This Row],[Collector Booster Box Product Id]], tbl_Product[Product Id], tbl_Product[Best Source])</f>
        <v/>
      </c>
      <c r="AW153" s="4">
        <f>_xlfn.XLOOKUP(tbl_MTG_Set[[#This Row],[Collector Booster Box Product Id]], tbl_Product[Product Id], tbl_Product[Pack Size])</f>
        <v/>
      </c>
      <c r="AX153" s="10">
        <f>(tbl_MTG_Set[[#This Row],[Collector Booster Box Cost]] + v_Item_Shipping_Cost_In) / tbl_MTG_Set[[#This Row],[Collector Booster Box Size]]</f>
        <v/>
      </c>
      <c r="AY153" s="10">
        <f t="array" ref="AY1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3" s="10" t="n"/>
      <c r="BA1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3" s="17">
        <f>tbl_MTG_Set[[#This Row],[Collector Booster CardMarket Profit]]/tbl_MTG_Set[[#This Row],[Collector Booster Cost]]</f>
        <v/>
      </c>
      <c r="BC153" s="10" t="n"/>
      <c r="BF153" s="10">
        <f>tbl_MTG_Set[[#This Row],[Play Booster Sell Price CardMarket]]*tbl_MTG_Set[[#This Row],[Play Booster Expected Market Value]]/tbl_MTG_Set[[#This Row],[Play Boost Sealed Market Value]]</f>
        <v/>
      </c>
      <c r="BG1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3" s="10">
        <f>tbl_MTG_Set[[#This Row],[Play Singles CardMarket Profit]]/tbl_MTG_Set[[#This Row],[Play Booster Cost]]</f>
        <v/>
      </c>
      <c r="BI153" s="10">
        <f>tbl_MTG_Set[[#This Row],[Play Singles CardMarket Profit]]&gt;0</f>
        <v/>
      </c>
      <c r="BJ153" s="10" t="n"/>
      <c r="BK153" s="10" t="n"/>
      <c r="BL153" s="10">
        <f>tbl_MTG_Set[[#This Row],[Collector Booster Sell Price CardMarket]]*tbl_MTG_Set[[#This Row],[Collector Booster Expected Market Value]]/tbl_MTG_Set[[#This Row],[Collector Boost Sealed Market Value]]</f>
        <v/>
      </c>
      <c r="BM1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3" s="10">
        <f>tbl_MTG_Set[[#This Row],[Collector Singles CardMarket Profit]]/tbl_MTG_Set[[#This Row],[Collector Booster Cost]]</f>
        <v/>
      </c>
      <c r="BO153" s="10">
        <f>tbl_MTG_Set[[#This Row],[Collector Singles CardMarket Profit]]&gt;0</f>
        <v/>
      </c>
      <c r="BP1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4">
      <c r="A154" t="n">
        <v>152</v>
      </c>
      <c r="B154" t="inlineStr">
        <is>
          <t>Doctor Who Tokens TWHO</t>
        </is>
      </c>
      <c r="C154" t="n">
        <v>64</v>
      </c>
      <c r="D154" s="3" t="n">
        <v>45212</v>
      </c>
      <c r="E154" t="inlineStr">
        <is>
          <t>Universes Beyond</t>
        </is>
      </c>
      <c r="F154" t="inlineStr">
        <is>
          <t>en es fr de it pt ja ko ru 汉语 漢語</t>
        </is>
      </c>
      <c r="G154" t="n">
        <v>250</v>
      </c>
      <c r="H154">
        <f>MONTH(NOW())+12*YEAR(NOW())-MONTH(tbl_MTG_Set[[#This Row],[Released On]])-12*YEAR(tbl_MTG_Set[[#This Row],[Released On]])</f>
        <v/>
      </c>
      <c r="I154">
        <f>_xlfn.XLOOKUP(tbl_MTG_Set[[#This Row],[Type Name]], tbl_MTG_Set_Type[Set Type], tbl_MTG_Set_Type[Index], "(Set Type not found)")</f>
        <v/>
      </c>
      <c r="J154">
        <f>_xlfn.XLOOKUP(tbl_MTG_Set[[#This Row],[Type Name]], tbl_MTG_Set_Type[Set Type], tbl_MTG_Set_Type[Buy Window Month Start], "(Set Type not found)")</f>
        <v/>
      </c>
      <c r="K154" s="3">
        <f>tbl_MTG_Set[[#This Row],[Released On]]+tbl_MTG_Set[[#This Row],[Buy Window Month Start]]*365.25/12</f>
        <v/>
      </c>
      <c r="L154">
        <f>_xlfn.XLOOKUP(tbl_MTG_Set[[#This Row],[Type Name]], tbl_MTG_Set_Type[Set Type], tbl_MTG_Set_Type[Buy Window Month End], "(Set Type not found)", 0, 1)</f>
        <v/>
      </c>
      <c r="M154" s="3">
        <f>tbl_MTG_Set[[#This Row],[Released On]]+tbl_MTG_Set[[#This Row],[Buy Window Month End]]*365.25/12</f>
        <v/>
      </c>
      <c r="N154" s="3">
        <f>AND(NOW()&gt;=tbl_MTG_Set[[#This Row],[Buy Window Start]], NOW()&lt;=tbl_MTG_Set[[#This Row],[Buy Window End]])</f>
        <v/>
      </c>
      <c r="O154">
        <f>_xlfn.XLOOKUP(tbl_MTG_Set[[#This Row],[Type Name]], tbl_MTG_Set_Type[Set Type], tbl_MTG_Set_Type[Heavy Printing Window Month Start], "(Set Type not found)", 0, 1)</f>
        <v/>
      </c>
      <c r="P154" s="3">
        <f>tbl_MTG_Set[[#This Row],[Released On]]+tbl_MTG_Set[[#This Row],[Heavy Printing Window Month Start]]*365.25/12</f>
        <v/>
      </c>
      <c r="Q154">
        <f>_xlfn.XLOOKUP(tbl_MTG_Set[[#This Row],[Type Name]], tbl_MTG_Set_Type[Set Type], tbl_MTG_Set_Type[Heavy Printing Window Month End], "(Set Type not found)", 0, 1)</f>
        <v/>
      </c>
      <c r="R154" s="3">
        <f>tbl_MTG_Set[[#This Row],[Released On]]+tbl_MTG_Set[[#This Row],[Heavy Printing Window Month End]]*365.25/12</f>
        <v/>
      </c>
      <c r="S154" s="3">
        <f>AND(NOW()&gt;=tbl_MTG_Set[[#This Row],[Heavy Printing Window Start]], NOW()&lt;=tbl_MTG_Set[[#This Row],[Heavy Printing Window End]])</f>
        <v/>
      </c>
      <c r="T154">
        <f>_xlfn.XLOOKUP(tbl_MTG_Set[[#This Row],[Type Name]], tbl_MTG_Set_Type[Set Type], tbl_MTG_Set_Type[Sell Window Month Start], "(Set Type not found)", 0, 1)</f>
        <v/>
      </c>
      <c r="U154" s="3">
        <f>tbl_MTG_Set[[#This Row],[Released On]]+tbl_MTG_Set[[#This Row],[Sell Window Month Start]]*365.25/12</f>
        <v/>
      </c>
      <c r="V154">
        <f>_xlfn.XLOOKUP(tbl_MTG_Set[[#This Row],[Type Name]], tbl_MTG_Set_Type[Set Type], tbl_MTG_Set_Type[Sell Window Month End], "(Set Type not found)", 0, 1)</f>
        <v/>
      </c>
      <c r="W154" s="3">
        <f>tbl_MTG_Set[[#This Row],[Released On]]+tbl_MTG_Set[[#This Row],[Sell Window Month End]]*365.25/12</f>
        <v/>
      </c>
      <c r="X154" s="3">
        <f>AND(NOW()&gt;=tbl_MTG_Set[[#This Row],[Sell Window Start]], NOW()&lt;=tbl_MTG_Set[[#This Row],[Sell Window End]])</f>
        <v/>
      </c>
      <c r="AG154" s="10" t="n"/>
      <c r="AH154" s="10" t="n"/>
      <c r="AM154" s="10">
        <f t="array" ref="AM1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4" s="10">
        <f t="array" ref="AN1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4" s="4">
        <f>_xlfn.XLOOKUP(tbl_MTG_Set[[#This Row],[Play Booster Box Product Id]], tbl_Product[Product Id], tbl_Product[Pack Size])</f>
        <v/>
      </c>
      <c r="AP154" s="10">
        <f>(tbl_MTG_Set[[#This Row],[Play Booster Box Cost]]+v_Item_Shipping_Cost_In)/tbl_MTG_Set[[#This Row],[Play Booster Box Size]]</f>
        <v/>
      </c>
      <c r="AQ154" s="10">
        <f t="array" ref="AQ1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4" s="10" t="n"/>
      <c r="AS154" s="10" t="n"/>
      <c r="AT154" s="17">
        <f>tbl_MTG_Set[[#This Row],[Play Booster CardMarket Profit]]/tbl_MTG_Set[[#This Row],[Play Booster Cost]]</f>
        <v/>
      </c>
      <c r="AU154" s="10">
        <f>_xlfn.XLOOKUP(tbl_MTG_Set[[#This Row],[Collector Booster Box Product Id]], tbl_Product[Product Id], tbl_Product[Min Cost])</f>
        <v/>
      </c>
      <c r="AV154" s="10">
        <f>_xlfn.XLOOKUP(tbl_MTG_Set[[#This Row],[Collector Booster Box Product Id]], tbl_Product[Product Id], tbl_Product[Best Source])</f>
        <v/>
      </c>
      <c r="AW154" s="4">
        <f>_xlfn.XLOOKUP(tbl_MTG_Set[[#This Row],[Collector Booster Box Product Id]], tbl_Product[Product Id], tbl_Product[Pack Size])</f>
        <v/>
      </c>
      <c r="AX154" s="10">
        <f>(tbl_MTG_Set[[#This Row],[Collector Booster Box Cost]] + v_Item_Shipping_Cost_In) / tbl_MTG_Set[[#This Row],[Collector Booster Box Size]]</f>
        <v/>
      </c>
      <c r="AY154" s="10">
        <f t="array" ref="AY1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4" s="10" t="n"/>
      <c r="BA1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4" s="17">
        <f>tbl_MTG_Set[[#This Row],[Collector Booster CardMarket Profit]]/tbl_MTG_Set[[#This Row],[Collector Booster Cost]]</f>
        <v/>
      </c>
      <c r="BC154" s="10" t="n"/>
      <c r="BF154" s="10">
        <f>tbl_MTG_Set[[#This Row],[Play Booster Sell Price CardMarket]]*tbl_MTG_Set[[#This Row],[Play Booster Expected Market Value]]/tbl_MTG_Set[[#This Row],[Play Boost Sealed Market Value]]</f>
        <v/>
      </c>
      <c r="BG1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4" s="10">
        <f>tbl_MTG_Set[[#This Row],[Play Singles CardMarket Profit]]/tbl_MTG_Set[[#This Row],[Play Booster Cost]]</f>
        <v/>
      </c>
      <c r="BI154" s="10">
        <f>tbl_MTG_Set[[#This Row],[Play Singles CardMarket Profit]]&gt;0</f>
        <v/>
      </c>
      <c r="BJ154" s="10" t="n"/>
      <c r="BK154" s="10" t="n"/>
      <c r="BL154" s="10">
        <f>tbl_MTG_Set[[#This Row],[Collector Booster Sell Price CardMarket]]*tbl_MTG_Set[[#This Row],[Collector Booster Expected Market Value]]/tbl_MTG_Set[[#This Row],[Collector Boost Sealed Market Value]]</f>
        <v/>
      </c>
      <c r="BM1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4" s="10">
        <f>tbl_MTG_Set[[#This Row],[Collector Singles CardMarket Profit]]/tbl_MTG_Set[[#This Row],[Collector Booster Cost]]</f>
        <v/>
      </c>
      <c r="BO154" s="10">
        <f>tbl_MTG_Set[[#This Row],[Collector Singles CardMarket Profit]]&gt;0</f>
        <v/>
      </c>
      <c r="BP1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5">
      <c r="A155" t="n">
        <v>153</v>
      </c>
      <c r="B155" t="inlineStr">
        <is>
          <t>Magic × Duel Masters Promos PMDA</t>
        </is>
      </c>
      <c r="C155" t="n">
        <v>4</v>
      </c>
      <c r="D155" s="3" t="n">
        <v>45177</v>
      </c>
      <c r="F155" t="inlineStr">
        <is>
          <t>en es fr de it pt ja ko ru 汉语 漢語</t>
        </is>
      </c>
      <c r="G155" t="n">
        <v>252</v>
      </c>
      <c r="H155">
        <f>MONTH(NOW())+12*YEAR(NOW())-MONTH(tbl_MTG_Set[[#This Row],[Released On]])-12*YEAR(tbl_MTG_Set[[#This Row],[Released On]])</f>
        <v/>
      </c>
      <c r="I155">
        <f>_xlfn.XLOOKUP(tbl_MTG_Set[[#This Row],[Type Name]], tbl_MTG_Set_Type[Set Type], tbl_MTG_Set_Type[Index], "(Set Type not found)")</f>
        <v/>
      </c>
      <c r="J155">
        <f>_xlfn.XLOOKUP(tbl_MTG_Set[[#This Row],[Type Name]], tbl_MTG_Set_Type[Set Type], tbl_MTG_Set_Type[Buy Window Month Start], "(Set Type not found)")</f>
        <v/>
      </c>
      <c r="K155" s="3">
        <f>tbl_MTG_Set[[#This Row],[Released On]]+tbl_MTG_Set[[#This Row],[Buy Window Month Start]]*365.25/12</f>
        <v/>
      </c>
      <c r="L155">
        <f>_xlfn.XLOOKUP(tbl_MTG_Set[[#This Row],[Type Name]], tbl_MTG_Set_Type[Set Type], tbl_MTG_Set_Type[Buy Window Month End], "(Set Type not found)", 0, 1)</f>
        <v/>
      </c>
      <c r="M155" s="3">
        <f>tbl_MTG_Set[[#This Row],[Released On]]+tbl_MTG_Set[[#This Row],[Buy Window Month End]]*365.25/12</f>
        <v/>
      </c>
      <c r="N155" s="3">
        <f>AND(NOW()&gt;=tbl_MTG_Set[[#This Row],[Buy Window Start]], NOW()&lt;=tbl_MTG_Set[[#This Row],[Buy Window End]])</f>
        <v/>
      </c>
      <c r="O155">
        <f>_xlfn.XLOOKUP(tbl_MTG_Set[[#This Row],[Type Name]], tbl_MTG_Set_Type[Set Type], tbl_MTG_Set_Type[Heavy Printing Window Month Start], "(Set Type not found)", 0, 1)</f>
        <v/>
      </c>
      <c r="P155" s="3">
        <f>tbl_MTG_Set[[#This Row],[Released On]]+tbl_MTG_Set[[#This Row],[Heavy Printing Window Month Start]]*365.25/12</f>
        <v/>
      </c>
      <c r="Q155">
        <f>_xlfn.XLOOKUP(tbl_MTG_Set[[#This Row],[Type Name]], tbl_MTG_Set_Type[Set Type], tbl_MTG_Set_Type[Heavy Printing Window Month End], "(Set Type not found)", 0, 1)</f>
        <v/>
      </c>
      <c r="R155" s="3">
        <f>tbl_MTG_Set[[#This Row],[Released On]]+tbl_MTG_Set[[#This Row],[Heavy Printing Window Month End]]*365.25/12</f>
        <v/>
      </c>
      <c r="S155" s="3">
        <f>AND(NOW()&gt;=tbl_MTG_Set[[#This Row],[Heavy Printing Window Start]], NOW()&lt;=tbl_MTG_Set[[#This Row],[Heavy Printing Window End]])</f>
        <v/>
      </c>
      <c r="T155">
        <f>_xlfn.XLOOKUP(tbl_MTG_Set[[#This Row],[Type Name]], tbl_MTG_Set_Type[Set Type], tbl_MTG_Set_Type[Sell Window Month Start], "(Set Type not found)", 0, 1)</f>
        <v/>
      </c>
      <c r="U155" s="3">
        <f>tbl_MTG_Set[[#This Row],[Released On]]+tbl_MTG_Set[[#This Row],[Sell Window Month Start]]*365.25/12</f>
        <v/>
      </c>
      <c r="V155">
        <f>_xlfn.XLOOKUP(tbl_MTG_Set[[#This Row],[Type Name]], tbl_MTG_Set_Type[Set Type], tbl_MTG_Set_Type[Sell Window Month End], "(Set Type not found)", 0, 1)</f>
        <v/>
      </c>
      <c r="W155" s="3">
        <f>tbl_MTG_Set[[#This Row],[Released On]]+tbl_MTG_Set[[#This Row],[Sell Window Month End]]*365.25/12</f>
        <v/>
      </c>
      <c r="X155" s="3">
        <f>AND(NOW()&gt;=tbl_MTG_Set[[#This Row],[Sell Window Start]], NOW()&lt;=tbl_MTG_Set[[#This Row],[Sell Window End]])</f>
        <v/>
      </c>
      <c r="AG155" s="10" t="n"/>
      <c r="AH155" s="10" t="n"/>
      <c r="AM155" s="10">
        <f t="array" ref="AM1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5" s="10">
        <f t="array" ref="AN1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5" s="4">
        <f>_xlfn.XLOOKUP(tbl_MTG_Set[[#This Row],[Play Booster Box Product Id]], tbl_Product[Product Id], tbl_Product[Pack Size])</f>
        <v/>
      </c>
      <c r="AP155" s="10">
        <f>(tbl_MTG_Set[[#This Row],[Play Booster Box Cost]]+v_Item_Shipping_Cost_In)/tbl_MTG_Set[[#This Row],[Play Booster Box Size]]</f>
        <v/>
      </c>
      <c r="AQ155" s="10">
        <f t="array" ref="AQ1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5" s="10" t="n"/>
      <c r="AS155" s="10" t="n"/>
      <c r="AT155" s="17">
        <f>tbl_MTG_Set[[#This Row],[Play Booster CardMarket Profit]]/tbl_MTG_Set[[#This Row],[Play Booster Cost]]</f>
        <v/>
      </c>
      <c r="AU155" s="10">
        <f>_xlfn.XLOOKUP(tbl_MTG_Set[[#This Row],[Collector Booster Box Product Id]], tbl_Product[Product Id], tbl_Product[Min Cost])</f>
        <v/>
      </c>
      <c r="AV155" s="10">
        <f>_xlfn.XLOOKUP(tbl_MTG_Set[[#This Row],[Collector Booster Box Product Id]], tbl_Product[Product Id], tbl_Product[Best Source])</f>
        <v/>
      </c>
      <c r="AW155" s="4">
        <f>_xlfn.XLOOKUP(tbl_MTG_Set[[#This Row],[Collector Booster Box Product Id]], tbl_Product[Product Id], tbl_Product[Pack Size])</f>
        <v/>
      </c>
      <c r="AX155" s="10">
        <f>(tbl_MTG_Set[[#This Row],[Collector Booster Box Cost]] + v_Item_Shipping_Cost_In) / tbl_MTG_Set[[#This Row],[Collector Booster Box Size]]</f>
        <v/>
      </c>
      <c r="AY155" s="10">
        <f t="array" ref="AY1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5" s="10" t="n"/>
      <c r="BA1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5" s="17">
        <f>tbl_MTG_Set[[#This Row],[Collector Booster CardMarket Profit]]/tbl_MTG_Set[[#This Row],[Collector Booster Cost]]</f>
        <v/>
      </c>
      <c r="BC155" s="10" t="n"/>
      <c r="BF155" s="10">
        <f>tbl_MTG_Set[[#This Row],[Play Booster Sell Price CardMarket]]*tbl_MTG_Set[[#This Row],[Play Booster Expected Market Value]]/tbl_MTG_Set[[#This Row],[Play Boost Sealed Market Value]]</f>
        <v/>
      </c>
      <c r="BG1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5" s="10">
        <f>tbl_MTG_Set[[#This Row],[Play Singles CardMarket Profit]]/tbl_MTG_Set[[#This Row],[Play Booster Cost]]</f>
        <v/>
      </c>
      <c r="BI155" s="10">
        <f>tbl_MTG_Set[[#This Row],[Play Singles CardMarket Profit]]&gt;0</f>
        <v/>
      </c>
      <c r="BJ155" s="10" t="n"/>
      <c r="BK155" s="10" t="n"/>
      <c r="BL155" s="10">
        <f>tbl_MTG_Set[[#This Row],[Collector Booster Sell Price CardMarket]]*tbl_MTG_Set[[#This Row],[Collector Booster Expected Market Value]]/tbl_MTG_Set[[#This Row],[Collector Boost Sealed Market Value]]</f>
        <v/>
      </c>
      <c r="BM1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5" s="10">
        <f>tbl_MTG_Set[[#This Row],[Collector Singles CardMarket Profit]]/tbl_MTG_Set[[#This Row],[Collector Booster Cost]]</f>
        <v/>
      </c>
      <c r="BO155" s="10">
        <f>tbl_MTG_Set[[#This Row],[Collector Singles CardMarket Profit]]&gt;0</f>
        <v/>
      </c>
      <c r="BP1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6">
      <c r="A156" t="n">
        <v>154</v>
      </c>
      <c r="B156" t="inlineStr">
        <is>
          <t>Wilds of Eldraine WOE</t>
        </is>
      </c>
      <c r="C156" t="n">
        <v>381</v>
      </c>
      <c r="D156" s="3" t="n">
        <v>45177</v>
      </c>
      <c r="E156" t="inlineStr">
        <is>
          <t>Standard Expansion</t>
        </is>
      </c>
      <c r="F156" t="inlineStr">
        <is>
          <t>en es fr de it pt ja ko ru 汉语 漢語</t>
        </is>
      </c>
      <c r="G156" t="n">
        <v>254</v>
      </c>
      <c r="H156">
        <f>MONTH(NOW())+12*YEAR(NOW())-MONTH(tbl_MTG_Set[[#This Row],[Released On]])-12*YEAR(tbl_MTG_Set[[#This Row],[Released On]])</f>
        <v/>
      </c>
      <c r="I156">
        <f>_xlfn.XLOOKUP(tbl_MTG_Set[[#This Row],[Type Name]], tbl_MTG_Set_Type[Set Type], tbl_MTG_Set_Type[Index], "(Set Type not found)")</f>
        <v/>
      </c>
      <c r="J156">
        <f>_xlfn.XLOOKUP(tbl_MTG_Set[[#This Row],[Type Name]], tbl_MTG_Set_Type[Set Type], tbl_MTG_Set_Type[Buy Window Month Start], "(Set Type not found)")</f>
        <v/>
      </c>
      <c r="K156" s="3">
        <f>tbl_MTG_Set[[#This Row],[Released On]]+tbl_MTG_Set[[#This Row],[Buy Window Month Start]]*365.25/12</f>
        <v/>
      </c>
      <c r="L156">
        <f>_xlfn.XLOOKUP(tbl_MTG_Set[[#This Row],[Type Name]], tbl_MTG_Set_Type[Set Type], tbl_MTG_Set_Type[Buy Window Month End], "(Set Type not found)", 0, 1)</f>
        <v/>
      </c>
      <c r="M156" s="3">
        <f>tbl_MTG_Set[[#This Row],[Released On]]+tbl_MTG_Set[[#This Row],[Buy Window Month End]]*365.25/12</f>
        <v/>
      </c>
      <c r="N156" s="3">
        <f>AND(NOW()&gt;=tbl_MTG_Set[[#This Row],[Buy Window Start]], NOW()&lt;=tbl_MTG_Set[[#This Row],[Buy Window End]])</f>
        <v/>
      </c>
      <c r="O156">
        <f>_xlfn.XLOOKUP(tbl_MTG_Set[[#This Row],[Type Name]], tbl_MTG_Set_Type[Set Type], tbl_MTG_Set_Type[Heavy Printing Window Month Start], "(Set Type not found)", 0, 1)</f>
        <v/>
      </c>
      <c r="P156" s="3">
        <f>tbl_MTG_Set[[#This Row],[Released On]]+tbl_MTG_Set[[#This Row],[Heavy Printing Window Month Start]]*365.25/12</f>
        <v/>
      </c>
      <c r="Q156">
        <f>_xlfn.XLOOKUP(tbl_MTG_Set[[#This Row],[Type Name]], tbl_MTG_Set_Type[Set Type], tbl_MTG_Set_Type[Heavy Printing Window Month End], "(Set Type not found)", 0, 1)</f>
        <v/>
      </c>
      <c r="R156" s="3">
        <f>tbl_MTG_Set[[#This Row],[Released On]]+tbl_MTG_Set[[#This Row],[Heavy Printing Window Month End]]*365.25/12</f>
        <v/>
      </c>
      <c r="S156" s="3">
        <f>AND(NOW()&gt;=tbl_MTG_Set[[#This Row],[Heavy Printing Window Start]], NOW()&lt;=tbl_MTG_Set[[#This Row],[Heavy Printing Window End]])</f>
        <v/>
      </c>
      <c r="T156">
        <f>_xlfn.XLOOKUP(tbl_MTG_Set[[#This Row],[Type Name]], tbl_MTG_Set_Type[Set Type], tbl_MTG_Set_Type[Sell Window Month Start], "(Set Type not found)", 0, 1)</f>
        <v/>
      </c>
      <c r="U156" s="3">
        <f>tbl_MTG_Set[[#This Row],[Released On]]+tbl_MTG_Set[[#This Row],[Sell Window Month Start]]*365.25/12</f>
        <v/>
      </c>
      <c r="V156">
        <f>_xlfn.XLOOKUP(tbl_MTG_Set[[#This Row],[Type Name]], tbl_MTG_Set_Type[Set Type], tbl_MTG_Set_Type[Sell Window Month End], "(Set Type not found)", 0, 1)</f>
        <v/>
      </c>
      <c r="W156" s="3">
        <f>tbl_MTG_Set[[#This Row],[Released On]]+tbl_MTG_Set[[#This Row],[Sell Window Month End]]*365.25/12</f>
        <v/>
      </c>
      <c r="X156" s="3">
        <f>AND(NOW()&gt;=tbl_MTG_Set[[#This Row],[Sell Window Start]], NOW()&lt;=tbl_MTG_Set[[#This Row],[Sell Window End]])</f>
        <v/>
      </c>
      <c r="Y156" s="10" t="n">
        <v>208</v>
      </c>
      <c r="Z156" s="10" t="n">
        <v>116</v>
      </c>
      <c r="AD156" s="10">
        <f>(Y156+96/20)/30</f>
        <v/>
      </c>
      <c r="AE156" s="10">
        <f>(Z156+96/20)/30</f>
        <v/>
      </c>
      <c r="AG156" s="10" t="n"/>
      <c r="AH156" s="10" t="n"/>
      <c r="AI156" s="4" t="n">
        <v>74</v>
      </c>
      <c r="AJ156" s="4" t="n">
        <v>29</v>
      </c>
      <c r="AK156" s="4" t="n">
        <v>148</v>
      </c>
      <c r="AL156" s="4" t="n">
        <v>147</v>
      </c>
      <c r="AM156" s="10">
        <f t="array" ref="AM1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6" s="10">
        <f t="array" ref="AN1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6" s="4">
        <f>_xlfn.XLOOKUP(tbl_MTG_Set[[#This Row],[Play Booster Box Product Id]], tbl_Product[Product Id], tbl_Product[Pack Size])</f>
        <v/>
      </c>
      <c r="AP156" s="10">
        <f>(tbl_MTG_Set[[#This Row],[Play Booster Box Cost]]+v_Item_Shipping_Cost_In)/tbl_MTG_Set[[#This Row],[Play Booster Box Size]]</f>
        <v/>
      </c>
      <c r="AQ156" s="10">
        <f t="array" ref="AQ1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6" s="10" t="n">
        <v>7</v>
      </c>
      <c r="AS15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56" s="17">
        <f>tbl_MTG_Set[[#This Row],[Play Booster CardMarket Profit]]/tbl_MTG_Set[[#This Row],[Play Booster Cost]]</f>
        <v/>
      </c>
      <c r="AU156" s="10">
        <f>_xlfn.XLOOKUP(tbl_MTG_Set[[#This Row],[Collector Booster Box Product Id]], tbl_Product[Product Id], tbl_Product[Min Cost])</f>
        <v/>
      </c>
      <c r="AV156" s="10">
        <f>_xlfn.XLOOKUP(tbl_MTG_Set[[#This Row],[Collector Booster Box Product Id]], tbl_Product[Product Id], tbl_Product[Best Source])</f>
        <v/>
      </c>
      <c r="AW156" s="4">
        <f>_xlfn.XLOOKUP(tbl_MTG_Set[[#This Row],[Collector Booster Box Product Id]], tbl_Product[Product Id], tbl_Product[Pack Size])</f>
        <v/>
      </c>
      <c r="AX156" s="10">
        <f>(tbl_MTG_Set[[#This Row],[Collector Booster Box Cost]] + v_Item_Shipping_Cost_In) / tbl_MTG_Set[[#This Row],[Collector Booster Box Size]]</f>
        <v/>
      </c>
      <c r="AY156" s="10">
        <f t="array" ref="AY1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6" s="10" t="n"/>
      <c r="BA1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6" s="18">
        <f>tbl_MTG_Set[[#This Row],[Collector Booster CardMarket Profit]]/tbl_MTG_Set[[#This Row],[Collector Booster Cost]]</f>
        <v/>
      </c>
      <c r="BC156" s="10" t="n"/>
      <c r="BF156" s="10">
        <f>tbl_MTG_Set[[#This Row],[Play Booster Sell Price CardMarket]]*tbl_MTG_Set[[#This Row],[Play Booster Expected Market Value]]/tbl_MTG_Set[[#This Row],[Play Boost Sealed Market Value]]</f>
        <v/>
      </c>
      <c r="BG1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6" s="17">
        <f>tbl_MTG_Set[[#This Row],[Play Singles CardMarket Profit]]/tbl_MTG_Set[[#This Row],[Play Booster Cost]]</f>
        <v/>
      </c>
      <c r="BI156" s="10">
        <f>tbl_MTG_Set[[#This Row],[Play Singles CardMarket Profit]]&gt;0</f>
        <v/>
      </c>
      <c r="BJ156" s="10" t="n"/>
      <c r="BK156" s="10" t="n"/>
      <c r="BL156" s="10">
        <f>tbl_MTG_Set[[#This Row],[Collector Booster Sell Price CardMarket]]*tbl_MTG_Set[[#This Row],[Collector Booster Expected Market Value]]/tbl_MTG_Set[[#This Row],[Collector Boost Sealed Market Value]]</f>
        <v/>
      </c>
      <c r="BM1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6" s="17">
        <f>tbl_MTG_Set[[#This Row],[Collector Singles CardMarket Profit]]/tbl_MTG_Set[[#This Row],[Collector Booster Cost]]</f>
        <v/>
      </c>
      <c r="BO156" s="10">
        <f>tbl_MTG_Set[[#This Row],[Collector Singles CardMarket Profit]]&gt;0</f>
        <v/>
      </c>
      <c r="BP1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6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7">
      <c r="A157" t="n">
        <v>155</v>
      </c>
      <c r="B157" t="inlineStr">
        <is>
          <t>Wilds of Eldraine: Enchanting Tales WOT</t>
        </is>
      </c>
      <c r="C157" t="n">
        <v>103</v>
      </c>
      <c r="D157" s="3" t="n">
        <v>45177</v>
      </c>
      <c r="E157" t="inlineStr">
        <is>
          <t>Standard Expansion</t>
        </is>
      </c>
      <c r="F157" t="inlineStr">
        <is>
          <t>en es fr de it pt ja ko ru 汉语 漢語</t>
        </is>
      </c>
      <c r="G157" t="n">
        <v>256</v>
      </c>
      <c r="H157">
        <f>MONTH(NOW())+12*YEAR(NOW())-MONTH(tbl_MTG_Set[[#This Row],[Released On]])-12*YEAR(tbl_MTG_Set[[#This Row],[Released On]])</f>
        <v/>
      </c>
      <c r="I157">
        <f>_xlfn.XLOOKUP(tbl_MTG_Set[[#This Row],[Type Name]], tbl_MTG_Set_Type[Set Type], tbl_MTG_Set_Type[Index], "(Set Type not found)")</f>
        <v/>
      </c>
      <c r="J157">
        <f>_xlfn.XLOOKUP(tbl_MTG_Set[[#This Row],[Type Name]], tbl_MTG_Set_Type[Set Type], tbl_MTG_Set_Type[Buy Window Month Start], "(Set Type not found)")</f>
        <v/>
      </c>
      <c r="K157" s="3">
        <f>tbl_MTG_Set[[#This Row],[Released On]]+tbl_MTG_Set[[#This Row],[Buy Window Month Start]]*365.25/12</f>
        <v/>
      </c>
      <c r="L157">
        <f>_xlfn.XLOOKUP(tbl_MTG_Set[[#This Row],[Type Name]], tbl_MTG_Set_Type[Set Type], tbl_MTG_Set_Type[Buy Window Month End], "(Set Type not found)", 0, 1)</f>
        <v/>
      </c>
      <c r="M157" s="3">
        <f>tbl_MTG_Set[[#This Row],[Released On]]+tbl_MTG_Set[[#This Row],[Buy Window Month End]]*365.25/12</f>
        <v/>
      </c>
      <c r="N157" s="3">
        <f>AND(NOW()&gt;=tbl_MTG_Set[[#This Row],[Buy Window Start]], NOW()&lt;=tbl_MTG_Set[[#This Row],[Buy Window End]])</f>
        <v/>
      </c>
      <c r="O157">
        <f>_xlfn.XLOOKUP(tbl_MTG_Set[[#This Row],[Type Name]], tbl_MTG_Set_Type[Set Type], tbl_MTG_Set_Type[Heavy Printing Window Month Start], "(Set Type not found)", 0, 1)</f>
        <v/>
      </c>
      <c r="P157" s="3">
        <f>tbl_MTG_Set[[#This Row],[Released On]]+tbl_MTG_Set[[#This Row],[Heavy Printing Window Month Start]]*365.25/12</f>
        <v/>
      </c>
      <c r="Q157">
        <f>_xlfn.XLOOKUP(tbl_MTG_Set[[#This Row],[Type Name]], tbl_MTG_Set_Type[Set Type], tbl_MTG_Set_Type[Heavy Printing Window Month End], "(Set Type not found)", 0, 1)</f>
        <v/>
      </c>
      <c r="R157" s="3">
        <f>tbl_MTG_Set[[#This Row],[Released On]]+tbl_MTG_Set[[#This Row],[Heavy Printing Window Month End]]*365.25/12</f>
        <v/>
      </c>
      <c r="S157" s="3">
        <f>AND(NOW()&gt;=tbl_MTG_Set[[#This Row],[Heavy Printing Window Start]], NOW()&lt;=tbl_MTG_Set[[#This Row],[Heavy Printing Window End]])</f>
        <v/>
      </c>
      <c r="T157">
        <f>_xlfn.XLOOKUP(tbl_MTG_Set[[#This Row],[Type Name]], tbl_MTG_Set_Type[Set Type], tbl_MTG_Set_Type[Sell Window Month Start], "(Set Type not found)", 0, 1)</f>
        <v/>
      </c>
      <c r="U157" s="3">
        <f>tbl_MTG_Set[[#This Row],[Released On]]+tbl_MTG_Set[[#This Row],[Sell Window Month Start]]*365.25/12</f>
        <v/>
      </c>
      <c r="V157">
        <f>_xlfn.XLOOKUP(tbl_MTG_Set[[#This Row],[Type Name]], tbl_MTG_Set_Type[Set Type], tbl_MTG_Set_Type[Sell Window Month End], "(Set Type not found)", 0, 1)</f>
        <v/>
      </c>
      <c r="W157" s="3">
        <f>tbl_MTG_Set[[#This Row],[Released On]]+tbl_MTG_Set[[#This Row],[Sell Window Month End]]*365.25/12</f>
        <v/>
      </c>
      <c r="X157" s="3">
        <f>AND(NOW()&gt;=tbl_MTG_Set[[#This Row],[Sell Window Start]], NOW()&lt;=tbl_MTG_Set[[#This Row],[Sell Window End]])</f>
        <v/>
      </c>
      <c r="AG157" s="10" t="n"/>
      <c r="AH157" s="10" t="n"/>
      <c r="AM157" s="10">
        <f t="array" ref="AM1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7" s="10">
        <f t="array" ref="AN1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7" s="4">
        <f>_xlfn.XLOOKUP(tbl_MTG_Set[[#This Row],[Play Booster Box Product Id]], tbl_Product[Product Id], tbl_Product[Pack Size])</f>
        <v/>
      </c>
      <c r="AP157" s="10">
        <f>(tbl_MTG_Set[[#This Row],[Play Booster Box Cost]]+v_Item_Shipping_Cost_In)/tbl_MTG_Set[[#This Row],[Play Booster Box Size]]</f>
        <v/>
      </c>
      <c r="AQ157" s="10">
        <f t="array" ref="AQ1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7" s="10" t="n"/>
      <c r="AS157" s="10" t="n"/>
      <c r="AT157" s="17">
        <f>tbl_MTG_Set[[#This Row],[Play Booster CardMarket Profit]]/tbl_MTG_Set[[#This Row],[Play Booster Cost]]</f>
        <v/>
      </c>
      <c r="AU157" s="10">
        <f>_xlfn.XLOOKUP(tbl_MTG_Set[[#This Row],[Collector Booster Box Product Id]], tbl_Product[Product Id], tbl_Product[Min Cost])</f>
        <v/>
      </c>
      <c r="AV157" s="10">
        <f>_xlfn.XLOOKUP(tbl_MTG_Set[[#This Row],[Collector Booster Box Product Id]], tbl_Product[Product Id], tbl_Product[Best Source])</f>
        <v/>
      </c>
      <c r="AW157" s="4">
        <f>_xlfn.XLOOKUP(tbl_MTG_Set[[#This Row],[Collector Booster Box Product Id]], tbl_Product[Product Id], tbl_Product[Pack Size])</f>
        <v/>
      </c>
      <c r="AX157" s="10">
        <f>(tbl_MTG_Set[[#This Row],[Collector Booster Box Cost]] + v_Item_Shipping_Cost_In) / tbl_MTG_Set[[#This Row],[Collector Booster Box Size]]</f>
        <v/>
      </c>
      <c r="AY157" s="10">
        <f t="array" ref="AY1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7" s="10" t="n"/>
      <c r="BA1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7" s="17">
        <f>tbl_MTG_Set[[#This Row],[Collector Booster CardMarket Profit]]/tbl_MTG_Set[[#This Row],[Collector Booster Cost]]</f>
        <v/>
      </c>
      <c r="BC157" s="10" t="n"/>
      <c r="BF157" s="10">
        <f>tbl_MTG_Set[[#This Row],[Play Booster Sell Price CardMarket]]*tbl_MTG_Set[[#This Row],[Play Booster Expected Market Value]]/tbl_MTG_Set[[#This Row],[Play Boost Sealed Market Value]]</f>
        <v/>
      </c>
      <c r="BG1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7" s="10">
        <f>tbl_MTG_Set[[#This Row],[Play Singles CardMarket Profit]]/tbl_MTG_Set[[#This Row],[Play Booster Cost]]</f>
        <v/>
      </c>
      <c r="BI157" s="10">
        <f>tbl_MTG_Set[[#This Row],[Play Singles CardMarket Profit]]&gt;0</f>
        <v/>
      </c>
      <c r="BJ157" s="10" t="n"/>
      <c r="BK157" s="10" t="n"/>
      <c r="BL157" s="10">
        <f>tbl_MTG_Set[[#This Row],[Collector Booster Sell Price CardMarket]]*tbl_MTG_Set[[#This Row],[Collector Booster Expected Market Value]]/tbl_MTG_Set[[#This Row],[Collector Boost Sealed Market Value]]</f>
        <v/>
      </c>
      <c r="BM1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7" s="10">
        <f>tbl_MTG_Set[[#This Row],[Collector Singles CardMarket Profit]]/tbl_MTG_Set[[#This Row],[Collector Booster Cost]]</f>
        <v/>
      </c>
      <c r="BO157" s="10">
        <f>tbl_MTG_Set[[#This Row],[Collector Singles CardMarket Profit]]&gt;0</f>
        <v/>
      </c>
      <c r="BP1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8">
      <c r="A158" t="n">
        <v>156</v>
      </c>
      <c r="B158" t="inlineStr">
        <is>
          <t>Wilds of Eldraine Promos PWOE</t>
        </is>
      </c>
      <c r="C158" t="n">
        <v>160</v>
      </c>
      <c r="D158" s="3" t="n">
        <v>45177</v>
      </c>
      <c r="E158" t="inlineStr">
        <is>
          <t>Standard Expansion</t>
        </is>
      </c>
      <c r="F158" t="inlineStr">
        <is>
          <t>en es fr de it pt ja ko ru 汉语 漢語</t>
        </is>
      </c>
      <c r="G158" t="n">
        <v>258</v>
      </c>
      <c r="H158">
        <f>MONTH(NOW())+12*YEAR(NOW())-MONTH(tbl_MTG_Set[[#This Row],[Released On]])-12*YEAR(tbl_MTG_Set[[#This Row],[Released On]])</f>
        <v/>
      </c>
      <c r="I158">
        <f>_xlfn.XLOOKUP(tbl_MTG_Set[[#This Row],[Type Name]], tbl_MTG_Set_Type[Set Type], tbl_MTG_Set_Type[Index], "(Set Type not found)")</f>
        <v/>
      </c>
      <c r="J158">
        <f>_xlfn.XLOOKUP(tbl_MTG_Set[[#This Row],[Type Name]], tbl_MTG_Set_Type[Set Type], tbl_MTG_Set_Type[Buy Window Month Start], "(Set Type not found)")</f>
        <v/>
      </c>
      <c r="K158" s="3">
        <f>tbl_MTG_Set[[#This Row],[Released On]]+tbl_MTG_Set[[#This Row],[Buy Window Month Start]]*365.25/12</f>
        <v/>
      </c>
      <c r="L158">
        <f>_xlfn.XLOOKUP(tbl_MTG_Set[[#This Row],[Type Name]], tbl_MTG_Set_Type[Set Type], tbl_MTG_Set_Type[Buy Window Month End], "(Set Type not found)", 0, 1)</f>
        <v/>
      </c>
      <c r="M158" s="3">
        <f>tbl_MTG_Set[[#This Row],[Released On]]+tbl_MTG_Set[[#This Row],[Buy Window Month End]]*365.25/12</f>
        <v/>
      </c>
      <c r="N158" s="3">
        <f>AND(NOW()&gt;=tbl_MTG_Set[[#This Row],[Buy Window Start]], NOW()&lt;=tbl_MTG_Set[[#This Row],[Buy Window End]])</f>
        <v/>
      </c>
      <c r="O158">
        <f>_xlfn.XLOOKUP(tbl_MTG_Set[[#This Row],[Type Name]], tbl_MTG_Set_Type[Set Type], tbl_MTG_Set_Type[Heavy Printing Window Month Start], "(Set Type not found)", 0, 1)</f>
        <v/>
      </c>
      <c r="P158" s="3">
        <f>tbl_MTG_Set[[#This Row],[Released On]]+tbl_MTG_Set[[#This Row],[Heavy Printing Window Month Start]]*365.25/12</f>
        <v/>
      </c>
      <c r="Q158">
        <f>_xlfn.XLOOKUP(tbl_MTG_Set[[#This Row],[Type Name]], tbl_MTG_Set_Type[Set Type], tbl_MTG_Set_Type[Heavy Printing Window Month End], "(Set Type not found)", 0, 1)</f>
        <v/>
      </c>
      <c r="R158" s="3">
        <f>tbl_MTG_Set[[#This Row],[Released On]]+tbl_MTG_Set[[#This Row],[Heavy Printing Window Month End]]*365.25/12</f>
        <v/>
      </c>
      <c r="S158" s="3">
        <f>AND(NOW()&gt;=tbl_MTG_Set[[#This Row],[Heavy Printing Window Start]], NOW()&lt;=tbl_MTG_Set[[#This Row],[Heavy Printing Window End]])</f>
        <v/>
      </c>
      <c r="T158">
        <f>_xlfn.XLOOKUP(tbl_MTG_Set[[#This Row],[Type Name]], tbl_MTG_Set_Type[Set Type], tbl_MTG_Set_Type[Sell Window Month Start], "(Set Type not found)", 0, 1)</f>
        <v/>
      </c>
      <c r="U158" s="3">
        <f>tbl_MTG_Set[[#This Row],[Released On]]+tbl_MTG_Set[[#This Row],[Sell Window Month Start]]*365.25/12</f>
        <v/>
      </c>
      <c r="V158">
        <f>_xlfn.XLOOKUP(tbl_MTG_Set[[#This Row],[Type Name]], tbl_MTG_Set_Type[Set Type], tbl_MTG_Set_Type[Sell Window Month End], "(Set Type not found)", 0, 1)</f>
        <v/>
      </c>
      <c r="W158" s="3">
        <f>tbl_MTG_Set[[#This Row],[Released On]]+tbl_MTG_Set[[#This Row],[Sell Window Month End]]*365.25/12</f>
        <v/>
      </c>
      <c r="X158" s="3">
        <f>AND(NOW()&gt;=tbl_MTG_Set[[#This Row],[Sell Window Start]], NOW()&lt;=tbl_MTG_Set[[#This Row],[Sell Window End]])</f>
        <v/>
      </c>
      <c r="AG158" s="10" t="n"/>
      <c r="AH158" s="10" t="n"/>
      <c r="AM158" s="10">
        <f t="array" ref="AM1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8" s="10">
        <f t="array" ref="AN1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8" s="4">
        <f>_xlfn.XLOOKUP(tbl_MTG_Set[[#This Row],[Play Booster Box Product Id]], tbl_Product[Product Id], tbl_Product[Pack Size])</f>
        <v/>
      </c>
      <c r="AP158" s="10">
        <f>(tbl_MTG_Set[[#This Row],[Play Booster Box Cost]]+v_Item_Shipping_Cost_In)/tbl_MTG_Set[[#This Row],[Play Booster Box Size]]</f>
        <v/>
      </c>
      <c r="AQ158" s="10">
        <f t="array" ref="AQ1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8" s="10" t="n"/>
      <c r="AS158" s="10" t="n"/>
      <c r="AT158" s="17">
        <f>tbl_MTG_Set[[#This Row],[Play Booster CardMarket Profit]]/tbl_MTG_Set[[#This Row],[Play Booster Cost]]</f>
        <v/>
      </c>
      <c r="AU158" s="10">
        <f>_xlfn.XLOOKUP(tbl_MTG_Set[[#This Row],[Collector Booster Box Product Id]], tbl_Product[Product Id], tbl_Product[Min Cost])</f>
        <v/>
      </c>
      <c r="AV158" s="10">
        <f>_xlfn.XLOOKUP(tbl_MTG_Set[[#This Row],[Collector Booster Box Product Id]], tbl_Product[Product Id], tbl_Product[Best Source])</f>
        <v/>
      </c>
      <c r="AW158" s="4">
        <f>_xlfn.XLOOKUP(tbl_MTG_Set[[#This Row],[Collector Booster Box Product Id]], tbl_Product[Product Id], tbl_Product[Pack Size])</f>
        <v/>
      </c>
      <c r="AX158" s="10">
        <f>(tbl_MTG_Set[[#This Row],[Collector Booster Box Cost]] + v_Item_Shipping_Cost_In) / tbl_MTG_Set[[#This Row],[Collector Booster Box Size]]</f>
        <v/>
      </c>
      <c r="AY158" s="10">
        <f t="array" ref="AY1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8" s="10" t="n"/>
      <c r="BA1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8" s="17">
        <f>tbl_MTG_Set[[#This Row],[Collector Booster CardMarket Profit]]/tbl_MTG_Set[[#This Row],[Collector Booster Cost]]</f>
        <v/>
      </c>
      <c r="BC158" s="10" t="n"/>
      <c r="BF158" s="10">
        <f>tbl_MTG_Set[[#This Row],[Play Booster Sell Price CardMarket]]*tbl_MTG_Set[[#This Row],[Play Booster Expected Market Value]]/tbl_MTG_Set[[#This Row],[Play Boost Sealed Market Value]]</f>
        <v/>
      </c>
      <c r="BG1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8" s="10">
        <f>tbl_MTG_Set[[#This Row],[Play Singles CardMarket Profit]]/tbl_MTG_Set[[#This Row],[Play Booster Cost]]</f>
        <v/>
      </c>
      <c r="BI158" s="10">
        <f>tbl_MTG_Set[[#This Row],[Play Singles CardMarket Profit]]&gt;0</f>
        <v/>
      </c>
      <c r="BJ158" s="10" t="n"/>
      <c r="BK158" s="10" t="n"/>
      <c r="BL158" s="10">
        <f>tbl_MTG_Set[[#This Row],[Collector Booster Sell Price CardMarket]]*tbl_MTG_Set[[#This Row],[Collector Booster Expected Market Value]]/tbl_MTG_Set[[#This Row],[Collector Boost Sealed Market Value]]</f>
        <v/>
      </c>
      <c r="BM1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8" s="10">
        <f>tbl_MTG_Set[[#This Row],[Collector Singles CardMarket Profit]]/tbl_MTG_Set[[#This Row],[Collector Booster Cost]]</f>
        <v/>
      </c>
      <c r="BO158" s="10">
        <f>tbl_MTG_Set[[#This Row],[Collector Singles CardMarket Profit]]&gt;0</f>
        <v/>
      </c>
      <c r="BP1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9">
      <c r="A159" t="n">
        <v>157</v>
      </c>
      <c r="B159" t="inlineStr">
        <is>
          <t>Wilds of Eldraine Tokens TWOE</t>
        </is>
      </c>
      <c r="C159" t="n">
        <v>18</v>
      </c>
      <c r="D159" s="3" t="n">
        <v>45177</v>
      </c>
      <c r="E159" t="inlineStr">
        <is>
          <t>Standard Expansion</t>
        </is>
      </c>
      <c r="F159" t="inlineStr">
        <is>
          <t>en es fr de it pt ja ko ru 汉语 漢語</t>
        </is>
      </c>
      <c r="G159" t="n">
        <v>260</v>
      </c>
      <c r="H159">
        <f>MONTH(NOW())+12*YEAR(NOW())-MONTH(tbl_MTG_Set[[#This Row],[Released On]])-12*YEAR(tbl_MTG_Set[[#This Row],[Released On]])</f>
        <v/>
      </c>
      <c r="I159">
        <f>_xlfn.XLOOKUP(tbl_MTG_Set[[#This Row],[Type Name]], tbl_MTG_Set_Type[Set Type], tbl_MTG_Set_Type[Index], "(Set Type not found)")</f>
        <v/>
      </c>
      <c r="J159">
        <f>_xlfn.XLOOKUP(tbl_MTG_Set[[#This Row],[Type Name]], tbl_MTG_Set_Type[Set Type], tbl_MTG_Set_Type[Buy Window Month Start], "(Set Type not found)")</f>
        <v/>
      </c>
      <c r="K159" s="3">
        <f>tbl_MTG_Set[[#This Row],[Released On]]+tbl_MTG_Set[[#This Row],[Buy Window Month Start]]*365.25/12</f>
        <v/>
      </c>
      <c r="L159">
        <f>_xlfn.XLOOKUP(tbl_MTG_Set[[#This Row],[Type Name]], tbl_MTG_Set_Type[Set Type], tbl_MTG_Set_Type[Buy Window Month End], "(Set Type not found)", 0, 1)</f>
        <v/>
      </c>
      <c r="M159" s="3">
        <f>tbl_MTG_Set[[#This Row],[Released On]]+tbl_MTG_Set[[#This Row],[Buy Window Month End]]*365.25/12</f>
        <v/>
      </c>
      <c r="N159" s="3">
        <f>AND(NOW()&gt;=tbl_MTG_Set[[#This Row],[Buy Window Start]], NOW()&lt;=tbl_MTG_Set[[#This Row],[Buy Window End]])</f>
        <v/>
      </c>
      <c r="O159">
        <f>_xlfn.XLOOKUP(tbl_MTG_Set[[#This Row],[Type Name]], tbl_MTG_Set_Type[Set Type], tbl_MTG_Set_Type[Heavy Printing Window Month Start], "(Set Type not found)", 0, 1)</f>
        <v/>
      </c>
      <c r="P159" s="3">
        <f>tbl_MTG_Set[[#This Row],[Released On]]+tbl_MTG_Set[[#This Row],[Heavy Printing Window Month Start]]*365.25/12</f>
        <v/>
      </c>
      <c r="Q159">
        <f>_xlfn.XLOOKUP(tbl_MTG_Set[[#This Row],[Type Name]], tbl_MTG_Set_Type[Set Type], tbl_MTG_Set_Type[Heavy Printing Window Month End], "(Set Type not found)", 0, 1)</f>
        <v/>
      </c>
      <c r="R159" s="3">
        <f>tbl_MTG_Set[[#This Row],[Released On]]+tbl_MTG_Set[[#This Row],[Heavy Printing Window Month End]]*365.25/12</f>
        <v/>
      </c>
      <c r="S159" s="3">
        <f>AND(NOW()&gt;=tbl_MTG_Set[[#This Row],[Heavy Printing Window Start]], NOW()&lt;=tbl_MTG_Set[[#This Row],[Heavy Printing Window End]])</f>
        <v/>
      </c>
      <c r="T159">
        <f>_xlfn.XLOOKUP(tbl_MTG_Set[[#This Row],[Type Name]], tbl_MTG_Set_Type[Set Type], tbl_MTG_Set_Type[Sell Window Month Start], "(Set Type not found)", 0, 1)</f>
        <v/>
      </c>
      <c r="U159" s="3">
        <f>tbl_MTG_Set[[#This Row],[Released On]]+tbl_MTG_Set[[#This Row],[Sell Window Month Start]]*365.25/12</f>
        <v/>
      </c>
      <c r="V159">
        <f>_xlfn.XLOOKUP(tbl_MTG_Set[[#This Row],[Type Name]], tbl_MTG_Set_Type[Set Type], tbl_MTG_Set_Type[Sell Window Month End], "(Set Type not found)", 0, 1)</f>
        <v/>
      </c>
      <c r="W159" s="3">
        <f>tbl_MTG_Set[[#This Row],[Released On]]+tbl_MTG_Set[[#This Row],[Sell Window Month End]]*365.25/12</f>
        <v/>
      </c>
      <c r="X159" s="3">
        <f>AND(NOW()&gt;=tbl_MTG_Set[[#This Row],[Sell Window Start]], NOW()&lt;=tbl_MTG_Set[[#This Row],[Sell Window End]])</f>
        <v/>
      </c>
      <c r="AG159" s="10" t="n"/>
      <c r="AH159" s="10" t="n"/>
      <c r="AM159" s="10">
        <f t="array" ref="AM1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9" s="10">
        <f t="array" ref="AN1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9" s="4">
        <f>_xlfn.XLOOKUP(tbl_MTG_Set[[#This Row],[Play Booster Box Product Id]], tbl_Product[Product Id], tbl_Product[Pack Size])</f>
        <v/>
      </c>
      <c r="AP159" s="10">
        <f>(tbl_MTG_Set[[#This Row],[Play Booster Box Cost]]+v_Item_Shipping_Cost_In)/tbl_MTG_Set[[#This Row],[Play Booster Box Size]]</f>
        <v/>
      </c>
      <c r="AQ159" s="10">
        <f t="array" ref="AQ1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59" s="10" t="n"/>
      <c r="AS159" s="10" t="n"/>
      <c r="AT159" s="17">
        <f>tbl_MTG_Set[[#This Row],[Play Booster CardMarket Profit]]/tbl_MTG_Set[[#This Row],[Play Booster Cost]]</f>
        <v/>
      </c>
      <c r="AU159" s="10">
        <f>_xlfn.XLOOKUP(tbl_MTG_Set[[#This Row],[Collector Booster Box Product Id]], tbl_Product[Product Id], tbl_Product[Min Cost])</f>
        <v/>
      </c>
      <c r="AV159" s="10">
        <f>_xlfn.XLOOKUP(tbl_MTG_Set[[#This Row],[Collector Booster Box Product Id]], tbl_Product[Product Id], tbl_Product[Best Source])</f>
        <v/>
      </c>
      <c r="AW159" s="4">
        <f>_xlfn.XLOOKUP(tbl_MTG_Set[[#This Row],[Collector Booster Box Product Id]], tbl_Product[Product Id], tbl_Product[Pack Size])</f>
        <v/>
      </c>
      <c r="AX159" s="10">
        <f>(tbl_MTG_Set[[#This Row],[Collector Booster Box Cost]] + v_Item_Shipping_Cost_In) / tbl_MTG_Set[[#This Row],[Collector Booster Box Size]]</f>
        <v/>
      </c>
      <c r="AY159" s="10">
        <f t="array" ref="AY1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59" s="10" t="n"/>
      <c r="BA1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9" s="17">
        <f>tbl_MTG_Set[[#This Row],[Collector Booster CardMarket Profit]]/tbl_MTG_Set[[#This Row],[Collector Booster Cost]]</f>
        <v/>
      </c>
      <c r="BC159" s="10" t="n"/>
      <c r="BF159" s="10">
        <f>tbl_MTG_Set[[#This Row],[Play Booster Sell Price CardMarket]]*tbl_MTG_Set[[#This Row],[Play Booster Expected Market Value]]/tbl_MTG_Set[[#This Row],[Play Boost Sealed Market Value]]</f>
        <v/>
      </c>
      <c r="BG1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9" s="10">
        <f>tbl_MTG_Set[[#This Row],[Play Singles CardMarket Profit]]/tbl_MTG_Set[[#This Row],[Play Booster Cost]]</f>
        <v/>
      </c>
      <c r="BI159" s="10">
        <f>tbl_MTG_Set[[#This Row],[Play Singles CardMarket Profit]]&gt;0</f>
        <v/>
      </c>
      <c r="BJ159" s="10" t="n"/>
      <c r="BK159" s="10" t="n"/>
      <c r="BL159" s="10">
        <f>tbl_MTG_Set[[#This Row],[Collector Booster Sell Price CardMarket]]*tbl_MTG_Set[[#This Row],[Collector Booster Expected Market Value]]/tbl_MTG_Set[[#This Row],[Collector Boost Sealed Market Value]]</f>
        <v/>
      </c>
      <c r="BM1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9" s="10">
        <f>tbl_MTG_Set[[#This Row],[Collector Singles CardMarket Profit]]/tbl_MTG_Set[[#This Row],[Collector Booster Cost]]</f>
        <v/>
      </c>
      <c r="BO159" s="10">
        <f>tbl_MTG_Set[[#This Row],[Collector Singles CardMarket Profit]]&gt;0</f>
        <v/>
      </c>
      <c r="BP1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0">
      <c r="A160" t="n">
        <v>158</v>
      </c>
      <c r="B160" t="inlineStr">
        <is>
          <t>Alchemy: Wilds of Eldraine YWOE</t>
        </is>
      </c>
      <c r="C160" t="n">
        <v>30</v>
      </c>
      <c r="D160" s="3" t="n">
        <v>45209</v>
      </c>
      <c r="F160" t="inlineStr">
        <is>
          <t>en es fr de it pt ja ko ru 汉语 漢語</t>
        </is>
      </c>
      <c r="G160" t="n">
        <v>262</v>
      </c>
      <c r="H160">
        <f>MONTH(NOW())+12*YEAR(NOW())-MONTH(tbl_MTG_Set[[#This Row],[Released On]])-12*YEAR(tbl_MTG_Set[[#This Row],[Released On]])</f>
        <v/>
      </c>
      <c r="I160">
        <f>_xlfn.XLOOKUP(tbl_MTG_Set[[#This Row],[Type Name]], tbl_MTG_Set_Type[Set Type], tbl_MTG_Set_Type[Index], "(Set Type not found)")</f>
        <v/>
      </c>
      <c r="J160">
        <f>_xlfn.XLOOKUP(tbl_MTG_Set[[#This Row],[Type Name]], tbl_MTG_Set_Type[Set Type], tbl_MTG_Set_Type[Buy Window Month Start], "(Set Type not found)")</f>
        <v/>
      </c>
      <c r="K160" s="3">
        <f>tbl_MTG_Set[[#This Row],[Released On]]+tbl_MTG_Set[[#This Row],[Buy Window Month Start]]*365.25/12</f>
        <v/>
      </c>
      <c r="L160">
        <f>_xlfn.XLOOKUP(tbl_MTG_Set[[#This Row],[Type Name]], tbl_MTG_Set_Type[Set Type], tbl_MTG_Set_Type[Buy Window Month End], "(Set Type not found)", 0, 1)</f>
        <v/>
      </c>
      <c r="M160" s="3">
        <f>tbl_MTG_Set[[#This Row],[Released On]]+tbl_MTG_Set[[#This Row],[Buy Window Month End]]*365.25/12</f>
        <v/>
      </c>
      <c r="N160" s="3">
        <f>AND(NOW()&gt;=tbl_MTG_Set[[#This Row],[Buy Window Start]], NOW()&lt;=tbl_MTG_Set[[#This Row],[Buy Window End]])</f>
        <v/>
      </c>
      <c r="O160">
        <f>_xlfn.XLOOKUP(tbl_MTG_Set[[#This Row],[Type Name]], tbl_MTG_Set_Type[Set Type], tbl_MTG_Set_Type[Heavy Printing Window Month Start], "(Set Type not found)", 0, 1)</f>
        <v/>
      </c>
      <c r="P160" s="3">
        <f>tbl_MTG_Set[[#This Row],[Released On]]+tbl_MTG_Set[[#This Row],[Heavy Printing Window Month Start]]*365.25/12</f>
        <v/>
      </c>
      <c r="Q160">
        <f>_xlfn.XLOOKUP(tbl_MTG_Set[[#This Row],[Type Name]], tbl_MTG_Set_Type[Set Type], tbl_MTG_Set_Type[Heavy Printing Window Month End], "(Set Type not found)", 0, 1)</f>
        <v/>
      </c>
      <c r="R160" s="3">
        <f>tbl_MTG_Set[[#This Row],[Released On]]+tbl_MTG_Set[[#This Row],[Heavy Printing Window Month End]]*365.25/12</f>
        <v/>
      </c>
      <c r="S160" s="3">
        <f>AND(NOW()&gt;=tbl_MTG_Set[[#This Row],[Heavy Printing Window Start]], NOW()&lt;=tbl_MTG_Set[[#This Row],[Heavy Printing Window End]])</f>
        <v/>
      </c>
      <c r="T160">
        <f>_xlfn.XLOOKUP(tbl_MTG_Set[[#This Row],[Type Name]], tbl_MTG_Set_Type[Set Type], tbl_MTG_Set_Type[Sell Window Month Start], "(Set Type not found)", 0, 1)</f>
        <v/>
      </c>
      <c r="U160" s="3">
        <f>tbl_MTG_Set[[#This Row],[Released On]]+tbl_MTG_Set[[#This Row],[Sell Window Month Start]]*365.25/12</f>
        <v/>
      </c>
      <c r="V160">
        <f>_xlfn.XLOOKUP(tbl_MTG_Set[[#This Row],[Type Name]], tbl_MTG_Set_Type[Set Type], tbl_MTG_Set_Type[Sell Window Month End], "(Set Type not found)", 0, 1)</f>
        <v/>
      </c>
      <c r="W160" s="3">
        <f>tbl_MTG_Set[[#This Row],[Released On]]+tbl_MTG_Set[[#This Row],[Sell Window Month End]]*365.25/12</f>
        <v/>
      </c>
      <c r="X160" s="3">
        <f>AND(NOW()&gt;=tbl_MTG_Set[[#This Row],[Sell Window Start]], NOW()&lt;=tbl_MTG_Set[[#This Row],[Sell Window End]])</f>
        <v/>
      </c>
      <c r="AG160" s="10" t="n"/>
      <c r="AH160" s="10" t="n"/>
      <c r="AM160" s="10">
        <f t="array" ref="AM1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0" s="10">
        <f t="array" ref="AN1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0" s="4">
        <f>_xlfn.XLOOKUP(tbl_MTG_Set[[#This Row],[Play Booster Box Product Id]], tbl_Product[Product Id], tbl_Product[Pack Size])</f>
        <v/>
      </c>
      <c r="AP160" s="10">
        <f>(tbl_MTG_Set[[#This Row],[Play Booster Box Cost]]+v_Item_Shipping_Cost_In)/tbl_MTG_Set[[#This Row],[Play Booster Box Size]]</f>
        <v/>
      </c>
      <c r="AQ160" s="10">
        <f t="array" ref="AQ1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0" s="10" t="n"/>
      <c r="AS160" s="10" t="n"/>
      <c r="AT160" s="17">
        <f>tbl_MTG_Set[[#This Row],[Play Booster CardMarket Profit]]/tbl_MTG_Set[[#This Row],[Play Booster Cost]]</f>
        <v/>
      </c>
      <c r="AU160" s="10">
        <f>_xlfn.XLOOKUP(tbl_MTG_Set[[#This Row],[Collector Booster Box Product Id]], tbl_Product[Product Id], tbl_Product[Min Cost])</f>
        <v/>
      </c>
      <c r="AV160" s="10">
        <f>_xlfn.XLOOKUP(tbl_MTG_Set[[#This Row],[Collector Booster Box Product Id]], tbl_Product[Product Id], tbl_Product[Best Source])</f>
        <v/>
      </c>
      <c r="AW160" s="4">
        <f>_xlfn.XLOOKUP(tbl_MTG_Set[[#This Row],[Collector Booster Box Product Id]], tbl_Product[Product Id], tbl_Product[Pack Size])</f>
        <v/>
      </c>
      <c r="AX160" s="10">
        <f>(tbl_MTG_Set[[#This Row],[Collector Booster Box Cost]] + v_Item_Shipping_Cost_In) / tbl_MTG_Set[[#This Row],[Collector Booster Box Size]]</f>
        <v/>
      </c>
      <c r="AY160" s="10">
        <f t="array" ref="AY1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0" s="10" t="n"/>
      <c r="BA1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0" s="17">
        <f>tbl_MTG_Set[[#This Row],[Collector Booster CardMarket Profit]]/tbl_MTG_Set[[#This Row],[Collector Booster Cost]]</f>
        <v/>
      </c>
      <c r="BC160" s="10" t="n"/>
      <c r="BF160" s="10">
        <f>tbl_MTG_Set[[#This Row],[Play Booster Sell Price CardMarket]]*tbl_MTG_Set[[#This Row],[Play Booster Expected Market Value]]/tbl_MTG_Set[[#This Row],[Play Boost Sealed Market Value]]</f>
        <v/>
      </c>
      <c r="BG1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0" s="10">
        <f>tbl_MTG_Set[[#This Row],[Play Singles CardMarket Profit]]/tbl_MTG_Set[[#This Row],[Play Booster Cost]]</f>
        <v/>
      </c>
      <c r="BI160" s="10">
        <f>tbl_MTG_Set[[#This Row],[Play Singles CardMarket Profit]]&gt;0</f>
        <v/>
      </c>
      <c r="BJ160" s="10" t="n"/>
      <c r="BK160" s="10" t="n"/>
      <c r="BL160" s="10">
        <f>tbl_MTG_Set[[#This Row],[Collector Booster Sell Price CardMarket]]*tbl_MTG_Set[[#This Row],[Collector Booster Expected Market Value]]/tbl_MTG_Set[[#This Row],[Collector Boost Sealed Market Value]]</f>
        <v/>
      </c>
      <c r="BM1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0" s="10">
        <f>tbl_MTG_Set[[#This Row],[Collector Singles CardMarket Profit]]/tbl_MTG_Set[[#This Row],[Collector Booster Cost]]</f>
        <v/>
      </c>
      <c r="BO160" s="10">
        <f>tbl_MTG_Set[[#This Row],[Collector Singles CardMarket Profit]]&gt;0</f>
        <v/>
      </c>
      <c r="BP1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1">
      <c r="A161" t="n">
        <v>159</v>
      </c>
      <c r="B161" t="inlineStr">
        <is>
          <t>Wilds of Eldraine Commander WOC</t>
        </is>
      </c>
      <c r="C161" t="n">
        <v>173</v>
      </c>
      <c r="D161" s="3" t="n">
        <v>45177</v>
      </c>
      <c r="E161" t="inlineStr">
        <is>
          <t>Standard Expansion</t>
        </is>
      </c>
      <c r="F161" t="inlineStr">
        <is>
          <t>en es fr de it pt ja ko ru 汉语 漢語</t>
        </is>
      </c>
      <c r="G161" t="n">
        <v>264</v>
      </c>
      <c r="H161">
        <f>MONTH(NOW())+12*YEAR(NOW())-MONTH(tbl_MTG_Set[[#This Row],[Released On]])-12*YEAR(tbl_MTG_Set[[#This Row],[Released On]])</f>
        <v/>
      </c>
      <c r="I161">
        <f>_xlfn.XLOOKUP(tbl_MTG_Set[[#This Row],[Type Name]], tbl_MTG_Set_Type[Set Type], tbl_MTG_Set_Type[Index], "(Set Type not found)")</f>
        <v/>
      </c>
      <c r="J161">
        <f>_xlfn.XLOOKUP(tbl_MTG_Set[[#This Row],[Type Name]], tbl_MTG_Set_Type[Set Type], tbl_MTG_Set_Type[Buy Window Month Start], "(Set Type not found)")</f>
        <v/>
      </c>
      <c r="K161" s="3">
        <f>tbl_MTG_Set[[#This Row],[Released On]]+tbl_MTG_Set[[#This Row],[Buy Window Month Start]]*365.25/12</f>
        <v/>
      </c>
      <c r="L161">
        <f>_xlfn.XLOOKUP(tbl_MTG_Set[[#This Row],[Type Name]], tbl_MTG_Set_Type[Set Type], tbl_MTG_Set_Type[Buy Window Month End], "(Set Type not found)", 0, 1)</f>
        <v/>
      </c>
      <c r="M161" s="3">
        <f>tbl_MTG_Set[[#This Row],[Released On]]+tbl_MTG_Set[[#This Row],[Buy Window Month End]]*365.25/12</f>
        <v/>
      </c>
      <c r="N161" s="3">
        <f>AND(NOW()&gt;=tbl_MTG_Set[[#This Row],[Buy Window Start]], NOW()&lt;=tbl_MTG_Set[[#This Row],[Buy Window End]])</f>
        <v/>
      </c>
      <c r="O161">
        <f>_xlfn.XLOOKUP(tbl_MTG_Set[[#This Row],[Type Name]], tbl_MTG_Set_Type[Set Type], tbl_MTG_Set_Type[Heavy Printing Window Month Start], "(Set Type not found)", 0, 1)</f>
        <v/>
      </c>
      <c r="P161" s="3">
        <f>tbl_MTG_Set[[#This Row],[Released On]]+tbl_MTG_Set[[#This Row],[Heavy Printing Window Month Start]]*365.25/12</f>
        <v/>
      </c>
      <c r="Q161">
        <f>_xlfn.XLOOKUP(tbl_MTG_Set[[#This Row],[Type Name]], tbl_MTG_Set_Type[Set Type], tbl_MTG_Set_Type[Heavy Printing Window Month End], "(Set Type not found)", 0, 1)</f>
        <v/>
      </c>
      <c r="R161" s="3">
        <f>tbl_MTG_Set[[#This Row],[Released On]]+tbl_MTG_Set[[#This Row],[Heavy Printing Window Month End]]*365.25/12</f>
        <v/>
      </c>
      <c r="S161" s="3">
        <f>AND(NOW()&gt;=tbl_MTG_Set[[#This Row],[Heavy Printing Window Start]], NOW()&lt;=tbl_MTG_Set[[#This Row],[Heavy Printing Window End]])</f>
        <v/>
      </c>
      <c r="T161">
        <f>_xlfn.XLOOKUP(tbl_MTG_Set[[#This Row],[Type Name]], tbl_MTG_Set_Type[Set Type], tbl_MTG_Set_Type[Sell Window Month Start], "(Set Type not found)", 0, 1)</f>
        <v/>
      </c>
      <c r="U161" s="3">
        <f>tbl_MTG_Set[[#This Row],[Released On]]+tbl_MTG_Set[[#This Row],[Sell Window Month Start]]*365.25/12</f>
        <v/>
      </c>
      <c r="V161">
        <f>_xlfn.XLOOKUP(tbl_MTG_Set[[#This Row],[Type Name]], tbl_MTG_Set_Type[Set Type], tbl_MTG_Set_Type[Sell Window Month End], "(Set Type not found)", 0, 1)</f>
        <v/>
      </c>
      <c r="W161" s="3">
        <f>tbl_MTG_Set[[#This Row],[Released On]]+tbl_MTG_Set[[#This Row],[Sell Window Month End]]*365.25/12</f>
        <v/>
      </c>
      <c r="X161" s="3">
        <f>AND(NOW()&gt;=tbl_MTG_Set[[#This Row],[Sell Window Start]], NOW()&lt;=tbl_MTG_Set[[#This Row],[Sell Window End]])</f>
        <v/>
      </c>
      <c r="AG161" s="10" t="n"/>
      <c r="AH161" s="10" t="n"/>
      <c r="AM161" s="10">
        <f t="array" ref="AM1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1" s="10">
        <f t="array" ref="AN1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1" s="4">
        <f>_xlfn.XLOOKUP(tbl_MTG_Set[[#This Row],[Play Booster Box Product Id]], tbl_Product[Product Id], tbl_Product[Pack Size])</f>
        <v/>
      </c>
      <c r="AP161" s="10">
        <f>(tbl_MTG_Set[[#This Row],[Play Booster Box Cost]]+v_Item_Shipping_Cost_In)/tbl_MTG_Set[[#This Row],[Play Booster Box Size]]</f>
        <v/>
      </c>
      <c r="AQ161" s="10">
        <f t="array" ref="AQ1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1" s="10" t="n"/>
      <c r="AS161" s="10" t="n"/>
      <c r="AT161" s="17">
        <f>tbl_MTG_Set[[#This Row],[Play Booster CardMarket Profit]]/tbl_MTG_Set[[#This Row],[Play Booster Cost]]</f>
        <v/>
      </c>
      <c r="AU161" s="10">
        <f>_xlfn.XLOOKUP(tbl_MTG_Set[[#This Row],[Collector Booster Box Product Id]], tbl_Product[Product Id], tbl_Product[Min Cost])</f>
        <v/>
      </c>
      <c r="AV161" s="10">
        <f>_xlfn.XLOOKUP(tbl_MTG_Set[[#This Row],[Collector Booster Box Product Id]], tbl_Product[Product Id], tbl_Product[Best Source])</f>
        <v/>
      </c>
      <c r="AW161" s="4">
        <f>_xlfn.XLOOKUP(tbl_MTG_Set[[#This Row],[Collector Booster Box Product Id]], tbl_Product[Product Id], tbl_Product[Pack Size])</f>
        <v/>
      </c>
      <c r="AX161" s="10">
        <f>(tbl_MTG_Set[[#This Row],[Collector Booster Box Cost]] + v_Item_Shipping_Cost_In) / tbl_MTG_Set[[#This Row],[Collector Booster Box Size]]</f>
        <v/>
      </c>
      <c r="AY161" s="10">
        <f t="array" ref="AY1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1" s="10" t="n"/>
      <c r="BA1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1" s="17">
        <f>tbl_MTG_Set[[#This Row],[Collector Booster CardMarket Profit]]/tbl_MTG_Set[[#This Row],[Collector Booster Cost]]</f>
        <v/>
      </c>
      <c r="BC161" s="10" t="n"/>
      <c r="BF161" s="10">
        <f>tbl_MTG_Set[[#This Row],[Play Booster Sell Price CardMarket]]*tbl_MTG_Set[[#This Row],[Play Booster Expected Market Value]]/tbl_MTG_Set[[#This Row],[Play Boost Sealed Market Value]]</f>
        <v/>
      </c>
      <c r="BG1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1" s="10">
        <f>tbl_MTG_Set[[#This Row],[Play Singles CardMarket Profit]]/tbl_MTG_Set[[#This Row],[Play Booster Cost]]</f>
        <v/>
      </c>
      <c r="BI161" s="10">
        <f>tbl_MTG_Set[[#This Row],[Play Singles CardMarket Profit]]&gt;0</f>
        <v/>
      </c>
      <c r="BJ161" s="10" t="n"/>
      <c r="BK161" s="10" t="n"/>
      <c r="BL161" s="10">
        <f>tbl_MTG_Set[[#This Row],[Collector Booster Sell Price CardMarket]]*tbl_MTG_Set[[#This Row],[Collector Booster Expected Market Value]]/tbl_MTG_Set[[#This Row],[Collector Boost Sealed Market Value]]</f>
        <v/>
      </c>
      <c r="BM1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1" s="10">
        <f>tbl_MTG_Set[[#This Row],[Collector Singles CardMarket Profit]]/tbl_MTG_Set[[#This Row],[Collector Booster Cost]]</f>
        <v/>
      </c>
      <c r="BO161" s="10">
        <f>tbl_MTG_Set[[#This Row],[Collector Singles CardMarket Profit]]&gt;0</f>
        <v/>
      </c>
      <c r="BP1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2">
      <c r="A162" t="n">
        <v>160</v>
      </c>
      <c r="B162" t="inlineStr">
        <is>
          <t>Wilds of Eldraine Commander Tokens TWOC</t>
        </is>
      </c>
      <c r="C162" t="n">
        <v>10</v>
      </c>
      <c r="D162" s="3" t="n">
        <v>45177</v>
      </c>
      <c r="E162" t="inlineStr">
        <is>
          <t>Standard Expansion</t>
        </is>
      </c>
      <c r="F162" t="inlineStr">
        <is>
          <t>en es fr de it pt ja ko ru 汉语 漢語</t>
        </is>
      </c>
      <c r="G162" t="n">
        <v>266</v>
      </c>
      <c r="H162">
        <f>MONTH(NOW())+12*YEAR(NOW())-MONTH(tbl_MTG_Set[[#This Row],[Released On]])-12*YEAR(tbl_MTG_Set[[#This Row],[Released On]])</f>
        <v/>
      </c>
      <c r="I162">
        <f>_xlfn.XLOOKUP(tbl_MTG_Set[[#This Row],[Type Name]], tbl_MTG_Set_Type[Set Type], tbl_MTG_Set_Type[Index], "(Set Type not found)")</f>
        <v/>
      </c>
      <c r="J162">
        <f>_xlfn.XLOOKUP(tbl_MTG_Set[[#This Row],[Type Name]], tbl_MTG_Set_Type[Set Type], tbl_MTG_Set_Type[Buy Window Month Start], "(Set Type not found)")</f>
        <v/>
      </c>
      <c r="K162" s="3">
        <f>tbl_MTG_Set[[#This Row],[Released On]]+tbl_MTG_Set[[#This Row],[Buy Window Month Start]]*365.25/12</f>
        <v/>
      </c>
      <c r="L162">
        <f>_xlfn.XLOOKUP(tbl_MTG_Set[[#This Row],[Type Name]], tbl_MTG_Set_Type[Set Type], tbl_MTG_Set_Type[Buy Window Month End], "(Set Type not found)", 0, 1)</f>
        <v/>
      </c>
      <c r="M162" s="3">
        <f>tbl_MTG_Set[[#This Row],[Released On]]+tbl_MTG_Set[[#This Row],[Buy Window Month End]]*365.25/12</f>
        <v/>
      </c>
      <c r="N162" s="3">
        <f>AND(NOW()&gt;=tbl_MTG_Set[[#This Row],[Buy Window Start]], NOW()&lt;=tbl_MTG_Set[[#This Row],[Buy Window End]])</f>
        <v/>
      </c>
      <c r="O162">
        <f>_xlfn.XLOOKUP(tbl_MTG_Set[[#This Row],[Type Name]], tbl_MTG_Set_Type[Set Type], tbl_MTG_Set_Type[Heavy Printing Window Month Start], "(Set Type not found)", 0, 1)</f>
        <v/>
      </c>
      <c r="P162" s="3">
        <f>tbl_MTG_Set[[#This Row],[Released On]]+tbl_MTG_Set[[#This Row],[Heavy Printing Window Month Start]]*365.25/12</f>
        <v/>
      </c>
      <c r="Q162">
        <f>_xlfn.XLOOKUP(tbl_MTG_Set[[#This Row],[Type Name]], tbl_MTG_Set_Type[Set Type], tbl_MTG_Set_Type[Heavy Printing Window Month End], "(Set Type not found)", 0, 1)</f>
        <v/>
      </c>
      <c r="R162" s="3">
        <f>tbl_MTG_Set[[#This Row],[Released On]]+tbl_MTG_Set[[#This Row],[Heavy Printing Window Month End]]*365.25/12</f>
        <v/>
      </c>
      <c r="S162" s="3">
        <f>AND(NOW()&gt;=tbl_MTG_Set[[#This Row],[Heavy Printing Window Start]], NOW()&lt;=tbl_MTG_Set[[#This Row],[Heavy Printing Window End]])</f>
        <v/>
      </c>
      <c r="T162">
        <f>_xlfn.XLOOKUP(tbl_MTG_Set[[#This Row],[Type Name]], tbl_MTG_Set_Type[Set Type], tbl_MTG_Set_Type[Sell Window Month Start], "(Set Type not found)", 0, 1)</f>
        <v/>
      </c>
      <c r="U162" s="3">
        <f>tbl_MTG_Set[[#This Row],[Released On]]+tbl_MTG_Set[[#This Row],[Sell Window Month Start]]*365.25/12</f>
        <v/>
      </c>
      <c r="V162">
        <f>_xlfn.XLOOKUP(tbl_MTG_Set[[#This Row],[Type Name]], tbl_MTG_Set_Type[Set Type], tbl_MTG_Set_Type[Sell Window Month End], "(Set Type not found)", 0, 1)</f>
        <v/>
      </c>
      <c r="W162" s="3">
        <f>tbl_MTG_Set[[#This Row],[Released On]]+tbl_MTG_Set[[#This Row],[Sell Window Month End]]*365.25/12</f>
        <v/>
      </c>
      <c r="X162" s="3">
        <f>AND(NOW()&gt;=tbl_MTG_Set[[#This Row],[Sell Window Start]], NOW()&lt;=tbl_MTG_Set[[#This Row],[Sell Window End]])</f>
        <v/>
      </c>
      <c r="AG162" s="10" t="n"/>
      <c r="AH162" s="10" t="n"/>
      <c r="AM162" s="10">
        <f t="array" ref="AM1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2" s="10">
        <f t="array" ref="AN1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2" s="4">
        <f>_xlfn.XLOOKUP(tbl_MTG_Set[[#This Row],[Play Booster Box Product Id]], tbl_Product[Product Id], tbl_Product[Pack Size])</f>
        <v/>
      </c>
      <c r="AP162" s="10">
        <f>(tbl_MTG_Set[[#This Row],[Play Booster Box Cost]]+v_Item_Shipping_Cost_In)/tbl_MTG_Set[[#This Row],[Play Booster Box Size]]</f>
        <v/>
      </c>
      <c r="AQ162" s="10">
        <f t="array" ref="AQ1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2" s="10" t="n"/>
      <c r="AS162" s="10" t="n"/>
      <c r="AT162" s="17">
        <f>tbl_MTG_Set[[#This Row],[Play Booster CardMarket Profit]]/tbl_MTG_Set[[#This Row],[Play Booster Cost]]</f>
        <v/>
      </c>
      <c r="AU162" s="10">
        <f>_xlfn.XLOOKUP(tbl_MTG_Set[[#This Row],[Collector Booster Box Product Id]], tbl_Product[Product Id], tbl_Product[Min Cost])</f>
        <v/>
      </c>
      <c r="AV162" s="10">
        <f>_xlfn.XLOOKUP(tbl_MTG_Set[[#This Row],[Collector Booster Box Product Id]], tbl_Product[Product Id], tbl_Product[Best Source])</f>
        <v/>
      </c>
      <c r="AW162" s="4">
        <f>_xlfn.XLOOKUP(tbl_MTG_Set[[#This Row],[Collector Booster Box Product Id]], tbl_Product[Product Id], tbl_Product[Pack Size])</f>
        <v/>
      </c>
      <c r="AX162" s="10">
        <f>(tbl_MTG_Set[[#This Row],[Collector Booster Box Cost]] + v_Item_Shipping_Cost_In) / tbl_MTG_Set[[#This Row],[Collector Booster Box Size]]</f>
        <v/>
      </c>
      <c r="AY162" s="10">
        <f t="array" ref="AY1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2" s="10" t="n"/>
      <c r="BA1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2" s="17">
        <f>tbl_MTG_Set[[#This Row],[Collector Booster CardMarket Profit]]/tbl_MTG_Set[[#This Row],[Collector Booster Cost]]</f>
        <v/>
      </c>
      <c r="BC162" s="10" t="n"/>
      <c r="BF162" s="10">
        <f>tbl_MTG_Set[[#This Row],[Play Booster Sell Price CardMarket]]*tbl_MTG_Set[[#This Row],[Play Booster Expected Market Value]]/tbl_MTG_Set[[#This Row],[Play Boost Sealed Market Value]]</f>
        <v/>
      </c>
      <c r="BG1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2" s="10">
        <f>tbl_MTG_Set[[#This Row],[Play Singles CardMarket Profit]]/tbl_MTG_Set[[#This Row],[Play Booster Cost]]</f>
        <v/>
      </c>
      <c r="BI162" s="10">
        <f>tbl_MTG_Set[[#This Row],[Play Singles CardMarket Profit]]&gt;0</f>
        <v/>
      </c>
      <c r="BJ162" s="10" t="n"/>
      <c r="BK162" s="10" t="n"/>
      <c r="BL162" s="10">
        <f>tbl_MTG_Set[[#This Row],[Collector Booster Sell Price CardMarket]]*tbl_MTG_Set[[#This Row],[Collector Booster Expected Market Value]]/tbl_MTG_Set[[#This Row],[Collector Boost Sealed Market Value]]</f>
        <v/>
      </c>
      <c r="BM1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2" s="10">
        <f>tbl_MTG_Set[[#This Row],[Collector Singles CardMarket Profit]]/tbl_MTG_Set[[#This Row],[Collector Booster Cost]]</f>
        <v/>
      </c>
      <c r="BO162" s="10">
        <f>tbl_MTG_Set[[#This Row],[Collector Singles CardMarket Profit]]&gt;0</f>
        <v/>
      </c>
      <c r="BP1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3">
      <c r="A163" t="n">
        <v>161</v>
      </c>
      <c r="B163" t="inlineStr">
        <is>
          <t>WOE Japanese Promo Tokens WWOE</t>
        </is>
      </c>
      <c r="C163" t="n">
        <v>6</v>
      </c>
      <c r="D163" s="3" t="n">
        <v>45177</v>
      </c>
      <c r="E163" t="inlineStr">
        <is>
          <t>Standard Expansion</t>
        </is>
      </c>
      <c r="F163" t="inlineStr">
        <is>
          <t>en es fr de it pt ja ko ru 汉语 漢語</t>
        </is>
      </c>
      <c r="G163" t="n">
        <v>268</v>
      </c>
      <c r="H163">
        <f>MONTH(NOW())+12*YEAR(NOW())-MONTH(tbl_MTG_Set[[#This Row],[Released On]])-12*YEAR(tbl_MTG_Set[[#This Row],[Released On]])</f>
        <v/>
      </c>
      <c r="I163">
        <f>_xlfn.XLOOKUP(tbl_MTG_Set[[#This Row],[Type Name]], tbl_MTG_Set_Type[Set Type], tbl_MTG_Set_Type[Index], "(Set Type not found)")</f>
        <v/>
      </c>
      <c r="J163">
        <f>_xlfn.XLOOKUP(tbl_MTG_Set[[#This Row],[Type Name]], tbl_MTG_Set_Type[Set Type], tbl_MTG_Set_Type[Buy Window Month Start], "(Set Type not found)")</f>
        <v/>
      </c>
      <c r="K163" s="3">
        <f>tbl_MTG_Set[[#This Row],[Released On]]+tbl_MTG_Set[[#This Row],[Buy Window Month Start]]*365.25/12</f>
        <v/>
      </c>
      <c r="L163">
        <f>_xlfn.XLOOKUP(tbl_MTG_Set[[#This Row],[Type Name]], tbl_MTG_Set_Type[Set Type], tbl_MTG_Set_Type[Buy Window Month End], "(Set Type not found)", 0, 1)</f>
        <v/>
      </c>
      <c r="M163" s="3">
        <f>tbl_MTG_Set[[#This Row],[Released On]]+tbl_MTG_Set[[#This Row],[Buy Window Month End]]*365.25/12</f>
        <v/>
      </c>
      <c r="N163" s="3">
        <f>AND(NOW()&gt;=tbl_MTG_Set[[#This Row],[Buy Window Start]], NOW()&lt;=tbl_MTG_Set[[#This Row],[Buy Window End]])</f>
        <v/>
      </c>
      <c r="O163">
        <f>_xlfn.XLOOKUP(tbl_MTG_Set[[#This Row],[Type Name]], tbl_MTG_Set_Type[Set Type], tbl_MTG_Set_Type[Heavy Printing Window Month Start], "(Set Type not found)", 0, 1)</f>
        <v/>
      </c>
      <c r="P163" s="3">
        <f>tbl_MTG_Set[[#This Row],[Released On]]+tbl_MTG_Set[[#This Row],[Heavy Printing Window Month Start]]*365.25/12</f>
        <v/>
      </c>
      <c r="Q163">
        <f>_xlfn.XLOOKUP(tbl_MTG_Set[[#This Row],[Type Name]], tbl_MTG_Set_Type[Set Type], tbl_MTG_Set_Type[Heavy Printing Window Month End], "(Set Type not found)", 0, 1)</f>
        <v/>
      </c>
      <c r="R163" s="3">
        <f>tbl_MTG_Set[[#This Row],[Released On]]+tbl_MTG_Set[[#This Row],[Heavy Printing Window Month End]]*365.25/12</f>
        <v/>
      </c>
      <c r="S163" s="3">
        <f>AND(NOW()&gt;=tbl_MTG_Set[[#This Row],[Heavy Printing Window Start]], NOW()&lt;=tbl_MTG_Set[[#This Row],[Heavy Printing Window End]])</f>
        <v/>
      </c>
      <c r="T163">
        <f>_xlfn.XLOOKUP(tbl_MTG_Set[[#This Row],[Type Name]], tbl_MTG_Set_Type[Set Type], tbl_MTG_Set_Type[Sell Window Month Start], "(Set Type not found)", 0, 1)</f>
        <v/>
      </c>
      <c r="U163" s="3">
        <f>tbl_MTG_Set[[#This Row],[Released On]]+tbl_MTG_Set[[#This Row],[Sell Window Month Start]]*365.25/12</f>
        <v/>
      </c>
      <c r="V163">
        <f>_xlfn.XLOOKUP(tbl_MTG_Set[[#This Row],[Type Name]], tbl_MTG_Set_Type[Set Type], tbl_MTG_Set_Type[Sell Window Month End], "(Set Type not found)", 0, 1)</f>
        <v/>
      </c>
      <c r="W163" s="3">
        <f>tbl_MTG_Set[[#This Row],[Released On]]+tbl_MTG_Set[[#This Row],[Sell Window Month End]]*365.25/12</f>
        <v/>
      </c>
      <c r="X163" s="3">
        <f>AND(NOW()&gt;=tbl_MTG_Set[[#This Row],[Sell Window Start]], NOW()&lt;=tbl_MTG_Set[[#This Row],[Sell Window End]])</f>
        <v/>
      </c>
      <c r="AG163" s="10" t="n"/>
      <c r="AH163" s="10" t="n"/>
      <c r="AM163" s="10">
        <f t="array" ref="AM1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3" s="10">
        <f t="array" ref="AN1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3" s="4">
        <f>_xlfn.XLOOKUP(tbl_MTG_Set[[#This Row],[Play Booster Box Product Id]], tbl_Product[Product Id], tbl_Product[Pack Size])</f>
        <v/>
      </c>
      <c r="AP163" s="10">
        <f>(tbl_MTG_Set[[#This Row],[Play Booster Box Cost]]+v_Item_Shipping_Cost_In)/tbl_MTG_Set[[#This Row],[Play Booster Box Size]]</f>
        <v/>
      </c>
      <c r="AQ163" s="10">
        <f t="array" ref="AQ1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3" s="10" t="n"/>
      <c r="AS163" s="10" t="n"/>
      <c r="AT163" s="17">
        <f>tbl_MTG_Set[[#This Row],[Play Booster CardMarket Profit]]/tbl_MTG_Set[[#This Row],[Play Booster Cost]]</f>
        <v/>
      </c>
      <c r="AU163" s="10">
        <f>_xlfn.XLOOKUP(tbl_MTG_Set[[#This Row],[Collector Booster Box Product Id]], tbl_Product[Product Id], tbl_Product[Min Cost])</f>
        <v/>
      </c>
      <c r="AV163" s="10">
        <f>_xlfn.XLOOKUP(tbl_MTG_Set[[#This Row],[Collector Booster Box Product Id]], tbl_Product[Product Id], tbl_Product[Best Source])</f>
        <v/>
      </c>
      <c r="AW163" s="4">
        <f>_xlfn.XLOOKUP(tbl_MTG_Set[[#This Row],[Collector Booster Box Product Id]], tbl_Product[Product Id], tbl_Product[Pack Size])</f>
        <v/>
      </c>
      <c r="AX163" s="10">
        <f>(tbl_MTG_Set[[#This Row],[Collector Booster Box Cost]] + v_Item_Shipping_Cost_In) / tbl_MTG_Set[[#This Row],[Collector Booster Box Size]]</f>
        <v/>
      </c>
      <c r="AY163" s="10">
        <f t="array" ref="AY1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3" s="10" t="n"/>
      <c r="BA1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3" s="17">
        <f>tbl_MTG_Set[[#This Row],[Collector Booster CardMarket Profit]]/tbl_MTG_Set[[#This Row],[Collector Booster Cost]]</f>
        <v/>
      </c>
      <c r="BC163" s="10" t="n"/>
      <c r="BF163" s="10">
        <f>tbl_MTG_Set[[#This Row],[Play Booster Sell Price CardMarket]]*tbl_MTG_Set[[#This Row],[Play Booster Expected Market Value]]/tbl_MTG_Set[[#This Row],[Play Boost Sealed Market Value]]</f>
        <v/>
      </c>
      <c r="BG1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3" s="10">
        <f>tbl_MTG_Set[[#This Row],[Play Singles CardMarket Profit]]/tbl_MTG_Set[[#This Row],[Play Booster Cost]]</f>
        <v/>
      </c>
      <c r="BI163" s="10">
        <f>tbl_MTG_Set[[#This Row],[Play Singles CardMarket Profit]]&gt;0</f>
        <v/>
      </c>
      <c r="BJ163" s="10" t="n"/>
      <c r="BK163" s="10" t="n"/>
      <c r="BL163" s="10">
        <f>tbl_MTG_Set[[#This Row],[Collector Booster Sell Price CardMarket]]*tbl_MTG_Set[[#This Row],[Collector Booster Expected Market Value]]/tbl_MTG_Set[[#This Row],[Collector Boost Sealed Market Value]]</f>
        <v/>
      </c>
      <c r="BM1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3" s="10">
        <f>tbl_MTG_Set[[#This Row],[Collector Singles CardMarket Profit]]/tbl_MTG_Set[[#This Row],[Collector Booster Cost]]</f>
        <v/>
      </c>
      <c r="BO163" s="10">
        <f>tbl_MTG_Set[[#This Row],[Collector Singles CardMarket Profit]]&gt;0</f>
        <v/>
      </c>
      <c r="BP1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4">
      <c r="A164" t="n">
        <v>162</v>
      </c>
      <c r="B164" t="inlineStr">
        <is>
          <t>Wilds of Eldraine Art Series AWOE</t>
        </is>
      </c>
      <c r="C164" t="n">
        <v>81</v>
      </c>
      <c r="D164" s="3" t="n">
        <v>45177</v>
      </c>
      <c r="E164" t="inlineStr">
        <is>
          <t>Standard Expansion</t>
        </is>
      </c>
      <c r="F164" t="inlineStr">
        <is>
          <t>en es fr de it pt ja ko ru 汉语 漢語</t>
        </is>
      </c>
      <c r="G164" t="n">
        <v>270</v>
      </c>
      <c r="H164">
        <f>MONTH(NOW())+12*YEAR(NOW())-MONTH(tbl_MTG_Set[[#This Row],[Released On]])-12*YEAR(tbl_MTG_Set[[#This Row],[Released On]])</f>
        <v/>
      </c>
      <c r="I164">
        <f>_xlfn.XLOOKUP(tbl_MTG_Set[[#This Row],[Type Name]], tbl_MTG_Set_Type[Set Type], tbl_MTG_Set_Type[Index], "(Set Type not found)")</f>
        <v/>
      </c>
      <c r="J164">
        <f>_xlfn.XLOOKUP(tbl_MTG_Set[[#This Row],[Type Name]], tbl_MTG_Set_Type[Set Type], tbl_MTG_Set_Type[Buy Window Month Start], "(Set Type not found)")</f>
        <v/>
      </c>
      <c r="K164" s="3">
        <f>tbl_MTG_Set[[#This Row],[Released On]]+tbl_MTG_Set[[#This Row],[Buy Window Month Start]]*365.25/12</f>
        <v/>
      </c>
      <c r="L164">
        <f>_xlfn.XLOOKUP(tbl_MTG_Set[[#This Row],[Type Name]], tbl_MTG_Set_Type[Set Type], tbl_MTG_Set_Type[Buy Window Month End], "(Set Type not found)", 0, 1)</f>
        <v/>
      </c>
      <c r="M164" s="3">
        <f>tbl_MTG_Set[[#This Row],[Released On]]+tbl_MTG_Set[[#This Row],[Buy Window Month End]]*365.25/12</f>
        <v/>
      </c>
      <c r="N164" s="3">
        <f>AND(NOW()&gt;=tbl_MTG_Set[[#This Row],[Buy Window Start]], NOW()&lt;=tbl_MTG_Set[[#This Row],[Buy Window End]])</f>
        <v/>
      </c>
      <c r="O164">
        <f>_xlfn.XLOOKUP(tbl_MTG_Set[[#This Row],[Type Name]], tbl_MTG_Set_Type[Set Type], tbl_MTG_Set_Type[Heavy Printing Window Month Start], "(Set Type not found)", 0, 1)</f>
        <v/>
      </c>
      <c r="P164" s="3">
        <f>tbl_MTG_Set[[#This Row],[Released On]]+tbl_MTG_Set[[#This Row],[Heavy Printing Window Month Start]]*365.25/12</f>
        <v/>
      </c>
      <c r="Q164">
        <f>_xlfn.XLOOKUP(tbl_MTG_Set[[#This Row],[Type Name]], tbl_MTG_Set_Type[Set Type], tbl_MTG_Set_Type[Heavy Printing Window Month End], "(Set Type not found)", 0, 1)</f>
        <v/>
      </c>
      <c r="R164" s="3">
        <f>tbl_MTG_Set[[#This Row],[Released On]]+tbl_MTG_Set[[#This Row],[Heavy Printing Window Month End]]*365.25/12</f>
        <v/>
      </c>
      <c r="S164" s="3">
        <f>AND(NOW()&gt;=tbl_MTG_Set[[#This Row],[Heavy Printing Window Start]], NOW()&lt;=tbl_MTG_Set[[#This Row],[Heavy Printing Window End]])</f>
        <v/>
      </c>
      <c r="T164">
        <f>_xlfn.XLOOKUP(tbl_MTG_Set[[#This Row],[Type Name]], tbl_MTG_Set_Type[Set Type], tbl_MTG_Set_Type[Sell Window Month Start], "(Set Type not found)", 0, 1)</f>
        <v/>
      </c>
      <c r="U164" s="3">
        <f>tbl_MTG_Set[[#This Row],[Released On]]+tbl_MTG_Set[[#This Row],[Sell Window Month Start]]*365.25/12</f>
        <v/>
      </c>
      <c r="V164">
        <f>_xlfn.XLOOKUP(tbl_MTG_Set[[#This Row],[Type Name]], tbl_MTG_Set_Type[Set Type], tbl_MTG_Set_Type[Sell Window Month End], "(Set Type not found)", 0, 1)</f>
        <v/>
      </c>
      <c r="W164" s="3">
        <f>tbl_MTG_Set[[#This Row],[Released On]]+tbl_MTG_Set[[#This Row],[Sell Window Month End]]*365.25/12</f>
        <v/>
      </c>
      <c r="X164" s="3">
        <f>AND(NOW()&gt;=tbl_MTG_Set[[#This Row],[Sell Window Start]], NOW()&lt;=tbl_MTG_Set[[#This Row],[Sell Window End]])</f>
        <v/>
      </c>
      <c r="AG164" s="10" t="n"/>
      <c r="AH164" s="10" t="n"/>
      <c r="AM164" s="10">
        <f t="array" ref="AM1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4" s="10">
        <f t="array" ref="AN1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4" s="4">
        <f>_xlfn.XLOOKUP(tbl_MTG_Set[[#This Row],[Play Booster Box Product Id]], tbl_Product[Product Id], tbl_Product[Pack Size])</f>
        <v/>
      </c>
      <c r="AP164" s="10">
        <f>(tbl_MTG_Set[[#This Row],[Play Booster Box Cost]]+v_Item_Shipping_Cost_In)/tbl_MTG_Set[[#This Row],[Play Booster Box Size]]</f>
        <v/>
      </c>
      <c r="AQ164" s="10">
        <f t="array" ref="AQ1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4" s="10" t="n"/>
      <c r="AS164" s="10" t="n"/>
      <c r="AT164" s="17">
        <f>tbl_MTG_Set[[#This Row],[Play Booster CardMarket Profit]]/tbl_MTG_Set[[#This Row],[Play Booster Cost]]</f>
        <v/>
      </c>
      <c r="AU164" s="10">
        <f>_xlfn.XLOOKUP(tbl_MTG_Set[[#This Row],[Collector Booster Box Product Id]], tbl_Product[Product Id], tbl_Product[Min Cost])</f>
        <v/>
      </c>
      <c r="AV164" s="10">
        <f>_xlfn.XLOOKUP(tbl_MTG_Set[[#This Row],[Collector Booster Box Product Id]], tbl_Product[Product Id], tbl_Product[Best Source])</f>
        <v/>
      </c>
      <c r="AW164" s="4">
        <f>_xlfn.XLOOKUP(tbl_MTG_Set[[#This Row],[Collector Booster Box Product Id]], tbl_Product[Product Id], tbl_Product[Pack Size])</f>
        <v/>
      </c>
      <c r="AX164" s="10">
        <f>(tbl_MTG_Set[[#This Row],[Collector Booster Box Cost]] + v_Item_Shipping_Cost_In) / tbl_MTG_Set[[#This Row],[Collector Booster Box Size]]</f>
        <v/>
      </c>
      <c r="AY164" s="10">
        <f t="array" ref="AY1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4" s="10" t="n"/>
      <c r="BA1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4" s="17">
        <f>tbl_MTG_Set[[#This Row],[Collector Booster CardMarket Profit]]/tbl_MTG_Set[[#This Row],[Collector Booster Cost]]</f>
        <v/>
      </c>
      <c r="BC164" s="10" t="n"/>
      <c r="BF164" s="10">
        <f>tbl_MTG_Set[[#This Row],[Play Booster Sell Price CardMarket]]*tbl_MTG_Set[[#This Row],[Play Booster Expected Market Value]]/tbl_MTG_Set[[#This Row],[Play Boost Sealed Market Value]]</f>
        <v/>
      </c>
      <c r="BG1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4" s="10">
        <f>tbl_MTG_Set[[#This Row],[Play Singles CardMarket Profit]]/tbl_MTG_Set[[#This Row],[Play Booster Cost]]</f>
        <v/>
      </c>
      <c r="BI164" s="10">
        <f>tbl_MTG_Set[[#This Row],[Play Singles CardMarket Profit]]&gt;0</f>
        <v/>
      </c>
      <c r="BJ164" s="10" t="n"/>
      <c r="BK164" s="10" t="n"/>
      <c r="BL164" s="10">
        <f>tbl_MTG_Set[[#This Row],[Collector Booster Sell Price CardMarket]]*tbl_MTG_Set[[#This Row],[Collector Booster Expected Market Value]]/tbl_MTG_Set[[#This Row],[Collector Boost Sealed Market Value]]</f>
        <v/>
      </c>
      <c r="BM1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4" s="10">
        <f>tbl_MTG_Set[[#This Row],[Collector Singles CardMarket Profit]]/tbl_MTG_Set[[#This Row],[Collector Booster Cost]]</f>
        <v/>
      </c>
      <c r="BO164" s="10">
        <f>tbl_MTG_Set[[#This Row],[Collector Singles CardMarket Profit]]&gt;0</f>
        <v/>
      </c>
      <c r="BP1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5">
      <c r="A165" t="n">
        <v>163</v>
      </c>
      <c r="B165" t="inlineStr">
        <is>
          <t>Commander Masters CMM</t>
        </is>
      </c>
      <c r="C165" t="n">
        <v>1067</v>
      </c>
      <c r="D165" s="3" t="n">
        <v>45142</v>
      </c>
      <c r="E165" t="inlineStr">
        <is>
          <t>Masters</t>
        </is>
      </c>
      <c r="F165" t="inlineStr">
        <is>
          <t>en es fr de it pt ja ko ru 汉语 漢語</t>
        </is>
      </c>
      <c r="G165" t="n">
        <v>272</v>
      </c>
      <c r="H165">
        <f>MONTH(NOW())+12*YEAR(NOW())-MONTH(tbl_MTG_Set[[#This Row],[Released On]])-12*YEAR(tbl_MTG_Set[[#This Row],[Released On]])</f>
        <v/>
      </c>
      <c r="I165">
        <f>_xlfn.XLOOKUP(tbl_MTG_Set[[#This Row],[Type Name]], tbl_MTG_Set_Type[Set Type], tbl_MTG_Set_Type[Index], "(Set Type not found)")</f>
        <v/>
      </c>
      <c r="J165">
        <f>_xlfn.XLOOKUP(tbl_MTG_Set[[#This Row],[Type Name]], tbl_MTG_Set_Type[Set Type], tbl_MTG_Set_Type[Buy Window Month Start], "(Set Type not found)")</f>
        <v/>
      </c>
      <c r="K165" s="3">
        <f>tbl_MTG_Set[[#This Row],[Released On]]+tbl_MTG_Set[[#This Row],[Buy Window Month Start]]*365.25/12</f>
        <v/>
      </c>
      <c r="L165">
        <f>_xlfn.XLOOKUP(tbl_MTG_Set[[#This Row],[Type Name]], tbl_MTG_Set_Type[Set Type], tbl_MTG_Set_Type[Buy Window Month End], "(Set Type not found)", 0, 1)</f>
        <v/>
      </c>
      <c r="M165" s="3">
        <f>tbl_MTG_Set[[#This Row],[Released On]]+tbl_MTG_Set[[#This Row],[Buy Window Month End]]*365.25/12</f>
        <v/>
      </c>
      <c r="N165" s="3">
        <f>AND(NOW()&gt;=tbl_MTG_Set[[#This Row],[Buy Window Start]], NOW()&lt;=tbl_MTG_Set[[#This Row],[Buy Window End]])</f>
        <v/>
      </c>
      <c r="O165">
        <f>_xlfn.XLOOKUP(tbl_MTG_Set[[#This Row],[Type Name]], tbl_MTG_Set_Type[Set Type], tbl_MTG_Set_Type[Heavy Printing Window Month Start], "(Set Type not found)", 0, 1)</f>
        <v/>
      </c>
      <c r="P165" s="3">
        <f>tbl_MTG_Set[[#This Row],[Released On]]+tbl_MTG_Set[[#This Row],[Heavy Printing Window Month Start]]*365.25/12</f>
        <v/>
      </c>
      <c r="Q165">
        <f>_xlfn.XLOOKUP(tbl_MTG_Set[[#This Row],[Type Name]], tbl_MTG_Set_Type[Set Type], tbl_MTG_Set_Type[Heavy Printing Window Month End], "(Set Type not found)", 0, 1)</f>
        <v/>
      </c>
      <c r="R165" s="3">
        <f>tbl_MTG_Set[[#This Row],[Released On]]+tbl_MTG_Set[[#This Row],[Heavy Printing Window Month End]]*365.25/12</f>
        <v/>
      </c>
      <c r="S165" s="3">
        <f>AND(NOW()&gt;=tbl_MTG_Set[[#This Row],[Heavy Printing Window Start]], NOW()&lt;=tbl_MTG_Set[[#This Row],[Heavy Printing Window End]])</f>
        <v/>
      </c>
      <c r="T165">
        <f>_xlfn.XLOOKUP(tbl_MTG_Set[[#This Row],[Type Name]], tbl_MTG_Set_Type[Set Type], tbl_MTG_Set_Type[Sell Window Month Start], "(Set Type not found)", 0, 1)</f>
        <v/>
      </c>
      <c r="U165" s="3">
        <f>tbl_MTG_Set[[#This Row],[Released On]]+tbl_MTG_Set[[#This Row],[Sell Window Month Start]]*365.25/12</f>
        <v/>
      </c>
      <c r="V165">
        <f>_xlfn.XLOOKUP(tbl_MTG_Set[[#This Row],[Type Name]], tbl_MTG_Set_Type[Set Type], tbl_MTG_Set_Type[Sell Window Month End], "(Set Type not found)", 0, 1)</f>
        <v/>
      </c>
      <c r="W165" s="3">
        <f>tbl_MTG_Set[[#This Row],[Released On]]+tbl_MTG_Set[[#This Row],[Sell Window Month End]]*365.25/12</f>
        <v/>
      </c>
      <c r="X165" s="3">
        <f>AND(NOW()&gt;=tbl_MTG_Set[[#This Row],[Sell Window Start]], NOW()&lt;=tbl_MTG_Set[[#This Row],[Sell Window End]])</f>
        <v/>
      </c>
      <c r="Y165" s="10" t="n">
        <v>368</v>
      </c>
      <c r="Z165" s="10" t="n">
        <v>395</v>
      </c>
      <c r="AD165" s="10">
        <f>(Y165+96/20)/24</f>
        <v/>
      </c>
      <c r="AE165" s="10">
        <f>(Z165+96/20)/24</f>
        <v/>
      </c>
      <c r="AF165" s="10">
        <f>(AA165+96/20)/24</f>
        <v/>
      </c>
      <c r="AG165" s="10">
        <f>(AB165+96/20)/24</f>
        <v/>
      </c>
      <c r="AH165" s="10">
        <f>(AC165+96/20)/24</f>
        <v/>
      </c>
      <c r="AI165" s="4" t="n">
        <v>52</v>
      </c>
      <c r="AJ165" s="4" t="n">
        <v>7</v>
      </c>
      <c r="AK165" s="4" t="n">
        <v>92</v>
      </c>
      <c r="AL165" s="4" t="n">
        <v>91</v>
      </c>
      <c r="AM165" s="10">
        <f t="array" ref="AM1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5" s="10">
        <f t="array" ref="AN1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5" s="4">
        <f>_xlfn.XLOOKUP(tbl_MTG_Set[[#This Row],[Play Booster Box Product Id]], tbl_Product[Product Id], tbl_Product[Pack Size])</f>
        <v/>
      </c>
      <c r="AP165" s="10">
        <f>(tbl_MTG_Set[[#This Row],[Play Booster Box Cost]]+v_Item_Shipping_Cost_In)/tbl_MTG_Set[[#This Row],[Play Booster Box Size]]</f>
        <v/>
      </c>
      <c r="AQ165" s="10">
        <f t="array" ref="AQ1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5" s="10" t="n">
        <v>17</v>
      </c>
      <c r="AS16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65" s="17">
        <f>tbl_MTG_Set[[#This Row],[Play Booster CardMarket Profit]]/tbl_MTG_Set[[#This Row],[Play Booster Cost]]</f>
        <v/>
      </c>
      <c r="AU165" s="10">
        <f>_xlfn.XLOOKUP(tbl_MTG_Set[[#This Row],[Collector Booster Box Product Id]], tbl_Product[Product Id], tbl_Product[Min Cost])</f>
        <v/>
      </c>
      <c r="AV165" s="10">
        <f>_xlfn.XLOOKUP(tbl_MTG_Set[[#This Row],[Collector Booster Box Product Id]], tbl_Product[Product Id], tbl_Product[Best Source])</f>
        <v/>
      </c>
      <c r="AW165" s="4">
        <f>_xlfn.XLOOKUP(tbl_MTG_Set[[#This Row],[Collector Booster Box Product Id]], tbl_Product[Product Id], tbl_Product[Pack Size])</f>
        <v/>
      </c>
      <c r="AX165" s="10">
        <f>(tbl_MTG_Set[[#This Row],[Collector Booster Box Cost]] + v_Item_Shipping_Cost_In) / tbl_MTG_Set[[#This Row],[Collector Booster Box Size]]</f>
        <v/>
      </c>
      <c r="AY165" s="10">
        <f t="array" ref="AY1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5" s="10" t="n"/>
      <c r="BA1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5" s="17">
        <f>tbl_MTG_Set[[#This Row],[Collector Booster CardMarket Profit]]/tbl_MTG_Set[[#This Row],[Collector Booster Cost]]</f>
        <v/>
      </c>
      <c r="BC165" s="10" t="n"/>
      <c r="BF165" s="10">
        <f>tbl_MTG_Set[[#This Row],[Play Booster Sell Price CardMarket]]*tbl_MTG_Set[[#This Row],[Play Booster Expected Market Value]]/tbl_MTG_Set[[#This Row],[Play Boost Sealed Market Value]]</f>
        <v/>
      </c>
      <c r="BG1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5" s="17">
        <f>tbl_MTG_Set[[#This Row],[Play Singles CardMarket Profit]]/tbl_MTG_Set[[#This Row],[Play Booster Cost]]</f>
        <v/>
      </c>
      <c r="BI165" s="10">
        <f>tbl_MTG_Set[[#This Row],[Play Singles CardMarket Profit]]&gt;0</f>
        <v/>
      </c>
      <c r="BJ165" s="10" t="n"/>
      <c r="BK165" s="10" t="n"/>
      <c r="BL165" s="10">
        <f>tbl_MTG_Set[[#This Row],[Collector Booster Sell Price CardMarket]]*tbl_MTG_Set[[#This Row],[Collector Booster Expected Market Value]]/tbl_MTG_Set[[#This Row],[Collector Boost Sealed Market Value]]</f>
        <v/>
      </c>
      <c r="BM1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5" s="17">
        <f>tbl_MTG_Set[[#This Row],[Collector Singles CardMarket Profit]]/tbl_MTG_Set[[#This Row],[Collector Booster Cost]]</f>
        <v/>
      </c>
      <c r="BO165" s="10">
        <f>tbl_MTG_Set[[#This Row],[Collector Singles CardMarket Profit]]&gt;0</f>
        <v/>
      </c>
      <c r="BP1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5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6">
      <c r="A166" t="n">
        <v>164</v>
      </c>
      <c r="B166" t="inlineStr">
        <is>
          <t>Commander Masters Tokens TCMM</t>
        </is>
      </c>
      <c r="C166" t="n">
        <v>81</v>
      </c>
      <c r="D166" s="3" t="n">
        <v>45142</v>
      </c>
      <c r="E166" t="inlineStr">
        <is>
          <t>Masters</t>
        </is>
      </c>
      <c r="F166" t="inlineStr">
        <is>
          <t>en es fr de it pt ja ko ru 汉语 漢語</t>
        </is>
      </c>
      <c r="G166" t="n">
        <v>274</v>
      </c>
      <c r="H166">
        <f>MONTH(NOW())+12*YEAR(NOW())-MONTH(tbl_MTG_Set[[#This Row],[Released On]])-12*YEAR(tbl_MTG_Set[[#This Row],[Released On]])</f>
        <v/>
      </c>
      <c r="I166">
        <f>_xlfn.XLOOKUP(tbl_MTG_Set[[#This Row],[Type Name]], tbl_MTG_Set_Type[Set Type], tbl_MTG_Set_Type[Index], "(Set Type not found)")</f>
        <v/>
      </c>
      <c r="J166">
        <f>_xlfn.XLOOKUP(tbl_MTG_Set[[#This Row],[Type Name]], tbl_MTG_Set_Type[Set Type], tbl_MTG_Set_Type[Buy Window Month Start], "(Set Type not found)")</f>
        <v/>
      </c>
      <c r="K166" s="3">
        <f>tbl_MTG_Set[[#This Row],[Released On]]+tbl_MTG_Set[[#This Row],[Buy Window Month Start]]*365.25/12</f>
        <v/>
      </c>
      <c r="L166">
        <f>_xlfn.XLOOKUP(tbl_MTG_Set[[#This Row],[Type Name]], tbl_MTG_Set_Type[Set Type], tbl_MTG_Set_Type[Buy Window Month End], "(Set Type not found)", 0, 1)</f>
        <v/>
      </c>
      <c r="M166" s="3">
        <f>tbl_MTG_Set[[#This Row],[Released On]]+tbl_MTG_Set[[#This Row],[Buy Window Month End]]*365.25/12</f>
        <v/>
      </c>
      <c r="N166" s="3">
        <f>AND(NOW()&gt;=tbl_MTG_Set[[#This Row],[Buy Window Start]], NOW()&lt;=tbl_MTG_Set[[#This Row],[Buy Window End]])</f>
        <v/>
      </c>
      <c r="O166">
        <f>_xlfn.XLOOKUP(tbl_MTG_Set[[#This Row],[Type Name]], tbl_MTG_Set_Type[Set Type], tbl_MTG_Set_Type[Heavy Printing Window Month Start], "(Set Type not found)", 0, 1)</f>
        <v/>
      </c>
      <c r="P166" s="3">
        <f>tbl_MTG_Set[[#This Row],[Released On]]+tbl_MTG_Set[[#This Row],[Heavy Printing Window Month Start]]*365.25/12</f>
        <v/>
      </c>
      <c r="Q166">
        <f>_xlfn.XLOOKUP(tbl_MTG_Set[[#This Row],[Type Name]], tbl_MTG_Set_Type[Set Type], tbl_MTG_Set_Type[Heavy Printing Window Month End], "(Set Type not found)", 0, 1)</f>
        <v/>
      </c>
      <c r="R166" s="3">
        <f>tbl_MTG_Set[[#This Row],[Released On]]+tbl_MTG_Set[[#This Row],[Heavy Printing Window Month End]]*365.25/12</f>
        <v/>
      </c>
      <c r="S166" s="3">
        <f>AND(NOW()&gt;=tbl_MTG_Set[[#This Row],[Heavy Printing Window Start]], NOW()&lt;=tbl_MTG_Set[[#This Row],[Heavy Printing Window End]])</f>
        <v/>
      </c>
      <c r="T166">
        <f>_xlfn.XLOOKUP(tbl_MTG_Set[[#This Row],[Type Name]], tbl_MTG_Set_Type[Set Type], tbl_MTG_Set_Type[Sell Window Month Start], "(Set Type not found)", 0, 1)</f>
        <v/>
      </c>
      <c r="U166" s="3">
        <f>tbl_MTG_Set[[#This Row],[Released On]]+tbl_MTG_Set[[#This Row],[Sell Window Month Start]]*365.25/12</f>
        <v/>
      </c>
      <c r="V166">
        <f>_xlfn.XLOOKUP(tbl_MTG_Set[[#This Row],[Type Name]], tbl_MTG_Set_Type[Set Type], tbl_MTG_Set_Type[Sell Window Month End], "(Set Type not found)", 0, 1)</f>
        <v/>
      </c>
      <c r="W166" s="3">
        <f>tbl_MTG_Set[[#This Row],[Released On]]+tbl_MTG_Set[[#This Row],[Sell Window Month End]]*365.25/12</f>
        <v/>
      </c>
      <c r="X166" s="3">
        <f>AND(NOW()&gt;=tbl_MTG_Set[[#This Row],[Sell Window Start]], NOW()&lt;=tbl_MTG_Set[[#This Row],[Sell Window End]])</f>
        <v/>
      </c>
      <c r="AG166" s="10" t="n"/>
      <c r="AH166" s="10" t="n"/>
      <c r="AM166" s="10">
        <f t="array" ref="AM1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6" s="10">
        <f t="array" ref="AN1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6" s="4">
        <f>_xlfn.XLOOKUP(tbl_MTG_Set[[#This Row],[Play Booster Box Product Id]], tbl_Product[Product Id], tbl_Product[Pack Size])</f>
        <v/>
      </c>
      <c r="AP166" s="10">
        <f>(tbl_MTG_Set[[#This Row],[Play Booster Box Cost]]+v_Item_Shipping_Cost_In)/tbl_MTG_Set[[#This Row],[Play Booster Box Size]]</f>
        <v/>
      </c>
      <c r="AQ166" s="10">
        <f t="array" ref="AQ1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6" s="10" t="n"/>
      <c r="AS166" s="10" t="n"/>
      <c r="AT166" s="17">
        <f>tbl_MTG_Set[[#This Row],[Play Booster CardMarket Profit]]/tbl_MTG_Set[[#This Row],[Play Booster Cost]]</f>
        <v/>
      </c>
      <c r="AU166" s="10">
        <f>_xlfn.XLOOKUP(tbl_MTG_Set[[#This Row],[Collector Booster Box Product Id]], tbl_Product[Product Id], tbl_Product[Min Cost])</f>
        <v/>
      </c>
      <c r="AV166" s="10">
        <f>_xlfn.XLOOKUP(tbl_MTG_Set[[#This Row],[Collector Booster Box Product Id]], tbl_Product[Product Id], tbl_Product[Best Source])</f>
        <v/>
      </c>
      <c r="AW166" s="4">
        <f>_xlfn.XLOOKUP(tbl_MTG_Set[[#This Row],[Collector Booster Box Product Id]], tbl_Product[Product Id], tbl_Product[Pack Size])</f>
        <v/>
      </c>
      <c r="AX166" s="10">
        <f>(tbl_MTG_Set[[#This Row],[Collector Booster Box Cost]] + v_Item_Shipping_Cost_In) / tbl_MTG_Set[[#This Row],[Collector Booster Box Size]]</f>
        <v/>
      </c>
      <c r="AY166" s="10">
        <f t="array" ref="AY1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6" s="10" t="n"/>
      <c r="BA1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6" s="17">
        <f>tbl_MTG_Set[[#This Row],[Collector Booster CardMarket Profit]]/tbl_MTG_Set[[#This Row],[Collector Booster Cost]]</f>
        <v/>
      </c>
      <c r="BC166" s="10" t="n"/>
      <c r="BF166" s="10">
        <f>tbl_MTG_Set[[#This Row],[Play Booster Sell Price CardMarket]]*tbl_MTG_Set[[#This Row],[Play Booster Expected Market Value]]/tbl_MTG_Set[[#This Row],[Play Boost Sealed Market Value]]</f>
        <v/>
      </c>
      <c r="BG1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6" s="10">
        <f>tbl_MTG_Set[[#This Row],[Play Singles CardMarket Profit]]/tbl_MTG_Set[[#This Row],[Play Booster Cost]]</f>
        <v/>
      </c>
      <c r="BI166" s="10">
        <f>tbl_MTG_Set[[#This Row],[Play Singles CardMarket Profit]]&gt;0</f>
        <v/>
      </c>
      <c r="BJ166" s="10" t="n"/>
      <c r="BK166" s="10" t="n"/>
      <c r="BL166" s="10">
        <f>tbl_MTG_Set[[#This Row],[Collector Booster Sell Price CardMarket]]*tbl_MTG_Set[[#This Row],[Collector Booster Expected Market Value]]/tbl_MTG_Set[[#This Row],[Collector Boost Sealed Market Value]]</f>
        <v/>
      </c>
      <c r="BM1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6" s="10">
        <f>tbl_MTG_Set[[#This Row],[Collector Singles CardMarket Profit]]/tbl_MTG_Set[[#This Row],[Collector Booster Cost]]</f>
        <v/>
      </c>
      <c r="BO166" s="10">
        <f>tbl_MTG_Set[[#This Row],[Collector Singles CardMarket Profit]]&gt;0</f>
        <v/>
      </c>
      <c r="BP1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7">
      <c r="A167" t="n">
        <v>165</v>
      </c>
      <c r="B167" t="inlineStr">
        <is>
          <t>Commander Masters Art Series ACMM</t>
        </is>
      </c>
      <c r="C167" t="n">
        <v>81</v>
      </c>
      <c r="D167" s="3" t="n">
        <v>45142</v>
      </c>
      <c r="E167" t="inlineStr">
        <is>
          <t>Masters</t>
        </is>
      </c>
      <c r="F167" t="inlineStr">
        <is>
          <t>en es fr de it pt ja ko ru 汉语 漢語</t>
        </is>
      </c>
      <c r="G167" t="n">
        <v>276</v>
      </c>
      <c r="H167">
        <f>MONTH(NOW())+12*YEAR(NOW())-MONTH(tbl_MTG_Set[[#This Row],[Released On]])-12*YEAR(tbl_MTG_Set[[#This Row],[Released On]])</f>
        <v/>
      </c>
      <c r="I167">
        <f>_xlfn.XLOOKUP(tbl_MTG_Set[[#This Row],[Type Name]], tbl_MTG_Set_Type[Set Type], tbl_MTG_Set_Type[Index], "(Set Type not found)")</f>
        <v/>
      </c>
      <c r="J167">
        <f>_xlfn.XLOOKUP(tbl_MTG_Set[[#This Row],[Type Name]], tbl_MTG_Set_Type[Set Type], tbl_MTG_Set_Type[Buy Window Month Start], "(Set Type not found)")</f>
        <v/>
      </c>
      <c r="K167" s="3">
        <f>tbl_MTG_Set[[#This Row],[Released On]]+tbl_MTG_Set[[#This Row],[Buy Window Month Start]]*365.25/12</f>
        <v/>
      </c>
      <c r="L167">
        <f>_xlfn.XLOOKUP(tbl_MTG_Set[[#This Row],[Type Name]], tbl_MTG_Set_Type[Set Type], tbl_MTG_Set_Type[Buy Window Month End], "(Set Type not found)", 0, 1)</f>
        <v/>
      </c>
      <c r="M167" s="3">
        <f>tbl_MTG_Set[[#This Row],[Released On]]+tbl_MTG_Set[[#This Row],[Buy Window Month End]]*365.25/12</f>
        <v/>
      </c>
      <c r="N167" s="3">
        <f>AND(NOW()&gt;=tbl_MTG_Set[[#This Row],[Buy Window Start]], NOW()&lt;=tbl_MTG_Set[[#This Row],[Buy Window End]])</f>
        <v/>
      </c>
      <c r="O167">
        <f>_xlfn.XLOOKUP(tbl_MTG_Set[[#This Row],[Type Name]], tbl_MTG_Set_Type[Set Type], tbl_MTG_Set_Type[Heavy Printing Window Month Start], "(Set Type not found)", 0, 1)</f>
        <v/>
      </c>
      <c r="P167" s="3">
        <f>tbl_MTG_Set[[#This Row],[Released On]]+tbl_MTG_Set[[#This Row],[Heavy Printing Window Month Start]]*365.25/12</f>
        <v/>
      </c>
      <c r="Q167">
        <f>_xlfn.XLOOKUP(tbl_MTG_Set[[#This Row],[Type Name]], tbl_MTG_Set_Type[Set Type], tbl_MTG_Set_Type[Heavy Printing Window Month End], "(Set Type not found)", 0, 1)</f>
        <v/>
      </c>
      <c r="R167" s="3">
        <f>tbl_MTG_Set[[#This Row],[Released On]]+tbl_MTG_Set[[#This Row],[Heavy Printing Window Month End]]*365.25/12</f>
        <v/>
      </c>
      <c r="S167" s="3">
        <f>AND(NOW()&gt;=tbl_MTG_Set[[#This Row],[Heavy Printing Window Start]], NOW()&lt;=tbl_MTG_Set[[#This Row],[Heavy Printing Window End]])</f>
        <v/>
      </c>
      <c r="T167">
        <f>_xlfn.XLOOKUP(tbl_MTG_Set[[#This Row],[Type Name]], tbl_MTG_Set_Type[Set Type], tbl_MTG_Set_Type[Sell Window Month Start], "(Set Type not found)", 0, 1)</f>
        <v/>
      </c>
      <c r="U167" s="3">
        <f>tbl_MTG_Set[[#This Row],[Released On]]+tbl_MTG_Set[[#This Row],[Sell Window Month Start]]*365.25/12</f>
        <v/>
      </c>
      <c r="V167">
        <f>_xlfn.XLOOKUP(tbl_MTG_Set[[#This Row],[Type Name]], tbl_MTG_Set_Type[Set Type], tbl_MTG_Set_Type[Sell Window Month End], "(Set Type not found)", 0, 1)</f>
        <v/>
      </c>
      <c r="W167" s="3">
        <f>tbl_MTG_Set[[#This Row],[Released On]]+tbl_MTG_Set[[#This Row],[Sell Window Month End]]*365.25/12</f>
        <v/>
      </c>
      <c r="X167" s="3">
        <f>AND(NOW()&gt;=tbl_MTG_Set[[#This Row],[Sell Window Start]], NOW()&lt;=tbl_MTG_Set[[#This Row],[Sell Window End]])</f>
        <v/>
      </c>
      <c r="AG167" s="10" t="n"/>
      <c r="AH167" s="10" t="n"/>
      <c r="AM167" s="10">
        <f t="array" ref="AM1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7" s="10">
        <f t="array" ref="AN1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7" s="4">
        <f>_xlfn.XLOOKUP(tbl_MTG_Set[[#This Row],[Play Booster Box Product Id]], tbl_Product[Product Id], tbl_Product[Pack Size])</f>
        <v/>
      </c>
      <c r="AP167" s="10">
        <f>(tbl_MTG_Set[[#This Row],[Play Booster Box Cost]]+v_Item_Shipping_Cost_In)/tbl_MTG_Set[[#This Row],[Play Booster Box Size]]</f>
        <v/>
      </c>
      <c r="AQ167" s="10">
        <f t="array" ref="AQ1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7" s="10" t="n"/>
      <c r="AS167" s="10" t="n"/>
      <c r="AT167" s="17">
        <f>tbl_MTG_Set[[#This Row],[Play Booster CardMarket Profit]]/tbl_MTG_Set[[#This Row],[Play Booster Cost]]</f>
        <v/>
      </c>
      <c r="AU167" s="10">
        <f>_xlfn.XLOOKUP(tbl_MTG_Set[[#This Row],[Collector Booster Box Product Id]], tbl_Product[Product Id], tbl_Product[Min Cost])</f>
        <v/>
      </c>
      <c r="AV167" s="10">
        <f>_xlfn.XLOOKUP(tbl_MTG_Set[[#This Row],[Collector Booster Box Product Id]], tbl_Product[Product Id], tbl_Product[Best Source])</f>
        <v/>
      </c>
      <c r="AW167" s="4">
        <f>_xlfn.XLOOKUP(tbl_MTG_Set[[#This Row],[Collector Booster Box Product Id]], tbl_Product[Product Id], tbl_Product[Pack Size])</f>
        <v/>
      </c>
      <c r="AX167" s="10">
        <f>(tbl_MTG_Set[[#This Row],[Collector Booster Box Cost]] + v_Item_Shipping_Cost_In) / tbl_MTG_Set[[#This Row],[Collector Booster Box Size]]</f>
        <v/>
      </c>
      <c r="AY167" s="10">
        <f t="array" ref="AY1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7" s="10" t="n"/>
      <c r="BA1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7" s="17">
        <f>tbl_MTG_Set[[#This Row],[Collector Booster CardMarket Profit]]/tbl_MTG_Set[[#This Row],[Collector Booster Cost]]</f>
        <v/>
      </c>
      <c r="BC167" s="10" t="n"/>
      <c r="BF167" s="10">
        <f>tbl_MTG_Set[[#This Row],[Play Booster Sell Price CardMarket]]*tbl_MTG_Set[[#This Row],[Play Booster Expected Market Value]]/tbl_MTG_Set[[#This Row],[Play Boost Sealed Market Value]]</f>
        <v/>
      </c>
      <c r="BG1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7" s="10">
        <f>tbl_MTG_Set[[#This Row],[Play Singles CardMarket Profit]]/tbl_MTG_Set[[#This Row],[Play Booster Cost]]</f>
        <v/>
      </c>
      <c r="BI167" s="10">
        <f>tbl_MTG_Set[[#This Row],[Play Singles CardMarket Profit]]&gt;0</f>
        <v/>
      </c>
      <c r="BJ167" s="10" t="n"/>
      <c r="BK167" s="10" t="n"/>
      <c r="BL167" s="10">
        <f>tbl_MTG_Set[[#This Row],[Collector Booster Sell Price CardMarket]]*tbl_MTG_Set[[#This Row],[Collector Booster Expected Market Value]]/tbl_MTG_Set[[#This Row],[Collector Boost Sealed Market Value]]</f>
        <v/>
      </c>
      <c r="BM1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7" s="10">
        <f>tbl_MTG_Set[[#This Row],[Collector Singles CardMarket Profit]]/tbl_MTG_Set[[#This Row],[Collector Booster Cost]]</f>
        <v/>
      </c>
      <c r="BO167" s="10">
        <f>tbl_MTG_Set[[#This Row],[Collector Singles CardMarket Profit]]&gt;0</f>
        <v/>
      </c>
      <c r="BP1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8">
      <c r="A168" t="n">
        <v>166</v>
      </c>
      <c r="B168" t="inlineStr">
        <is>
          <t>2022 Heroes of the Realm PH22</t>
        </is>
      </c>
      <c r="C168" t="n">
        <v>5</v>
      </c>
      <c r="D168" s="3" t="n">
        <v>45139</v>
      </c>
      <c r="F168" t="inlineStr">
        <is>
          <t>en es fr de it pt ja ko ru 汉语 漢語</t>
        </is>
      </c>
      <c r="G168" t="n">
        <v>278</v>
      </c>
      <c r="H168">
        <f>MONTH(NOW())+12*YEAR(NOW())-MONTH(tbl_MTG_Set[[#This Row],[Released On]])-12*YEAR(tbl_MTG_Set[[#This Row],[Released On]])</f>
        <v/>
      </c>
      <c r="I168">
        <f>_xlfn.XLOOKUP(tbl_MTG_Set[[#This Row],[Type Name]], tbl_MTG_Set_Type[Set Type], tbl_MTG_Set_Type[Index], "(Set Type not found)")</f>
        <v/>
      </c>
      <c r="J168">
        <f>_xlfn.XLOOKUP(tbl_MTG_Set[[#This Row],[Type Name]], tbl_MTG_Set_Type[Set Type], tbl_MTG_Set_Type[Buy Window Month Start], "(Set Type not found)")</f>
        <v/>
      </c>
      <c r="K168" s="3">
        <f>tbl_MTG_Set[[#This Row],[Released On]]+tbl_MTG_Set[[#This Row],[Buy Window Month Start]]*365.25/12</f>
        <v/>
      </c>
      <c r="L168">
        <f>_xlfn.XLOOKUP(tbl_MTG_Set[[#This Row],[Type Name]], tbl_MTG_Set_Type[Set Type], tbl_MTG_Set_Type[Buy Window Month End], "(Set Type not found)", 0, 1)</f>
        <v/>
      </c>
      <c r="M168" s="3">
        <f>tbl_MTG_Set[[#This Row],[Released On]]+tbl_MTG_Set[[#This Row],[Buy Window Month End]]*365.25/12</f>
        <v/>
      </c>
      <c r="N168" s="3">
        <f>AND(NOW()&gt;=tbl_MTG_Set[[#This Row],[Buy Window Start]], NOW()&lt;=tbl_MTG_Set[[#This Row],[Buy Window End]])</f>
        <v/>
      </c>
      <c r="O168">
        <f>_xlfn.XLOOKUP(tbl_MTG_Set[[#This Row],[Type Name]], tbl_MTG_Set_Type[Set Type], tbl_MTG_Set_Type[Heavy Printing Window Month Start], "(Set Type not found)", 0, 1)</f>
        <v/>
      </c>
      <c r="P168" s="3">
        <f>tbl_MTG_Set[[#This Row],[Released On]]+tbl_MTG_Set[[#This Row],[Heavy Printing Window Month Start]]*365.25/12</f>
        <v/>
      </c>
      <c r="Q168">
        <f>_xlfn.XLOOKUP(tbl_MTG_Set[[#This Row],[Type Name]], tbl_MTG_Set_Type[Set Type], tbl_MTG_Set_Type[Heavy Printing Window Month End], "(Set Type not found)", 0, 1)</f>
        <v/>
      </c>
      <c r="R168" s="3">
        <f>tbl_MTG_Set[[#This Row],[Released On]]+tbl_MTG_Set[[#This Row],[Heavy Printing Window Month End]]*365.25/12</f>
        <v/>
      </c>
      <c r="S168" s="3">
        <f>AND(NOW()&gt;=tbl_MTG_Set[[#This Row],[Heavy Printing Window Start]], NOW()&lt;=tbl_MTG_Set[[#This Row],[Heavy Printing Window End]])</f>
        <v/>
      </c>
      <c r="T168">
        <f>_xlfn.XLOOKUP(tbl_MTG_Set[[#This Row],[Type Name]], tbl_MTG_Set_Type[Set Type], tbl_MTG_Set_Type[Sell Window Month Start], "(Set Type not found)", 0, 1)</f>
        <v/>
      </c>
      <c r="U168" s="3">
        <f>tbl_MTG_Set[[#This Row],[Released On]]+tbl_MTG_Set[[#This Row],[Sell Window Month Start]]*365.25/12</f>
        <v/>
      </c>
      <c r="V168">
        <f>_xlfn.XLOOKUP(tbl_MTG_Set[[#This Row],[Type Name]], tbl_MTG_Set_Type[Set Type], tbl_MTG_Set_Type[Sell Window Month End], "(Set Type not found)", 0, 1)</f>
        <v/>
      </c>
      <c r="W168" s="3">
        <f>tbl_MTG_Set[[#This Row],[Released On]]+tbl_MTG_Set[[#This Row],[Sell Window Month End]]*365.25/12</f>
        <v/>
      </c>
      <c r="X168" s="3">
        <f>AND(NOW()&gt;=tbl_MTG_Set[[#This Row],[Sell Window Start]], NOW()&lt;=tbl_MTG_Set[[#This Row],[Sell Window End]])</f>
        <v/>
      </c>
      <c r="AG168" s="10" t="n"/>
      <c r="AH168" s="10" t="n"/>
      <c r="AM168" s="10">
        <f t="array" ref="AM1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8" s="10">
        <f t="array" ref="AN1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8" s="4">
        <f>_xlfn.XLOOKUP(tbl_MTG_Set[[#This Row],[Play Booster Box Product Id]], tbl_Product[Product Id], tbl_Product[Pack Size])</f>
        <v/>
      </c>
      <c r="AP168" s="10">
        <f>(tbl_MTG_Set[[#This Row],[Play Booster Box Cost]]+v_Item_Shipping_Cost_In)/tbl_MTG_Set[[#This Row],[Play Booster Box Size]]</f>
        <v/>
      </c>
      <c r="AQ168" s="10">
        <f t="array" ref="AQ1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8" s="10" t="n"/>
      <c r="AS168" s="10" t="n"/>
      <c r="AT168" s="17">
        <f>tbl_MTG_Set[[#This Row],[Play Booster CardMarket Profit]]/tbl_MTG_Set[[#This Row],[Play Booster Cost]]</f>
        <v/>
      </c>
      <c r="AU168" s="10">
        <f>_xlfn.XLOOKUP(tbl_MTG_Set[[#This Row],[Collector Booster Box Product Id]], tbl_Product[Product Id], tbl_Product[Min Cost])</f>
        <v/>
      </c>
      <c r="AV168" s="10">
        <f>_xlfn.XLOOKUP(tbl_MTG_Set[[#This Row],[Collector Booster Box Product Id]], tbl_Product[Product Id], tbl_Product[Best Source])</f>
        <v/>
      </c>
      <c r="AW168" s="4">
        <f>_xlfn.XLOOKUP(tbl_MTG_Set[[#This Row],[Collector Booster Box Product Id]], tbl_Product[Product Id], tbl_Product[Pack Size])</f>
        <v/>
      </c>
      <c r="AX168" s="10">
        <f>(tbl_MTG_Set[[#This Row],[Collector Booster Box Cost]] + v_Item_Shipping_Cost_In) / tbl_MTG_Set[[#This Row],[Collector Booster Box Size]]</f>
        <v/>
      </c>
      <c r="AY168" s="10">
        <f t="array" ref="AY1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8" s="10" t="n"/>
      <c r="BA1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8" s="17">
        <f>tbl_MTG_Set[[#This Row],[Collector Booster CardMarket Profit]]/tbl_MTG_Set[[#This Row],[Collector Booster Cost]]</f>
        <v/>
      </c>
      <c r="BC168" s="10" t="n"/>
      <c r="BF168" s="10">
        <f>tbl_MTG_Set[[#This Row],[Play Booster Sell Price CardMarket]]*tbl_MTG_Set[[#This Row],[Play Booster Expected Market Value]]/tbl_MTG_Set[[#This Row],[Play Boost Sealed Market Value]]</f>
        <v/>
      </c>
      <c r="BG1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8" s="10">
        <f>tbl_MTG_Set[[#This Row],[Play Singles CardMarket Profit]]/tbl_MTG_Set[[#This Row],[Play Booster Cost]]</f>
        <v/>
      </c>
      <c r="BI168" s="10">
        <f>tbl_MTG_Set[[#This Row],[Play Singles CardMarket Profit]]&gt;0</f>
        <v/>
      </c>
      <c r="BJ168" s="10" t="n"/>
      <c r="BK168" s="10" t="n"/>
      <c r="BL168" s="10">
        <f>tbl_MTG_Set[[#This Row],[Collector Booster Sell Price CardMarket]]*tbl_MTG_Set[[#This Row],[Collector Booster Expected Market Value]]/tbl_MTG_Set[[#This Row],[Collector Boost Sealed Market Value]]</f>
        <v/>
      </c>
      <c r="BM1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8" s="10">
        <f>tbl_MTG_Set[[#This Row],[Collector Singles CardMarket Profit]]/tbl_MTG_Set[[#This Row],[Collector Booster Cost]]</f>
        <v/>
      </c>
      <c r="BO168" s="10">
        <f>tbl_MTG_Set[[#This Row],[Collector Singles CardMarket Profit]]&gt;0</f>
        <v/>
      </c>
      <c r="BP1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9">
      <c r="A169" t="n">
        <v>167</v>
      </c>
      <c r="B169" t="inlineStr">
        <is>
          <t>Explorer Anthology 3 EA3</t>
        </is>
      </c>
      <c r="C169" t="n">
        <v>25</v>
      </c>
      <c r="D169" s="3" t="n">
        <v>45125</v>
      </c>
      <c r="F169" t="inlineStr">
        <is>
          <t>en es fr de it pt ja ko ru 汉语 漢語</t>
        </is>
      </c>
      <c r="G169" t="n">
        <v>280</v>
      </c>
      <c r="H169">
        <f>MONTH(NOW())+12*YEAR(NOW())-MONTH(tbl_MTG_Set[[#This Row],[Released On]])-12*YEAR(tbl_MTG_Set[[#This Row],[Released On]])</f>
        <v/>
      </c>
      <c r="I169">
        <f>_xlfn.XLOOKUP(tbl_MTG_Set[[#This Row],[Type Name]], tbl_MTG_Set_Type[Set Type], tbl_MTG_Set_Type[Index], "(Set Type not found)")</f>
        <v/>
      </c>
      <c r="J169">
        <f>_xlfn.XLOOKUP(tbl_MTG_Set[[#This Row],[Type Name]], tbl_MTG_Set_Type[Set Type], tbl_MTG_Set_Type[Buy Window Month Start], "(Set Type not found)")</f>
        <v/>
      </c>
      <c r="K169" s="3">
        <f>tbl_MTG_Set[[#This Row],[Released On]]+tbl_MTG_Set[[#This Row],[Buy Window Month Start]]*365.25/12</f>
        <v/>
      </c>
      <c r="L169">
        <f>_xlfn.XLOOKUP(tbl_MTG_Set[[#This Row],[Type Name]], tbl_MTG_Set_Type[Set Type], tbl_MTG_Set_Type[Buy Window Month End], "(Set Type not found)", 0, 1)</f>
        <v/>
      </c>
      <c r="M169" s="3">
        <f>tbl_MTG_Set[[#This Row],[Released On]]+tbl_MTG_Set[[#This Row],[Buy Window Month End]]*365.25/12</f>
        <v/>
      </c>
      <c r="N169" s="3">
        <f>AND(NOW()&gt;=tbl_MTG_Set[[#This Row],[Buy Window Start]], NOW()&lt;=tbl_MTG_Set[[#This Row],[Buy Window End]])</f>
        <v/>
      </c>
      <c r="O169">
        <f>_xlfn.XLOOKUP(tbl_MTG_Set[[#This Row],[Type Name]], tbl_MTG_Set_Type[Set Type], tbl_MTG_Set_Type[Heavy Printing Window Month Start], "(Set Type not found)", 0, 1)</f>
        <v/>
      </c>
      <c r="P169" s="3">
        <f>tbl_MTG_Set[[#This Row],[Released On]]+tbl_MTG_Set[[#This Row],[Heavy Printing Window Month Start]]*365.25/12</f>
        <v/>
      </c>
      <c r="Q169">
        <f>_xlfn.XLOOKUP(tbl_MTG_Set[[#This Row],[Type Name]], tbl_MTG_Set_Type[Set Type], tbl_MTG_Set_Type[Heavy Printing Window Month End], "(Set Type not found)", 0, 1)</f>
        <v/>
      </c>
      <c r="R169" s="3">
        <f>tbl_MTG_Set[[#This Row],[Released On]]+tbl_MTG_Set[[#This Row],[Heavy Printing Window Month End]]*365.25/12</f>
        <v/>
      </c>
      <c r="S169" s="3">
        <f>AND(NOW()&gt;=tbl_MTG_Set[[#This Row],[Heavy Printing Window Start]], NOW()&lt;=tbl_MTG_Set[[#This Row],[Heavy Printing Window End]])</f>
        <v/>
      </c>
      <c r="T169">
        <f>_xlfn.XLOOKUP(tbl_MTG_Set[[#This Row],[Type Name]], tbl_MTG_Set_Type[Set Type], tbl_MTG_Set_Type[Sell Window Month Start], "(Set Type not found)", 0, 1)</f>
        <v/>
      </c>
      <c r="U169" s="3">
        <f>tbl_MTG_Set[[#This Row],[Released On]]+tbl_MTG_Set[[#This Row],[Sell Window Month Start]]*365.25/12</f>
        <v/>
      </c>
      <c r="V169">
        <f>_xlfn.XLOOKUP(tbl_MTG_Set[[#This Row],[Type Name]], tbl_MTG_Set_Type[Set Type], tbl_MTG_Set_Type[Sell Window Month End], "(Set Type not found)", 0, 1)</f>
        <v/>
      </c>
      <c r="W169" s="3">
        <f>tbl_MTG_Set[[#This Row],[Released On]]+tbl_MTG_Set[[#This Row],[Sell Window Month End]]*365.25/12</f>
        <v/>
      </c>
      <c r="X169" s="3">
        <f>AND(NOW()&gt;=tbl_MTG_Set[[#This Row],[Sell Window Start]], NOW()&lt;=tbl_MTG_Set[[#This Row],[Sell Window End]])</f>
        <v/>
      </c>
      <c r="AG169" s="10" t="n"/>
      <c r="AH169" s="10" t="n"/>
      <c r="AM169" s="10">
        <f t="array" ref="AM1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9" s="10">
        <f t="array" ref="AN1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9" s="4">
        <f>_xlfn.XLOOKUP(tbl_MTG_Set[[#This Row],[Play Booster Box Product Id]], tbl_Product[Product Id], tbl_Product[Pack Size])</f>
        <v/>
      </c>
      <c r="AP169" s="10">
        <f>(tbl_MTG_Set[[#This Row],[Play Booster Box Cost]]+v_Item_Shipping_Cost_In)/tbl_MTG_Set[[#This Row],[Play Booster Box Size]]</f>
        <v/>
      </c>
      <c r="AQ169" s="10">
        <f t="array" ref="AQ1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69" s="10" t="n"/>
      <c r="AS169" s="10" t="n"/>
      <c r="AT169" s="17">
        <f>tbl_MTG_Set[[#This Row],[Play Booster CardMarket Profit]]/tbl_MTG_Set[[#This Row],[Play Booster Cost]]</f>
        <v/>
      </c>
      <c r="AU169" s="10">
        <f>_xlfn.XLOOKUP(tbl_MTG_Set[[#This Row],[Collector Booster Box Product Id]], tbl_Product[Product Id], tbl_Product[Min Cost])</f>
        <v/>
      </c>
      <c r="AV169" s="10">
        <f>_xlfn.XLOOKUP(tbl_MTG_Set[[#This Row],[Collector Booster Box Product Id]], tbl_Product[Product Id], tbl_Product[Best Source])</f>
        <v/>
      </c>
      <c r="AW169" s="4">
        <f>_xlfn.XLOOKUP(tbl_MTG_Set[[#This Row],[Collector Booster Box Product Id]], tbl_Product[Product Id], tbl_Product[Pack Size])</f>
        <v/>
      </c>
      <c r="AX169" s="10">
        <f>(tbl_MTG_Set[[#This Row],[Collector Booster Box Cost]] + v_Item_Shipping_Cost_In) / tbl_MTG_Set[[#This Row],[Collector Booster Box Size]]</f>
        <v/>
      </c>
      <c r="AY169" s="10">
        <f t="array" ref="AY1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69" s="10" t="n"/>
      <c r="BA1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9" s="17">
        <f>tbl_MTG_Set[[#This Row],[Collector Booster CardMarket Profit]]/tbl_MTG_Set[[#This Row],[Collector Booster Cost]]</f>
        <v/>
      </c>
      <c r="BC169" s="10" t="n"/>
      <c r="BF169" s="10">
        <f>tbl_MTG_Set[[#This Row],[Play Booster Sell Price CardMarket]]*tbl_MTG_Set[[#This Row],[Play Booster Expected Market Value]]/tbl_MTG_Set[[#This Row],[Play Boost Sealed Market Value]]</f>
        <v/>
      </c>
      <c r="BG1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9" s="10">
        <f>tbl_MTG_Set[[#This Row],[Play Singles CardMarket Profit]]/tbl_MTG_Set[[#This Row],[Play Booster Cost]]</f>
        <v/>
      </c>
      <c r="BI169" s="10">
        <f>tbl_MTG_Set[[#This Row],[Play Singles CardMarket Profit]]&gt;0</f>
        <v/>
      </c>
      <c r="BJ169" s="10" t="n"/>
      <c r="BK169" s="10" t="n"/>
      <c r="BL169" s="10">
        <f>tbl_MTG_Set[[#This Row],[Collector Booster Sell Price CardMarket]]*tbl_MTG_Set[[#This Row],[Collector Booster Expected Market Value]]/tbl_MTG_Set[[#This Row],[Collector Boost Sealed Market Value]]</f>
        <v/>
      </c>
      <c r="BM1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9" s="10">
        <f>tbl_MTG_Set[[#This Row],[Collector Singles CardMarket Profit]]/tbl_MTG_Set[[#This Row],[Collector Booster Cost]]</f>
        <v/>
      </c>
      <c r="BO169" s="10">
        <f>tbl_MTG_Set[[#This Row],[Collector Singles CardMarket Profit]]&gt;0</f>
        <v/>
      </c>
      <c r="BP1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0">
      <c r="A170" t="n">
        <v>168</v>
      </c>
      <c r="B170" t="inlineStr">
        <is>
          <t>Historic Anthology 7 HA7</t>
        </is>
      </c>
      <c r="C170" t="n">
        <v>25</v>
      </c>
      <c r="D170" s="3" t="n">
        <v>45125</v>
      </c>
      <c r="F170" t="inlineStr">
        <is>
          <t>en es fr de it pt ja ko ru 汉语 漢語</t>
        </is>
      </c>
      <c r="G170" t="n">
        <v>282</v>
      </c>
      <c r="H170">
        <f>MONTH(NOW())+12*YEAR(NOW())-MONTH(tbl_MTG_Set[[#This Row],[Released On]])-12*YEAR(tbl_MTG_Set[[#This Row],[Released On]])</f>
        <v/>
      </c>
      <c r="I170">
        <f>_xlfn.XLOOKUP(tbl_MTG_Set[[#This Row],[Type Name]], tbl_MTG_Set_Type[Set Type], tbl_MTG_Set_Type[Index], "(Set Type not found)")</f>
        <v/>
      </c>
      <c r="J170">
        <f>_xlfn.XLOOKUP(tbl_MTG_Set[[#This Row],[Type Name]], tbl_MTG_Set_Type[Set Type], tbl_MTG_Set_Type[Buy Window Month Start], "(Set Type not found)")</f>
        <v/>
      </c>
      <c r="K170" s="3">
        <f>tbl_MTG_Set[[#This Row],[Released On]]+tbl_MTG_Set[[#This Row],[Buy Window Month Start]]*365.25/12</f>
        <v/>
      </c>
      <c r="L170">
        <f>_xlfn.XLOOKUP(tbl_MTG_Set[[#This Row],[Type Name]], tbl_MTG_Set_Type[Set Type], tbl_MTG_Set_Type[Buy Window Month End], "(Set Type not found)", 0, 1)</f>
        <v/>
      </c>
      <c r="M170" s="3">
        <f>tbl_MTG_Set[[#This Row],[Released On]]+tbl_MTG_Set[[#This Row],[Buy Window Month End]]*365.25/12</f>
        <v/>
      </c>
      <c r="N170" s="3">
        <f>AND(NOW()&gt;=tbl_MTG_Set[[#This Row],[Buy Window Start]], NOW()&lt;=tbl_MTG_Set[[#This Row],[Buy Window End]])</f>
        <v/>
      </c>
      <c r="O170">
        <f>_xlfn.XLOOKUP(tbl_MTG_Set[[#This Row],[Type Name]], tbl_MTG_Set_Type[Set Type], tbl_MTG_Set_Type[Heavy Printing Window Month Start], "(Set Type not found)", 0, 1)</f>
        <v/>
      </c>
      <c r="P170" s="3">
        <f>tbl_MTG_Set[[#This Row],[Released On]]+tbl_MTG_Set[[#This Row],[Heavy Printing Window Month Start]]*365.25/12</f>
        <v/>
      </c>
      <c r="Q170">
        <f>_xlfn.XLOOKUP(tbl_MTG_Set[[#This Row],[Type Name]], tbl_MTG_Set_Type[Set Type], tbl_MTG_Set_Type[Heavy Printing Window Month End], "(Set Type not found)", 0, 1)</f>
        <v/>
      </c>
      <c r="R170" s="3">
        <f>tbl_MTG_Set[[#This Row],[Released On]]+tbl_MTG_Set[[#This Row],[Heavy Printing Window Month End]]*365.25/12</f>
        <v/>
      </c>
      <c r="S170" s="3">
        <f>AND(NOW()&gt;=tbl_MTG_Set[[#This Row],[Heavy Printing Window Start]], NOW()&lt;=tbl_MTG_Set[[#This Row],[Heavy Printing Window End]])</f>
        <v/>
      </c>
      <c r="T170">
        <f>_xlfn.XLOOKUP(tbl_MTG_Set[[#This Row],[Type Name]], tbl_MTG_Set_Type[Set Type], tbl_MTG_Set_Type[Sell Window Month Start], "(Set Type not found)", 0, 1)</f>
        <v/>
      </c>
      <c r="U170" s="3">
        <f>tbl_MTG_Set[[#This Row],[Released On]]+tbl_MTG_Set[[#This Row],[Sell Window Month Start]]*365.25/12</f>
        <v/>
      </c>
      <c r="V170">
        <f>_xlfn.XLOOKUP(tbl_MTG_Set[[#This Row],[Type Name]], tbl_MTG_Set_Type[Set Type], tbl_MTG_Set_Type[Sell Window Month End], "(Set Type not found)", 0, 1)</f>
        <v/>
      </c>
      <c r="W170" s="3">
        <f>tbl_MTG_Set[[#This Row],[Released On]]+tbl_MTG_Set[[#This Row],[Sell Window Month End]]*365.25/12</f>
        <v/>
      </c>
      <c r="X170" s="3">
        <f>AND(NOW()&gt;=tbl_MTG_Set[[#This Row],[Sell Window Start]], NOW()&lt;=tbl_MTG_Set[[#This Row],[Sell Window End]])</f>
        <v/>
      </c>
      <c r="AG170" s="10" t="n"/>
      <c r="AH170" s="10" t="n"/>
      <c r="AM170" s="10">
        <f t="array" ref="AM1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0" s="10">
        <f t="array" ref="AN1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0" s="4">
        <f>_xlfn.XLOOKUP(tbl_MTG_Set[[#This Row],[Play Booster Box Product Id]], tbl_Product[Product Id], tbl_Product[Pack Size])</f>
        <v/>
      </c>
      <c r="AP170" s="10">
        <f>(tbl_MTG_Set[[#This Row],[Play Booster Box Cost]]+v_Item_Shipping_Cost_In)/tbl_MTG_Set[[#This Row],[Play Booster Box Size]]</f>
        <v/>
      </c>
      <c r="AQ170" s="10">
        <f t="array" ref="AQ1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0" s="10" t="n"/>
      <c r="AS170" s="10" t="n"/>
      <c r="AT170" s="17">
        <f>tbl_MTG_Set[[#This Row],[Play Booster CardMarket Profit]]/tbl_MTG_Set[[#This Row],[Play Booster Cost]]</f>
        <v/>
      </c>
      <c r="AU170" s="10">
        <f>_xlfn.XLOOKUP(tbl_MTG_Set[[#This Row],[Collector Booster Box Product Id]], tbl_Product[Product Id], tbl_Product[Min Cost])</f>
        <v/>
      </c>
      <c r="AV170" s="10">
        <f>_xlfn.XLOOKUP(tbl_MTG_Set[[#This Row],[Collector Booster Box Product Id]], tbl_Product[Product Id], tbl_Product[Best Source])</f>
        <v/>
      </c>
      <c r="AW170" s="4">
        <f>_xlfn.XLOOKUP(tbl_MTG_Set[[#This Row],[Collector Booster Box Product Id]], tbl_Product[Product Id], tbl_Product[Pack Size])</f>
        <v/>
      </c>
      <c r="AX170" s="10">
        <f>(tbl_MTG_Set[[#This Row],[Collector Booster Box Cost]] + v_Item_Shipping_Cost_In) / tbl_MTG_Set[[#This Row],[Collector Booster Box Size]]</f>
        <v/>
      </c>
      <c r="AY170" s="10">
        <f t="array" ref="AY1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0" s="10" t="n"/>
      <c r="BA1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0" s="17">
        <f>tbl_MTG_Set[[#This Row],[Collector Booster CardMarket Profit]]/tbl_MTG_Set[[#This Row],[Collector Booster Cost]]</f>
        <v/>
      </c>
      <c r="BC170" s="10" t="n"/>
      <c r="BF170" s="10">
        <f>tbl_MTG_Set[[#This Row],[Play Booster Sell Price CardMarket]]*tbl_MTG_Set[[#This Row],[Play Booster Expected Market Value]]/tbl_MTG_Set[[#This Row],[Play Boost Sealed Market Value]]</f>
        <v/>
      </c>
      <c r="BG1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0" s="10">
        <f>tbl_MTG_Set[[#This Row],[Play Singles CardMarket Profit]]/tbl_MTG_Set[[#This Row],[Play Booster Cost]]</f>
        <v/>
      </c>
      <c r="BI170" s="10">
        <f>tbl_MTG_Set[[#This Row],[Play Singles CardMarket Profit]]&gt;0</f>
        <v/>
      </c>
      <c r="BJ170" s="10" t="n"/>
      <c r="BK170" s="10" t="n"/>
      <c r="BL170" s="10">
        <f>tbl_MTG_Set[[#This Row],[Collector Booster Sell Price CardMarket]]*tbl_MTG_Set[[#This Row],[Collector Booster Expected Market Value]]/tbl_MTG_Set[[#This Row],[Collector Boost Sealed Market Value]]</f>
        <v/>
      </c>
      <c r="BM1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0" s="10">
        <f>tbl_MTG_Set[[#This Row],[Collector Singles CardMarket Profit]]/tbl_MTG_Set[[#This Row],[Collector Booster Cost]]</f>
        <v/>
      </c>
      <c r="BO170" s="10">
        <f>tbl_MTG_Set[[#This Row],[Collector Singles CardMarket Profit]]&gt;0</f>
        <v/>
      </c>
      <c r="BP1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1">
      <c r="A171" t="n">
        <v>169</v>
      </c>
      <c r="B171" t="inlineStr">
        <is>
          <t>MagicFest 2023 PF23</t>
        </is>
      </c>
      <c r="C171" t="n">
        <v>4</v>
      </c>
      <c r="D171" s="3" t="n">
        <v>45108</v>
      </c>
      <c r="F171" t="inlineStr">
        <is>
          <t>en es fr de it pt ja ko ru 汉语 漢語</t>
        </is>
      </c>
      <c r="G171" t="n">
        <v>284</v>
      </c>
      <c r="H171">
        <f>MONTH(NOW())+12*YEAR(NOW())-MONTH(tbl_MTG_Set[[#This Row],[Released On]])-12*YEAR(tbl_MTG_Set[[#This Row],[Released On]])</f>
        <v/>
      </c>
      <c r="I171">
        <f>_xlfn.XLOOKUP(tbl_MTG_Set[[#This Row],[Type Name]], tbl_MTG_Set_Type[Set Type], tbl_MTG_Set_Type[Index], "(Set Type not found)")</f>
        <v/>
      </c>
      <c r="J171">
        <f>_xlfn.XLOOKUP(tbl_MTG_Set[[#This Row],[Type Name]], tbl_MTG_Set_Type[Set Type], tbl_MTG_Set_Type[Buy Window Month Start], "(Set Type not found)")</f>
        <v/>
      </c>
      <c r="K171" s="3">
        <f>tbl_MTG_Set[[#This Row],[Released On]]+tbl_MTG_Set[[#This Row],[Buy Window Month Start]]*365.25/12</f>
        <v/>
      </c>
      <c r="L171">
        <f>_xlfn.XLOOKUP(tbl_MTG_Set[[#This Row],[Type Name]], tbl_MTG_Set_Type[Set Type], tbl_MTG_Set_Type[Buy Window Month End], "(Set Type not found)", 0, 1)</f>
        <v/>
      </c>
      <c r="M171" s="3">
        <f>tbl_MTG_Set[[#This Row],[Released On]]+tbl_MTG_Set[[#This Row],[Buy Window Month End]]*365.25/12</f>
        <v/>
      </c>
      <c r="N171" s="3">
        <f>AND(NOW()&gt;=tbl_MTG_Set[[#This Row],[Buy Window Start]], NOW()&lt;=tbl_MTG_Set[[#This Row],[Buy Window End]])</f>
        <v/>
      </c>
      <c r="O171">
        <f>_xlfn.XLOOKUP(tbl_MTG_Set[[#This Row],[Type Name]], tbl_MTG_Set_Type[Set Type], tbl_MTG_Set_Type[Heavy Printing Window Month Start], "(Set Type not found)", 0, 1)</f>
        <v/>
      </c>
      <c r="P171" s="3">
        <f>tbl_MTG_Set[[#This Row],[Released On]]+tbl_MTG_Set[[#This Row],[Heavy Printing Window Month Start]]*365.25/12</f>
        <v/>
      </c>
      <c r="Q171">
        <f>_xlfn.XLOOKUP(tbl_MTG_Set[[#This Row],[Type Name]], tbl_MTG_Set_Type[Set Type], tbl_MTG_Set_Type[Heavy Printing Window Month End], "(Set Type not found)", 0, 1)</f>
        <v/>
      </c>
      <c r="R171" s="3">
        <f>tbl_MTG_Set[[#This Row],[Released On]]+tbl_MTG_Set[[#This Row],[Heavy Printing Window Month End]]*365.25/12</f>
        <v/>
      </c>
      <c r="S171" s="3">
        <f>AND(NOW()&gt;=tbl_MTG_Set[[#This Row],[Heavy Printing Window Start]], NOW()&lt;=tbl_MTG_Set[[#This Row],[Heavy Printing Window End]])</f>
        <v/>
      </c>
      <c r="T171">
        <f>_xlfn.XLOOKUP(tbl_MTG_Set[[#This Row],[Type Name]], tbl_MTG_Set_Type[Set Type], tbl_MTG_Set_Type[Sell Window Month Start], "(Set Type not found)", 0, 1)</f>
        <v/>
      </c>
      <c r="U171" s="3">
        <f>tbl_MTG_Set[[#This Row],[Released On]]+tbl_MTG_Set[[#This Row],[Sell Window Month Start]]*365.25/12</f>
        <v/>
      </c>
      <c r="V171">
        <f>_xlfn.XLOOKUP(tbl_MTG_Set[[#This Row],[Type Name]], tbl_MTG_Set_Type[Set Type], tbl_MTG_Set_Type[Sell Window Month End], "(Set Type not found)", 0, 1)</f>
        <v/>
      </c>
      <c r="W171" s="3">
        <f>tbl_MTG_Set[[#This Row],[Released On]]+tbl_MTG_Set[[#This Row],[Sell Window Month End]]*365.25/12</f>
        <v/>
      </c>
      <c r="X171" s="3">
        <f>AND(NOW()&gt;=tbl_MTG_Set[[#This Row],[Sell Window Start]], NOW()&lt;=tbl_MTG_Set[[#This Row],[Sell Window End]])</f>
        <v/>
      </c>
      <c r="AG171" s="10" t="n"/>
      <c r="AH171" s="10" t="n"/>
      <c r="AM171" s="10">
        <f t="array" ref="AM1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1" s="10">
        <f t="array" ref="AN1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1" s="4">
        <f>_xlfn.XLOOKUP(tbl_MTG_Set[[#This Row],[Play Booster Box Product Id]], tbl_Product[Product Id], tbl_Product[Pack Size])</f>
        <v/>
      </c>
      <c r="AP171" s="10">
        <f>(tbl_MTG_Set[[#This Row],[Play Booster Box Cost]]+v_Item_Shipping_Cost_In)/tbl_MTG_Set[[#This Row],[Play Booster Box Size]]</f>
        <v/>
      </c>
      <c r="AQ171" s="10">
        <f t="array" ref="AQ1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1" s="10" t="n"/>
      <c r="AS171" s="10" t="n"/>
      <c r="AT171" s="17">
        <f>tbl_MTG_Set[[#This Row],[Play Booster CardMarket Profit]]/tbl_MTG_Set[[#This Row],[Play Booster Cost]]</f>
        <v/>
      </c>
      <c r="AU171" s="10">
        <f>_xlfn.XLOOKUP(tbl_MTG_Set[[#This Row],[Collector Booster Box Product Id]], tbl_Product[Product Id], tbl_Product[Min Cost])</f>
        <v/>
      </c>
      <c r="AV171" s="10">
        <f>_xlfn.XLOOKUP(tbl_MTG_Set[[#This Row],[Collector Booster Box Product Id]], tbl_Product[Product Id], tbl_Product[Best Source])</f>
        <v/>
      </c>
      <c r="AW171" s="4">
        <f>_xlfn.XLOOKUP(tbl_MTG_Set[[#This Row],[Collector Booster Box Product Id]], tbl_Product[Product Id], tbl_Product[Pack Size])</f>
        <v/>
      </c>
      <c r="AX171" s="10">
        <f>(tbl_MTG_Set[[#This Row],[Collector Booster Box Cost]] + v_Item_Shipping_Cost_In) / tbl_MTG_Set[[#This Row],[Collector Booster Box Size]]</f>
        <v/>
      </c>
      <c r="AY171" s="10">
        <f t="array" ref="AY1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1" s="10" t="n"/>
      <c r="BA1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1" s="17">
        <f>tbl_MTG_Set[[#This Row],[Collector Booster CardMarket Profit]]/tbl_MTG_Set[[#This Row],[Collector Booster Cost]]</f>
        <v/>
      </c>
      <c r="BC171" s="10" t="n"/>
      <c r="BF171" s="10">
        <f>tbl_MTG_Set[[#This Row],[Play Booster Sell Price CardMarket]]*tbl_MTG_Set[[#This Row],[Play Booster Expected Market Value]]/tbl_MTG_Set[[#This Row],[Play Boost Sealed Market Value]]</f>
        <v/>
      </c>
      <c r="BG1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1" s="10">
        <f>tbl_MTG_Set[[#This Row],[Play Singles CardMarket Profit]]/tbl_MTG_Set[[#This Row],[Play Booster Cost]]</f>
        <v/>
      </c>
      <c r="BI171" s="10">
        <f>tbl_MTG_Set[[#This Row],[Play Singles CardMarket Profit]]&gt;0</f>
        <v/>
      </c>
      <c r="BJ171" s="10" t="n"/>
      <c r="BK171" s="10" t="n"/>
      <c r="BL171" s="10">
        <f>tbl_MTG_Set[[#This Row],[Collector Booster Sell Price CardMarket]]*tbl_MTG_Set[[#This Row],[Collector Booster Expected Market Value]]/tbl_MTG_Set[[#This Row],[Collector Boost Sealed Market Value]]</f>
        <v/>
      </c>
      <c r="BM1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1" s="10">
        <f>tbl_MTG_Set[[#This Row],[Collector Singles CardMarket Profit]]/tbl_MTG_Set[[#This Row],[Collector Booster Cost]]</f>
        <v/>
      </c>
      <c r="BO171" s="10">
        <f>tbl_MTG_Set[[#This Row],[Collector Singles CardMarket Profit]]&gt;0</f>
        <v/>
      </c>
      <c r="BP1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2">
      <c r="A172" t="n">
        <v>170</v>
      </c>
      <c r="B172" t="inlineStr">
        <is>
          <t>The Lord of the Rings: Tales of Middle-earth LTR</t>
        </is>
      </c>
      <c r="C172" t="n">
        <v>856</v>
      </c>
      <c r="D172" s="3" t="n">
        <v>45100</v>
      </c>
      <c r="E172" t="inlineStr">
        <is>
          <t>Universes Beyond</t>
        </is>
      </c>
      <c r="F172" t="inlineStr">
        <is>
          <t>en es fr de it pt ja ko ru 汉语 漢語</t>
        </is>
      </c>
      <c r="G172" t="n">
        <v>286</v>
      </c>
      <c r="H172">
        <f>MONTH(NOW())+12*YEAR(NOW())-MONTH(tbl_MTG_Set[[#This Row],[Released On]])-12*YEAR(tbl_MTG_Set[[#This Row],[Released On]])</f>
        <v/>
      </c>
      <c r="I172">
        <f>_xlfn.XLOOKUP(tbl_MTG_Set[[#This Row],[Type Name]], tbl_MTG_Set_Type[Set Type], tbl_MTG_Set_Type[Index], "(Set Type not found)")</f>
        <v/>
      </c>
      <c r="J172">
        <f>_xlfn.XLOOKUP(tbl_MTG_Set[[#This Row],[Type Name]], tbl_MTG_Set_Type[Set Type], tbl_MTG_Set_Type[Buy Window Month Start], "(Set Type not found)")</f>
        <v/>
      </c>
      <c r="K172" s="3">
        <f>tbl_MTG_Set[[#This Row],[Released On]]+tbl_MTG_Set[[#This Row],[Buy Window Month Start]]*365.25/12</f>
        <v/>
      </c>
      <c r="L172">
        <f>_xlfn.XLOOKUP(tbl_MTG_Set[[#This Row],[Type Name]], tbl_MTG_Set_Type[Set Type], tbl_MTG_Set_Type[Buy Window Month End], "(Set Type not found)", 0, 1)</f>
        <v/>
      </c>
      <c r="M172" s="3">
        <f>tbl_MTG_Set[[#This Row],[Released On]]+tbl_MTG_Set[[#This Row],[Buy Window Month End]]*365.25/12</f>
        <v/>
      </c>
      <c r="N172" s="3">
        <f>AND(NOW()&gt;=tbl_MTG_Set[[#This Row],[Buy Window Start]], NOW()&lt;=tbl_MTG_Set[[#This Row],[Buy Window End]])</f>
        <v/>
      </c>
      <c r="O172">
        <f>_xlfn.XLOOKUP(tbl_MTG_Set[[#This Row],[Type Name]], tbl_MTG_Set_Type[Set Type], tbl_MTG_Set_Type[Heavy Printing Window Month Start], "(Set Type not found)", 0, 1)</f>
        <v/>
      </c>
      <c r="P172" s="3">
        <f>tbl_MTG_Set[[#This Row],[Released On]]+tbl_MTG_Set[[#This Row],[Heavy Printing Window Month Start]]*365.25/12</f>
        <v/>
      </c>
      <c r="Q172">
        <f>_xlfn.XLOOKUP(tbl_MTG_Set[[#This Row],[Type Name]], tbl_MTG_Set_Type[Set Type], tbl_MTG_Set_Type[Heavy Printing Window Month End], "(Set Type not found)", 0, 1)</f>
        <v/>
      </c>
      <c r="R172" s="3">
        <f>tbl_MTG_Set[[#This Row],[Released On]]+tbl_MTG_Set[[#This Row],[Heavy Printing Window Month End]]*365.25/12</f>
        <v/>
      </c>
      <c r="S172" s="3">
        <f>AND(NOW()&gt;=tbl_MTG_Set[[#This Row],[Heavy Printing Window Start]], NOW()&lt;=tbl_MTG_Set[[#This Row],[Heavy Printing Window End]])</f>
        <v/>
      </c>
      <c r="T172">
        <f>_xlfn.XLOOKUP(tbl_MTG_Set[[#This Row],[Type Name]], tbl_MTG_Set_Type[Set Type], tbl_MTG_Set_Type[Sell Window Month Start], "(Set Type not found)", 0, 1)</f>
        <v/>
      </c>
      <c r="U172" s="3">
        <f>tbl_MTG_Set[[#This Row],[Released On]]+tbl_MTG_Set[[#This Row],[Sell Window Month Start]]*365.25/12</f>
        <v/>
      </c>
      <c r="V172">
        <f>_xlfn.XLOOKUP(tbl_MTG_Set[[#This Row],[Type Name]], tbl_MTG_Set_Type[Set Type], tbl_MTG_Set_Type[Sell Window Month End], "(Set Type not found)", 0, 1)</f>
        <v/>
      </c>
      <c r="W172" s="3">
        <f>tbl_MTG_Set[[#This Row],[Released On]]+tbl_MTG_Set[[#This Row],[Sell Window Month End]]*365.25/12</f>
        <v/>
      </c>
      <c r="X172" s="3">
        <f>AND(NOW()&gt;=tbl_MTG_Set[[#This Row],[Sell Window Start]], NOW()&lt;=tbl_MTG_Set[[#This Row],[Sell Window End]])</f>
        <v/>
      </c>
      <c r="Y172" s="10" t="n">
        <v>246</v>
      </c>
      <c r="Z172" s="10" t="n">
        <v>175</v>
      </c>
      <c r="AD172" s="10">
        <f>(Y172+96/20)/30</f>
        <v/>
      </c>
      <c r="AE172" s="10">
        <f>(Z172+96/20)/30</f>
        <v/>
      </c>
      <c r="AG172" s="10" t="n"/>
      <c r="AH172" s="10" t="n"/>
      <c r="AI172" s="4" t="n">
        <v>66</v>
      </c>
      <c r="AJ172" s="4" t="n">
        <v>21</v>
      </c>
      <c r="AK172" s="4" t="n">
        <v>140</v>
      </c>
      <c r="AL172" s="4" t="n">
        <v>139</v>
      </c>
      <c r="AM172" s="10">
        <f t="array" ref="AM1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2" s="10">
        <f t="array" ref="AN1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2" s="4">
        <f>_xlfn.XLOOKUP(tbl_MTG_Set[[#This Row],[Play Booster Box Product Id]], tbl_Product[Product Id], tbl_Product[Pack Size])</f>
        <v/>
      </c>
      <c r="AP172" s="10">
        <f>(tbl_MTG_Set[[#This Row],[Play Booster Box Cost]]+v_Item_Shipping_Cost_In)/tbl_MTG_Set[[#This Row],[Play Booster Box Size]]</f>
        <v/>
      </c>
      <c r="AQ172" s="10">
        <f t="array" ref="AQ1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2" s="10" t="n">
        <v>9</v>
      </c>
      <c r="AS17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72" s="17">
        <f>tbl_MTG_Set[[#This Row],[Play Booster CardMarket Profit]]/tbl_MTG_Set[[#This Row],[Play Booster Cost]]</f>
        <v/>
      </c>
      <c r="AU172" s="10">
        <f>_xlfn.XLOOKUP(tbl_MTG_Set[[#This Row],[Collector Booster Box Product Id]], tbl_Product[Product Id], tbl_Product[Min Cost])</f>
        <v/>
      </c>
      <c r="AV172" s="10">
        <f>_xlfn.XLOOKUP(tbl_MTG_Set[[#This Row],[Collector Booster Box Product Id]], tbl_Product[Product Id], tbl_Product[Best Source])</f>
        <v/>
      </c>
      <c r="AW172" s="4">
        <f>_xlfn.XLOOKUP(tbl_MTG_Set[[#This Row],[Collector Booster Box Product Id]], tbl_Product[Product Id], tbl_Product[Pack Size])</f>
        <v/>
      </c>
      <c r="AX172" s="10">
        <f>(tbl_MTG_Set[[#This Row],[Collector Booster Box Cost]] + v_Item_Shipping_Cost_In) / tbl_MTG_Set[[#This Row],[Collector Booster Box Size]]</f>
        <v/>
      </c>
      <c r="AY172" s="10">
        <f t="array" ref="AY1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2" s="10" t="n"/>
      <c r="BA1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2" s="17">
        <f>tbl_MTG_Set[[#This Row],[Collector Booster CardMarket Profit]]/tbl_MTG_Set[[#This Row],[Collector Booster Cost]]</f>
        <v/>
      </c>
      <c r="BC172" s="10" t="n"/>
      <c r="BF172" s="10">
        <f>tbl_MTG_Set[[#This Row],[Play Booster Sell Price CardMarket]]*tbl_MTG_Set[[#This Row],[Play Booster Expected Market Value]]/tbl_MTG_Set[[#This Row],[Play Boost Sealed Market Value]]</f>
        <v/>
      </c>
      <c r="BG1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2" s="17">
        <f>tbl_MTG_Set[[#This Row],[Play Singles CardMarket Profit]]/tbl_MTG_Set[[#This Row],[Play Booster Cost]]</f>
        <v/>
      </c>
      <c r="BI172" s="10">
        <f>tbl_MTG_Set[[#This Row],[Play Singles CardMarket Profit]]&gt;0</f>
        <v/>
      </c>
      <c r="BJ172" s="10" t="n"/>
      <c r="BK172" s="10" t="n"/>
      <c r="BL172" s="10">
        <f>tbl_MTG_Set[[#This Row],[Collector Booster Sell Price CardMarket]]*tbl_MTG_Set[[#This Row],[Collector Booster Expected Market Value]]/tbl_MTG_Set[[#This Row],[Collector Boost Sealed Market Value]]</f>
        <v/>
      </c>
      <c r="BM1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2" s="17">
        <f>tbl_MTG_Set[[#This Row],[Collector Singles CardMarket Profit]]/tbl_MTG_Set[[#This Row],[Collector Booster Cost]]</f>
        <v/>
      </c>
      <c r="BO172" s="10">
        <f>tbl_MTG_Set[[#This Row],[Collector Singles CardMarket Profit]]&gt;0</f>
        <v/>
      </c>
      <c r="BP1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3">
      <c r="A173" t="n">
        <v>171</v>
      </c>
      <c r="B173" t="inlineStr">
        <is>
          <t>Tales of Middle-earth Promos PLTR</t>
        </is>
      </c>
      <c r="C173" t="n">
        <v>86</v>
      </c>
      <c r="D173" s="3" t="n">
        <v>45100</v>
      </c>
      <c r="E173" t="inlineStr">
        <is>
          <t>Universes Beyond</t>
        </is>
      </c>
      <c r="F173" t="inlineStr">
        <is>
          <t>en es fr de it pt ja ko ru 汉语 漢語</t>
        </is>
      </c>
      <c r="G173" t="n">
        <v>288</v>
      </c>
      <c r="H173">
        <f>MONTH(NOW())+12*YEAR(NOW())-MONTH(tbl_MTG_Set[[#This Row],[Released On]])-12*YEAR(tbl_MTG_Set[[#This Row],[Released On]])</f>
        <v/>
      </c>
      <c r="I173">
        <f>_xlfn.XLOOKUP(tbl_MTG_Set[[#This Row],[Type Name]], tbl_MTG_Set_Type[Set Type], tbl_MTG_Set_Type[Index], "(Set Type not found)")</f>
        <v/>
      </c>
      <c r="J173">
        <f>_xlfn.XLOOKUP(tbl_MTG_Set[[#This Row],[Type Name]], tbl_MTG_Set_Type[Set Type], tbl_MTG_Set_Type[Buy Window Month Start], "(Set Type not found)")</f>
        <v/>
      </c>
      <c r="K173" s="3">
        <f>tbl_MTG_Set[[#This Row],[Released On]]+tbl_MTG_Set[[#This Row],[Buy Window Month Start]]*365.25/12</f>
        <v/>
      </c>
      <c r="L173">
        <f>_xlfn.XLOOKUP(tbl_MTG_Set[[#This Row],[Type Name]], tbl_MTG_Set_Type[Set Type], tbl_MTG_Set_Type[Buy Window Month End], "(Set Type not found)", 0, 1)</f>
        <v/>
      </c>
      <c r="M173" s="3">
        <f>tbl_MTG_Set[[#This Row],[Released On]]+tbl_MTG_Set[[#This Row],[Buy Window Month End]]*365.25/12</f>
        <v/>
      </c>
      <c r="N173" s="3">
        <f>AND(NOW()&gt;=tbl_MTG_Set[[#This Row],[Buy Window Start]], NOW()&lt;=tbl_MTG_Set[[#This Row],[Buy Window End]])</f>
        <v/>
      </c>
      <c r="O173">
        <f>_xlfn.XLOOKUP(tbl_MTG_Set[[#This Row],[Type Name]], tbl_MTG_Set_Type[Set Type], tbl_MTG_Set_Type[Heavy Printing Window Month Start], "(Set Type not found)", 0, 1)</f>
        <v/>
      </c>
      <c r="P173" s="3">
        <f>tbl_MTG_Set[[#This Row],[Released On]]+tbl_MTG_Set[[#This Row],[Heavy Printing Window Month Start]]*365.25/12</f>
        <v/>
      </c>
      <c r="Q173">
        <f>_xlfn.XLOOKUP(tbl_MTG_Set[[#This Row],[Type Name]], tbl_MTG_Set_Type[Set Type], tbl_MTG_Set_Type[Heavy Printing Window Month End], "(Set Type not found)", 0, 1)</f>
        <v/>
      </c>
      <c r="R173" s="3">
        <f>tbl_MTG_Set[[#This Row],[Released On]]+tbl_MTG_Set[[#This Row],[Heavy Printing Window Month End]]*365.25/12</f>
        <v/>
      </c>
      <c r="S173" s="3">
        <f>AND(NOW()&gt;=tbl_MTG_Set[[#This Row],[Heavy Printing Window Start]], NOW()&lt;=tbl_MTG_Set[[#This Row],[Heavy Printing Window End]])</f>
        <v/>
      </c>
      <c r="T173">
        <f>_xlfn.XLOOKUP(tbl_MTG_Set[[#This Row],[Type Name]], tbl_MTG_Set_Type[Set Type], tbl_MTG_Set_Type[Sell Window Month Start], "(Set Type not found)", 0, 1)</f>
        <v/>
      </c>
      <c r="U173" s="3">
        <f>tbl_MTG_Set[[#This Row],[Released On]]+tbl_MTG_Set[[#This Row],[Sell Window Month Start]]*365.25/12</f>
        <v/>
      </c>
      <c r="V173">
        <f>_xlfn.XLOOKUP(tbl_MTG_Set[[#This Row],[Type Name]], tbl_MTG_Set_Type[Set Type], tbl_MTG_Set_Type[Sell Window Month End], "(Set Type not found)", 0, 1)</f>
        <v/>
      </c>
      <c r="W173" s="3">
        <f>tbl_MTG_Set[[#This Row],[Released On]]+tbl_MTG_Set[[#This Row],[Sell Window Month End]]*365.25/12</f>
        <v/>
      </c>
      <c r="X173" s="3">
        <f>AND(NOW()&gt;=tbl_MTG_Set[[#This Row],[Sell Window Start]], NOW()&lt;=tbl_MTG_Set[[#This Row],[Sell Window End]])</f>
        <v/>
      </c>
      <c r="AG173" s="10" t="n"/>
      <c r="AH173" s="10" t="n"/>
      <c r="AM173" s="10">
        <f t="array" ref="AM1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3" s="10">
        <f t="array" ref="AN1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3" s="4">
        <f>_xlfn.XLOOKUP(tbl_MTG_Set[[#This Row],[Play Booster Box Product Id]], tbl_Product[Product Id], tbl_Product[Pack Size])</f>
        <v/>
      </c>
      <c r="AP173" s="10">
        <f>(tbl_MTG_Set[[#This Row],[Play Booster Box Cost]]+v_Item_Shipping_Cost_In)/tbl_MTG_Set[[#This Row],[Play Booster Box Size]]</f>
        <v/>
      </c>
      <c r="AQ173" s="10">
        <f t="array" ref="AQ1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3" s="10" t="n"/>
      <c r="AS173" s="10" t="n"/>
      <c r="AT173" s="17">
        <f>tbl_MTG_Set[[#This Row],[Play Booster CardMarket Profit]]/tbl_MTG_Set[[#This Row],[Play Booster Cost]]</f>
        <v/>
      </c>
      <c r="AU173" s="10">
        <f>_xlfn.XLOOKUP(tbl_MTG_Set[[#This Row],[Collector Booster Box Product Id]], tbl_Product[Product Id], tbl_Product[Min Cost])</f>
        <v/>
      </c>
      <c r="AV173" s="10">
        <f>_xlfn.XLOOKUP(tbl_MTG_Set[[#This Row],[Collector Booster Box Product Id]], tbl_Product[Product Id], tbl_Product[Best Source])</f>
        <v/>
      </c>
      <c r="AW173" s="4">
        <f>_xlfn.XLOOKUP(tbl_MTG_Set[[#This Row],[Collector Booster Box Product Id]], tbl_Product[Product Id], tbl_Product[Pack Size])</f>
        <v/>
      </c>
      <c r="AX173" s="10">
        <f>(tbl_MTG_Set[[#This Row],[Collector Booster Box Cost]] + v_Item_Shipping_Cost_In) / tbl_MTG_Set[[#This Row],[Collector Booster Box Size]]</f>
        <v/>
      </c>
      <c r="AY173" s="10">
        <f t="array" ref="AY1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3" s="10" t="n"/>
      <c r="BA1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3" s="17">
        <f>tbl_MTG_Set[[#This Row],[Collector Booster CardMarket Profit]]/tbl_MTG_Set[[#This Row],[Collector Booster Cost]]</f>
        <v/>
      </c>
      <c r="BC173" s="10" t="n"/>
      <c r="BF173" s="10">
        <f>tbl_MTG_Set[[#This Row],[Play Booster Sell Price CardMarket]]*tbl_MTG_Set[[#This Row],[Play Booster Expected Market Value]]/tbl_MTG_Set[[#This Row],[Play Boost Sealed Market Value]]</f>
        <v/>
      </c>
      <c r="BG1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3" s="10">
        <f>tbl_MTG_Set[[#This Row],[Play Singles CardMarket Profit]]/tbl_MTG_Set[[#This Row],[Play Booster Cost]]</f>
        <v/>
      </c>
      <c r="BI173" s="10">
        <f>tbl_MTG_Set[[#This Row],[Play Singles CardMarket Profit]]&gt;0</f>
        <v/>
      </c>
      <c r="BJ173" s="10" t="n"/>
      <c r="BK173" s="10" t="n"/>
      <c r="BL173" s="10">
        <f>tbl_MTG_Set[[#This Row],[Collector Booster Sell Price CardMarket]]*tbl_MTG_Set[[#This Row],[Collector Booster Expected Market Value]]/tbl_MTG_Set[[#This Row],[Collector Boost Sealed Market Value]]</f>
        <v/>
      </c>
      <c r="BM1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3" s="10">
        <f>tbl_MTG_Set[[#This Row],[Collector Singles CardMarket Profit]]/tbl_MTG_Set[[#This Row],[Collector Booster Cost]]</f>
        <v/>
      </c>
      <c r="BO173" s="10">
        <f>tbl_MTG_Set[[#This Row],[Collector Singles CardMarket Profit]]&gt;0</f>
        <v/>
      </c>
      <c r="BP1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4">
      <c r="A174" t="n">
        <v>172</v>
      </c>
      <c r="B174" t="inlineStr">
        <is>
          <t>Tales of Middle-earth Tokens TLTR</t>
        </is>
      </c>
      <c r="C174" t="n">
        <v>25</v>
      </c>
      <c r="D174" s="3" t="n">
        <v>45100</v>
      </c>
      <c r="E174" t="inlineStr">
        <is>
          <t>Universes Beyond</t>
        </is>
      </c>
      <c r="F174" t="inlineStr">
        <is>
          <t>en es fr de it pt ja ko ru 汉语 漢語</t>
        </is>
      </c>
      <c r="G174" t="n">
        <v>290</v>
      </c>
      <c r="H174">
        <f>MONTH(NOW())+12*YEAR(NOW())-MONTH(tbl_MTG_Set[[#This Row],[Released On]])-12*YEAR(tbl_MTG_Set[[#This Row],[Released On]])</f>
        <v/>
      </c>
      <c r="I174">
        <f>_xlfn.XLOOKUP(tbl_MTG_Set[[#This Row],[Type Name]], tbl_MTG_Set_Type[Set Type], tbl_MTG_Set_Type[Index], "(Set Type not found)")</f>
        <v/>
      </c>
      <c r="J174">
        <f>_xlfn.XLOOKUP(tbl_MTG_Set[[#This Row],[Type Name]], tbl_MTG_Set_Type[Set Type], tbl_MTG_Set_Type[Buy Window Month Start], "(Set Type not found)")</f>
        <v/>
      </c>
      <c r="K174" s="3">
        <f>tbl_MTG_Set[[#This Row],[Released On]]+tbl_MTG_Set[[#This Row],[Buy Window Month Start]]*365.25/12</f>
        <v/>
      </c>
      <c r="L174">
        <f>_xlfn.XLOOKUP(tbl_MTG_Set[[#This Row],[Type Name]], tbl_MTG_Set_Type[Set Type], tbl_MTG_Set_Type[Buy Window Month End], "(Set Type not found)", 0, 1)</f>
        <v/>
      </c>
      <c r="M174" s="3">
        <f>tbl_MTG_Set[[#This Row],[Released On]]+tbl_MTG_Set[[#This Row],[Buy Window Month End]]*365.25/12</f>
        <v/>
      </c>
      <c r="N174" s="3">
        <f>AND(NOW()&gt;=tbl_MTG_Set[[#This Row],[Buy Window Start]], NOW()&lt;=tbl_MTG_Set[[#This Row],[Buy Window End]])</f>
        <v/>
      </c>
      <c r="O174">
        <f>_xlfn.XLOOKUP(tbl_MTG_Set[[#This Row],[Type Name]], tbl_MTG_Set_Type[Set Type], tbl_MTG_Set_Type[Heavy Printing Window Month Start], "(Set Type not found)", 0, 1)</f>
        <v/>
      </c>
      <c r="P174" s="3">
        <f>tbl_MTG_Set[[#This Row],[Released On]]+tbl_MTG_Set[[#This Row],[Heavy Printing Window Month Start]]*365.25/12</f>
        <v/>
      </c>
      <c r="Q174">
        <f>_xlfn.XLOOKUP(tbl_MTG_Set[[#This Row],[Type Name]], tbl_MTG_Set_Type[Set Type], tbl_MTG_Set_Type[Heavy Printing Window Month End], "(Set Type not found)", 0, 1)</f>
        <v/>
      </c>
      <c r="R174" s="3">
        <f>tbl_MTG_Set[[#This Row],[Released On]]+tbl_MTG_Set[[#This Row],[Heavy Printing Window Month End]]*365.25/12</f>
        <v/>
      </c>
      <c r="S174" s="3">
        <f>AND(NOW()&gt;=tbl_MTG_Set[[#This Row],[Heavy Printing Window Start]], NOW()&lt;=tbl_MTG_Set[[#This Row],[Heavy Printing Window End]])</f>
        <v/>
      </c>
      <c r="T174">
        <f>_xlfn.XLOOKUP(tbl_MTG_Set[[#This Row],[Type Name]], tbl_MTG_Set_Type[Set Type], tbl_MTG_Set_Type[Sell Window Month Start], "(Set Type not found)", 0, 1)</f>
        <v/>
      </c>
      <c r="U174" s="3">
        <f>tbl_MTG_Set[[#This Row],[Released On]]+tbl_MTG_Set[[#This Row],[Sell Window Month Start]]*365.25/12</f>
        <v/>
      </c>
      <c r="V174">
        <f>_xlfn.XLOOKUP(tbl_MTG_Set[[#This Row],[Type Name]], tbl_MTG_Set_Type[Set Type], tbl_MTG_Set_Type[Sell Window Month End], "(Set Type not found)", 0, 1)</f>
        <v/>
      </c>
      <c r="W174" s="3">
        <f>tbl_MTG_Set[[#This Row],[Released On]]+tbl_MTG_Set[[#This Row],[Sell Window Month End]]*365.25/12</f>
        <v/>
      </c>
      <c r="X174" s="3">
        <f>AND(NOW()&gt;=tbl_MTG_Set[[#This Row],[Sell Window Start]], NOW()&lt;=tbl_MTG_Set[[#This Row],[Sell Window End]])</f>
        <v/>
      </c>
      <c r="AG174" s="10" t="n"/>
      <c r="AH174" s="10" t="n"/>
      <c r="AM174" s="10">
        <f t="array" ref="AM1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4" s="10">
        <f t="array" ref="AN1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4" s="4">
        <f>_xlfn.XLOOKUP(tbl_MTG_Set[[#This Row],[Play Booster Box Product Id]], tbl_Product[Product Id], tbl_Product[Pack Size])</f>
        <v/>
      </c>
      <c r="AP174" s="10">
        <f>(tbl_MTG_Set[[#This Row],[Play Booster Box Cost]]+v_Item_Shipping_Cost_In)/tbl_MTG_Set[[#This Row],[Play Booster Box Size]]</f>
        <v/>
      </c>
      <c r="AQ174" s="10">
        <f t="array" ref="AQ1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4" s="10" t="n"/>
      <c r="AS174" s="10" t="n"/>
      <c r="AT174" s="17">
        <f>tbl_MTG_Set[[#This Row],[Play Booster CardMarket Profit]]/tbl_MTG_Set[[#This Row],[Play Booster Cost]]</f>
        <v/>
      </c>
      <c r="AU174" s="10">
        <f>_xlfn.XLOOKUP(tbl_MTG_Set[[#This Row],[Collector Booster Box Product Id]], tbl_Product[Product Id], tbl_Product[Min Cost])</f>
        <v/>
      </c>
      <c r="AV174" s="10">
        <f>_xlfn.XLOOKUP(tbl_MTG_Set[[#This Row],[Collector Booster Box Product Id]], tbl_Product[Product Id], tbl_Product[Best Source])</f>
        <v/>
      </c>
      <c r="AW174" s="4">
        <f>_xlfn.XLOOKUP(tbl_MTG_Set[[#This Row],[Collector Booster Box Product Id]], tbl_Product[Product Id], tbl_Product[Pack Size])</f>
        <v/>
      </c>
      <c r="AX174" s="10">
        <f>(tbl_MTG_Set[[#This Row],[Collector Booster Box Cost]] + v_Item_Shipping_Cost_In) / tbl_MTG_Set[[#This Row],[Collector Booster Box Size]]</f>
        <v/>
      </c>
      <c r="AY174" s="10">
        <f t="array" ref="AY1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4" s="10" t="n"/>
      <c r="BA1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4" s="17">
        <f>tbl_MTG_Set[[#This Row],[Collector Booster CardMarket Profit]]/tbl_MTG_Set[[#This Row],[Collector Booster Cost]]</f>
        <v/>
      </c>
      <c r="BC174" s="10" t="n"/>
      <c r="BF174" s="10">
        <f>tbl_MTG_Set[[#This Row],[Play Booster Sell Price CardMarket]]*tbl_MTG_Set[[#This Row],[Play Booster Expected Market Value]]/tbl_MTG_Set[[#This Row],[Play Boost Sealed Market Value]]</f>
        <v/>
      </c>
      <c r="BG1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4" s="10">
        <f>tbl_MTG_Set[[#This Row],[Play Singles CardMarket Profit]]/tbl_MTG_Set[[#This Row],[Play Booster Cost]]</f>
        <v/>
      </c>
      <c r="BI174" s="10">
        <f>tbl_MTG_Set[[#This Row],[Play Singles CardMarket Profit]]&gt;0</f>
        <v/>
      </c>
      <c r="BJ174" s="10" t="n"/>
      <c r="BK174" s="10" t="n"/>
      <c r="BL174" s="10">
        <f>tbl_MTG_Set[[#This Row],[Collector Booster Sell Price CardMarket]]*tbl_MTG_Set[[#This Row],[Collector Booster Expected Market Value]]/tbl_MTG_Set[[#This Row],[Collector Boost Sealed Market Value]]</f>
        <v/>
      </c>
      <c r="BM1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4" s="10">
        <f>tbl_MTG_Set[[#This Row],[Collector Singles CardMarket Profit]]/tbl_MTG_Set[[#This Row],[Collector Booster Cost]]</f>
        <v/>
      </c>
      <c r="BO174" s="10">
        <f>tbl_MTG_Set[[#This Row],[Collector Singles CardMarket Profit]]&gt;0</f>
        <v/>
      </c>
      <c r="BP1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5">
      <c r="A175" t="n">
        <v>173</v>
      </c>
      <c r="B175" t="inlineStr">
        <is>
          <t>Tales of Middle-earth Deluxe Commander Kit PLTC</t>
        </is>
      </c>
      <c r="C175" t="n">
        <v>4</v>
      </c>
      <c r="D175" s="3" t="n">
        <v>45581</v>
      </c>
      <c r="E175" t="inlineStr">
        <is>
          <t>Commander</t>
        </is>
      </c>
      <c r="F175" t="inlineStr">
        <is>
          <t>en es fr de it pt ja ko ru 汉语 漢語</t>
        </is>
      </c>
      <c r="G175" t="n">
        <v>292</v>
      </c>
      <c r="H175">
        <f>MONTH(NOW())+12*YEAR(NOW())-MONTH(tbl_MTG_Set[[#This Row],[Released On]])-12*YEAR(tbl_MTG_Set[[#This Row],[Released On]])</f>
        <v/>
      </c>
      <c r="I175">
        <f>_xlfn.XLOOKUP(tbl_MTG_Set[[#This Row],[Type Name]], tbl_MTG_Set_Type[Set Type], tbl_MTG_Set_Type[Index], "(Set Type not found)")</f>
        <v/>
      </c>
      <c r="J175">
        <f>_xlfn.XLOOKUP(tbl_MTG_Set[[#This Row],[Type Name]], tbl_MTG_Set_Type[Set Type], tbl_MTG_Set_Type[Buy Window Month Start], "(Set Type not found)")</f>
        <v/>
      </c>
      <c r="K175" s="3">
        <f>tbl_MTG_Set[[#This Row],[Released On]]+tbl_MTG_Set[[#This Row],[Buy Window Month Start]]*365.25/12</f>
        <v/>
      </c>
      <c r="L175">
        <f>_xlfn.XLOOKUP(tbl_MTG_Set[[#This Row],[Type Name]], tbl_MTG_Set_Type[Set Type], tbl_MTG_Set_Type[Buy Window Month End], "(Set Type not found)", 0, 1)</f>
        <v/>
      </c>
      <c r="M175" s="3">
        <f>tbl_MTG_Set[[#This Row],[Released On]]+tbl_MTG_Set[[#This Row],[Buy Window Month End]]*365.25/12</f>
        <v/>
      </c>
      <c r="N175" s="3">
        <f>AND(NOW()&gt;=tbl_MTG_Set[[#This Row],[Buy Window Start]], NOW()&lt;=tbl_MTG_Set[[#This Row],[Buy Window End]])</f>
        <v/>
      </c>
      <c r="O175">
        <f>_xlfn.XLOOKUP(tbl_MTG_Set[[#This Row],[Type Name]], tbl_MTG_Set_Type[Set Type], tbl_MTG_Set_Type[Heavy Printing Window Month Start], "(Set Type not found)", 0, 1)</f>
        <v/>
      </c>
      <c r="P175" s="3">
        <f>tbl_MTG_Set[[#This Row],[Released On]]+tbl_MTG_Set[[#This Row],[Heavy Printing Window Month Start]]*365.25/12</f>
        <v/>
      </c>
      <c r="Q175">
        <f>_xlfn.XLOOKUP(tbl_MTG_Set[[#This Row],[Type Name]], tbl_MTG_Set_Type[Set Type], tbl_MTG_Set_Type[Heavy Printing Window Month End], "(Set Type not found)", 0, 1)</f>
        <v/>
      </c>
      <c r="R175" s="3">
        <f>tbl_MTG_Set[[#This Row],[Released On]]+tbl_MTG_Set[[#This Row],[Heavy Printing Window Month End]]*365.25/12</f>
        <v/>
      </c>
      <c r="S175" s="3">
        <f>AND(NOW()&gt;=tbl_MTG_Set[[#This Row],[Heavy Printing Window Start]], NOW()&lt;=tbl_MTG_Set[[#This Row],[Heavy Printing Window End]])</f>
        <v/>
      </c>
      <c r="T175">
        <f>_xlfn.XLOOKUP(tbl_MTG_Set[[#This Row],[Type Name]], tbl_MTG_Set_Type[Set Type], tbl_MTG_Set_Type[Sell Window Month Start], "(Set Type not found)", 0, 1)</f>
        <v/>
      </c>
      <c r="U175" s="3">
        <f>tbl_MTG_Set[[#This Row],[Released On]]+tbl_MTG_Set[[#This Row],[Sell Window Month Start]]*365.25/12</f>
        <v/>
      </c>
      <c r="V175">
        <f>_xlfn.XLOOKUP(tbl_MTG_Set[[#This Row],[Type Name]], tbl_MTG_Set_Type[Set Type], tbl_MTG_Set_Type[Sell Window Month End], "(Set Type not found)", 0, 1)</f>
        <v/>
      </c>
      <c r="W175" s="3">
        <f>tbl_MTG_Set[[#This Row],[Released On]]+tbl_MTG_Set[[#This Row],[Sell Window Month End]]*365.25/12</f>
        <v/>
      </c>
      <c r="X175" s="3">
        <f>AND(NOW()&gt;=tbl_MTG_Set[[#This Row],[Sell Window Start]], NOW()&lt;=tbl_MTG_Set[[#This Row],[Sell Window End]])</f>
        <v/>
      </c>
      <c r="AG175" s="10" t="n"/>
      <c r="AH175" s="10" t="n"/>
      <c r="AM175" s="10">
        <f t="array" ref="AM1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5" s="10">
        <f t="array" ref="AN1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5" s="4">
        <f>_xlfn.XLOOKUP(tbl_MTG_Set[[#This Row],[Play Booster Box Product Id]], tbl_Product[Product Id], tbl_Product[Pack Size])</f>
        <v/>
      </c>
      <c r="AP175" s="10">
        <f>(tbl_MTG_Set[[#This Row],[Play Booster Box Cost]]+v_Item_Shipping_Cost_In)/tbl_MTG_Set[[#This Row],[Play Booster Box Size]]</f>
        <v/>
      </c>
      <c r="AQ175" s="10">
        <f t="array" ref="AQ1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5" s="10" t="n"/>
      <c r="AS175" s="10" t="n"/>
      <c r="AT175" s="17">
        <f>tbl_MTG_Set[[#This Row],[Play Booster CardMarket Profit]]/tbl_MTG_Set[[#This Row],[Play Booster Cost]]</f>
        <v/>
      </c>
      <c r="AU175" s="10">
        <f>_xlfn.XLOOKUP(tbl_MTG_Set[[#This Row],[Collector Booster Box Product Id]], tbl_Product[Product Id], tbl_Product[Min Cost])</f>
        <v/>
      </c>
      <c r="AV175" s="10">
        <f>_xlfn.XLOOKUP(tbl_MTG_Set[[#This Row],[Collector Booster Box Product Id]], tbl_Product[Product Id], tbl_Product[Best Source])</f>
        <v/>
      </c>
      <c r="AW175" s="4">
        <f>_xlfn.XLOOKUP(tbl_MTG_Set[[#This Row],[Collector Booster Box Product Id]], tbl_Product[Product Id], tbl_Product[Pack Size])</f>
        <v/>
      </c>
      <c r="AX175" s="10">
        <f>(tbl_MTG_Set[[#This Row],[Collector Booster Box Cost]] + v_Item_Shipping_Cost_In) / tbl_MTG_Set[[#This Row],[Collector Booster Box Size]]</f>
        <v/>
      </c>
      <c r="AY175" s="10">
        <f t="array" ref="AY1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5" s="10" t="n"/>
      <c r="BA1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5" s="17">
        <f>tbl_MTG_Set[[#This Row],[Collector Booster CardMarket Profit]]/tbl_MTG_Set[[#This Row],[Collector Booster Cost]]</f>
        <v/>
      </c>
      <c r="BC175" s="10" t="n"/>
      <c r="BF175" s="10">
        <f>tbl_MTG_Set[[#This Row],[Play Booster Sell Price CardMarket]]*tbl_MTG_Set[[#This Row],[Play Booster Expected Market Value]]/tbl_MTG_Set[[#This Row],[Play Boost Sealed Market Value]]</f>
        <v/>
      </c>
      <c r="BG1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5" s="10">
        <f>tbl_MTG_Set[[#This Row],[Play Singles CardMarket Profit]]/tbl_MTG_Set[[#This Row],[Play Booster Cost]]</f>
        <v/>
      </c>
      <c r="BI175" s="10">
        <f>tbl_MTG_Set[[#This Row],[Play Singles CardMarket Profit]]&gt;0</f>
        <v/>
      </c>
      <c r="BJ175" s="10" t="n"/>
      <c r="BK175" s="10" t="n"/>
      <c r="BL175" s="10">
        <f>tbl_MTG_Set[[#This Row],[Collector Booster Sell Price CardMarket]]*tbl_MTG_Set[[#This Row],[Collector Booster Expected Market Value]]/tbl_MTG_Set[[#This Row],[Collector Boost Sealed Market Value]]</f>
        <v/>
      </c>
      <c r="BM1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5" s="10">
        <f>tbl_MTG_Set[[#This Row],[Collector Singles CardMarket Profit]]/tbl_MTG_Set[[#This Row],[Collector Booster Cost]]</f>
        <v/>
      </c>
      <c r="BO175" s="10">
        <f>tbl_MTG_Set[[#This Row],[Collector Singles CardMarket Profit]]&gt;0</f>
        <v/>
      </c>
      <c r="BP1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6">
      <c r="A176" t="n">
        <v>174</v>
      </c>
      <c r="B176" t="inlineStr">
        <is>
          <t>Tales of Middle-earth Commander LTC</t>
        </is>
      </c>
      <c r="C176" t="n">
        <v>591</v>
      </c>
      <c r="D176" s="3" t="n">
        <v>45100</v>
      </c>
      <c r="E176" t="inlineStr">
        <is>
          <t>Commander</t>
        </is>
      </c>
      <c r="F176" t="inlineStr">
        <is>
          <t>en es fr de it pt ja ko ru 汉语 漢語</t>
        </is>
      </c>
      <c r="G176" t="n">
        <v>294</v>
      </c>
      <c r="H176">
        <f>MONTH(NOW())+12*YEAR(NOW())-MONTH(tbl_MTG_Set[[#This Row],[Released On]])-12*YEAR(tbl_MTG_Set[[#This Row],[Released On]])</f>
        <v/>
      </c>
      <c r="I176">
        <f>_xlfn.XLOOKUP(tbl_MTG_Set[[#This Row],[Type Name]], tbl_MTG_Set_Type[Set Type], tbl_MTG_Set_Type[Index], "(Set Type not found)")</f>
        <v/>
      </c>
      <c r="J176">
        <f>_xlfn.XLOOKUP(tbl_MTG_Set[[#This Row],[Type Name]], tbl_MTG_Set_Type[Set Type], tbl_MTG_Set_Type[Buy Window Month Start], "(Set Type not found)")</f>
        <v/>
      </c>
      <c r="K176" s="3">
        <f>tbl_MTG_Set[[#This Row],[Released On]]+tbl_MTG_Set[[#This Row],[Buy Window Month Start]]*365.25/12</f>
        <v/>
      </c>
      <c r="L176">
        <f>_xlfn.XLOOKUP(tbl_MTG_Set[[#This Row],[Type Name]], tbl_MTG_Set_Type[Set Type], tbl_MTG_Set_Type[Buy Window Month End], "(Set Type not found)", 0, 1)</f>
        <v/>
      </c>
      <c r="M176" s="3">
        <f>tbl_MTG_Set[[#This Row],[Released On]]+tbl_MTG_Set[[#This Row],[Buy Window Month End]]*365.25/12</f>
        <v/>
      </c>
      <c r="N176" s="3">
        <f>AND(NOW()&gt;=tbl_MTG_Set[[#This Row],[Buy Window Start]], NOW()&lt;=tbl_MTG_Set[[#This Row],[Buy Window End]])</f>
        <v/>
      </c>
      <c r="O176">
        <f>_xlfn.XLOOKUP(tbl_MTG_Set[[#This Row],[Type Name]], tbl_MTG_Set_Type[Set Type], tbl_MTG_Set_Type[Heavy Printing Window Month Start], "(Set Type not found)", 0, 1)</f>
        <v/>
      </c>
      <c r="P176" s="3">
        <f>tbl_MTG_Set[[#This Row],[Released On]]+tbl_MTG_Set[[#This Row],[Heavy Printing Window Month Start]]*365.25/12</f>
        <v/>
      </c>
      <c r="Q176">
        <f>_xlfn.XLOOKUP(tbl_MTG_Set[[#This Row],[Type Name]], tbl_MTG_Set_Type[Set Type], tbl_MTG_Set_Type[Heavy Printing Window Month End], "(Set Type not found)", 0, 1)</f>
        <v/>
      </c>
      <c r="R176" s="3">
        <f>tbl_MTG_Set[[#This Row],[Released On]]+tbl_MTG_Set[[#This Row],[Heavy Printing Window Month End]]*365.25/12</f>
        <v/>
      </c>
      <c r="S176" s="3">
        <f>AND(NOW()&gt;=tbl_MTG_Set[[#This Row],[Heavy Printing Window Start]], NOW()&lt;=tbl_MTG_Set[[#This Row],[Heavy Printing Window End]])</f>
        <v/>
      </c>
      <c r="T176">
        <f>_xlfn.XLOOKUP(tbl_MTG_Set[[#This Row],[Type Name]], tbl_MTG_Set_Type[Set Type], tbl_MTG_Set_Type[Sell Window Month Start], "(Set Type not found)", 0, 1)</f>
        <v/>
      </c>
      <c r="U176" s="3">
        <f>tbl_MTG_Set[[#This Row],[Released On]]+tbl_MTG_Set[[#This Row],[Sell Window Month Start]]*365.25/12</f>
        <v/>
      </c>
      <c r="V176">
        <f>_xlfn.XLOOKUP(tbl_MTG_Set[[#This Row],[Type Name]], tbl_MTG_Set_Type[Set Type], tbl_MTG_Set_Type[Sell Window Month End], "(Set Type not found)", 0, 1)</f>
        <v/>
      </c>
      <c r="W176" s="3">
        <f>tbl_MTG_Set[[#This Row],[Released On]]+tbl_MTG_Set[[#This Row],[Sell Window Month End]]*365.25/12</f>
        <v/>
      </c>
      <c r="X176" s="3">
        <f>AND(NOW()&gt;=tbl_MTG_Set[[#This Row],[Sell Window Start]], NOW()&lt;=tbl_MTG_Set[[#This Row],[Sell Window End]])</f>
        <v/>
      </c>
      <c r="AG176" s="10" t="n"/>
      <c r="AH176" s="10" t="n"/>
      <c r="AM176" s="10">
        <f t="array" ref="AM1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6" s="10">
        <f t="array" ref="AN1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6" s="4">
        <f>_xlfn.XLOOKUP(tbl_MTG_Set[[#This Row],[Play Booster Box Product Id]], tbl_Product[Product Id], tbl_Product[Pack Size])</f>
        <v/>
      </c>
      <c r="AP176" s="10">
        <f>(tbl_MTG_Set[[#This Row],[Play Booster Box Cost]]+v_Item_Shipping_Cost_In)/tbl_MTG_Set[[#This Row],[Play Booster Box Size]]</f>
        <v/>
      </c>
      <c r="AQ176" s="10">
        <f t="array" ref="AQ1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6" s="10" t="n"/>
      <c r="AS176" s="10" t="n"/>
      <c r="AT176" s="17">
        <f>tbl_MTG_Set[[#This Row],[Play Booster CardMarket Profit]]/tbl_MTG_Set[[#This Row],[Play Booster Cost]]</f>
        <v/>
      </c>
      <c r="AU176" s="10">
        <f>_xlfn.XLOOKUP(tbl_MTG_Set[[#This Row],[Collector Booster Box Product Id]], tbl_Product[Product Id], tbl_Product[Min Cost])</f>
        <v/>
      </c>
      <c r="AV176" s="10">
        <f>_xlfn.XLOOKUP(tbl_MTG_Set[[#This Row],[Collector Booster Box Product Id]], tbl_Product[Product Id], tbl_Product[Best Source])</f>
        <v/>
      </c>
      <c r="AW176" s="4">
        <f>_xlfn.XLOOKUP(tbl_MTG_Set[[#This Row],[Collector Booster Box Product Id]], tbl_Product[Product Id], tbl_Product[Pack Size])</f>
        <v/>
      </c>
      <c r="AX176" s="10">
        <f>(tbl_MTG_Set[[#This Row],[Collector Booster Box Cost]] + v_Item_Shipping_Cost_In) / tbl_MTG_Set[[#This Row],[Collector Booster Box Size]]</f>
        <v/>
      </c>
      <c r="AY176" s="10">
        <f t="array" ref="AY1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6" s="10" t="n"/>
      <c r="BA1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6" s="17">
        <f>tbl_MTG_Set[[#This Row],[Collector Booster CardMarket Profit]]/tbl_MTG_Set[[#This Row],[Collector Booster Cost]]</f>
        <v/>
      </c>
      <c r="BC176" s="10" t="n"/>
      <c r="BF176" s="10">
        <f>tbl_MTG_Set[[#This Row],[Play Booster Sell Price CardMarket]]*tbl_MTG_Set[[#This Row],[Play Booster Expected Market Value]]/tbl_MTG_Set[[#This Row],[Play Boost Sealed Market Value]]</f>
        <v/>
      </c>
      <c r="BG1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6" s="10">
        <f>tbl_MTG_Set[[#This Row],[Play Singles CardMarket Profit]]/tbl_MTG_Set[[#This Row],[Play Booster Cost]]</f>
        <v/>
      </c>
      <c r="BI176" s="10">
        <f>tbl_MTG_Set[[#This Row],[Play Singles CardMarket Profit]]&gt;0</f>
        <v/>
      </c>
      <c r="BJ176" s="10" t="n"/>
      <c r="BK176" s="10" t="n"/>
      <c r="BL176" s="10">
        <f>tbl_MTG_Set[[#This Row],[Collector Booster Sell Price CardMarket]]*tbl_MTG_Set[[#This Row],[Collector Booster Expected Market Value]]/tbl_MTG_Set[[#This Row],[Collector Boost Sealed Market Value]]</f>
        <v/>
      </c>
      <c r="BM1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6" s="10">
        <f>tbl_MTG_Set[[#This Row],[Collector Singles CardMarket Profit]]/tbl_MTG_Set[[#This Row],[Collector Booster Cost]]</f>
        <v/>
      </c>
      <c r="BO176" s="10">
        <f>tbl_MTG_Set[[#This Row],[Collector Singles CardMarket Profit]]&gt;0</f>
        <v/>
      </c>
      <c r="BP1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7">
      <c r="A177" t="n">
        <v>175</v>
      </c>
      <c r="B177" t="inlineStr">
        <is>
          <t>Tales of Middle-earth Commander Tokens TLTC</t>
        </is>
      </c>
      <c r="C177" t="n">
        <v>15</v>
      </c>
      <c r="D177" s="3" t="n">
        <v>45100</v>
      </c>
      <c r="E177" t="inlineStr">
        <is>
          <t>Commander</t>
        </is>
      </c>
      <c r="F177" t="inlineStr">
        <is>
          <t>en es fr de it pt ja ko ru 汉语 漢語</t>
        </is>
      </c>
      <c r="G177" t="n">
        <v>296</v>
      </c>
      <c r="H177">
        <f>MONTH(NOW())+12*YEAR(NOW())-MONTH(tbl_MTG_Set[[#This Row],[Released On]])-12*YEAR(tbl_MTG_Set[[#This Row],[Released On]])</f>
        <v/>
      </c>
      <c r="I177">
        <f>_xlfn.XLOOKUP(tbl_MTG_Set[[#This Row],[Type Name]], tbl_MTG_Set_Type[Set Type], tbl_MTG_Set_Type[Index], "(Set Type not found)")</f>
        <v/>
      </c>
      <c r="J177">
        <f>_xlfn.XLOOKUP(tbl_MTG_Set[[#This Row],[Type Name]], tbl_MTG_Set_Type[Set Type], tbl_MTG_Set_Type[Buy Window Month Start], "(Set Type not found)")</f>
        <v/>
      </c>
      <c r="K177" s="3">
        <f>tbl_MTG_Set[[#This Row],[Released On]]+tbl_MTG_Set[[#This Row],[Buy Window Month Start]]*365.25/12</f>
        <v/>
      </c>
      <c r="L177">
        <f>_xlfn.XLOOKUP(tbl_MTG_Set[[#This Row],[Type Name]], tbl_MTG_Set_Type[Set Type], tbl_MTG_Set_Type[Buy Window Month End], "(Set Type not found)", 0, 1)</f>
        <v/>
      </c>
      <c r="M177" s="3">
        <f>tbl_MTG_Set[[#This Row],[Released On]]+tbl_MTG_Set[[#This Row],[Buy Window Month End]]*365.25/12</f>
        <v/>
      </c>
      <c r="N177" s="3">
        <f>AND(NOW()&gt;=tbl_MTG_Set[[#This Row],[Buy Window Start]], NOW()&lt;=tbl_MTG_Set[[#This Row],[Buy Window End]])</f>
        <v/>
      </c>
      <c r="O177">
        <f>_xlfn.XLOOKUP(tbl_MTG_Set[[#This Row],[Type Name]], tbl_MTG_Set_Type[Set Type], tbl_MTG_Set_Type[Heavy Printing Window Month Start], "(Set Type not found)", 0, 1)</f>
        <v/>
      </c>
      <c r="P177" s="3">
        <f>tbl_MTG_Set[[#This Row],[Released On]]+tbl_MTG_Set[[#This Row],[Heavy Printing Window Month Start]]*365.25/12</f>
        <v/>
      </c>
      <c r="Q177">
        <f>_xlfn.XLOOKUP(tbl_MTG_Set[[#This Row],[Type Name]], tbl_MTG_Set_Type[Set Type], tbl_MTG_Set_Type[Heavy Printing Window Month End], "(Set Type not found)", 0, 1)</f>
        <v/>
      </c>
      <c r="R177" s="3">
        <f>tbl_MTG_Set[[#This Row],[Released On]]+tbl_MTG_Set[[#This Row],[Heavy Printing Window Month End]]*365.25/12</f>
        <v/>
      </c>
      <c r="S177" s="3">
        <f>AND(NOW()&gt;=tbl_MTG_Set[[#This Row],[Heavy Printing Window Start]], NOW()&lt;=tbl_MTG_Set[[#This Row],[Heavy Printing Window End]])</f>
        <v/>
      </c>
      <c r="T177">
        <f>_xlfn.XLOOKUP(tbl_MTG_Set[[#This Row],[Type Name]], tbl_MTG_Set_Type[Set Type], tbl_MTG_Set_Type[Sell Window Month Start], "(Set Type not found)", 0, 1)</f>
        <v/>
      </c>
      <c r="U177" s="3">
        <f>tbl_MTG_Set[[#This Row],[Released On]]+tbl_MTG_Set[[#This Row],[Sell Window Month Start]]*365.25/12</f>
        <v/>
      </c>
      <c r="V177">
        <f>_xlfn.XLOOKUP(tbl_MTG_Set[[#This Row],[Type Name]], tbl_MTG_Set_Type[Set Type], tbl_MTG_Set_Type[Sell Window Month End], "(Set Type not found)", 0, 1)</f>
        <v/>
      </c>
      <c r="W177" s="3">
        <f>tbl_MTG_Set[[#This Row],[Released On]]+tbl_MTG_Set[[#This Row],[Sell Window Month End]]*365.25/12</f>
        <v/>
      </c>
      <c r="X177" s="3">
        <f>AND(NOW()&gt;=tbl_MTG_Set[[#This Row],[Sell Window Start]], NOW()&lt;=tbl_MTG_Set[[#This Row],[Sell Window End]])</f>
        <v/>
      </c>
      <c r="AG177" s="10" t="n"/>
      <c r="AH177" s="10" t="n"/>
      <c r="AM177" s="10">
        <f t="array" ref="AM1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7" s="10">
        <f t="array" ref="AN1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7" s="4">
        <f>_xlfn.XLOOKUP(tbl_MTG_Set[[#This Row],[Play Booster Box Product Id]], tbl_Product[Product Id], tbl_Product[Pack Size])</f>
        <v/>
      </c>
      <c r="AP177" s="10">
        <f>(tbl_MTG_Set[[#This Row],[Play Booster Box Cost]]+v_Item_Shipping_Cost_In)/tbl_MTG_Set[[#This Row],[Play Booster Box Size]]</f>
        <v/>
      </c>
      <c r="AQ177" s="10">
        <f t="array" ref="AQ1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7" s="10" t="n"/>
      <c r="AS177" s="10" t="n"/>
      <c r="AT177" s="17">
        <f>tbl_MTG_Set[[#This Row],[Play Booster CardMarket Profit]]/tbl_MTG_Set[[#This Row],[Play Booster Cost]]</f>
        <v/>
      </c>
      <c r="AU177" s="10">
        <f>_xlfn.XLOOKUP(tbl_MTG_Set[[#This Row],[Collector Booster Box Product Id]], tbl_Product[Product Id], tbl_Product[Min Cost])</f>
        <v/>
      </c>
      <c r="AV177" s="10">
        <f>_xlfn.XLOOKUP(tbl_MTG_Set[[#This Row],[Collector Booster Box Product Id]], tbl_Product[Product Id], tbl_Product[Best Source])</f>
        <v/>
      </c>
      <c r="AW177" s="4">
        <f>_xlfn.XLOOKUP(tbl_MTG_Set[[#This Row],[Collector Booster Box Product Id]], tbl_Product[Product Id], tbl_Product[Pack Size])</f>
        <v/>
      </c>
      <c r="AX177" s="10">
        <f>(tbl_MTG_Set[[#This Row],[Collector Booster Box Cost]] + v_Item_Shipping_Cost_In) / tbl_MTG_Set[[#This Row],[Collector Booster Box Size]]</f>
        <v/>
      </c>
      <c r="AY177" s="10">
        <f t="array" ref="AY1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7" s="10" t="n"/>
      <c r="BA1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7" s="17">
        <f>tbl_MTG_Set[[#This Row],[Collector Booster CardMarket Profit]]/tbl_MTG_Set[[#This Row],[Collector Booster Cost]]</f>
        <v/>
      </c>
      <c r="BC177" s="10" t="n"/>
      <c r="BF177" s="10">
        <f>tbl_MTG_Set[[#This Row],[Play Booster Sell Price CardMarket]]*tbl_MTG_Set[[#This Row],[Play Booster Expected Market Value]]/tbl_MTG_Set[[#This Row],[Play Boost Sealed Market Value]]</f>
        <v/>
      </c>
      <c r="BG1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7" s="10">
        <f>tbl_MTG_Set[[#This Row],[Play Singles CardMarket Profit]]/tbl_MTG_Set[[#This Row],[Play Booster Cost]]</f>
        <v/>
      </c>
      <c r="BI177" s="10">
        <f>tbl_MTG_Set[[#This Row],[Play Singles CardMarket Profit]]&gt;0</f>
        <v/>
      </c>
      <c r="BJ177" s="10" t="n"/>
      <c r="BK177" s="10" t="n"/>
      <c r="BL177" s="10">
        <f>tbl_MTG_Set[[#This Row],[Collector Booster Sell Price CardMarket]]*tbl_MTG_Set[[#This Row],[Collector Booster Expected Market Value]]/tbl_MTG_Set[[#This Row],[Collector Boost Sealed Market Value]]</f>
        <v/>
      </c>
      <c r="BM1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7" s="10">
        <f>tbl_MTG_Set[[#This Row],[Collector Singles CardMarket Profit]]/tbl_MTG_Set[[#This Row],[Collector Booster Cost]]</f>
        <v/>
      </c>
      <c r="BO177" s="10">
        <f>tbl_MTG_Set[[#This Row],[Collector Singles CardMarket Profit]]&gt;0</f>
        <v/>
      </c>
      <c r="BP1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8">
      <c r="A178" t="n">
        <v>176</v>
      </c>
      <c r="B178" t="inlineStr">
        <is>
          <t>Tales of Middle-earth Scene Box ALTC</t>
        </is>
      </c>
      <c r="C178" t="n">
        <v>24</v>
      </c>
      <c r="D178" s="3" t="n">
        <v>45234</v>
      </c>
      <c r="E178" t="inlineStr">
        <is>
          <t>Universes Beyond</t>
        </is>
      </c>
      <c r="F178" t="inlineStr">
        <is>
          <t>en es fr de it pt ja ko ru 汉语 漢語</t>
        </is>
      </c>
      <c r="G178" t="n">
        <v>298</v>
      </c>
      <c r="H178">
        <f>MONTH(NOW())+12*YEAR(NOW())-MONTH(tbl_MTG_Set[[#This Row],[Released On]])-12*YEAR(tbl_MTG_Set[[#This Row],[Released On]])</f>
        <v/>
      </c>
      <c r="I178">
        <f>_xlfn.XLOOKUP(tbl_MTG_Set[[#This Row],[Type Name]], tbl_MTG_Set_Type[Set Type], tbl_MTG_Set_Type[Index], "(Set Type not found)")</f>
        <v/>
      </c>
      <c r="J178">
        <f>_xlfn.XLOOKUP(tbl_MTG_Set[[#This Row],[Type Name]], tbl_MTG_Set_Type[Set Type], tbl_MTG_Set_Type[Buy Window Month Start], "(Set Type not found)")</f>
        <v/>
      </c>
      <c r="K178" s="3">
        <f>tbl_MTG_Set[[#This Row],[Released On]]+tbl_MTG_Set[[#This Row],[Buy Window Month Start]]*365.25/12</f>
        <v/>
      </c>
      <c r="L178">
        <f>_xlfn.XLOOKUP(tbl_MTG_Set[[#This Row],[Type Name]], tbl_MTG_Set_Type[Set Type], tbl_MTG_Set_Type[Buy Window Month End], "(Set Type not found)", 0, 1)</f>
        <v/>
      </c>
      <c r="M178" s="3">
        <f>tbl_MTG_Set[[#This Row],[Released On]]+tbl_MTG_Set[[#This Row],[Buy Window Month End]]*365.25/12</f>
        <v/>
      </c>
      <c r="N178" s="3">
        <f>AND(NOW()&gt;=tbl_MTG_Set[[#This Row],[Buy Window Start]], NOW()&lt;=tbl_MTG_Set[[#This Row],[Buy Window End]])</f>
        <v/>
      </c>
      <c r="O178">
        <f>_xlfn.XLOOKUP(tbl_MTG_Set[[#This Row],[Type Name]], tbl_MTG_Set_Type[Set Type], tbl_MTG_Set_Type[Heavy Printing Window Month Start], "(Set Type not found)", 0, 1)</f>
        <v/>
      </c>
      <c r="P178" s="3">
        <f>tbl_MTG_Set[[#This Row],[Released On]]+tbl_MTG_Set[[#This Row],[Heavy Printing Window Month Start]]*365.25/12</f>
        <v/>
      </c>
      <c r="Q178">
        <f>_xlfn.XLOOKUP(tbl_MTG_Set[[#This Row],[Type Name]], tbl_MTG_Set_Type[Set Type], tbl_MTG_Set_Type[Heavy Printing Window Month End], "(Set Type not found)", 0, 1)</f>
        <v/>
      </c>
      <c r="R178" s="3">
        <f>tbl_MTG_Set[[#This Row],[Released On]]+tbl_MTG_Set[[#This Row],[Heavy Printing Window Month End]]*365.25/12</f>
        <v/>
      </c>
      <c r="S178" s="3">
        <f>AND(NOW()&gt;=tbl_MTG_Set[[#This Row],[Heavy Printing Window Start]], NOW()&lt;=tbl_MTG_Set[[#This Row],[Heavy Printing Window End]])</f>
        <v/>
      </c>
      <c r="T178">
        <f>_xlfn.XLOOKUP(tbl_MTG_Set[[#This Row],[Type Name]], tbl_MTG_Set_Type[Set Type], tbl_MTG_Set_Type[Sell Window Month Start], "(Set Type not found)", 0, 1)</f>
        <v/>
      </c>
      <c r="U178" s="3">
        <f>tbl_MTG_Set[[#This Row],[Released On]]+tbl_MTG_Set[[#This Row],[Sell Window Month Start]]*365.25/12</f>
        <v/>
      </c>
      <c r="V178">
        <f>_xlfn.XLOOKUP(tbl_MTG_Set[[#This Row],[Type Name]], tbl_MTG_Set_Type[Set Type], tbl_MTG_Set_Type[Sell Window Month End], "(Set Type not found)", 0, 1)</f>
        <v/>
      </c>
      <c r="W178" s="3">
        <f>tbl_MTG_Set[[#This Row],[Released On]]+tbl_MTG_Set[[#This Row],[Sell Window Month End]]*365.25/12</f>
        <v/>
      </c>
      <c r="X178" s="3">
        <f>AND(NOW()&gt;=tbl_MTG_Set[[#This Row],[Sell Window Start]], NOW()&lt;=tbl_MTG_Set[[#This Row],[Sell Window End]])</f>
        <v/>
      </c>
      <c r="AG178" s="10" t="n"/>
      <c r="AH178" s="10" t="n"/>
      <c r="AM178" s="10">
        <f t="array" ref="AM1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8" s="10">
        <f t="array" ref="AN1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8" s="4">
        <f>_xlfn.XLOOKUP(tbl_MTG_Set[[#This Row],[Play Booster Box Product Id]], tbl_Product[Product Id], tbl_Product[Pack Size])</f>
        <v/>
      </c>
      <c r="AP178" s="10">
        <f>(tbl_MTG_Set[[#This Row],[Play Booster Box Cost]]+v_Item_Shipping_Cost_In)/tbl_MTG_Set[[#This Row],[Play Booster Box Size]]</f>
        <v/>
      </c>
      <c r="AQ178" s="10">
        <f t="array" ref="AQ1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8" s="10" t="n"/>
      <c r="AS178" s="10" t="n"/>
      <c r="AT178" s="17">
        <f>tbl_MTG_Set[[#This Row],[Play Booster CardMarket Profit]]/tbl_MTG_Set[[#This Row],[Play Booster Cost]]</f>
        <v/>
      </c>
      <c r="AU178" s="10">
        <f>_xlfn.XLOOKUP(tbl_MTG_Set[[#This Row],[Collector Booster Box Product Id]], tbl_Product[Product Id], tbl_Product[Min Cost])</f>
        <v/>
      </c>
      <c r="AV178" s="10">
        <f>_xlfn.XLOOKUP(tbl_MTG_Set[[#This Row],[Collector Booster Box Product Id]], tbl_Product[Product Id], tbl_Product[Best Source])</f>
        <v/>
      </c>
      <c r="AW178" s="4">
        <f>_xlfn.XLOOKUP(tbl_MTG_Set[[#This Row],[Collector Booster Box Product Id]], tbl_Product[Product Id], tbl_Product[Pack Size])</f>
        <v/>
      </c>
      <c r="AX178" s="10">
        <f>(tbl_MTG_Set[[#This Row],[Collector Booster Box Cost]] + v_Item_Shipping_Cost_In) / tbl_MTG_Set[[#This Row],[Collector Booster Box Size]]</f>
        <v/>
      </c>
      <c r="AY178" s="10">
        <f t="array" ref="AY1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8" s="10" t="n"/>
      <c r="BA1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8" s="17">
        <f>tbl_MTG_Set[[#This Row],[Collector Booster CardMarket Profit]]/tbl_MTG_Set[[#This Row],[Collector Booster Cost]]</f>
        <v/>
      </c>
      <c r="BC178" s="10" t="n"/>
      <c r="BF178" s="10">
        <f>tbl_MTG_Set[[#This Row],[Play Booster Sell Price CardMarket]]*tbl_MTG_Set[[#This Row],[Play Booster Expected Market Value]]/tbl_MTG_Set[[#This Row],[Play Boost Sealed Market Value]]</f>
        <v/>
      </c>
      <c r="BG1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8" s="10">
        <f>tbl_MTG_Set[[#This Row],[Play Singles CardMarket Profit]]/tbl_MTG_Set[[#This Row],[Play Booster Cost]]</f>
        <v/>
      </c>
      <c r="BI178" s="10">
        <f>tbl_MTG_Set[[#This Row],[Play Singles CardMarket Profit]]&gt;0</f>
        <v/>
      </c>
      <c r="BJ178" s="10" t="n"/>
      <c r="BK178" s="10" t="n"/>
      <c r="BL178" s="10">
        <f>tbl_MTG_Set[[#This Row],[Collector Booster Sell Price CardMarket]]*tbl_MTG_Set[[#This Row],[Collector Booster Expected Market Value]]/tbl_MTG_Set[[#This Row],[Collector Boost Sealed Market Value]]</f>
        <v/>
      </c>
      <c r="BM1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8" s="10">
        <f>tbl_MTG_Set[[#This Row],[Collector Singles CardMarket Profit]]/tbl_MTG_Set[[#This Row],[Collector Booster Cost]]</f>
        <v/>
      </c>
      <c r="BO178" s="10">
        <f>tbl_MTG_Set[[#This Row],[Collector Singles CardMarket Profit]]&gt;0</f>
        <v/>
      </c>
      <c r="BP1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9">
      <c r="A179" t="n">
        <v>177</v>
      </c>
      <c r="B179" t="inlineStr">
        <is>
          <t>Tales of Middle-earth Art Series ALTR</t>
        </is>
      </c>
      <c r="C179" t="n">
        <v>81</v>
      </c>
      <c r="D179" s="3" t="n">
        <v>45100</v>
      </c>
      <c r="E179" t="inlineStr">
        <is>
          <t>Universes Beyond</t>
        </is>
      </c>
      <c r="F179" t="inlineStr">
        <is>
          <t>en es fr de it pt ja ko ru 汉语 漢語</t>
        </is>
      </c>
      <c r="G179" t="n">
        <v>300</v>
      </c>
      <c r="H179">
        <f>MONTH(NOW())+12*YEAR(NOW())-MONTH(tbl_MTG_Set[[#This Row],[Released On]])-12*YEAR(tbl_MTG_Set[[#This Row],[Released On]])</f>
        <v/>
      </c>
      <c r="I179">
        <f>_xlfn.XLOOKUP(tbl_MTG_Set[[#This Row],[Type Name]], tbl_MTG_Set_Type[Set Type], tbl_MTG_Set_Type[Index], "(Set Type not found)")</f>
        <v/>
      </c>
      <c r="J179">
        <f>_xlfn.XLOOKUP(tbl_MTG_Set[[#This Row],[Type Name]], tbl_MTG_Set_Type[Set Type], tbl_MTG_Set_Type[Buy Window Month Start], "(Set Type not found)")</f>
        <v/>
      </c>
      <c r="K179" s="3">
        <f>tbl_MTG_Set[[#This Row],[Released On]]+tbl_MTG_Set[[#This Row],[Buy Window Month Start]]*365.25/12</f>
        <v/>
      </c>
      <c r="L179">
        <f>_xlfn.XLOOKUP(tbl_MTG_Set[[#This Row],[Type Name]], tbl_MTG_Set_Type[Set Type], tbl_MTG_Set_Type[Buy Window Month End], "(Set Type not found)", 0, 1)</f>
        <v/>
      </c>
      <c r="M179" s="3">
        <f>tbl_MTG_Set[[#This Row],[Released On]]+tbl_MTG_Set[[#This Row],[Buy Window Month End]]*365.25/12</f>
        <v/>
      </c>
      <c r="N179" s="3">
        <f>AND(NOW()&gt;=tbl_MTG_Set[[#This Row],[Buy Window Start]], NOW()&lt;=tbl_MTG_Set[[#This Row],[Buy Window End]])</f>
        <v/>
      </c>
      <c r="O179">
        <f>_xlfn.XLOOKUP(tbl_MTG_Set[[#This Row],[Type Name]], tbl_MTG_Set_Type[Set Type], tbl_MTG_Set_Type[Heavy Printing Window Month Start], "(Set Type not found)", 0, 1)</f>
        <v/>
      </c>
      <c r="P179" s="3">
        <f>tbl_MTG_Set[[#This Row],[Released On]]+tbl_MTG_Set[[#This Row],[Heavy Printing Window Month Start]]*365.25/12</f>
        <v/>
      </c>
      <c r="Q179">
        <f>_xlfn.XLOOKUP(tbl_MTG_Set[[#This Row],[Type Name]], tbl_MTG_Set_Type[Set Type], tbl_MTG_Set_Type[Heavy Printing Window Month End], "(Set Type not found)", 0, 1)</f>
        <v/>
      </c>
      <c r="R179" s="3">
        <f>tbl_MTG_Set[[#This Row],[Released On]]+tbl_MTG_Set[[#This Row],[Heavy Printing Window Month End]]*365.25/12</f>
        <v/>
      </c>
      <c r="S179" s="3">
        <f>AND(NOW()&gt;=tbl_MTG_Set[[#This Row],[Heavy Printing Window Start]], NOW()&lt;=tbl_MTG_Set[[#This Row],[Heavy Printing Window End]])</f>
        <v/>
      </c>
      <c r="T179">
        <f>_xlfn.XLOOKUP(tbl_MTG_Set[[#This Row],[Type Name]], tbl_MTG_Set_Type[Set Type], tbl_MTG_Set_Type[Sell Window Month Start], "(Set Type not found)", 0, 1)</f>
        <v/>
      </c>
      <c r="U179" s="3">
        <f>tbl_MTG_Set[[#This Row],[Released On]]+tbl_MTG_Set[[#This Row],[Sell Window Month Start]]*365.25/12</f>
        <v/>
      </c>
      <c r="V179">
        <f>_xlfn.XLOOKUP(tbl_MTG_Set[[#This Row],[Type Name]], tbl_MTG_Set_Type[Set Type], tbl_MTG_Set_Type[Sell Window Month End], "(Set Type not found)", 0, 1)</f>
        <v/>
      </c>
      <c r="W179" s="3">
        <f>tbl_MTG_Set[[#This Row],[Released On]]+tbl_MTG_Set[[#This Row],[Sell Window Month End]]*365.25/12</f>
        <v/>
      </c>
      <c r="X179" s="3">
        <f>AND(NOW()&gt;=tbl_MTG_Set[[#This Row],[Sell Window Start]], NOW()&lt;=tbl_MTG_Set[[#This Row],[Sell Window End]])</f>
        <v/>
      </c>
      <c r="AG179" s="10" t="n"/>
      <c r="AH179" s="10" t="n"/>
      <c r="AM179" s="10">
        <f t="array" ref="AM1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9" s="10">
        <f t="array" ref="AN1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9" s="4">
        <f>_xlfn.XLOOKUP(tbl_MTG_Set[[#This Row],[Play Booster Box Product Id]], tbl_Product[Product Id], tbl_Product[Pack Size])</f>
        <v/>
      </c>
      <c r="AP179" s="10">
        <f>(tbl_MTG_Set[[#This Row],[Play Booster Box Cost]]+v_Item_Shipping_Cost_In)/tbl_MTG_Set[[#This Row],[Play Booster Box Size]]</f>
        <v/>
      </c>
      <c r="AQ179" s="10">
        <f t="array" ref="AQ1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79" s="10" t="n"/>
      <c r="AS179" s="10" t="n"/>
      <c r="AT179" s="17">
        <f>tbl_MTG_Set[[#This Row],[Play Booster CardMarket Profit]]/tbl_MTG_Set[[#This Row],[Play Booster Cost]]</f>
        <v/>
      </c>
      <c r="AU179" s="10">
        <f>_xlfn.XLOOKUP(tbl_MTG_Set[[#This Row],[Collector Booster Box Product Id]], tbl_Product[Product Id], tbl_Product[Min Cost])</f>
        <v/>
      </c>
      <c r="AV179" s="10">
        <f>_xlfn.XLOOKUP(tbl_MTG_Set[[#This Row],[Collector Booster Box Product Id]], tbl_Product[Product Id], tbl_Product[Best Source])</f>
        <v/>
      </c>
      <c r="AW179" s="4">
        <f>_xlfn.XLOOKUP(tbl_MTG_Set[[#This Row],[Collector Booster Box Product Id]], tbl_Product[Product Id], tbl_Product[Pack Size])</f>
        <v/>
      </c>
      <c r="AX179" s="10">
        <f>(tbl_MTG_Set[[#This Row],[Collector Booster Box Cost]] + v_Item_Shipping_Cost_In) / tbl_MTG_Set[[#This Row],[Collector Booster Box Size]]</f>
        <v/>
      </c>
      <c r="AY179" s="10">
        <f t="array" ref="AY1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79" s="10" t="n"/>
      <c r="BA1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9" s="17">
        <f>tbl_MTG_Set[[#This Row],[Collector Booster CardMarket Profit]]/tbl_MTG_Set[[#This Row],[Collector Booster Cost]]</f>
        <v/>
      </c>
      <c r="BC179" s="10" t="n"/>
      <c r="BF179" s="10">
        <f>tbl_MTG_Set[[#This Row],[Play Booster Sell Price CardMarket]]*tbl_MTG_Set[[#This Row],[Play Booster Expected Market Value]]/tbl_MTG_Set[[#This Row],[Play Boost Sealed Market Value]]</f>
        <v/>
      </c>
      <c r="BG1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9" s="10">
        <f>tbl_MTG_Set[[#This Row],[Play Singles CardMarket Profit]]/tbl_MTG_Set[[#This Row],[Play Booster Cost]]</f>
        <v/>
      </c>
      <c r="BI179" s="10">
        <f>tbl_MTG_Set[[#This Row],[Play Singles CardMarket Profit]]&gt;0</f>
        <v/>
      </c>
      <c r="BJ179" s="10" t="n"/>
      <c r="BK179" s="10" t="n"/>
      <c r="BL179" s="10">
        <f>tbl_MTG_Set[[#This Row],[Collector Booster Sell Price CardMarket]]*tbl_MTG_Set[[#This Row],[Collector Booster Expected Market Value]]/tbl_MTG_Set[[#This Row],[Collector Boost Sealed Market Value]]</f>
        <v/>
      </c>
      <c r="BM1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9" s="10">
        <f>tbl_MTG_Set[[#This Row],[Collector Singles CardMarket Profit]]/tbl_MTG_Set[[#This Row],[Collector Booster Cost]]</f>
        <v/>
      </c>
      <c r="BO179" s="10">
        <f>tbl_MTG_Set[[#This Row],[Collector Singles CardMarket Profit]]&gt;0</f>
        <v/>
      </c>
      <c r="BP1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0">
      <c r="A180" t="n">
        <v>178</v>
      </c>
      <c r="B180" t="inlineStr">
        <is>
          <t>Tales of Middle-earth Front Cards FLTR</t>
        </is>
      </c>
      <c r="C180" t="n">
        <v>10</v>
      </c>
      <c r="D180" s="3" t="n">
        <v>45100</v>
      </c>
      <c r="E180" t="inlineStr">
        <is>
          <t>Universes Beyond</t>
        </is>
      </c>
      <c r="F180" t="inlineStr">
        <is>
          <t>en es fr de it pt ja ko ru 汉语 漢語</t>
        </is>
      </c>
      <c r="G180" t="n">
        <v>302</v>
      </c>
      <c r="H180">
        <f>MONTH(NOW())+12*YEAR(NOW())-MONTH(tbl_MTG_Set[[#This Row],[Released On]])-12*YEAR(tbl_MTG_Set[[#This Row],[Released On]])</f>
        <v/>
      </c>
      <c r="I180">
        <f>_xlfn.XLOOKUP(tbl_MTG_Set[[#This Row],[Type Name]], tbl_MTG_Set_Type[Set Type], tbl_MTG_Set_Type[Index], "(Set Type not found)")</f>
        <v/>
      </c>
      <c r="J180">
        <f>_xlfn.XLOOKUP(tbl_MTG_Set[[#This Row],[Type Name]], tbl_MTG_Set_Type[Set Type], tbl_MTG_Set_Type[Buy Window Month Start], "(Set Type not found)")</f>
        <v/>
      </c>
      <c r="K180" s="3">
        <f>tbl_MTG_Set[[#This Row],[Released On]]+tbl_MTG_Set[[#This Row],[Buy Window Month Start]]*365.25/12</f>
        <v/>
      </c>
      <c r="L180">
        <f>_xlfn.XLOOKUP(tbl_MTG_Set[[#This Row],[Type Name]], tbl_MTG_Set_Type[Set Type], tbl_MTG_Set_Type[Buy Window Month End], "(Set Type not found)", 0, 1)</f>
        <v/>
      </c>
      <c r="M180" s="3">
        <f>tbl_MTG_Set[[#This Row],[Released On]]+tbl_MTG_Set[[#This Row],[Buy Window Month End]]*365.25/12</f>
        <v/>
      </c>
      <c r="N180" s="3">
        <f>AND(NOW()&gt;=tbl_MTG_Set[[#This Row],[Buy Window Start]], NOW()&lt;=tbl_MTG_Set[[#This Row],[Buy Window End]])</f>
        <v/>
      </c>
      <c r="O180">
        <f>_xlfn.XLOOKUP(tbl_MTG_Set[[#This Row],[Type Name]], tbl_MTG_Set_Type[Set Type], tbl_MTG_Set_Type[Heavy Printing Window Month Start], "(Set Type not found)", 0, 1)</f>
        <v/>
      </c>
      <c r="P180" s="3">
        <f>tbl_MTG_Set[[#This Row],[Released On]]+tbl_MTG_Set[[#This Row],[Heavy Printing Window Month Start]]*365.25/12</f>
        <v/>
      </c>
      <c r="Q180">
        <f>_xlfn.XLOOKUP(tbl_MTG_Set[[#This Row],[Type Name]], tbl_MTG_Set_Type[Set Type], tbl_MTG_Set_Type[Heavy Printing Window Month End], "(Set Type not found)", 0, 1)</f>
        <v/>
      </c>
      <c r="R180" s="3">
        <f>tbl_MTG_Set[[#This Row],[Released On]]+tbl_MTG_Set[[#This Row],[Heavy Printing Window Month End]]*365.25/12</f>
        <v/>
      </c>
      <c r="S180" s="3">
        <f>AND(NOW()&gt;=tbl_MTG_Set[[#This Row],[Heavy Printing Window Start]], NOW()&lt;=tbl_MTG_Set[[#This Row],[Heavy Printing Window End]])</f>
        <v/>
      </c>
      <c r="T180">
        <f>_xlfn.XLOOKUP(tbl_MTG_Set[[#This Row],[Type Name]], tbl_MTG_Set_Type[Set Type], tbl_MTG_Set_Type[Sell Window Month Start], "(Set Type not found)", 0, 1)</f>
        <v/>
      </c>
      <c r="U180" s="3">
        <f>tbl_MTG_Set[[#This Row],[Released On]]+tbl_MTG_Set[[#This Row],[Sell Window Month Start]]*365.25/12</f>
        <v/>
      </c>
      <c r="V180">
        <f>_xlfn.XLOOKUP(tbl_MTG_Set[[#This Row],[Type Name]], tbl_MTG_Set_Type[Set Type], tbl_MTG_Set_Type[Sell Window Month End], "(Set Type not found)", 0, 1)</f>
        <v/>
      </c>
      <c r="W180" s="3">
        <f>tbl_MTG_Set[[#This Row],[Released On]]+tbl_MTG_Set[[#This Row],[Sell Window Month End]]*365.25/12</f>
        <v/>
      </c>
      <c r="X180" s="3">
        <f>AND(NOW()&gt;=tbl_MTG_Set[[#This Row],[Sell Window Start]], NOW()&lt;=tbl_MTG_Set[[#This Row],[Sell Window End]])</f>
        <v/>
      </c>
      <c r="AG180" s="10" t="n"/>
      <c r="AH180" s="10" t="n"/>
      <c r="AM180" s="10">
        <f t="array" ref="AM1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0" s="10">
        <f t="array" ref="AN1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0" s="4">
        <f>_xlfn.XLOOKUP(tbl_MTG_Set[[#This Row],[Play Booster Box Product Id]], tbl_Product[Product Id], tbl_Product[Pack Size])</f>
        <v/>
      </c>
      <c r="AP180" s="10">
        <f>(tbl_MTG_Set[[#This Row],[Play Booster Box Cost]]+v_Item_Shipping_Cost_In)/tbl_MTG_Set[[#This Row],[Play Booster Box Size]]</f>
        <v/>
      </c>
      <c r="AQ180" s="10">
        <f t="array" ref="AQ1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0" s="10" t="n"/>
      <c r="AS180" s="10" t="n"/>
      <c r="AT180" s="17">
        <f>tbl_MTG_Set[[#This Row],[Play Booster CardMarket Profit]]/tbl_MTG_Set[[#This Row],[Play Booster Cost]]</f>
        <v/>
      </c>
      <c r="AU180" s="10">
        <f>_xlfn.XLOOKUP(tbl_MTG_Set[[#This Row],[Collector Booster Box Product Id]], tbl_Product[Product Id], tbl_Product[Min Cost])</f>
        <v/>
      </c>
      <c r="AV180" s="10">
        <f>_xlfn.XLOOKUP(tbl_MTG_Set[[#This Row],[Collector Booster Box Product Id]], tbl_Product[Product Id], tbl_Product[Best Source])</f>
        <v/>
      </c>
      <c r="AW180" s="4">
        <f>_xlfn.XLOOKUP(tbl_MTG_Set[[#This Row],[Collector Booster Box Product Id]], tbl_Product[Product Id], tbl_Product[Pack Size])</f>
        <v/>
      </c>
      <c r="AX180" s="10">
        <f>(tbl_MTG_Set[[#This Row],[Collector Booster Box Cost]] + v_Item_Shipping_Cost_In) / tbl_MTG_Set[[#This Row],[Collector Booster Box Size]]</f>
        <v/>
      </c>
      <c r="AY180" s="10">
        <f t="array" ref="AY1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0" s="10" t="n"/>
      <c r="BA1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0" s="17">
        <f>tbl_MTG_Set[[#This Row],[Collector Booster CardMarket Profit]]/tbl_MTG_Set[[#This Row],[Collector Booster Cost]]</f>
        <v/>
      </c>
      <c r="BC180" s="10" t="n"/>
      <c r="BF180" s="10">
        <f>tbl_MTG_Set[[#This Row],[Play Booster Sell Price CardMarket]]*tbl_MTG_Set[[#This Row],[Play Booster Expected Market Value]]/tbl_MTG_Set[[#This Row],[Play Boost Sealed Market Value]]</f>
        <v/>
      </c>
      <c r="BG1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0" s="10">
        <f>tbl_MTG_Set[[#This Row],[Play Singles CardMarket Profit]]/tbl_MTG_Set[[#This Row],[Play Booster Cost]]</f>
        <v/>
      </c>
      <c r="BI180" s="10">
        <f>tbl_MTG_Set[[#This Row],[Play Singles CardMarket Profit]]&gt;0</f>
        <v/>
      </c>
      <c r="BJ180" s="10" t="n"/>
      <c r="BK180" s="10" t="n"/>
      <c r="BL180" s="10">
        <f>tbl_MTG_Set[[#This Row],[Collector Booster Sell Price CardMarket]]*tbl_MTG_Set[[#This Row],[Collector Booster Expected Market Value]]/tbl_MTG_Set[[#This Row],[Collector Boost Sealed Market Value]]</f>
        <v/>
      </c>
      <c r="BM1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0" s="10">
        <f>tbl_MTG_Set[[#This Row],[Collector Singles CardMarket Profit]]/tbl_MTG_Set[[#This Row],[Collector Booster Cost]]</f>
        <v/>
      </c>
      <c r="BO180" s="10">
        <f>tbl_MTG_Set[[#This Row],[Collector Singles CardMarket Profit]]&gt;0</f>
        <v/>
      </c>
      <c r="BP1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1">
      <c r="A181" t="n">
        <v>179</v>
      </c>
      <c r="B181" t="inlineStr">
        <is>
          <t>The Lord of the Rings: Tales of Middle-earth Minigames MLTR</t>
        </is>
      </c>
      <c r="C181" t="n">
        <v>1</v>
      </c>
      <c r="D181" s="3" t="n">
        <v>45100</v>
      </c>
      <c r="E181" t="inlineStr">
        <is>
          <t>Universes Beyond</t>
        </is>
      </c>
      <c r="F181" t="inlineStr">
        <is>
          <t>en es fr de it pt ja ko ru 汉语 漢語</t>
        </is>
      </c>
      <c r="G181" t="n">
        <v>304</v>
      </c>
      <c r="H181">
        <f>MONTH(NOW())+12*YEAR(NOW())-MONTH(tbl_MTG_Set[[#This Row],[Released On]])-12*YEAR(tbl_MTG_Set[[#This Row],[Released On]])</f>
        <v/>
      </c>
      <c r="I181">
        <f>_xlfn.XLOOKUP(tbl_MTG_Set[[#This Row],[Type Name]], tbl_MTG_Set_Type[Set Type], tbl_MTG_Set_Type[Index], "(Set Type not found)")</f>
        <v/>
      </c>
      <c r="J181">
        <f>_xlfn.XLOOKUP(tbl_MTG_Set[[#This Row],[Type Name]], tbl_MTG_Set_Type[Set Type], tbl_MTG_Set_Type[Buy Window Month Start], "(Set Type not found)")</f>
        <v/>
      </c>
      <c r="K181" s="3">
        <f>tbl_MTG_Set[[#This Row],[Released On]]+tbl_MTG_Set[[#This Row],[Buy Window Month Start]]*365.25/12</f>
        <v/>
      </c>
      <c r="L181">
        <f>_xlfn.XLOOKUP(tbl_MTG_Set[[#This Row],[Type Name]], tbl_MTG_Set_Type[Set Type], tbl_MTG_Set_Type[Buy Window Month End], "(Set Type not found)", 0, 1)</f>
        <v/>
      </c>
      <c r="M181" s="3">
        <f>tbl_MTG_Set[[#This Row],[Released On]]+tbl_MTG_Set[[#This Row],[Buy Window Month End]]*365.25/12</f>
        <v/>
      </c>
      <c r="N181" s="3">
        <f>AND(NOW()&gt;=tbl_MTG_Set[[#This Row],[Buy Window Start]], NOW()&lt;=tbl_MTG_Set[[#This Row],[Buy Window End]])</f>
        <v/>
      </c>
      <c r="O181">
        <f>_xlfn.XLOOKUP(tbl_MTG_Set[[#This Row],[Type Name]], tbl_MTG_Set_Type[Set Type], tbl_MTG_Set_Type[Heavy Printing Window Month Start], "(Set Type not found)", 0, 1)</f>
        <v/>
      </c>
      <c r="P181" s="3">
        <f>tbl_MTG_Set[[#This Row],[Released On]]+tbl_MTG_Set[[#This Row],[Heavy Printing Window Month Start]]*365.25/12</f>
        <v/>
      </c>
      <c r="Q181">
        <f>_xlfn.XLOOKUP(tbl_MTG_Set[[#This Row],[Type Name]], tbl_MTG_Set_Type[Set Type], tbl_MTG_Set_Type[Heavy Printing Window Month End], "(Set Type not found)", 0, 1)</f>
        <v/>
      </c>
      <c r="R181" s="3">
        <f>tbl_MTG_Set[[#This Row],[Released On]]+tbl_MTG_Set[[#This Row],[Heavy Printing Window Month End]]*365.25/12</f>
        <v/>
      </c>
      <c r="S181" s="3">
        <f>AND(NOW()&gt;=tbl_MTG_Set[[#This Row],[Heavy Printing Window Start]], NOW()&lt;=tbl_MTG_Set[[#This Row],[Heavy Printing Window End]])</f>
        <v/>
      </c>
      <c r="T181">
        <f>_xlfn.XLOOKUP(tbl_MTG_Set[[#This Row],[Type Name]], tbl_MTG_Set_Type[Set Type], tbl_MTG_Set_Type[Sell Window Month Start], "(Set Type not found)", 0, 1)</f>
        <v/>
      </c>
      <c r="U181" s="3">
        <f>tbl_MTG_Set[[#This Row],[Released On]]+tbl_MTG_Set[[#This Row],[Sell Window Month Start]]*365.25/12</f>
        <v/>
      </c>
      <c r="V181">
        <f>_xlfn.XLOOKUP(tbl_MTG_Set[[#This Row],[Type Name]], tbl_MTG_Set_Type[Set Type], tbl_MTG_Set_Type[Sell Window Month End], "(Set Type not found)", 0, 1)</f>
        <v/>
      </c>
      <c r="W181" s="3">
        <f>tbl_MTG_Set[[#This Row],[Released On]]+tbl_MTG_Set[[#This Row],[Sell Window Month End]]*365.25/12</f>
        <v/>
      </c>
      <c r="X181" s="3">
        <f>AND(NOW()&gt;=tbl_MTG_Set[[#This Row],[Sell Window Start]], NOW()&lt;=tbl_MTG_Set[[#This Row],[Sell Window End]])</f>
        <v/>
      </c>
      <c r="AG181" s="10" t="n"/>
      <c r="AH181" s="10" t="n"/>
      <c r="AM181" s="10">
        <f t="array" ref="AM1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1" s="10">
        <f t="array" ref="AN1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1" s="4">
        <f>_xlfn.XLOOKUP(tbl_MTG_Set[[#This Row],[Play Booster Box Product Id]], tbl_Product[Product Id], tbl_Product[Pack Size])</f>
        <v/>
      </c>
      <c r="AP181" s="10">
        <f>(tbl_MTG_Set[[#This Row],[Play Booster Box Cost]]+v_Item_Shipping_Cost_In)/tbl_MTG_Set[[#This Row],[Play Booster Box Size]]</f>
        <v/>
      </c>
      <c r="AQ181" s="10">
        <f t="array" ref="AQ1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1" s="10" t="n"/>
      <c r="AS181" s="10" t="n"/>
      <c r="AT181" s="17">
        <f>tbl_MTG_Set[[#This Row],[Play Booster CardMarket Profit]]/tbl_MTG_Set[[#This Row],[Play Booster Cost]]</f>
        <v/>
      </c>
      <c r="AU181" s="10">
        <f>_xlfn.XLOOKUP(tbl_MTG_Set[[#This Row],[Collector Booster Box Product Id]], tbl_Product[Product Id], tbl_Product[Min Cost])</f>
        <v/>
      </c>
      <c r="AV181" s="10">
        <f>_xlfn.XLOOKUP(tbl_MTG_Set[[#This Row],[Collector Booster Box Product Id]], tbl_Product[Product Id], tbl_Product[Best Source])</f>
        <v/>
      </c>
      <c r="AW181" s="4">
        <f>_xlfn.XLOOKUP(tbl_MTG_Set[[#This Row],[Collector Booster Box Product Id]], tbl_Product[Product Id], tbl_Product[Pack Size])</f>
        <v/>
      </c>
      <c r="AX181" s="10">
        <f>(tbl_MTG_Set[[#This Row],[Collector Booster Box Cost]] + v_Item_Shipping_Cost_In) / tbl_MTG_Set[[#This Row],[Collector Booster Box Size]]</f>
        <v/>
      </c>
      <c r="AY181" s="10">
        <f t="array" ref="AY1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1" s="10" t="n"/>
      <c r="BA1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1" s="17">
        <f>tbl_MTG_Set[[#This Row],[Collector Booster CardMarket Profit]]/tbl_MTG_Set[[#This Row],[Collector Booster Cost]]</f>
        <v/>
      </c>
      <c r="BC181" s="10" t="n"/>
      <c r="BF181" s="10">
        <f>tbl_MTG_Set[[#This Row],[Play Booster Sell Price CardMarket]]*tbl_MTG_Set[[#This Row],[Play Booster Expected Market Value]]/tbl_MTG_Set[[#This Row],[Play Boost Sealed Market Value]]</f>
        <v/>
      </c>
      <c r="BG1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1" s="10">
        <f>tbl_MTG_Set[[#This Row],[Play Singles CardMarket Profit]]/tbl_MTG_Set[[#This Row],[Play Booster Cost]]</f>
        <v/>
      </c>
      <c r="BI181" s="10">
        <f>tbl_MTG_Set[[#This Row],[Play Singles CardMarket Profit]]&gt;0</f>
        <v/>
      </c>
      <c r="BJ181" s="10" t="n"/>
      <c r="BK181" s="10" t="n"/>
      <c r="BL181" s="10">
        <f>tbl_MTG_Set[[#This Row],[Collector Booster Sell Price CardMarket]]*tbl_MTG_Set[[#This Row],[Collector Booster Expected Market Value]]/tbl_MTG_Set[[#This Row],[Collector Boost Sealed Market Value]]</f>
        <v/>
      </c>
      <c r="BM1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1" s="10">
        <f>tbl_MTG_Set[[#This Row],[Collector Singles CardMarket Profit]]/tbl_MTG_Set[[#This Row],[Collector Booster Cost]]</f>
        <v/>
      </c>
      <c r="BO181" s="10">
        <f>tbl_MTG_Set[[#This Row],[Collector Singles CardMarket Profit]]&gt;0</f>
        <v/>
      </c>
      <c r="BP1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2">
      <c r="A182" t="n">
        <v>180</v>
      </c>
      <c r="B182" t="inlineStr">
        <is>
          <t>March of the Machine: The Aftermath MAT</t>
        </is>
      </c>
      <c r="C182" t="n">
        <v>230</v>
      </c>
      <c r="D182" s="3" t="n">
        <v>45058</v>
      </c>
      <c r="E182" t="inlineStr">
        <is>
          <t>Standard Expansion</t>
        </is>
      </c>
      <c r="F182" t="inlineStr">
        <is>
          <t>en es fr de it pt ja ko ru 汉语 漢語</t>
        </is>
      </c>
      <c r="G182" t="n">
        <v>306</v>
      </c>
      <c r="H182">
        <f>MONTH(NOW())+12*YEAR(NOW())-MONTH(tbl_MTG_Set[[#This Row],[Released On]])-12*YEAR(tbl_MTG_Set[[#This Row],[Released On]])</f>
        <v/>
      </c>
      <c r="I182">
        <f>_xlfn.XLOOKUP(tbl_MTG_Set[[#This Row],[Type Name]], tbl_MTG_Set_Type[Set Type], tbl_MTG_Set_Type[Index], "(Set Type not found)")</f>
        <v/>
      </c>
      <c r="J182">
        <f>_xlfn.XLOOKUP(tbl_MTG_Set[[#This Row],[Type Name]], tbl_MTG_Set_Type[Set Type], tbl_MTG_Set_Type[Buy Window Month Start], "(Set Type not found)")</f>
        <v/>
      </c>
      <c r="K182" s="3">
        <f>tbl_MTG_Set[[#This Row],[Released On]]+tbl_MTG_Set[[#This Row],[Buy Window Month Start]]*365.25/12</f>
        <v/>
      </c>
      <c r="L182">
        <f>_xlfn.XLOOKUP(tbl_MTG_Set[[#This Row],[Type Name]], tbl_MTG_Set_Type[Set Type], tbl_MTG_Set_Type[Buy Window Month End], "(Set Type not found)", 0, 1)</f>
        <v/>
      </c>
      <c r="M182" s="3">
        <f>tbl_MTG_Set[[#This Row],[Released On]]+tbl_MTG_Set[[#This Row],[Buy Window Month End]]*365.25/12</f>
        <v/>
      </c>
      <c r="N182" s="3">
        <f>AND(NOW()&gt;=tbl_MTG_Set[[#This Row],[Buy Window Start]], NOW()&lt;=tbl_MTG_Set[[#This Row],[Buy Window End]])</f>
        <v/>
      </c>
      <c r="O182">
        <f>_xlfn.XLOOKUP(tbl_MTG_Set[[#This Row],[Type Name]], tbl_MTG_Set_Type[Set Type], tbl_MTG_Set_Type[Heavy Printing Window Month Start], "(Set Type not found)", 0, 1)</f>
        <v/>
      </c>
      <c r="P182" s="3">
        <f>tbl_MTG_Set[[#This Row],[Released On]]+tbl_MTG_Set[[#This Row],[Heavy Printing Window Month Start]]*365.25/12</f>
        <v/>
      </c>
      <c r="Q182">
        <f>_xlfn.XLOOKUP(tbl_MTG_Set[[#This Row],[Type Name]], tbl_MTG_Set_Type[Set Type], tbl_MTG_Set_Type[Heavy Printing Window Month End], "(Set Type not found)", 0, 1)</f>
        <v/>
      </c>
      <c r="R182" s="3">
        <f>tbl_MTG_Set[[#This Row],[Released On]]+tbl_MTG_Set[[#This Row],[Heavy Printing Window Month End]]*365.25/12</f>
        <v/>
      </c>
      <c r="S182" s="3">
        <f>AND(NOW()&gt;=tbl_MTG_Set[[#This Row],[Heavy Printing Window Start]], NOW()&lt;=tbl_MTG_Set[[#This Row],[Heavy Printing Window End]])</f>
        <v/>
      </c>
      <c r="T182">
        <f>_xlfn.XLOOKUP(tbl_MTG_Set[[#This Row],[Type Name]], tbl_MTG_Set_Type[Set Type], tbl_MTG_Set_Type[Sell Window Month Start], "(Set Type not found)", 0, 1)</f>
        <v/>
      </c>
      <c r="U182" s="3">
        <f>tbl_MTG_Set[[#This Row],[Released On]]+tbl_MTG_Set[[#This Row],[Sell Window Month Start]]*365.25/12</f>
        <v/>
      </c>
      <c r="V182">
        <f>_xlfn.XLOOKUP(tbl_MTG_Set[[#This Row],[Type Name]], tbl_MTG_Set_Type[Set Type], tbl_MTG_Set_Type[Sell Window Month End], "(Set Type not found)", 0, 1)</f>
        <v/>
      </c>
      <c r="W182" s="3">
        <f>tbl_MTG_Set[[#This Row],[Released On]]+tbl_MTG_Set[[#This Row],[Sell Window Month End]]*365.25/12</f>
        <v/>
      </c>
      <c r="X182" s="3">
        <f>AND(NOW()&gt;=tbl_MTG_Set[[#This Row],[Sell Window Start]], NOW()&lt;=tbl_MTG_Set[[#This Row],[Sell Window End]])</f>
        <v/>
      </c>
      <c r="AG182" s="10" t="n"/>
      <c r="AH182" s="10" t="n"/>
      <c r="AM182" s="10">
        <f t="array" ref="AM1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2" s="10">
        <f t="array" ref="AN1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2" s="4">
        <f>_xlfn.XLOOKUP(tbl_MTG_Set[[#This Row],[Play Booster Box Product Id]], tbl_Product[Product Id], tbl_Product[Pack Size])</f>
        <v/>
      </c>
      <c r="AP182" s="10">
        <f>(tbl_MTG_Set[[#This Row],[Play Booster Box Cost]]+v_Item_Shipping_Cost_In)/tbl_MTG_Set[[#This Row],[Play Booster Box Size]]</f>
        <v/>
      </c>
      <c r="AQ182" s="10">
        <f t="array" ref="AQ1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2" s="10" t="n"/>
      <c r="AS182" s="10" t="n"/>
      <c r="AT182" s="17">
        <f>tbl_MTG_Set[[#This Row],[Play Booster CardMarket Profit]]/tbl_MTG_Set[[#This Row],[Play Booster Cost]]</f>
        <v/>
      </c>
      <c r="AU182" s="10">
        <f>_xlfn.XLOOKUP(tbl_MTG_Set[[#This Row],[Collector Booster Box Product Id]], tbl_Product[Product Id], tbl_Product[Min Cost])</f>
        <v/>
      </c>
      <c r="AV182" s="10">
        <f>_xlfn.XLOOKUP(tbl_MTG_Set[[#This Row],[Collector Booster Box Product Id]], tbl_Product[Product Id], tbl_Product[Best Source])</f>
        <v/>
      </c>
      <c r="AW182" s="4">
        <f>_xlfn.XLOOKUP(tbl_MTG_Set[[#This Row],[Collector Booster Box Product Id]], tbl_Product[Product Id], tbl_Product[Pack Size])</f>
        <v/>
      </c>
      <c r="AX182" s="10">
        <f>(tbl_MTG_Set[[#This Row],[Collector Booster Box Cost]] + v_Item_Shipping_Cost_In) / tbl_MTG_Set[[#This Row],[Collector Booster Box Size]]</f>
        <v/>
      </c>
      <c r="AY182" s="10">
        <f t="array" ref="AY1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2" s="10" t="n"/>
      <c r="BA1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2" s="17">
        <f>tbl_MTG_Set[[#This Row],[Collector Booster CardMarket Profit]]/tbl_MTG_Set[[#This Row],[Collector Booster Cost]]</f>
        <v/>
      </c>
      <c r="BC182" s="10" t="n"/>
      <c r="BF182" s="10">
        <f>tbl_MTG_Set[[#This Row],[Play Booster Sell Price CardMarket]]*tbl_MTG_Set[[#This Row],[Play Booster Expected Market Value]]/tbl_MTG_Set[[#This Row],[Play Boost Sealed Market Value]]</f>
        <v/>
      </c>
      <c r="BG1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2" s="10">
        <f>tbl_MTG_Set[[#This Row],[Play Singles CardMarket Profit]]/tbl_MTG_Set[[#This Row],[Play Booster Cost]]</f>
        <v/>
      </c>
      <c r="BI182" s="10">
        <f>tbl_MTG_Set[[#This Row],[Play Singles CardMarket Profit]]&gt;0</f>
        <v/>
      </c>
      <c r="BJ182" s="10" t="n"/>
      <c r="BK182" s="10" t="n"/>
      <c r="BL182" s="10">
        <f>tbl_MTG_Set[[#This Row],[Collector Booster Sell Price CardMarket]]*tbl_MTG_Set[[#This Row],[Collector Booster Expected Market Value]]/tbl_MTG_Set[[#This Row],[Collector Boost Sealed Market Value]]</f>
        <v/>
      </c>
      <c r="BM1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2" s="10">
        <f>tbl_MTG_Set[[#This Row],[Collector Singles CardMarket Profit]]/tbl_MTG_Set[[#This Row],[Collector Booster Cost]]</f>
        <v/>
      </c>
      <c r="BO182" s="10">
        <f>tbl_MTG_Set[[#This Row],[Collector Singles CardMarket Profit]]&gt;0</f>
        <v/>
      </c>
      <c r="BP1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3">
      <c r="A183" t="n">
        <v>181</v>
      </c>
      <c r="B183" t="inlineStr">
        <is>
          <t>March of the Machine: The Aftermath Promos PMAT</t>
        </is>
      </c>
      <c r="C183" t="n">
        <v>8</v>
      </c>
      <c r="D183" s="3" t="n">
        <v>45247</v>
      </c>
      <c r="F183" t="inlineStr">
        <is>
          <t>en es fr de it pt ja ko ru 汉语 漢語</t>
        </is>
      </c>
      <c r="G183" t="n">
        <v>308</v>
      </c>
      <c r="H183">
        <f>MONTH(NOW())+12*YEAR(NOW())-MONTH(tbl_MTG_Set[[#This Row],[Released On]])-12*YEAR(tbl_MTG_Set[[#This Row],[Released On]])</f>
        <v/>
      </c>
      <c r="I183">
        <f>_xlfn.XLOOKUP(tbl_MTG_Set[[#This Row],[Type Name]], tbl_MTG_Set_Type[Set Type], tbl_MTG_Set_Type[Index], "(Set Type not found)")</f>
        <v/>
      </c>
      <c r="J183">
        <f>_xlfn.XLOOKUP(tbl_MTG_Set[[#This Row],[Type Name]], tbl_MTG_Set_Type[Set Type], tbl_MTG_Set_Type[Buy Window Month Start], "(Set Type not found)")</f>
        <v/>
      </c>
      <c r="K183" s="3">
        <f>tbl_MTG_Set[[#This Row],[Released On]]+tbl_MTG_Set[[#This Row],[Buy Window Month Start]]*365.25/12</f>
        <v/>
      </c>
      <c r="L183">
        <f>_xlfn.XLOOKUP(tbl_MTG_Set[[#This Row],[Type Name]], tbl_MTG_Set_Type[Set Type], tbl_MTG_Set_Type[Buy Window Month End], "(Set Type not found)", 0, 1)</f>
        <v/>
      </c>
      <c r="M183" s="3">
        <f>tbl_MTG_Set[[#This Row],[Released On]]+tbl_MTG_Set[[#This Row],[Buy Window Month End]]*365.25/12</f>
        <v/>
      </c>
      <c r="N183" s="3">
        <f>AND(NOW()&gt;=tbl_MTG_Set[[#This Row],[Buy Window Start]], NOW()&lt;=tbl_MTG_Set[[#This Row],[Buy Window End]])</f>
        <v/>
      </c>
      <c r="O183">
        <f>_xlfn.XLOOKUP(tbl_MTG_Set[[#This Row],[Type Name]], tbl_MTG_Set_Type[Set Type], tbl_MTG_Set_Type[Heavy Printing Window Month Start], "(Set Type not found)", 0, 1)</f>
        <v/>
      </c>
      <c r="P183" s="3">
        <f>tbl_MTG_Set[[#This Row],[Released On]]+tbl_MTG_Set[[#This Row],[Heavy Printing Window Month Start]]*365.25/12</f>
        <v/>
      </c>
      <c r="Q183">
        <f>_xlfn.XLOOKUP(tbl_MTG_Set[[#This Row],[Type Name]], tbl_MTG_Set_Type[Set Type], tbl_MTG_Set_Type[Heavy Printing Window Month End], "(Set Type not found)", 0, 1)</f>
        <v/>
      </c>
      <c r="R183" s="3">
        <f>tbl_MTG_Set[[#This Row],[Released On]]+tbl_MTG_Set[[#This Row],[Heavy Printing Window Month End]]*365.25/12</f>
        <v/>
      </c>
      <c r="S183" s="3">
        <f>AND(NOW()&gt;=tbl_MTG_Set[[#This Row],[Heavy Printing Window Start]], NOW()&lt;=tbl_MTG_Set[[#This Row],[Heavy Printing Window End]])</f>
        <v/>
      </c>
      <c r="T183">
        <f>_xlfn.XLOOKUP(tbl_MTG_Set[[#This Row],[Type Name]], tbl_MTG_Set_Type[Set Type], tbl_MTG_Set_Type[Sell Window Month Start], "(Set Type not found)", 0, 1)</f>
        <v/>
      </c>
      <c r="U183" s="3">
        <f>tbl_MTG_Set[[#This Row],[Released On]]+tbl_MTG_Set[[#This Row],[Sell Window Month Start]]*365.25/12</f>
        <v/>
      </c>
      <c r="V183">
        <f>_xlfn.XLOOKUP(tbl_MTG_Set[[#This Row],[Type Name]], tbl_MTG_Set_Type[Set Type], tbl_MTG_Set_Type[Sell Window Month End], "(Set Type not found)", 0, 1)</f>
        <v/>
      </c>
      <c r="W183" s="3">
        <f>tbl_MTG_Set[[#This Row],[Released On]]+tbl_MTG_Set[[#This Row],[Sell Window Month End]]*365.25/12</f>
        <v/>
      </c>
      <c r="X183" s="3">
        <f>AND(NOW()&gt;=tbl_MTG_Set[[#This Row],[Sell Window Start]], NOW()&lt;=tbl_MTG_Set[[#This Row],[Sell Window End]])</f>
        <v/>
      </c>
      <c r="AG183" s="10" t="n"/>
      <c r="AH183" s="10" t="n"/>
      <c r="AM183" s="10">
        <f t="array" ref="AM1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3" s="10">
        <f t="array" ref="AN1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3" s="4">
        <f>_xlfn.XLOOKUP(tbl_MTG_Set[[#This Row],[Play Booster Box Product Id]], tbl_Product[Product Id], tbl_Product[Pack Size])</f>
        <v/>
      </c>
      <c r="AP183" s="10">
        <f>(tbl_MTG_Set[[#This Row],[Play Booster Box Cost]]+v_Item_Shipping_Cost_In)/tbl_MTG_Set[[#This Row],[Play Booster Box Size]]</f>
        <v/>
      </c>
      <c r="AQ183" s="10">
        <f t="array" ref="AQ1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3" s="10" t="n"/>
      <c r="AS183" s="10" t="n"/>
      <c r="AT183" s="17">
        <f>tbl_MTG_Set[[#This Row],[Play Booster CardMarket Profit]]/tbl_MTG_Set[[#This Row],[Play Booster Cost]]</f>
        <v/>
      </c>
      <c r="AU183" s="10">
        <f>_xlfn.XLOOKUP(tbl_MTG_Set[[#This Row],[Collector Booster Box Product Id]], tbl_Product[Product Id], tbl_Product[Min Cost])</f>
        <v/>
      </c>
      <c r="AV183" s="10">
        <f>_xlfn.XLOOKUP(tbl_MTG_Set[[#This Row],[Collector Booster Box Product Id]], tbl_Product[Product Id], tbl_Product[Best Source])</f>
        <v/>
      </c>
      <c r="AW183" s="4">
        <f>_xlfn.XLOOKUP(tbl_MTG_Set[[#This Row],[Collector Booster Box Product Id]], tbl_Product[Product Id], tbl_Product[Pack Size])</f>
        <v/>
      </c>
      <c r="AX183" s="10">
        <f>(tbl_MTG_Set[[#This Row],[Collector Booster Box Cost]] + v_Item_Shipping_Cost_In) / tbl_MTG_Set[[#This Row],[Collector Booster Box Size]]</f>
        <v/>
      </c>
      <c r="AY183" s="10">
        <f t="array" ref="AY1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3" s="10" t="n"/>
      <c r="BA1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3" s="17">
        <f>tbl_MTG_Set[[#This Row],[Collector Booster CardMarket Profit]]/tbl_MTG_Set[[#This Row],[Collector Booster Cost]]</f>
        <v/>
      </c>
      <c r="BC183" s="10" t="n"/>
      <c r="BF183" s="10">
        <f>tbl_MTG_Set[[#This Row],[Play Booster Sell Price CardMarket]]*tbl_MTG_Set[[#This Row],[Play Booster Expected Market Value]]/tbl_MTG_Set[[#This Row],[Play Boost Sealed Market Value]]</f>
        <v/>
      </c>
      <c r="BG1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3" s="10">
        <f>tbl_MTG_Set[[#This Row],[Play Singles CardMarket Profit]]/tbl_MTG_Set[[#This Row],[Play Booster Cost]]</f>
        <v/>
      </c>
      <c r="BI183" s="10">
        <f>tbl_MTG_Set[[#This Row],[Play Singles CardMarket Profit]]&gt;0</f>
        <v/>
      </c>
      <c r="BJ183" s="10" t="n"/>
      <c r="BK183" s="10" t="n"/>
      <c r="BL183" s="10">
        <f>tbl_MTG_Set[[#This Row],[Collector Booster Sell Price CardMarket]]*tbl_MTG_Set[[#This Row],[Collector Booster Expected Market Value]]/tbl_MTG_Set[[#This Row],[Collector Boost Sealed Market Value]]</f>
        <v/>
      </c>
      <c r="BM1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3" s="10">
        <f>tbl_MTG_Set[[#This Row],[Collector Singles CardMarket Profit]]/tbl_MTG_Set[[#This Row],[Collector Booster Cost]]</f>
        <v/>
      </c>
      <c r="BO183" s="10">
        <f>tbl_MTG_Set[[#This Row],[Collector Singles CardMarket Profit]]&gt;0</f>
        <v/>
      </c>
      <c r="BP1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4">
      <c r="A184" t="n">
        <v>182</v>
      </c>
      <c r="B184" t="inlineStr">
        <is>
          <t>March of the Machine MOM</t>
        </is>
      </c>
      <c r="C184" t="n">
        <v>387</v>
      </c>
      <c r="D184" s="3" t="n">
        <v>45037</v>
      </c>
      <c r="E184" t="inlineStr">
        <is>
          <t>Standard Expansion</t>
        </is>
      </c>
      <c r="F184" t="inlineStr">
        <is>
          <t>en es fr de it pt ja ko ru 汉语 漢語</t>
        </is>
      </c>
      <c r="G184" t="n">
        <v>310</v>
      </c>
      <c r="H184">
        <f>MONTH(NOW())+12*YEAR(NOW())-MONTH(tbl_MTG_Set[[#This Row],[Released On]])-12*YEAR(tbl_MTG_Set[[#This Row],[Released On]])</f>
        <v/>
      </c>
      <c r="I184">
        <f>_xlfn.XLOOKUP(tbl_MTG_Set[[#This Row],[Type Name]], tbl_MTG_Set_Type[Set Type], tbl_MTG_Set_Type[Index], "(Set Type not found)")</f>
        <v/>
      </c>
      <c r="J184">
        <f>_xlfn.XLOOKUP(tbl_MTG_Set[[#This Row],[Type Name]], tbl_MTG_Set_Type[Set Type], tbl_MTG_Set_Type[Buy Window Month Start], "(Set Type not found)")</f>
        <v/>
      </c>
      <c r="K184" s="3">
        <f>tbl_MTG_Set[[#This Row],[Released On]]+tbl_MTG_Set[[#This Row],[Buy Window Month Start]]*365.25/12</f>
        <v/>
      </c>
      <c r="L184">
        <f>_xlfn.XLOOKUP(tbl_MTG_Set[[#This Row],[Type Name]], tbl_MTG_Set_Type[Set Type], tbl_MTG_Set_Type[Buy Window Month End], "(Set Type not found)", 0, 1)</f>
        <v/>
      </c>
      <c r="M184" s="3">
        <f>tbl_MTG_Set[[#This Row],[Released On]]+tbl_MTG_Set[[#This Row],[Buy Window Month End]]*365.25/12</f>
        <v/>
      </c>
      <c r="N184" s="3">
        <f>AND(NOW()&gt;=tbl_MTG_Set[[#This Row],[Buy Window Start]], NOW()&lt;=tbl_MTG_Set[[#This Row],[Buy Window End]])</f>
        <v/>
      </c>
      <c r="O184">
        <f>_xlfn.XLOOKUP(tbl_MTG_Set[[#This Row],[Type Name]], tbl_MTG_Set_Type[Set Type], tbl_MTG_Set_Type[Heavy Printing Window Month Start], "(Set Type not found)", 0, 1)</f>
        <v/>
      </c>
      <c r="P184" s="3">
        <f>tbl_MTG_Set[[#This Row],[Released On]]+tbl_MTG_Set[[#This Row],[Heavy Printing Window Month Start]]*365.25/12</f>
        <v/>
      </c>
      <c r="Q184">
        <f>_xlfn.XLOOKUP(tbl_MTG_Set[[#This Row],[Type Name]], tbl_MTG_Set_Type[Set Type], tbl_MTG_Set_Type[Heavy Printing Window Month End], "(Set Type not found)", 0, 1)</f>
        <v/>
      </c>
      <c r="R184" s="3">
        <f>tbl_MTG_Set[[#This Row],[Released On]]+tbl_MTG_Set[[#This Row],[Heavy Printing Window Month End]]*365.25/12</f>
        <v/>
      </c>
      <c r="S184" s="3">
        <f>AND(NOW()&gt;=tbl_MTG_Set[[#This Row],[Heavy Printing Window Start]], NOW()&lt;=tbl_MTG_Set[[#This Row],[Heavy Printing Window End]])</f>
        <v/>
      </c>
      <c r="T184">
        <f>_xlfn.XLOOKUP(tbl_MTG_Set[[#This Row],[Type Name]], tbl_MTG_Set_Type[Set Type], tbl_MTG_Set_Type[Sell Window Month Start], "(Set Type not found)", 0, 1)</f>
        <v/>
      </c>
      <c r="U184" s="3">
        <f>tbl_MTG_Set[[#This Row],[Released On]]+tbl_MTG_Set[[#This Row],[Sell Window Month Start]]*365.25/12</f>
        <v/>
      </c>
      <c r="V184">
        <f>_xlfn.XLOOKUP(tbl_MTG_Set[[#This Row],[Type Name]], tbl_MTG_Set_Type[Set Type], tbl_MTG_Set_Type[Sell Window Month End], "(Set Type not found)", 0, 1)</f>
        <v/>
      </c>
      <c r="W184" s="3">
        <f>tbl_MTG_Set[[#This Row],[Released On]]+tbl_MTG_Set[[#This Row],[Sell Window Month End]]*365.25/12</f>
        <v/>
      </c>
      <c r="X184" s="3">
        <f>AND(NOW()&gt;=tbl_MTG_Set[[#This Row],[Sell Window Start]], NOW()&lt;=tbl_MTG_Set[[#This Row],[Sell Window End]])</f>
        <v/>
      </c>
      <c r="Y184" s="10" t="n">
        <v>117</v>
      </c>
      <c r="Z184" s="10" t="n">
        <v>115</v>
      </c>
      <c r="AD184" s="10">
        <f>(Y184+96/20)/30</f>
        <v/>
      </c>
      <c r="AE184" s="10">
        <f>(Z184+96/20)/30</f>
        <v/>
      </c>
      <c r="AG184" s="10" t="n"/>
      <c r="AH184" s="10" t="n"/>
      <c r="AI184" s="4" t="n">
        <v>59</v>
      </c>
      <c r="AJ184" s="4" t="n">
        <v>14</v>
      </c>
      <c r="AK184" s="4" t="n">
        <v>116</v>
      </c>
      <c r="AL184" s="4" t="n">
        <v>115</v>
      </c>
      <c r="AM184" s="10">
        <f t="array" ref="AM1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4" s="10">
        <f t="array" ref="AN1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4" s="4">
        <f>_xlfn.XLOOKUP(tbl_MTG_Set[[#This Row],[Play Booster Box Product Id]], tbl_Product[Product Id], tbl_Product[Pack Size])</f>
        <v/>
      </c>
      <c r="AP184" s="10">
        <f>(tbl_MTG_Set[[#This Row],[Play Booster Box Cost]]+v_Item_Shipping_Cost_In)/tbl_MTG_Set[[#This Row],[Play Booster Box Size]]</f>
        <v/>
      </c>
      <c r="AQ184" s="10">
        <f t="array" ref="AQ1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4" s="10" t="n">
        <v>5</v>
      </c>
      <c r="AS18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84" s="17">
        <f>tbl_MTG_Set[[#This Row],[Play Booster CardMarket Profit]]/tbl_MTG_Set[[#This Row],[Play Booster Cost]]</f>
        <v/>
      </c>
      <c r="AU184" s="10">
        <f>_xlfn.XLOOKUP(tbl_MTG_Set[[#This Row],[Collector Booster Box Product Id]], tbl_Product[Product Id], tbl_Product[Min Cost])</f>
        <v/>
      </c>
      <c r="AV184" s="10">
        <f>_xlfn.XLOOKUP(tbl_MTG_Set[[#This Row],[Collector Booster Box Product Id]], tbl_Product[Product Id], tbl_Product[Best Source])</f>
        <v/>
      </c>
      <c r="AW184" s="4">
        <f>_xlfn.XLOOKUP(tbl_MTG_Set[[#This Row],[Collector Booster Box Product Id]], tbl_Product[Product Id], tbl_Product[Pack Size])</f>
        <v/>
      </c>
      <c r="AX184" s="10">
        <f>(tbl_MTG_Set[[#This Row],[Collector Booster Box Cost]] + v_Item_Shipping_Cost_In) / tbl_MTG_Set[[#This Row],[Collector Booster Box Size]]</f>
        <v/>
      </c>
      <c r="AY184" s="10">
        <f t="array" ref="AY1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4" s="10" t="n"/>
      <c r="BA1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4" s="17">
        <f>tbl_MTG_Set[[#This Row],[Collector Booster CardMarket Profit]]/tbl_MTG_Set[[#This Row],[Collector Booster Cost]]</f>
        <v/>
      </c>
      <c r="BC184" s="10" t="n"/>
      <c r="BF184" s="10">
        <f>tbl_MTG_Set[[#This Row],[Play Booster Sell Price CardMarket]]*tbl_MTG_Set[[#This Row],[Play Booster Expected Market Value]]/tbl_MTG_Set[[#This Row],[Play Boost Sealed Market Value]]</f>
        <v/>
      </c>
      <c r="BG1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4" s="17">
        <f>tbl_MTG_Set[[#This Row],[Play Singles CardMarket Profit]]/tbl_MTG_Set[[#This Row],[Play Booster Cost]]</f>
        <v/>
      </c>
      <c r="BI184" s="10">
        <f>tbl_MTG_Set[[#This Row],[Play Singles CardMarket Profit]]&gt;0</f>
        <v/>
      </c>
      <c r="BJ184" s="10" t="n"/>
      <c r="BK184" s="10" t="n"/>
      <c r="BL184" s="10">
        <f>tbl_MTG_Set[[#This Row],[Collector Booster Sell Price CardMarket]]*tbl_MTG_Set[[#This Row],[Collector Booster Expected Market Value]]/tbl_MTG_Set[[#This Row],[Collector Boost Sealed Market Value]]</f>
        <v/>
      </c>
      <c r="BM1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4" s="17">
        <f>tbl_MTG_Set[[#This Row],[Collector Singles CardMarket Profit]]/tbl_MTG_Set[[#This Row],[Collector Booster Cost]]</f>
        <v/>
      </c>
      <c r="BO184" s="10">
        <f>tbl_MTG_Set[[#This Row],[Collector Singles CardMarket Profit]]&gt;0</f>
        <v/>
      </c>
      <c r="BP1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5">
      <c r="A185" t="n">
        <v>183</v>
      </c>
      <c r="B185" t="inlineStr">
        <is>
          <t>Multiverse Legends MUL</t>
        </is>
      </c>
      <c r="C185" t="n">
        <v>261</v>
      </c>
      <c r="D185" s="3" t="n">
        <v>45037</v>
      </c>
      <c r="F185" t="inlineStr">
        <is>
          <t>en es fr de it pt ja ko ru 汉语 漢語</t>
        </is>
      </c>
      <c r="G185" t="n">
        <v>312</v>
      </c>
      <c r="H185">
        <f>MONTH(NOW())+12*YEAR(NOW())-MONTH(tbl_MTG_Set[[#This Row],[Released On]])-12*YEAR(tbl_MTG_Set[[#This Row],[Released On]])</f>
        <v/>
      </c>
      <c r="I185">
        <f>_xlfn.XLOOKUP(tbl_MTG_Set[[#This Row],[Type Name]], tbl_MTG_Set_Type[Set Type], tbl_MTG_Set_Type[Index], "(Set Type not found)")</f>
        <v/>
      </c>
      <c r="J185">
        <f>_xlfn.XLOOKUP(tbl_MTG_Set[[#This Row],[Type Name]], tbl_MTG_Set_Type[Set Type], tbl_MTG_Set_Type[Buy Window Month Start], "(Set Type not found)")</f>
        <v/>
      </c>
      <c r="K185" s="3">
        <f>tbl_MTG_Set[[#This Row],[Released On]]+tbl_MTG_Set[[#This Row],[Buy Window Month Start]]*365.25/12</f>
        <v/>
      </c>
      <c r="L185">
        <f>_xlfn.XLOOKUP(tbl_MTG_Set[[#This Row],[Type Name]], tbl_MTG_Set_Type[Set Type], tbl_MTG_Set_Type[Buy Window Month End], "(Set Type not found)", 0, 1)</f>
        <v/>
      </c>
      <c r="M185" s="3">
        <f>tbl_MTG_Set[[#This Row],[Released On]]+tbl_MTG_Set[[#This Row],[Buy Window Month End]]*365.25/12</f>
        <v/>
      </c>
      <c r="N185" s="3">
        <f>AND(NOW()&gt;=tbl_MTG_Set[[#This Row],[Buy Window Start]], NOW()&lt;=tbl_MTG_Set[[#This Row],[Buy Window End]])</f>
        <v/>
      </c>
      <c r="O185">
        <f>_xlfn.XLOOKUP(tbl_MTG_Set[[#This Row],[Type Name]], tbl_MTG_Set_Type[Set Type], tbl_MTG_Set_Type[Heavy Printing Window Month Start], "(Set Type not found)", 0, 1)</f>
        <v/>
      </c>
      <c r="P185" s="3">
        <f>tbl_MTG_Set[[#This Row],[Released On]]+tbl_MTG_Set[[#This Row],[Heavy Printing Window Month Start]]*365.25/12</f>
        <v/>
      </c>
      <c r="Q185">
        <f>_xlfn.XLOOKUP(tbl_MTG_Set[[#This Row],[Type Name]], tbl_MTG_Set_Type[Set Type], tbl_MTG_Set_Type[Heavy Printing Window Month End], "(Set Type not found)", 0, 1)</f>
        <v/>
      </c>
      <c r="R185" s="3">
        <f>tbl_MTG_Set[[#This Row],[Released On]]+tbl_MTG_Set[[#This Row],[Heavy Printing Window Month End]]*365.25/12</f>
        <v/>
      </c>
      <c r="S185" s="3">
        <f>AND(NOW()&gt;=tbl_MTG_Set[[#This Row],[Heavy Printing Window Start]], NOW()&lt;=tbl_MTG_Set[[#This Row],[Heavy Printing Window End]])</f>
        <v/>
      </c>
      <c r="T185">
        <f>_xlfn.XLOOKUP(tbl_MTG_Set[[#This Row],[Type Name]], tbl_MTG_Set_Type[Set Type], tbl_MTG_Set_Type[Sell Window Month Start], "(Set Type not found)", 0, 1)</f>
        <v/>
      </c>
      <c r="U185" s="3">
        <f>tbl_MTG_Set[[#This Row],[Released On]]+tbl_MTG_Set[[#This Row],[Sell Window Month Start]]*365.25/12</f>
        <v/>
      </c>
      <c r="V185">
        <f>_xlfn.XLOOKUP(tbl_MTG_Set[[#This Row],[Type Name]], tbl_MTG_Set_Type[Set Type], tbl_MTG_Set_Type[Sell Window Month End], "(Set Type not found)", 0, 1)</f>
        <v/>
      </c>
      <c r="W185" s="3">
        <f>tbl_MTG_Set[[#This Row],[Released On]]+tbl_MTG_Set[[#This Row],[Sell Window Month End]]*365.25/12</f>
        <v/>
      </c>
      <c r="X185" s="3">
        <f>AND(NOW()&gt;=tbl_MTG_Set[[#This Row],[Sell Window Start]], NOW()&lt;=tbl_MTG_Set[[#This Row],[Sell Window End]])</f>
        <v/>
      </c>
      <c r="AG185" s="10" t="n"/>
      <c r="AH185" s="10" t="n"/>
      <c r="AM185" s="10">
        <f t="array" ref="AM1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5" s="10">
        <f t="array" ref="AN1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5" s="4">
        <f>_xlfn.XLOOKUP(tbl_MTG_Set[[#This Row],[Play Booster Box Product Id]], tbl_Product[Product Id], tbl_Product[Pack Size])</f>
        <v/>
      </c>
      <c r="AP185" s="10">
        <f>(tbl_MTG_Set[[#This Row],[Play Booster Box Cost]]+v_Item_Shipping_Cost_In)/tbl_MTG_Set[[#This Row],[Play Booster Box Size]]</f>
        <v/>
      </c>
      <c r="AQ185" s="10">
        <f t="array" ref="AQ1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5" s="10" t="n"/>
      <c r="AS185" s="10" t="n"/>
      <c r="AT185" s="17">
        <f>tbl_MTG_Set[[#This Row],[Play Booster CardMarket Profit]]/tbl_MTG_Set[[#This Row],[Play Booster Cost]]</f>
        <v/>
      </c>
      <c r="AU185" s="10">
        <f>_xlfn.XLOOKUP(tbl_MTG_Set[[#This Row],[Collector Booster Box Product Id]], tbl_Product[Product Id], tbl_Product[Min Cost])</f>
        <v/>
      </c>
      <c r="AV185" s="10">
        <f>_xlfn.XLOOKUP(tbl_MTG_Set[[#This Row],[Collector Booster Box Product Id]], tbl_Product[Product Id], tbl_Product[Best Source])</f>
        <v/>
      </c>
      <c r="AW185" s="4">
        <f>_xlfn.XLOOKUP(tbl_MTG_Set[[#This Row],[Collector Booster Box Product Id]], tbl_Product[Product Id], tbl_Product[Pack Size])</f>
        <v/>
      </c>
      <c r="AX185" s="10">
        <f>(tbl_MTG_Set[[#This Row],[Collector Booster Box Cost]] + v_Item_Shipping_Cost_In) / tbl_MTG_Set[[#This Row],[Collector Booster Box Size]]</f>
        <v/>
      </c>
      <c r="AY185" s="10">
        <f t="array" ref="AY1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5" s="10" t="n"/>
      <c r="BA1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5" s="17">
        <f>tbl_MTG_Set[[#This Row],[Collector Booster CardMarket Profit]]/tbl_MTG_Set[[#This Row],[Collector Booster Cost]]</f>
        <v/>
      </c>
      <c r="BC185" s="10" t="n"/>
      <c r="BF185" s="10">
        <f>tbl_MTG_Set[[#This Row],[Play Booster Sell Price CardMarket]]*tbl_MTG_Set[[#This Row],[Play Booster Expected Market Value]]/tbl_MTG_Set[[#This Row],[Play Boost Sealed Market Value]]</f>
        <v/>
      </c>
      <c r="BG1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5" s="10">
        <f>tbl_MTG_Set[[#This Row],[Play Singles CardMarket Profit]]/tbl_MTG_Set[[#This Row],[Play Booster Cost]]</f>
        <v/>
      </c>
      <c r="BI185" s="10">
        <f>tbl_MTG_Set[[#This Row],[Play Singles CardMarket Profit]]&gt;0</f>
        <v/>
      </c>
      <c r="BJ185" s="10" t="n"/>
      <c r="BK185" s="10" t="n"/>
      <c r="BL185" s="10">
        <f>tbl_MTG_Set[[#This Row],[Collector Booster Sell Price CardMarket]]*tbl_MTG_Set[[#This Row],[Collector Booster Expected Market Value]]/tbl_MTG_Set[[#This Row],[Collector Boost Sealed Market Value]]</f>
        <v/>
      </c>
      <c r="BM1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5" s="10">
        <f>tbl_MTG_Set[[#This Row],[Collector Singles CardMarket Profit]]/tbl_MTG_Set[[#This Row],[Collector Booster Cost]]</f>
        <v/>
      </c>
      <c r="BO185" s="10">
        <f>tbl_MTG_Set[[#This Row],[Collector Singles CardMarket Profit]]&gt;0</f>
        <v/>
      </c>
      <c r="BP1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6">
      <c r="A186" t="n">
        <v>184</v>
      </c>
      <c r="B186" t="inlineStr">
        <is>
          <t>Multiverse Legends Tokens TMUL</t>
        </is>
      </c>
      <c r="C186" t="n">
        <v>2</v>
      </c>
      <c r="D186" s="3" t="n">
        <v>45037</v>
      </c>
      <c r="F186" t="inlineStr">
        <is>
          <t>en es fr de it pt ja ko ru 汉语 漢語</t>
        </is>
      </c>
      <c r="G186" t="n">
        <v>314</v>
      </c>
      <c r="H186">
        <f>MONTH(NOW())+12*YEAR(NOW())-MONTH(tbl_MTG_Set[[#This Row],[Released On]])-12*YEAR(tbl_MTG_Set[[#This Row],[Released On]])</f>
        <v/>
      </c>
      <c r="I186">
        <f>_xlfn.XLOOKUP(tbl_MTG_Set[[#This Row],[Type Name]], tbl_MTG_Set_Type[Set Type], tbl_MTG_Set_Type[Index], "(Set Type not found)")</f>
        <v/>
      </c>
      <c r="J186">
        <f>_xlfn.XLOOKUP(tbl_MTG_Set[[#This Row],[Type Name]], tbl_MTG_Set_Type[Set Type], tbl_MTG_Set_Type[Buy Window Month Start], "(Set Type not found)")</f>
        <v/>
      </c>
      <c r="K186" s="3">
        <f>tbl_MTG_Set[[#This Row],[Released On]]+tbl_MTG_Set[[#This Row],[Buy Window Month Start]]*365.25/12</f>
        <v/>
      </c>
      <c r="L186">
        <f>_xlfn.XLOOKUP(tbl_MTG_Set[[#This Row],[Type Name]], tbl_MTG_Set_Type[Set Type], tbl_MTG_Set_Type[Buy Window Month End], "(Set Type not found)", 0, 1)</f>
        <v/>
      </c>
      <c r="M186" s="3">
        <f>tbl_MTG_Set[[#This Row],[Released On]]+tbl_MTG_Set[[#This Row],[Buy Window Month End]]*365.25/12</f>
        <v/>
      </c>
      <c r="N186" s="3">
        <f>AND(NOW()&gt;=tbl_MTG_Set[[#This Row],[Buy Window Start]], NOW()&lt;=tbl_MTG_Set[[#This Row],[Buy Window End]])</f>
        <v/>
      </c>
      <c r="O186">
        <f>_xlfn.XLOOKUP(tbl_MTG_Set[[#This Row],[Type Name]], tbl_MTG_Set_Type[Set Type], tbl_MTG_Set_Type[Heavy Printing Window Month Start], "(Set Type not found)", 0, 1)</f>
        <v/>
      </c>
      <c r="P186" s="3">
        <f>tbl_MTG_Set[[#This Row],[Released On]]+tbl_MTG_Set[[#This Row],[Heavy Printing Window Month Start]]*365.25/12</f>
        <v/>
      </c>
      <c r="Q186">
        <f>_xlfn.XLOOKUP(tbl_MTG_Set[[#This Row],[Type Name]], tbl_MTG_Set_Type[Set Type], tbl_MTG_Set_Type[Heavy Printing Window Month End], "(Set Type not found)", 0, 1)</f>
        <v/>
      </c>
      <c r="R186" s="3">
        <f>tbl_MTG_Set[[#This Row],[Released On]]+tbl_MTG_Set[[#This Row],[Heavy Printing Window Month End]]*365.25/12</f>
        <v/>
      </c>
      <c r="S186" s="3">
        <f>AND(NOW()&gt;=tbl_MTG_Set[[#This Row],[Heavy Printing Window Start]], NOW()&lt;=tbl_MTG_Set[[#This Row],[Heavy Printing Window End]])</f>
        <v/>
      </c>
      <c r="T186">
        <f>_xlfn.XLOOKUP(tbl_MTG_Set[[#This Row],[Type Name]], tbl_MTG_Set_Type[Set Type], tbl_MTG_Set_Type[Sell Window Month Start], "(Set Type not found)", 0, 1)</f>
        <v/>
      </c>
      <c r="U186" s="3">
        <f>tbl_MTG_Set[[#This Row],[Released On]]+tbl_MTG_Set[[#This Row],[Sell Window Month Start]]*365.25/12</f>
        <v/>
      </c>
      <c r="V186">
        <f>_xlfn.XLOOKUP(tbl_MTG_Set[[#This Row],[Type Name]], tbl_MTG_Set_Type[Set Type], tbl_MTG_Set_Type[Sell Window Month End], "(Set Type not found)", 0, 1)</f>
        <v/>
      </c>
      <c r="W186" s="3">
        <f>tbl_MTG_Set[[#This Row],[Released On]]+tbl_MTG_Set[[#This Row],[Sell Window Month End]]*365.25/12</f>
        <v/>
      </c>
      <c r="X186" s="3">
        <f>AND(NOW()&gt;=tbl_MTG_Set[[#This Row],[Sell Window Start]], NOW()&lt;=tbl_MTG_Set[[#This Row],[Sell Window End]])</f>
        <v/>
      </c>
      <c r="AG186" s="10" t="n"/>
      <c r="AH186" s="10" t="n"/>
      <c r="AM186" s="10">
        <f t="array" ref="AM1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6" s="10">
        <f t="array" ref="AN1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6" s="4">
        <f>_xlfn.XLOOKUP(tbl_MTG_Set[[#This Row],[Play Booster Box Product Id]], tbl_Product[Product Id], tbl_Product[Pack Size])</f>
        <v/>
      </c>
      <c r="AP186" s="10">
        <f>(tbl_MTG_Set[[#This Row],[Play Booster Box Cost]]+v_Item_Shipping_Cost_In)/tbl_MTG_Set[[#This Row],[Play Booster Box Size]]</f>
        <v/>
      </c>
      <c r="AQ186" s="10">
        <f t="array" ref="AQ1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6" s="10" t="n"/>
      <c r="AS186" s="10" t="n"/>
      <c r="AT186" s="17">
        <f>tbl_MTG_Set[[#This Row],[Play Booster CardMarket Profit]]/tbl_MTG_Set[[#This Row],[Play Booster Cost]]</f>
        <v/>
      </c>
      <c r="AU186" s="10">
        <f>_xlfn.XLOOKUP(tbl_MTG_Set[[#This Row],[Collector Booster Box Product Id]], tbl_Product[Product Id], tbl_Product[Min Cost])</f>
        <v/>
      </c>
      <c r="AV186" s="10">
        <f>_xlfn.XLOOKUP(tbl_MTG_Set[[#This Row],[Collector Booster Box Product Id]], tbl_Product[Product Id], tbl_Product[Best Source])</f>
        <v/>
      </c>
      <c r="AW186" s="4">
        <f>_xlfn.XLOOKUP(tbl_MTG_Set[[#This Row],[Collector Booster Box Product Id]], tbl_Product[Product Id], tbl_Product[Pack Size])</f>
        <v/>
      </c>
      <c r="AX186" s="10">
        <f>(tbl_MTG_Set[[#This Row],[Collector Booster Box Cost]] + v_Item_Shipping_Cost_In) / tbl_MTG_Set[[#This Row],[Collector Booster Box Size]]</f>
        <v/>
      </c>
      <c r="AY186" s="10">
        <f t="array" ref="AY1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6" s="10" t="n"/>
      <c r="BA1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6" s="17">
        <f>tbl_MTG_Set[[#This Row],[Collector Booster CardMarket Profit]]/tbl_MTG_Set[[#This Row],[Collector Booster Cost]]</f>
        <v/>
      </c>
      <c r="BC186" s="10" t="n"/>
      <c r="BF186" s="10">
        <f>tbl_MTG_Set[[#This Row],[Play Booster Sell Price CardMarket]]*tbl_MTG_Set[[#This Row],[Play Booster Expected Market Value]]/tbl_MTG_Set[[#This Row],[Play Boost Sealed Market Value]]</f>
        <v/>
      </c>
      <c r="BG1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6" s="10">
        <f>tbl_MTG_Set[[#This Row],[Play Singles CardMarket Profit]]/tbl_MTG_Set[[#This Row],[Play Booster Cost]]</f>
        <v/>
      </c>
      <c r="BI186" s="10">
        <f>tbl_MTG_Set[[#This Row],[Play Singles CardMarket Profit]]&gt;0</f>
        <v/>
      </c>
      <c r="BJ186" s="10" t="n"/>
      <c r="BK186" s="10" t="n"/>
      <c r="BL186" s="10">
        <f>tbl_MTG_Set[[#This Row],[Collector Booster Sell Price CardMarket]]*tbl_MTG_Set[[#This Row],[Collector Booster Expected Market Value]]/tbl_MTG_Set[[#This Row],[Collector Boost Sealed Market Value]]</f>
        <v/>
      </c>
      <c r="BM1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6" s="10">
        <f>tbl_MTG_Set[[#This Row],[Collector Singles CardMarket Profit]]/tbl_MTG_Set[[#This Row],[Collector Booster Cost]]</f>
        <v/>
      </c>
      <c r="BO186" s="10">
        <f>tbl_MTG_Set[[#This Row],[Collector Singles CardMarket Profit]]&gt;0</f>
        <v/>
      </c>
      <c r="BP1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7">
      <c r="A187" t="n">
        <v>185</v>
      </c>
      <c r="B187" t="inlineStr">
        <is>
          <t>March of the Machine Promos PMOM</t>
        </is>
      </c>
      <c r="C187" t="n">
        <v>134</v>
      </c>
      <c r="D187" s="3" t="n">
        <v>45037</v>
      </c>
      <c r="E187" t="inlineStr">
        <is>
          <t>Standard Expansion</t>
        </is>
      </c>
      <c r="F187" t="inlineStr">
        <is>
          <t>en es fr de it pt ja ko ru 汉语 漢語</t>
        </is>
      </c>
      <c r="G187" t="n">
        <v>316</v>
      </c>
      <c r="H187">
        <f>MONTH(NOW())+12*YEAR(NOW())-MONTH(tbl_MTG_Set[[#This Row],[Released On]])-12*YEAR(tbl_MTG_Set[[#This Row],[Released On]])</f>
        <v/>
      </c>
      <c r="I187">
        <f>_xlfn.XLOOKUP(tbl_MTG_Set[[#This Row],[Type Name]], tbl_MTG_Set_Type[Set Type], tbl_MTG_Set_Type[Index], "(Set Type not found)")</f>
        <v/>
      </c>
      <c r="J187">
        <f>_xlfn.XLOOKUP(tbl_MTG_Set[[#This Row],[Type Name]], tbl_MTG_Set_Type[Set Type], tbl_MTG_Set_Type[Buy Window Month Start], "(Set Type not found)")</f>
        <v/>
      </c>
      <c r="K187" s="3">
        <f>tbl_MTG_Set[[#This Row],[Released On]]+tbl_MTG_Set[[#This Row],[Buy Window Month Start]]*365.25/12</f>
        <v/>
      </c>
      <c r="L187">
        <f>_xlfn.XLOOKUP(tbl_MTG_Set[[#This Row],[Type Name]], tbl_MTG_Set_Type[Set Type], tbl_MTG_Set_Type[Buy Window Month End], "(Set Type not found)", 0, 1)</f>
        <v/>
      </c>
      <c r="M187" s="3">
        <f>tbl_MTG_Set[[#This Row],[Released On]]+tbl_MTG_Set[[#This Row],[Buy Window Month End]]*365.25/12</f>
        <v/>
      </c>
      <c r="N187" s="3">
        <f>AND(NOW()&gt;=tbl_MTG_Set[[#This Row],[Buy Window Start]], NOW()&lt;=tbl_MTG_Set[[#This Row],[Buy Window End]])</f>
        <v/>
      </c>
      <c r="O187">
        <f>_xlfn.XLOOKUP(tbl_MTG_Set[[#This Row],[Type Name]], tbl_MTG_Set_Type[Set Type], tbl_MTG_Set_Type[Heavy Printing Window Month Start], "(Set Type not found)", 0, 1)</f>
        <v/>
      </c>
      <c r="P187" s="3">
        <f>tbl_MTG_Set[[#This Row],[Released On]]+tbl_MTG_Set[[#This Row],[Heavy Printing Window Month Start]]*365.25/12</f>
        <v/>
      </c>
      <c r="Q187">
        <f>_xlfn.XLOOKUP(tbl_MTG_Set[[#This Row],[Type Name]], tbl_MTG_Set_Type[Set Type], tbl_MTG_Set_Type[Heavy Printing Window Month End], "(Set Type not found)", 0, 1)</f>
        <v/>
      </c>
      <c r="R187" s="3">
        <f>tbl_MTG_Set[[#This Row],[Released On]]+tbl_MTG_Set[[#This Row],[Heavy Printing Window Month End]]*365.25/12</f>
        <v/>
      </c>
      <c r="S187" s="3">
        <f>AND(NOW()&gt;=tbl_MTG_Set[[#This Row],[Heavy Printing Window Start]], NOW()&lt;=tbl_MTG_Set[[#This Row],[Heavy Printing Window End]])</f>
        <v/>
      </c>
      <c r="T187">
        <f>_xlfn.XLOOKUP(tbl_MTG_Set[[#This Row],[Type Name]], tbl_MTG_Set_Type[Set Type], tbl_MTG_Set_Type[Sell Window Month Start], "(Set Type not found)", 0, 1)</f>
        <v/>
      </c>
      <c r="U187" s="3">
        <f>tbl_MTG_Set[[#This Row],[Released On]]+tbl_MTG_Set[[#This Row],[Sell Window Month Start]]*365.25/12</f>
        <v/>
      </c>
      <c r="V187">
        <f>_xlfn.XLOOKUP(tbl_MTG_Set[[#This Row],[Type Name]], tbl_MTG_Set_Type[Set Type], tbl_MTG_Set_Type[Sell Window Month End], "(Set Type not found)", 0, 1)</f>
        <v/>
      </c>
      <c r="W187" s="3">
        <f>tbl_MTG_Set[[#This Row],[Released On]]+tbl_MTG_Set[[#This Row],[Sell Window Month End]]*365.25/12</f>
        <v/>
      </c>
      <c r="X187" s="3">
        <f>AND(NOW()&gt;=tbl_MTG_Set[[#This Row],[Sell Window Start]], NOW()&lt;=tbl_MTG_Set[[#This Row],[Sell Window End]])</f>
        <v/>
      </c>
      <c r="AG187" s="10" t="n"/>
      <c r="AH187" s="10" t="n"/>
      <c r="AM187" s="10">
        <f t="array" ref="AM1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7" s="10">
        <f t="array" ref="AN1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7" s="4">
        <f>_xlfn.XLOOKUP(tbl_MTG_Set[[#This Row],[Play Booster Box Product Id]], tbl_Product[Product Id], tbl_Product[Pack Size])</f>
        <v/>
      </c>
      <c r="AP187" s="10">
        <f>(tbl_MTG_Set[[#This Row],[Play Booster Box Cost]]+v_Item_Shipping_Cost_In)/tbl_MTG_Set[[#This Row],[Play Booster Box Size]]</f>
        <v/>
      </c>
      <c r="AQ187" s="10">
        <f t="array" ref="AQ1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7" s="10" t="n"/>
      <c r="AS187" s="10" t="n"/>
      <c r="AT187" s="17">
        <f>tbl_MTG_Set[[#This Row],[Play Booster CardMarket Profit]]/tbl_MTG_Set[[#This Row],[Play Booster Cost]]</f>
        <v/>
      </c>
      <c r="AU187" s="10">
        <f>_xlfn.XLOOKUP(tbl_MTG_Set[[#This Row],[Collector Booster Box Product Id]], tbl_Product[Product Id], tbl_Product[Min Cost])</f>
        <v/>
      </c>
      <c r="AV187" s="10">
        <f>_xlfn.XLOOKUP(tbl_MTG_Set[[#This Row],[Collector Booster Box Product Id]], tbl_Product[Product Id], tbl_Product[Best Source])</f>
        <v/>
      </c>
      <c r="AW187" s="4">
        <f>_xlfn.XLOOKUP(tbl_MTG_Set[[#This Row],[Collector Booster Box Product Id]], tbl_Product[Product Id], tbl_Product[Pack Size])</f>
        <v/>
      </c>
      <c r="AX187" s="10">
        <f>(tbl_MTG_Set[[#This Row],[Collector Booster Box Cost]] + v_Item_Shipping_Cost_In) / tbl_MTG_Set[[#This Row],[Collector Booster Box Size]]</f>
        <v/>
      </c>
      <c r="AY187" s="10">
        <f t="array" ref="AY1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7" s="10" t="n"/>
      <c r="BA1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7" s="17">
        <f>tbl_MTG_Set[[#This Row],[Collector Booster CardMarket Profit]]/tbl_MTG_Set[[#This Row],[Collector Booster Cost]]</f>
        <v/>
      </c>
      <c r="BC187" s="10" t="n"/>
      <c r="BF187" s="10">
        <f>tbl_MTG_Set[[#This Row],[Play Booster Sell Price CardMarket]]*tbl_MTG_Set[[#This Row],[Play Booster Expected Market Value]]/tbl_MTG_Set[[#This Row],[Play Boost Sealed Market Value]]</f>
        <v/>
      </c>
      <c r="BG1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7" s="10">
        <f>tbl_MTG_Set[[#This Row],[Play Singles CardMarket Profit]]/tbl_MTG_Set[[#This Row],[Play Booster Cost]]</f>
        <v/>
      </c>
      <c r="BI187" s="10">
        <f>tbl_MTG_Set[[#This Row],[Play Singles CardMarket Profit]]&gt;0</f>
        <v/>
      </c>
      <c r="BJ187" s="10" t="n"/>
      <c r="BK187" s="10" t="n"/>
      <c r="BL187" s="10">
        <f>tbl_MTG_Set[[#This Row],[Collector Booster Sell Price CardMarket]]*tbl_MTG_Set[[#This Row],[Collector Booster Expected Market Value]]/tbl_MTG_Set[[#This Row],[Collector Boost Sealed Market Value]]</f>
        <v/>
      </c>
      <c r="BM1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7" s="10">
        <f>tbl_MTG_Set[[#This Row],[Collector Singles CardMarket Profit]]/tbl_MTG_Set[[#This Row],[Collector Booster Cost]]</f>
        <v/>
      </c>
      <c r="BO187" s="10">
        <f>tbl_MTG_Set[[#This Row],[Collector Singles CardMarket Profit]]&gt;0</f>
        <v/>
      </c>
      <c r="BP1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8">
      <c r="A188" t="n">
        <v>186</v>
      </c>
      <c r="B188" t="inlineStr">
        <is>
          <t>March of the Machine Tokens TMOM</t>
        </is>
      </c>
      <c r="C188" t="n">
        <v>23</v>
      </c>
      <c r="D188" s="3" t="n">
        <v>45037</v>
      </c>
      <c r="E188" t="inlineStr">
        <is>
          <t>Standard Expansion</t>
        </is>
      </c>
      <c r="F188" t="inlineStr">
        <is>
          <t>en es fr de it pt ja ko ru 汉语 漢語</t>
        </is>
      </c>
      <c r="G188" t="n">
        <v>318</v>
      </c>
      <c r="H188">
        <f>MONTH(NOW())+12*YEAR(NOW())-MONTH(tbl_MTG_Set[[#This Row],[Released On]])-12*YEAR(tbl_MTG_Set[[#This Row],[Released On]])</f>
        <v/>
      </c>
      <c r="I188">
        <f>_xlfn.XLOOKUP(tbl_MTG_Set[[#This Row],[Type Name]], tbl_MTG_Set_Type[Set Type], tbl_MTG_Set_Type[Index], "(Set Type not found)")</f>
        <v/>
      </c>
      <c r="J188">
        <f>_xlfn.XLOOKUP(tbl_MTG_Set[[#This Row],[Type Name]], tbl_MTG_Set_Type[Set Type], tbl_MTG_Set_Type[Buy Window Month Start], "(Set Type not found)")</f>
        <v/>
      </c>
      <c r="K188" s="3">
        <f>tbl_MTG_Set[[#This Row],[Released On]]+tbl_MTG_Set[[#This Row],[Buy Window Month Start]]*365.25/12</f>
        <v/>
      </c>
      <c r="L188">
        <f>_xlfn.XLOOKUP(tbl_MTG_Set[[#This Row],[Type Name]], tbl_MTG_Set_Type[Set Type], tbl_MTG_Set_Type[Buy Window Month End], "(Set Type not found)", 0, 1)</f>
        <v/>
      </c>
      <c r="M188" s="3">
        <f>tbl_MTG_Set[[#This Row],[Released On]]+tbl_MTG_Set[[#This Row],[Buy Window Month End]]*365.25/12</f>
        <v/>
      </c>
      <c r="N188" s="3">
        <f>AND(NOW()&gt;=tbl_MTG_Set[[#This Row],[Buy Window Start]], NOW()&lt;=tbl_MTG_Set[[#This Row],[Buy Window End]])</f>
        <v/>
      </c>
      <c r="O188">
        <f>_xlfn.XLOOKUP(tbl_MTG_Set[[#This Row],[Type Name]], tbl_MTG_Set_Type[Set Type], tbl_MTG_Set_Type[Heavy Printing Window Month Start], "(Set Type not found)", 0, 1)</f>
        <v/>
      </c>
      <c r="P188" s="3">
        <f>tbl_MTG_Set[[#This Row],[Released On]]+tbl_MTG_Set[[#This Row],[Heavy Printing Window Month Start]]*365.25/12</f>
        <v/>
      </c>
      <c r="Q188">
        <f>_xlfn.XLOOKUP(tbl_MTG_Set[[#This Row],[Type Name]], tbl_MTG_Set_Type[Set Type], tbl_MTG_Set_Type[Heavy Printing Window Month End], "(Set Type not found)", 0, 1)</f>
        <v/>
      </c>
      <c r="R188" s="3">
        <f>tbl_MTG_Set[[#This Row],[Released On]]+tbl_MTG_Set[[#This Row],[Heavy Printing Window Month End]]*365.25/12</f>
        <v/>
      </c>
      <c r="S188" s="3">
        <f>AND(NOW()&gt;=tbl_MTG_Set[[#This Row],[Heavy Printing Window Start]], NOW()&lt;=tbl_MTG_Set[[#This Row],[Heavy Printing Window End]])</f>
        <v/>
      </c>
      <c r="T188">
        <f>_xlfn.XLOOKUP(tbl_MTG_Set[[#This Row],[Type Name]], tbl_MTG_Set_Type[Set Type], tbl_MTG_Set_Type[Sell Window Month Start], "(Set Type not found)", 0, 1)</f>
        <v/>
      </c>
      <c r="U188" s="3">
        <f>tbl_MTG_Set[[#This Row],[Released On]]+tbl_MTG_Set[[#This Row],[Sell Window Month Start]]*365.25/12</f>
        <v/>
      </c>
      <c r="V188">
        <f>_xlfn.XLOOKUP(tbl_MTG_Set[[#This Row],[Type Name]], tbl_MTG_Set_Type[Set Type], tbl_MTG_Set_Type[Sell Window Month End], "(Set Type not found)", 0, 1)</f>
        <v/>
      </c>
      <c r="W188" s="3">
        <f>tbl_MTG_Set[[#This Row],[Released On]]+tbl_MTG_Set[[#This Row],[Sell Window Month End]]*365.25/12</f>
        <v/>
      </c>
      <c r="X188" s="3">
        <f>AND(NOW()&gt;=tbl_MTG_Set[[#This Row],[Sell Window Start]], NOW()&lt;=tbl_MTG_Set[[#This Row],[Sell Window End]])</f>
        <v/>
      </c>
      <c r="AG188" s="10" t="n"/>
      <c r="AH188" s="10" t="n"/>
      <c r="AM188" s="10">
        <f t="array" ref="AM1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8" s="10">
        <f t="array" ref="AN1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8" s="4">
        <f>_xlfn.XLOOKUP(tbl_MTG_Set[[#This Row],[Play Booster Box Product Id]], tbl_Product[Product Id], tbl_Product[Pack Size])</f>
        <v/>
      </c>
      <c r="AP188" s="10">
        <f>(tbl_MTG_Set[[#This Row],[Play Booster Box Cost]]+v_Item_Shipping_Cost_In)/tbl_MTG_Set[[#This Row],[Play Booster Box Size]]</f>
        <v/>
      </c>
      <c r="AQ188" s="10">
        <f t="array" ref="AQ1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8" s="10" t="n"/>
      <c r="AS188" s="10" t="n"/>
      <c r="AT188" s="17">
        <f>tbl_MTG_Set[[#This Row],[Play Booster CardMarket Profit]]/tbl_MTG_Set[[#This Row],[Play Booster Cost]]</f>
        <v/>
      </c>
      <c r="AU188" s="10">
        <f>_xlfn.XLOOKUP(tbl_MTG_Set[[#This Row],[Collector Booster Box Product Id]], tbl_Product[Product Id], tbl_Product[Min Cost])</f>
        <v/>
      </c>
      <c r="AV188" s="10">
        <f>_xlfn.XLOOKUP(tbl_MTG_Set[[#This Row],[Collector Booster Box Product Id]], tbl_Product[Product Id], tbl_Product[Best Source])</f>
        <v/>
      </c>
      <c r="AW188" s="4">
        <f>_xlfn.XLOOKUP(tbl_MTG_Set[[#This Row],[Collector Booster Box Product Id]], tbl_Product[Product Id], tbl_Product[Pack Size])</f>
        <v/>
      </c>
      <c r="AX188" s="10">
        <f>(tbl_MTG_Set[[#This Row],[Collector Booster Box Cost]] + v_Item_Shipping_Cost_In) / tbl_MTG_Set[[#This Row],[Collector Booster Box Size]]</f>
        <v/>
      </c>
      <c r="AY188" s="10">
        <f t="array" ref="AY1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8" s="10" t="n"/>
      <c r="BA1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8" s="17">
        <f>tbl_MTG_Set[[#This Row],[Collector Booster CardMarket Profit]]/tbl_MTG_Set[[#This Row],[Collector Booster Cost]]</f>
        <v/>
      </c>
      <c r="BC188" s="10" t="n"/>
      <c r="BF188" s="10">
        <f>tbl_MTG_Set[[#This Row],[Play Booster Sell Price CardMarket]]*tbl_MTG_Set[[#This Row],[Play Booster Expected Market Value]]/tbl_MTG_Set[[#This Row],[Play Boost Sealed Market Value]]</f>
        <v/>
      </c>
      <c r="BG1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8" s="10">
        <f>tbl_MTG_Set[[#This Row],[Play Singles CardMarket Profit]]/tbl_MTG_Set[[#This Row],[Play Booster Cost]]</f>
        <v/>
      </c>
      <c r="BI188" s="10">
        <f>tbl_MTG_Set[[#This Row],[Play Singles CardMarket Profit]]&gt;0</f>
        <v/>
      </c>
      <c r="BJ188" s="10" t="n"/>
      <c r="BK188" s="10" t="n"/>
      <c r="BL188" s="10">
        <f>tbl_MTG_Set[[#This Row],[Collector Booster Sell Price CardMarket]]*tbl_MTG_Set[[#This Row],[Collector Booster Expected Market Value]]/tbl_MTG_Set[[#This Row],[Collector Boost Sealed Market Value]]</f>
        <v/>
      </c>
      <c r="BM1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8" s="10">
        <f>tbl_MTG_Set[[#This Row],[Collector Singles CardMarket Profit]]/tbl_MTG_Set[[#This Row],[Collector Booster Cost]]</f>
        <v/>
      </c>
      <c r="BO188" s="10">
        <f>tbl_MTG_Set[[#This Row],[Collector Singles CardMarket Profit]]&gt;0</f>
        <v/>
      </c>
      <c r="BP1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9">
      <c r="A189" t="n">
        <v>187</v>
      </c>
      <c r="B189" t="inlineStr">
        <is>
          <t>March of the Machine Jumpstart Front Cards FMOM</t>
        </is>
      </c>
      <c r="C189" t="n">
        <v>5</v>
      </c>
      <c r="D189" s="3" t="n">
        <v>45037</v>
      </c>
      <c r="E189" t="inlineStr">
        <is>
          <t>Standard Expansion</t>
        </is>
      </c>
      <c r="F189" t="inlineStr">
        <is>
          <t>en es fr de it pt ja ko ru 汉语 漢語</t>
        </is>
      </c>
      <c r="G189" t="n">
        <v>320</v>
      </c>
      <c r="H189">
        <f>MONTH(NOW())+12*YEAR(NOW())-MONTH(tbl_MTG_Set[[#This Row],[Released On]])-12*YEAR(tbl_MTG_Set[[#This Row],[Released On]])</f>
        <v/>
      </c>
      <c r="I189">
        <f>_xlfn.XLOOKUP(tbl_MTG_Set[[#This Row],[Type Name]], tbl_MTG_Set_Type[Set Type], tbl_MTG_Set_Type[Index], "(Set Type not found)")</f>
        <v/>
      </c>
      <c r="J189">
        <f>_xlfn.XLOOKUP(tbl_MTG_Set[[#This Row],[Type Name]], tbl_MTG_Set_Type[Set Type], tbl_MTG_Set_Type[Buy Window Month Start], "(Set Type not found)")</f>
        <v/>
      </c>
      <c r="K189" s="3">
        <f>tbl_MTG_Set[[#This Row],[Released On]]+tbl_MTG_Set[[#This Row],[Buy Window Month Start]]*365.25/12</f>
        <v/>
      </c>
      <c r="L189">
        <f>_xlfn.XLOOKUP(tbl_MTG_Set[[#This Row],[Type Name]], tbl_MTG_Set_Type[Set Type], tbl_MTG_Set_Type[Buy Window Month End], "(Set Type not found)", 0, 1)</f>
        <v/>
      </c>
      <c r="M189" s="3">
        <f>tbl_MTG_Set[[#This Row],[Released On]]+tbl_MTG_Set[[#This Row],[Buy Window Month End]]*365.25/12</f>
        <v/>
      </c>
      <c r="N189" s="3">
        <f>AND(NOW()&gt;=tbl_MTG_Set[[#This Row],[Buy Window Start]], NOW()&lt;=tbl_MTG_Set[[#This Row],[Buy Window End]])</f>
        <v/>
      </c>
      <c r="O189">
        <f>_xlfn.XLOOKUP(tbl_MTG_Set[[#This Row],[Type Name]], tbl_MTG_Set_Type[Set Type], tbl_MTG_Set_Type[Heavy Printing Window Month Start], "(Set Type not found)", 0, 1)</f>
        <v/>
      </c>
      <c r="P189" s="3">
        <f>tbl_MTG_Set[[#This Row],[Released On]]+tbl_MTG_Set[[#This Row],[Heavy Printing Window Month Start]]*365.25/12</f>
        <v/>
      </c>
      <c r="Q189">
        <f>_xlfn.XLOOKUP(tbl_MTG_Set[[#This Row],[Type Name]], tbl_MTG_Set_Type[Set Type], tbl_MTG_Set_Type[Heavy Printing Window Month End], "(Set Type not found)", 0, 1)</f>
        <v/>
      </c>
      <c r="R189" s="3">
        <f>tbl_MTG_Set[[#This Row],[Released On]]+tbl_MTG_Set[[#This Row],[Heavy Printing Window Month End]]*365.25/12</f>
        <v/>
      </c>
      <c r="S189" s="3">
        <f>AND(NOW()&gt;=tbl_MTG_Set[[#This Row],[Heavy Printing Window Start]], NOW()&lt;=tbl_MTG_Set[[#This Row],[Heavy Printing Window End]])</f>
        <v/>
      </c>
      <c r="T189">
        <f>_xlfn.XLOOKUP(tbl_MTG_Set[[#This Row],[Type Name]], tbl_MTG_Set_Type[Set Type], tbl_MTG_Set_Type[Sell Window Month Start], "(Set Type not found)", 0, 1)</f>
        <v/>
      </c>
      <c r="U189" s="3">
        <f>tbl_MTG_Set[[#This Row],[Released On]]+tbl_MTG_Set[[#This Row],[Sell Window Month Start]]*365.25/12</f>
        <v/>
      </c>
      <c r="V189">
        <f>_xlfn.XLOOKUP(tbl_MTG_Set[[#This Row],[Type Name]], tbl_MTG_Set_Type[Set Type], tbl_MTG_Set_Type[Sell Window Month End], "(Set Type not found)", 0, 1)</f>
        <v/>
      </c>
      <c r="W189" s="3">
        <f>tbl_MTG_Set[[#This Row],[Released On]]+tbl_MTG_Set[[#This Row],[Sell Window Month End]]*365.25/12</f>
        <v/>
      </c>
      <c r="X189" s="3">
        <f>AND(NOW()&gt;=tbl_MTG_Set[[#This Row],[Sell Window Start]], NOW()&lt;=tbl_MTG_Set[[#This Row],[Sell Window End]])</f>
        <v/>
      </c>
      <c r="AG189" s="10" t="n"/>
      <c r="AH189" s="10" t="n"/>
      <c r="AM189" s="10">
        <f t="array" ref="AM1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9" s="10">
        <f t="array" ref="AN1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9" s="4">
        <f>_xlfn.XLOOKUP(tbl_MTG_Set[[#This Row],[Play Booster Box Product Id]], tbl_Product[Product Id], tbl_Product[Pack Size])</f>
        <v/>
      </c>
      <c r="AP189" s="10">
        <f>(tbl_MTG_Set[[#This Row],[Play Booster Box Cost]]+v_Item_Shipping_Cost_In)/tbl_MTG_Set[[#This Row],[Play Booster Box Size]]</f>
        <v/>
      </c>
      <c r="AQ189" s="10">
        <f t="array" ref="AQ1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89" s="10" t="n"/>
      <c r="AS189" s="10" t="n"/>
      <c r="AT189" s="17">
        <f>tbl_MTG_Set[[#This Row],[Play Booster CardMarket Profit]]/tbl_MTG_Set[[#This Row],[Play Booster Cost]]</f>
        <v/>
      </c>
      <c r="AU189" s="10">
        <f>_xlfn.XLOOKUP(tbl_MTG_Set[[#This Row],[Collector Booster Box Product Id]], tbl_Product[Product Id], tbl_Product[Min Cost])</f>
        <v/>
      </c>
      <c r="AV189" s="10">
        <f>_xlfn.XLOOKUP(tbl_MTG_Set[[#This Row],[Collector Booster Box Product Id]], tbl_Product[Product Id], tbl_Product[Best Source])</f>
        <v/>
      </c>
      <c r="AW189" s="4">
        <f>_xlfn.XLOOKUP(tbl_MTG_Set[[#This Row],[Collector Booster Box Product Id]], tbl_Product[Product Id], tbl_Product[Pack Size])</f>
        <v/>
      </c>
      <c r="AX189" s="10">
        <f>(tbl_MTG_Set[[#This Row],[Collector Booster Box Cost]] + v_Item_Shipping_Cost_In) / tbl_MTG_Set[[#This Row],[Collector Booster Box Size]]</f>
        <v/>
      </c>
      <c r="AY189" s="10">
        <f t="array" ref="AY1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89" s="10" t="n"/>
      <c r="BA1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9" s="17">
        <f>tbl_MTG_Set[[#This Row],[Collector Booster CardMarket Profit]]/tbl_MTG_Set[[#This Row],[Collector Booster Cost]]</f>
        <v/>
      </c>
      <c r="BC189" s="10" t="n"/>
      <c r="BF189" s="10">
        <f>tbl_MTG_Set[[#This Row],[Play Booster Sell Price CardMarket]]*tbl_MTG_Set[[#This Row],[Play Booster Expected Market Value]]/tbl_MTG_Set[[#This Row],[Play Boost Sealed Market Value]]</f>
        <v/>
      </c>
      <c r="BG1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9" s="10">
        <f>tbl_MTG_Set[[#This Row],[Play Singles CardMarket Profit]]/tbl_MTG_Set[[#This Row],[Play Booster Cost]]</f>
        <v/>
      </c>
      <c r="BI189" s="10">
        <f>tbl_MTG_Set[[#This Row],[Play Singles CardMarket Profit]]&gt;0</f>
        <v/>
      </c>
      <c r="BJ189" s="10" t="n"/>
      <c r="BK189" s="10" t="n"/>
      <c r="BL189" s="10">
        <f>tbl_MTG_Set[[#This Row],[Collector Booster Sell Price CardMarket]]*tbl_MTG_Set[[#This Row],[Collector Booster Expected Market Value]]/tbl_MTG_Set[[#This Row],[Collector Boost Sealed Market Value]]</f>
        <v/>
      </c>
      <c r="BM1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9" s="10">
        <f>tbl_MTG_Set[[#This Row],[Collector Singles CardMarket Profit]]/tbl_MTG_Set[[#This Row],[Collector Booster Cost]]</f>
        <v/>
      </c>
      <c r="BO189" s="10">
        <f>tbl_MTG_Set[[#This Row],[Collector Singles CardMarket Profit]]&gt;0</f>
        <v/>
      </c>
      <c r="BP1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0">
      <c r="A190" t="n">
        <v>188</v>
      </c>
      <c r="B190" t="inlineStr">
        <is>
          <t>March of the Machine Commander MOC</t>
        </is>
      </c>
      <c r="C190" t="n">
        <v>450</v>
      </c>
      <c r="D190" s="3" t="n">
        <v>45037</v>
      </c>
      <c r="E190" t="inlineStr">
        <is>
          <t>Commander</t>
        </is>
      </c>
      <c r="F190" t="inlineStr">
        <is>
          <t>en es fr de it pt ja ko ru 汉语 漢語</t>
        </is>
      </c>
      <c r="G190" t="n">
        <v>322</v>
      </c>
      <c r="H190">
        <f>MONTH(NOW())+12*YEAR(NOW())-MONTH(tbl_MTG_Set[[#This Row],[Released On]])-12*YEAR(tbl_MTG_Set[[#This Row],[Released On]])</f>
        <v/>
      </c>
      <c r="I190">
        <f>_xlfn.XLOOKUP(tbl_MTG_Set[[#This Row],[Type Name]], tbl_MTG_Set_Type[Set Type], tbl_MTG_Set_Type[Index], "(Set Type not found)")</f>
        <v/>
      </c>
      <c r="J190">
        <f>_xlfn.XLOOKUP(tbl_MTG_Set[[#This Row],[Type Name]], tbl_MTG_Set_Type[Set Type], tbl_MTG_Set_Type[Buy Window Month Start], "(Set Type not found)")</f>
        <v/>
      </c>
      <c r="K190" s="3">
        <f>tbl_MTG_Set[[#This Row],[Released On]]+tbl_MTG_Set[[#This Row],[Buy Window Month Start]]*365.25/12</f>
        <v/>
      </c>
      <c r="L190">
        <f>_xlfn.XLOOKUP(tbl_MTG_Set[[#This Row],[Type Name]], tbl_MTG_Set_Type[Set Type], tbl_MTG_Set_Type[Buy Window Month End], "(Set Type not found)", 0, 1)</f>
        <v/>
      </c>
      <c r="M190" s="3">
        <f>tbl_MTG_Set[[#This Row],[Released On]]+tbl_MTG_Set[[#This Row],[Buy Window Month End]]*365.25/12</f>
        <v/>
      </c>
      <c r="N190" s="3">
        <f>AND(NOW()&gt;=tbl_MTG_Set[[#This Row],[Buy Window Start]], NOW()&lt;=tbl_MTG_Set[[#This Row],[Buy Window End]])</f>
        <v/>
      </c>
      <c r="O190">
        <f>_xlfn.XLOOKUP(tbl_MTG_Set[[#This Row],[Type Name]], tbl_MTG_Set_Type[Set Type], tbl_MTG_Set_Type[Heavy Printing Window Month Start], "(Set Type not found)", 0, 1)</f>
        <v/>
      </c>
      <c r="P190" s="3">
        <f>tbl_MTG_Set[[#This Row],[Released On]]+tbl_MTG_Set[[#This Row],[Heavy Printing Window Month Start]]*365.25/12</f>
        <v/>
      </c>
      <c r="Q190">
        <f>_xlfn.XLOOKUP(tbl_MTG_Set[[#This Row],[Type Name]], tbl_MTG_Set_Type[Set Type], tbl_MTG_Set_Type[Heavy Printing Window Month End], "(Set Type not found)", 0, 1)</f>
        <v/>
      </c>
      <c r="R190" s="3">
        <f>tbl_MTG_Set[[#This Row],[Released On]]+tbl_MTG_Set[[#This Row],[Heavy Printing Window Month End]]*365.25/12</f>
        <v/>
      </c>
      <c r="S190" s="3">
        <f>AND(NOW()&gt;=tbl_MTG_Set[[#This Row],[Heavy Printing Window Start]], NOW()&lt;=tbl_MTG_Set[[#This Row],[Heavy Printing Window End]])</f>
        <v/>
      </c>
      <c r="T190">
        <f>_xlfn.XLOOKUP(tbl_MTG_Set[[#This Row],[Type Name]], tbl_MTG_Set_Type[Set Type], tbl_MTG_Set_Type[Sell Window Month Start], "(Set Type not found)", 0, 1)</f>
        <v/>
      </c>
      <c r="U190" s="3">
        <f>tbl_MTG_Set[[#This Row],[Released On]]+tbl_MTG_Set[[#This Row],[Sell Window Month Start]]*365.25/12</f>
        <v/>
      </c>
      <c r="V190">
        <f>_xlfn.XLOOKUP(tbl_MTG_Set[[#This Row],[Type Name]], tbl_MTG_Set_Type[Set Type], tbl_MTG_Set_Type[Sell Window Month End], "(Set Type not found)", 0, 1)</f>
        <v/>
      </c>
      <c r="W190" s="3">
        <f>tbl_MTG_Set[[#This Row],[Released On]]+tbl_MTG_Set[[#This Row],[Sell Window Month End]]*365.25/12</f>
        <v/>
      </c>
      <c r="X190" s="3">
        <f>AND(NOW()&gt;=tbl_MTG_Set[[#This Row],[Sell Window Start]], NOW()&lt;=tbl_MTG_Set[[#This Row],[Sell Window End]])</f>
        <v/>
      </c>
      <c r="AG190" s="10" t="n"/>
      <c r="AH190" s="10" t="n"/>
      <c r="AM190" s="10">
        <f t="array" ref="AM1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0" s="10">
        <f t="array" ref="AN1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0" s="4">
        <f>_xlfn.XLOOKUP(tbl_MTG_Set[[#This Row],[Play Booster Box Product Id]], tbl_Product[Product Id], tbl_Product[Pack Size])</f>
        <v/>
      </c>
      <c r="AP190" s="10">
        <f>(tbl_MTG_Set[[#This Row],[Play Booster Box Cost]]+v_Item_Shipping_Cost_In)/tbl_MTG_Set[[#This Row],[Play Booster Box Size]]</f>
        <v/>
      </c>
      <c r="AQ190" s="10">
        <f t="array" ref="AQ1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0" s="10" t="n"/>
      <c r="AS190" s="10" t="n"/>
      <c r="AT190" s="17">
        <f>tbl_MTG_Set[[#This Row],[Play Booster CardMarket Profit]]/tbl_MTG_Set[[#This Row],[Play Booster Cost]]</f>
        <v/>
      </c>
      <c r="AU190" s="10">
        <f>_xlfn.XLOOKUP(tbl_MTG_Set[[#This Row],[Collector Booster Box Product Id]], tbl_Product[Product Id], tbl_Product[Min Cost])</f>
        <v/>
      </c>
      <c r="AV190" s="10">
        <f>_xlfn.XLOOKUP(tbl_MTG_Set[[#This Row],[Collector Booster Box Product Id]], tbl_Product[Product Id], tbl_Product[Best Source])</f>
        <v/>
      </c>
      <c r="AW190" s="4">
        <f>_xlfn.XLOOKUP(tbl_MTG_Set[[#This Row],[Collector Booster Box Product Id]], tbl_Product[Product Id], tbl_Product[Pack Size])</f>
        <v/>
      </c>
      <c r="AX190" s="10">
        <f>(tbl_MTG_Set[[#This Row],[Collector Booster Box Cost]] + v_Item_Shipping_Cost_In) / tbl_MTG_Set[[#This Row],[Collector Booster Box Size]]</f>
        <v/>
      </c>
      <c r="AY190" s="10">
        <f t="array" ref="AY1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0" s="10" t="n"/>
      <c r="BA1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0" s="17">
        <f>tbl_MTG_Set[[#This Row],[Collector Booster CardMarket Profit]]/tbl_MTG_Set[[#This Row],[Collector Booster Cost]]</f>
        <v/>
      </c>
      <c r="BC190" s="10" t="n"/>
      <c r="BF190" s="10">
        <f>tbl_MTG_Set[[#This Row],[Play Booster Sell Price CardMarket]]*tbl_MTG_Set[[#This Row],[Play Booster Expected Market Value]]/tbl_MTG_Set[[#This Row],[Play Boost Sealed Market Value]]</f>
        <v/>
      </c>
      <c r="BG1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0" s="10">
        <f>tbl_MTG_Set[[#This Row],[Play Singles CardMarket Profit]]/tbl_MTG_Set[[#This Row],[Play Booster Cost]]</f>
        <v/>
      </c>
      <c r="BI190" s="10">
        <f>tbl_MTG_Set[[#This Row],[Play Singles CardMarket Profit]]&gt;0</f>
        <v/>
      </c>
      <c r="BJ190" s="10" t="n"/>
      <c r="BK190" s="10" t="n"/>
      <c r="BL190" s="10">
        <f>tbl_MTG_Set[[#This Row],[Collector Booster Sell Price CardMarket]]*tbl_MTG_Set[[#This Row],[Collector Booster Expected Market Value]]/tbl_MTG_Set[[#This Row],[Collector Boost Sealed Market Value]]</f>
        <v/>
      </c>
      <c r="BM1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0" s="10">
        <f>tbl_MTG_Set[[#This Row],[Collector Singles CardMarket Profit]]/tbl_MTG_Set[[#This Row],[Collector Booster Cost]]</f>
        <v/>
      </c>
      <c r="BO190" s="10">
        <f>tbl_MTG_Set[[#This Row],[Collector Singles CardMarket Profit]]&gt;0</f>
        <v/>
      </c>
      <c r="BP1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1">
      <c r="A191" t="n">
        <v>189</v>
      </c>
      <c r="B191" t="inlineStr">
        <is>
          <t>March of the Machine Commander Tokens TMOC</t>
        </is>
      </c>
      <c r="C191" t="n">
        <v>46</v>
      </c>
      <c r="D191" s="3" t="n">
        <v>45037</v>
      </c>
      <c r="E191" t="inlineStr">
        <is>
          <t>Commander</t>
        </is>
      </c>
      <c r="F191" t="inlineStr">
        <is>
          <t>en es fr de it pt ja ko ru 汉语 漢語</t>
        </is>
      </c>
      <c r="G191" t="n">
        <v>324</v>
      </c>
      <c r="H191">
        <f>MONTH(NOW())+12*YEAR(NOW())-MONTH(tbl_MTG_Set[[#This Row],[Released On]])-12*YEAR(tbl_MTG_Set[[#This Row],[Released On]])</f>
        <v/>
      </c>
      <c r="I191">
        <f>_xlfn.XLOOKUP(tbl_MTG_Set[[#This Row],[Type Name]], tbl_MTG_Set_Type[Set Type], tbl_MTG_Set_Type[Index], "(Set Type not found)")</f>
        <v/>
      </c>
      <c r="J191">
        <f>_xlfn.XLOOKUP(tbl_MTG_Set[[#This Row],[Type Name]], tbl_MTG_Set_Type[Set Type], tbl_MTG_Set_Type[Buy Window Month Start], "(Set Type not found)")</f>
        <v/>
      </c>
      <c r="K191" s="3">
        <f>tbl_MTG_Set[[#This Row],[Released On]]+tbl_MTG_Set[[#This Row],[Buy Window Month Start]]*365.25/12</f>
        <v/>
      </c>
      <c r="L191">
        <f>_xlfn.XLOOKUP(tbl_MTG_Set[[#This Row],[Type Name]], tbl_MTG_Set_Type[Set Type], tbl_MTG_Set_Type[Buy Window Month End], "(Set Type not found)", 0, 1)</f>
        <v/>
      </c>
      <c r="M191" s="3">
        <f>tbl_MTG_Set[[#This Row],[Released On]]+tbl_MTG_Set[[#This Row],[Buy Window Month End]]*365.25/12</f>
        <v/>
      </c>
      <c r="N191" s="3">
        <f>AND(NOW()&gt;=tbl_MTG_Set[[#This Row],[Buy Window Start]], NOW()&lt;=tbl_MTG_Set[[#This Row],[Buy Window End]])</f>
        <v/>
      </c>
      <c r="O191">
        <f>_xlfn.XLOOKUP(tbl_MTG_Set[[#This Row],[Type Name]], tbl_MTG_Set_Type[Set Type], tbl_MTG_Set_Type[Heavy Printing Window Month Start], "(Set Type not found)", 0, 1)</f>
        <v/>
      </c>
      <c r="P191" s="3">
        <f>tbl_MTG_Set[[#This Row],[Released On]]+tbl_MTG_Set[[#This Row],[Heavy Printing Window Month Start]]*365.25/12</f>
        <v/>
      </c>
      <c r="Q191">
        <f>_xlfn.XLOOKUP(tbl_MTG_Set[[#This Row],[Type Name]], tbl_MTG_Set_Type[Set Type], tbl_MTG_Set_Type[Heavy Printing Window Month End], "(Set Type not found)", 0, 1)</f>
        <v/>
      </c>
      <c r="R191" s="3">
        <f>tbl_MTG_Set[[#This Row],[Released On]]+tbl_MTG_Set[[#This Row],[Heavy Printing Window Month End]]*365.25/12</f>
        <v/>
      </c>
      <c r="S191" s="3">
        <f>AND(NOW()&gt;=tbl_MTG_Set[[#This Row],[Heavy Printing Window Start]], NOW()&lt;=tbl_MTG_Set[[#This Row],[Heavy Printing Window End]])</f>
        <v/>
      </c>
      <c r="T191">
        <f>_xlfn.XLOOKUP(tbl_MTG_Set[[#This Row],[Type Name]], tbl_MTG_Set_Type[Set Type], tbl_MTG_Set_Type[Sell Window Month Start], "(Set Type not found)", 0, 1)</f>
        <v/>
      </c>
      <c r="U191" s="3">
        <f>tbl_MTG_Set[[#This Row],[Released On]]+tbl_MTG_Set[[#This Row],[Sell Window Month Start]]*365.25/12</f>
        <v/>
      </c>
      <c r="V191">
        <f>_xlfn.XLOOKUP(tbl_MTG_Set[[#This Row],[Type Name]], tbl_MTG_Set_Type[Set Type], tbl_MTG_Set_Type[Sell Window Month End], "(Set Type not found)", 0, 1)</f>
        <v/>
      </c>
      <c r="W191" s="3">
        <f>tbl_MTG_Set[[#This Row],[Released On]]+tbl_MTG_Set[[#This Row],[Sell Window Month End]]*365.25/12</f>
        <v/>
      </c>
      <c r="X191" s="3">
        <f>AND(NOW()&gt;=tbl_MTG_Set[[#This Row],[Sell Window Start]], NOW()&lt;=tbl_MTG_Set[[#This Row],[Sell Window End]])</f>
        <v/>
      </c>
      <c r="AG191" s="10" t="n"/>
      <c r="AH191" s="10" t="n"/>
      <c r="AM191" s="10">
        <f t="array" ref="AM1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1" s="10">
        <f t="array" ref="AN1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1" s="4">
        <f>_xlfn.XLOOKUP(tbl_MTG_Set[[#This Row],[Play Booster Box Product Id]], tbl_Product[Product Id], tbl_Product[Pack Size])</f>
        <v/>
      </c>
      <c r="AP191" s="10">
        <f>(tbl_MTG_Set[[#This Row],[Play Booster Box Cost]]+v_Item_Shipping_Cost_In)/tbl_MTG_Set[[#This Row],[Play Booster Box Size]]</f>
        <v/>
      </c>
      <c r="AQ191" s="10">
        <f t="array" ref="AQ1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1" s="10" t="n"/>
      <c r="AS191" s="10" t="n"/>
      <c r="AT191" s="17">
        <f>tbl_MTG_Set[[#This Row],[Play Booster CardMarket Profit]]/tbl_MTG_Set[[#This Row],[Play Booster Cost]]</f>
        <v/>
      </c>
      <c r="AU191" s="10">
        <f>_xlfn.XLOOKUP(tbl_MTG_Set[[#This Row],[Collector Booster Box Product Id]], tbl_Product[Product Id], tbl_Product[Min Cost])</f>
        <v/>
      </c>
      <c r="AV191" s="10">
        <f>_xlfn.XLOOKUP(tbl_MTG_Set[[#This Row],[Collector Booster Box Product Id]], tbl_Product[Product Id], tbl_Product[Best Source])</f>
        <v/>
      </c>
      <c r="AW191" s="4">
        <f>_xlfn.XLOOKUP(tbl_MTG_Set[[#This Row],[Collector Booster Box Product Id]], tbl_Product[Product Id], tbl_Product[Pack Size])</f>
        <v/>
      </c>
      <c r="AX191" s="10">
        <f>(tbl_MTG_Set[[#This Row],[Collector Booster Box Cost]] + v_Item_Shipping_Cost_In) / tbl_MTG_Set[[#This Row],[Collector Booster Box Size]]</f>
        <v/>
      </c>
      <c r="AY191" s="10">
        <f t="array" ref="AY1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1" s="10" t="n"/>
      <c r="BA1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1" s="17">
        <f>tbl_MTG_Set[[#This Row],[Collector Booster CardMarket Profit]]/tbl_MTG_Set[[#This Row],[Collector Booster Cost]]</f>
        <v/>
      </c>
      <c r="BC191" s="10" t="n"/>
      <c r="BF191" s="10">
        <f>tbl_MTG_Set[[#This Row],[Play Booster Sell Price CardMarket]]*tbl_MTG_Set[[#This Row],[Play Booster Expected Market Value]]/tbl_MTG_Set[[#This Row],[Play Boost Sealed Market Value]]</f>
        <v/>
      </c>
      <c r="BG1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1" s="10">
        <f>tbl_MTG_Set[[#This Row],[Play Singles CardMarket Profit]]/tbl_MTG_Set[[#This Row],[Play Booster Cost]]</f>
        <v/>
      </c>
      <c r="BI191" s="10">
        <f>tbl_MTG_Set[[#This Row],[Play Singles CardMarket Profit]]&gt;0</f>
        <v/>
      </c>
      <c r="BJ191" s="10" t="n"/>
      <c r="BK191" s="10" t="n"/>
      <c r="BL191" s="10">
        <f>tbl_MTG_Set[[#This Row],[Collector Booster Sell Price CardMarket]]*tbl_MTG_Set[[#This Row],[Collector Booster Expected Market Value]]/tbl_MTG_Set[[#This Row],[Collector Boost Sealed Market Value]]</f>
        <v/>
      </c>
      <c r="BM1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1" s="10">
        <f>tbl_MTG_Set[[#This Row],[Collector Singles CardMarket Profit]]/tbl_MTG_Set[[#This Row],[Collector Booster Cost]]</f>
        <v/>
      </c>
      <c r="BO191" s="10">
        <f>tbl_MTG_Set[[#This Row],[Collector Singles CardMarket Profit]]&gt;0</f>
        <v/>
      </c>
      <c r="BP1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2">
      <c r="A192" t="n">
        <v>190</v>
      </c>
      <c r="B192" t="inlineStr">
        <is>
          <t>MOM Japanese Promo Tokens WMOM</t>
        </is>
      </c>
      <c r="C192" t="n">
        <v>12</v>
      </c>
      <c r="D192" s="3" t="n">
        <v>45037</v>
      </c>
      <c r="E192" t="inlineStr">
        <is>
          <t>Standard Expansion</t>
        </is>
      </c>
      <c r="F192" t="inlineStr">
        <is>
          <t>en es fr de it pt ja ko ru 汉语 漢語</t>
        </is>
      </c>
      <c r="G192" t="n">
        <v>326</v>
      </c>
      <c r="H192">
        <f>MONTH(NOW())+12*YEAR(NOW())-MONTH(tbl_MTG_Set[[#This Row],[Released On]])-12*YEAR(tbl_MTG_Set[[#This Row],[Released On]])</f>
        <v/>
      </c>
      <c r="I192">
        <f>_xlfn.XLOOKUP(tbl_MTG_Set[[#This Row],[Type Name]], tbl_MTG_Set_Type[Set Type], tbl_MTG_Set_Type[Index], "(Set Type not found)")</f>
        <v/>
      </c>
      <c r="J192">
        <f>_xlfn.XLOOKUP(tbl_MTG_Set[[#This Row],[Type Name]], tbl_MTG_Set_Type[Set Type], tbl_MTG_Set_Type[Buy Window Month Start], "(Set Type not found)")</f>
        <v/>
      </c>
      <c r="K192" s="3">
        <f>tbl_MTG_Set[[#This Row],[Released On]]+tbl_MTG_Set[[#This Row],[Buy Window Month Start]]*365.25/12</f>
        <v/>
      </c>
      <c r="L192">
        <f>_xlfn.XLOOKUP(tbl_MTG_Set[[#This Row],[Type Name]], tbl_MTG_Set_Type[Set Type], tbl_MTG_Set_Type[Buy Window Month End], "(Set Type not found)", 0, 1)</f>
        <v/>
      </c>
      <c r="M192" s="3">
        <f>tbl_MTG_Set[[#This Row],[Released On]]+tbl_MTG_Set[[#This Row],[Buy Window Month End]]*365.25/12</f>
        <v/>
      </c>
      <c r="N192" s="3">
        <f>AND(NOW()&gt;=tbl_MTG_Set[[#This Row],[Buy Window Start]], NOW()&lt;=tbl_MTG_Set[[#This Row],[Buy Window End]])</f>
        <v/>
      </c>
      <c r="O192">
        <f>_xlfn.XLOOKUP(tbl_MTG_Set[[#This Row],[Type Name]], tbl_MTG_Set_Type[Set Type], tbl_MTG_Set_Type[Heavy Printing Window Month Start], "(Set Type not found)", 0, 1)</f>
        <v/>
      </c>
      <c r="P192" s="3">
        <f>tbl_MTG_Set[[#This Row],[Released On]]+tbl_MTG_Set[[#This Row],[Heavy Printing Window Month Start]]*365.25/12</f>
        <v/>
      </c>
      <c r="Q192">
        <f>_xlfn.XLOOKUP(tbl_MTG_Set[[#This Row],[Type Name]], tbl_MTG_Set_Type[Set Type], tbl_MTG_Set_Type[Heavy Printing Window Month End], "(Set Type not found)", 0, 1)</f>
        <v/>
      </c>
      <c r="R192" s="3">
        <f>tbl_MTG_Set[[#This Row],[Released On]]+tbl_MTG_Set[[#This Row],[Heavy Printing Window Month End]]*365.25/12</f>
        <v/>
      </c>
      <c r="S192" s="3">
        <f>AND(NOW()&gt;=tbl_MTG_Set[[#This Row],[Heavy Printing Window Start]], NOW()&lt;=tbl_MTG_Set[[#This Row],[Heavy Printing Window End]])</f>
        <v/>
      </c>
      <c r="T192">
        <f>_xlfn.XLOOKUP(tbl_MTG_Set[[#This Row],[Type Name]], tbl_MTG_Set_Type[Set Type], tbl_MTG_Set_Type[Sell Window Month Start], "(Set Type not found)", 0, 1)</f>
        <v/>
      </c>
      <c r="U192" s="3">
        <f>tbl_MTG_Set[[#This Row],[Released On]]+tbl_MTG_Set[[#This Row],[Sell Window Month Start]]*365.25/12</f>
        <v/>
      </c>
      <c r="V192">
        <f>_xlfn.XLOOKUP(tbl_MTG_Set[[#This Row],[Type Name]], tbl_MTG_Set_Type[Set Type], tbl_MTG_Set_Type[Sell Window Month End], "(Set Type not found)", 0, 1)</f>
        <v/>
      </c>
      <c r="W192" s="3">
        <f>tbl_MTG_Set[[#This Row],[Released On]]+tbl_MTG_Set[[#This Row],[Sell Window Month End]]*365.25/12</f>
        <v/>
      </c>
      <c r="X192" s="3">
        <f>AND(NOW()&gt;=tbl_MTG_Set[[#This Row],[Sell Window Start]], NOW()&lt;=tbl_MTG_Set[[#This Row],[Sell Window End]])</f>
        <v/>
      </c>
      <c r="AG192" s="10" t="n"/>
      <c r="AH192" s="10" t="n"/>
      <c r="AM192" s="10">
        <f t="array" ref="AM1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2" s="10">
        <f t="array" ref="AN1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2" s="4">
        <f>_xlfn.XLOOKUP(tbl_MTG_Set[[#This Row],[Play Booster Box Product Id]], tbl_Product[Product Id], tbl_Product[Pack Size])</f>
        <v/>
      </c>
      <c r="AP192" s="10">
        <f>(tbl_MTG_Set[[#This Row],[Play Booster Box Cost]]+v_Item_Shipping_Cost_In)/tbl_MTG_Set[[#This Row],[Play Booster Box Size]]</f>
        <v/>
      </c>
      <c r="AQ192" s="10">
        <f t="array" ref="AQ1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2" s="10" t="n"/>
      <c r="AS192" s="10" t="n"/>
      <c r="AT192" s="17">
        <f>tbl_MTG_Set[[#This Row],[Play Booster CardMarket Profit]]/tbl_MTG_Set[[#This Row],[Play Booster Cost]]</f>
        <v/>
      </c>
      <c r="AU192" s="10">
        <f>_xlfn.XLOOKUP(tbl_MTG_Set[[#This Row],[Collector Booster Box Product Id]], tbl_Product[Product Id], tbl_Product[Min Cost])</f>
        <v/>
      </c>
      <c r="AV192" s="10">
        <f>_xlfn.XLOOKUP(tbl_MTG_Set[[#This Row],[Collector Booster Box Product Id]], tbl_Product[Product Id], tbl_Product[Best Source])</f>
        <v/>
      </c>
      <c r="AW192" s="4">
        <f>_xlfn.XLOOKUP(tbl_MTG_Set[[#This Row],[Collector Booster Box Product Id]], tbl_Product[Product Id], tbl_Product[Pack Size])</f>
        <v/>
      </c>
      <c r="AX192" s="10">
        <f>(tbl_MTG_Set[[#This Row],[Collector Booster Box Cost]] + v_Item_Shipping_Cost_In) / tbl_MTG_Set[[#This Row],[Collector Booster Box Size]]</f>
        <v/>
      </c>
      <c r="AY192" s="10">
        <f t="array" ref="AY1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2" s="10" t="n"/>
      <c r="BA1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2" s="17">
        <f>tbl_MTG_Set[[#This Row],[Collector Booster CardMarket Profit]]/tbl_MTG_Set[[#This Row],[Collector Booster Cost]]</f>
        <v/>
      </c>
      <c r="BC192" s="10" t="n"/>
      <c r="BF192" s="10">
        <f>tbl_MTG_Set[[#This Row],[Play Booster Sell Price CardMarket]]*tbl_MTG_Set[[#This Row],[Play Booster Expected Market Value]]/tbl_MTG_Set[[#This Row],[Play Boost Sealed Market Value]]</f>
        <v/>
      </c>
      <c r="BG1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2" s="10">
        <f>tbl_MTG_Set[[#This Row],[Play Singles CardMarket Profit]]/tbl_MTG_Set[[#This Row],[Play Booster Cost]]</f>
        <v/>
      </c>
      <c r="BI192" s="10">
        <f>tbl_MTG_Set[[#This Row],[Play Singles CardMarket Profit]]&gt;0</f>
        <v/>
      </c>
      <c r="BJ192" s="10" t="n"/>
      <c r="BK192" s="10" t="n"/>
      <c r="BL192" s="10">
        <f>tbl_MTG_Set[[#This Row],[Collector Booster Sell Price CardMarket]]*tbl_MTG_Set[[#This Row],[Collector Booster Expected Market Value]]/tbl_MTG_Set[[#This Row],[Collector Boost Sealed Market Value]]</f>
        <v/>
      </c>
      <c r="BM1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2" s="10">
        <f>tbl_MTG_Set[[#This Row],[Collector Singles CardMarket Profit]]/tbl_MTG_Set[[#This Row],[Collector Booster Cost]]</f>
        <v/>
      </c>
      <c r="BO192" s="10">
        <f>tbl_MTG_Set[[#This Row],[Collector Singles CardMarket Profit]]&gt;0</f>
        <v/>
      </c>
      <c r="BP1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3">
      <c r="A193" t="n">
        <v>191</v>
      </c>
      <c r="B193" t="inlineStr">
        <is>
          <t>March of the Machine Art Series AMOM</t>
        </is>
      </c>
      <c r="C193" t="n">
        <v>81</v>
      </c>
      <c r="D193" s="3" t="n">
        <v>45037</v>
      </c>
      <c r="E193" t="inlineStr">
        <is>
          <t>Standard Expansion</t>
        </is>
      </c>
      <c r="F193" t="inlineStr">
        <is>
          <t>en es fr de it pt ja ko ru 汉语 漢語</t>
        </is>
      </c>
      <c r="G193" t="n">
        <v>328</v>
      </c>
      <c r="H193">
        <f>MONTH(NOW())+12*YEAR(NOW())-MONTH(tbl_MTG_Set[[#This Row],[Released On]])-12*YEAR(tbl_MTG_Set[[#This Row],[Released On]])</f>
        <v/>
      </c>
      <c r="I193">
        <f>_xlfn.XLOOKUP(tbl_MTG_Set[[#This Row],[Type Name]], tbl_MTG_Set_Type[Set Type], tbl_MTG_Set_Type[Index], "(Set Type not found)")</f>
        <v/>
      </c>
      <c r="J193">
        <f>_xlfn.XLOOKUP(tbl_MTG_Set[[#This Row],[Type Name]], tbl_MTG_Set_Type[Set Type], tbl_MTG_Set_Type[Buy Window Month Start], "(Set Type not found)")</f>
        <v/>
      </c>
      <c r="K193" s="3">
        <f>tbl_MTG_Set[[#This Row],[Released On]]+tbl_MTG_Set[[#This Row],[Buy Window Month Start]]*365.25/12</f>
        <v/>
      </c>
      <c r="L193">
        <f>_xlfn.XLOOKUP(tbl_MTG_Set[[#This Row],[Type Name]], tbl_MTG_Set_Type[Set Type], tbl_MTG_Set_Type[Buy Window Month End], "(Set Type not found)", 0, 1)</f>
        <v/>
      </c>
      <c r="M193" s="3">
        <f>tbl_MTG_Set[[#This Row],[Released On]]+tbl_MTG_Set[[#This Row],[Buy Window Month End]]*365.25/12</f>
        <v/>
      </c>
      <c r="N193" s="3">
        <f>AND(NOW()&gt;=tbl_MTG_Set[[#This Row],[Buy Window Start]], NOW()&lt;=tbl_MTG_Set[[#This Row],[Buy Window End]])</f>
        <v/>
      </c>
      <c r="O193">
        <f>_xlfn.XLOOKUP(tbl_MTG_Set[[#This Row],[Type Name]], tbl_MTG_Set_Type[Set Type], tbl_MTG_Set_Type[Heavy Printing Window Month Start], "(Set Type not found)", 0, 1)</f>
        <v/>
      </c>
      <c r="P193" s="3">
        <f>tbl_MTG_Set[[#This Row],[Released On]]+tbl_MTG_Set[[#This Row],[Heavy Printing Window Month Start]]*365.25/12</f>
        <v/>
      </c>
      <c r="Q193">
        <f>_xlfn.XLOOKUP(tbl_MTG_Set[[#This Row],[Type Name]], tbl_MTG_Set_Type[Set Type], tbl_MTG_Set_Type[Heavy Printing Window Month End], "(Set Type not found)", 0, 1)</f>
        <v/>
      </c>
      <c r="R193" s="3">
        <f>tbl_MTG_Set[[#This Row],[Released On]]+tbl_MTG_Set[[#This Row],[Heavy Printing Window Month End]]*365.25/12</f>
        <v/>
      </c>
      <c r="S193" s="3">
        <f>AND(NOW()&gt;=tbl_MTG_Set[[#This Row],[Heavy Printing Window Start]], NOW()&lt;=tbl_MTG_Set[[#This Row],[Heavy Printing Window End]])</f>
        <v/>
      </c>
      <c r="T193">
        <f>_xlfn.XLOOKUP(tbl_MTG_Set[[#This Row],[Type Name]], tbl_MTG_Set_Type[Set Type], tbl_MTG_Set_Type[Sell Window Month Start], "(Set Type not found)", 0, 1)</f>
        <v/>
      </c>
      <c r="U193" s="3">
        <f>tbl_MTG_Set[[#This Row],[Released On]]+tbl_MTG_Set[[#This Row],[Sell Window Month Start]]*365.25/12</f>
        <v/>
      </c>
      <c r="V193">
        <f>_xlfn.XLOOKUP(tbl_MTG_Set[[#This Row],[Type Name]], tbl_MTG_Set_Type[Set Type], tbl_MTG_Set_Type[Sell Window Month End], "(Set Type not found)", 0, 1)</f>
        <v/>
      </c>
      <c r="W193" s="3">
        <f>tbl_MTG_Set[[#This Row],[Released On]]+tbl_MTG_Set[[#This Row],[Sell Window Month End]]*365.25/12</f>
        <v/>
      </c>
      <c r="X193" s="3">
        <f>AND(NOW()&gt;=tbl_MTG_Set[[#This Row],[Sell Window Start]], NOW()&lt;=tbl_MTG_Set[[#This Row],[Sell Window End]])</f>
        <v/>
      </c>
      <c r="AG193" s="10" t="n"/>
      <c r="AH193" s="10" t="n"/>
      <c r="AM193" s="10">
        <f t="array" ref="AM1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3" s="10">
        <f t="array" ref="AN1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3" s="4">
        <f>_xlfn.XLOOKUP(tbl_MTG_Set[[#This Row],[Play Booster Box Product Id]], tbl_Product[Product Id], tbl_Product[Pack Size])</f>
        <v/>
      </c>
      <c r="AP193" s="10">
        <f>(tbl_MTG_Set[[#This Row],[Play Booster Box Cost]]+v_Item_Shipping_Cost_In)/tbl_MTG_Set[[#This Row],[Play Booster Box Size]]</f>
        <v/>
      </c>
      <c r="AQ193" s="10">
        <f t="array" ref="AQ1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3" s="10" t="n"/>
      <c r="AS193" s="10" t="n"/>
      <c r="AT193" s="17">
        <f>tbl_MTG_Set[[#This Row],[Play Booster CardMarket Profit]]/tbl_MTG_Set[[#This Row],[Play Booster Cost]]</f>
        <v/>
      </c>
      <c r="AU193" s="10">
        <f>_xlfn.XLOOKUP(tbl_MTG_Set[[#This Row],[Collector Booster Box Product Id]], tbl_Product[Product Id], tbl_Product[Min Cost])</f>
        <v/>
      </c>
      <c r="AV193" s="10">
        <f>_xlfn.XLOOKUP(tbl_MTG_Set[[#This Row],[Collector Booster Box Product Id]], tbl_Product[Product Id], tbl_Product[Best Source])</f>
        <v/>
      </c>
      <c r="AW193" s="4">
        <f>_xlfn.XLOOKUP(tbl_MTG_Set[[#This Row],[Collector Booster Box Product Id]], tbl_Product[Product Id], tbl_Product[Pack Size])</f>
        <v/>
      </c>
      <c r="AX193" s="10">
        <f>(tbl_MTG_Set[[#This Row],[Collector Booster Box Cost]] + v_Item_Shipping_Cost_In) / tbl_MTG_Set[[#This Row],[Collector Booster Box Size]]</f>
        <v/>
      </c>
      <c r="AY193" s="10">
        <f t="array" ref="AY1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3" s="10" t="n"/>
      <c r="BA1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3" s="17">
        <f>tbl_MTG_Set[[#This Row],[Collector Booster CardMarket Profit]]/tbl_MTG_Set[[#This Row],[Collector Booster Cost]]</f>
        <v/>
      </c>
      <c r="BC193" s="10" t="n"/>
      <c r="BF193" s="10">
        <f>tbl_MTG_Set[[#This Row],[Play Booster Sell Price CardMarket]]*tbl_MTG_Set[[#This Row],[Play Booster Expected Market Value]]/tbl_MTG_Set[[#This Row],[Play Boost Sealed Market Value]]</f>
        <v/>
      </c>
      <c r="BG1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3" s="10">
        <f>tbl_MTG_Set[[#This Row],[Play Singles CardMarket Profit]]/tbl_MTG_Set[[#This Row],[Play Booster Cost]]</f>
        <v/>
      </c>
      <c r="BI193" s="10">
        <f>tbl_MTG_Set[[#This Row],[Play Singles CardMarket Profit]]&gt;0</f>
        <v/>
      </c>
      <c r="BJ193" s="10" t="n"/>
      <c r="BK193" s="10" t="n"/>
      <c r="BL193" s="10">
        <f>tbl_MTG_Set[[#This Row],[Collector Booster Sell Price CardMarket]]*tbl_MTG_Set[[#This Row],[Collector Booster Expected Market Value]]/tbl_MTG_Set[[#This Row],[Collector Boost Sealed Market Value]]</f>
        <v/>
      </c>
      <c r="BM1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3" s="10">
        <f>tbl_MTG_Set[[#This Row],[Collector Singles CardMarket Profit]]/tbl_MTG_Set[[#This Row],[Collector Booster Cost]]</f>
        <v/>
      </c>
      <c r="BO193" s="10">
        <f>tbl_MTG_Set[[#This Row],[Collector Singles CardMarket Profit]]&gt;0</f>
        <v/>
      </c>
      <c r="BP1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4">
      <c r="A194" t="n">
        <v>192</v>
      </c>
      <c r="B194" t="inlineStr">
        <is>
          <t>March of the Machine Substitute Cards SMOM</t>
        </is>
      </c>
      <c r="C194" t="n">
        <v>1</v>
      </c>
      <c r="D194" s="3" t="n">
        <v>45037</v>
      </c>
      <c r="E194" t="inlineStr">
        <is>
          <t>Standard Expansion</t>
        </is>
      </c>
      <c r="F194" t="inlineStr">
        <is>
          <t>en es fr de it pt ja ko ru 汉语 漢語</t>
        </is>
      </c>
      <c r="G194" t="n">
        <v>330</v>
      </c>
      <c r="H194">
        <f>MONTH(NOW())+12*YEAR(NOW())-MONTH(tbl_MTG_Set[[#This Row],[Released On]])-12*YEAR(tbl_MTG_Set[[#This Row],[Released On]])</f>
        <v/>
      </c>
      <c r="I194">
        <f>_xlfn.XLOOKUP(tbl_MTG_Set[[#This Row],[Type Name]], tbl_MTG_Set_Type[Set Type], tbl_MTG_Set_Type[Index], "(Set Type not found)")</f>
        <v/>
      </c>
      <c r="J194">
        <f>_xlfn.XLOOKUP(tbl_MTG_Set[[#This Row],[Type Name]], tbl_MTG_Set_Type[Set Type], tbl_MTG_Set_Type[Buy Window Month Start], "(Set Type not found)")</f>
        <v/>
      </c>
      <c r="K194" s="3">
        <f>tbl_MTG_Set[[#This Row],[Released On]]+tbl_MTG_Set[[#This Row],[Buy Window Month Start]]*365.25/12</f>
        <v/>
      </c>
      <c r="L194">
        <f>_xlfn.XLOOKUP(tbl_MTG_Set[[#This Row],[Type Name]], tbl_MTG_Set_Type[Set Type], tbl_MTG_Set_Type[Buy Window Month End], "(Set Type not found)", 0, 1)</f>
        <v/>
      </c>
      <c r="M194" s="3">
        <f>tbl_MTG_Set[[#This Row],[Released On]]+tbl_MTG_Set[[#This Row],[Buy Window Month End]]*365.25/12</f>
        <v/>
      </c>
      <c r="N194" s="3">
        <f>AND(NOW()&gt;=tbl_MTG_Set[[#This Row],[Buy Window Start]], NOW()&lt;=tbl_MTG_Set[[#This Row],[Buy Window End]])</f>
        <v/>
      </c>
      <c r="O194">
        <f>_xlfn.XLOOKUP(tbl_MTG_Set[[#This Row],[Type Name]], tbl_MTG_Set_Type[Set Type], tbl_MTG_Set_Type[Heavy Printing Window Month Start], "(Set Type not found)", 0, 1)</f>
        <v/>
      </c>
      <c r="P194" s="3">
        <f>tbl_MTG_Set[[#This Row],[Released On]]+tbl_MTG_Set[[#This Row],[Heavy Printing Window Month Start]]*365.25/12</f>
        <v/>
      </c>
      <c r="Q194">
        <f>_xlfn.XLOOKUP(tbl_MTG_Set[[#This Row],[Type Name]], tbl_MTG_Set_Type[Set Type], tbl_MTG_Set_Type[Heavy Printing Window Month End], "(Set Type not found)", 0, 1)</f>
        <v/>
      </c>
      <c r="R194" s="3">
        <f>tbl_MTG_Set[[#This Row],[Released On]]+tbl_MTG_Set[[#This Row],[Heavy Printing Window Month End]]*365.25/12</f>
        <v/>
      </c>
      <c r="S194" s="3">
        <f>AND(NOW()&gt;=tbl_MTG_Set[[#This Row],[Heavy Printing Window Start]], NOW()&lt;=tbl_MTG_Set[[#This Row],[Heavy Printing Window End]])</f>
        <v/>
      </c>
      <c r="T194">
        <f>_xlfn.XLOOKUP(tbl_MTG_Set[[#This Row],[Type Name]], tbl_MTG_Set_Type[Set Type], tbl_MTG_Set_Type[Sell Window Month Start], "(Set Type not found)", 0, 1)</f>
        <v/>
      </c>
      <c r="U194" s="3">
        <f>tbl_MTG_Set[[#This Row],[Released On]]+tbl_MTG_Set[[#This Row],[Sell Window Month Start]]*365.25/12</f>
        <v/>
      </c>
      <c r="V194">
        <f>_xlfn.XLOOKUP(tbl_MTG_Set[[#This Row],[Type Name]], tbl_MTG_Set_Type[Set Type], tbl_MTG_Set_Type[Sell Window Month End], "(Set Type not found)", 0, 1)</f>
        <v/>
      </c>
      <c r="W194" s="3">
        <f>tbl_MTG_Set[[#This Row],[Released On]]+tbl_MTG_Set[[#This Row],[Sell Window Month End]]*365.25/12</f>
        <v/>
      </c>
      <c r="X194" s="3">
        <f>AND(NOW()&gt;=tbl_MTG_Set[[#This Row],[Sell Window Start]], NOW()&lt;=tbl_MTG_Set[[#This Row],[Sell Window End]])</f>
        <v/>
      </c>
      <c r="AG194" s="10" t="n"/>
      <c r="AH194" s="10" t="n"/>
      <c r="AM194" s="10">
        <f t="array" ref="AM1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4" s="10">
        <f t="array" ref="AN1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4" s="4">
        <f>_xlfn.XLOOKUP(tbl_MTG_Set[[#This Row],[Play Booster Box Product Id]], tbl_Product[Product Id], tbl_Product[Pack Size])</f>
        <v/>
      </c>
      <c r="AP194" s="10">
        <f>(tbl_MTG_Set[[#This Row],[Play Booster Box Cost]]+v_Item_Shipping_Cost_In)/tbl_MTG_Set[[#This Row],[Play Booster Box Size]]</f>
        <v/>
      </c>
      <c r="AQ194" s="10">
        <f t="array" ref="AQ1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4" s="10" t="n"/>
      <c r="AS194" s="10" t="n"/>
      <c r="AT194" s="17">
        <f>tbl_MTG_Set[[#This Row],[Play Booster CardMarket Profit]]/tbl_MTG_Set[[#This Row],[Play Booster Cost]]</f>
        <v/>
      </c>
      <c r="AU194" s="10">
        <f>_xlfn.XLOOKUP(tbl_MTG_Set[[#This Row],[Collector Booster Box Product Id]], tbl_Product[Product Id], tbl_Product[Min Cost])</f>
        <v/>
      </c>
      <c r="AV194" s="10">
        <f>_xlfn.XLOOKUP(tbl_MTG_Set[[#This Row],[Collector Booster Box Product Id]], tbl_Product[Product Id], tbl_Product[Best Source])</f>
        <v/>
      </c>
      <c r="AW194" s="4">
        <f>_xlfn.XLOOKUP(tbl_MTG_Set[[#This Row],[Collector Booster Box Product Id]], tbl_Product[Product Id], tbl_Product[Pack Size])</f>
        <v/>
      </c>
      <c r="AX194" s="10">
        <f>(tbl_MTG_Set[[#This Row],[Collector Booster Box Cost]] + v_Item_Shipping_Cost_In) / tbl_MTG_Set[[#This Row],[Collector Booster Box Size]]</f>
        <v/>
      </c>
      <c r="AY194" s="10">
        <f t="array" ref="AY1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4" s="10" t="n"/>
      <c r="BA1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4" s="17">
        <f>tbl_MTG_Set[[#This Row],[Collector Booster CardMarket Profit]]/tbl_MTG_Set[[#This Row],[Collector Booster Cost]]</f>
        <v/>
      </c>
      <c r="BC194" s="10" t="n"/>
      <c r="BF194" s="10">
        <f>tbl_MTG_Set[[#This Row],[Play Booster Sell Price CardMarket]]*tbl_MTG_Set[[#This Row],[Play Booster Expected Market Value]]/tbl_MTG_Set[[#This Row],[Play Boost Sealed Market Value]]</f>
        <v/>
      </c>
      <c r="BG1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4" s="10">
        <f>tbl_MTG_Set[[#This Row],[Play Singles CardMarket Profit]]/tbl_MTG_Set[[#This Row],[Play Booster Cost]]</f>
        <v/>
      </c>
      <c r="BI194" s="10">
        <f>tbl_MTG_Set[[#This Row],[Play Singles CardMarket Profit]]&gt;0</f>
        <v/>
      </c>
      <c r="BJ194" s="10" t="n"/>
      <c r="BK194" s="10" t="n"/>
      <c r="BL194" s="10">
        <f>tbl_MTG_Set[[#This Row],[Collector Booster Sell Price CardMarket]]*tbl_MTG_Set[[#This Row],[Collector Booster Expected Market Value]]/tbl_MTG_Set[[#This Row],[Collector Boost Sealed Market Value]]</f>
        <v/>
      </c>
      <c r="BM1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4" s="10">
        <f>tbl_MTG_Set[[#This Row],[Collector Singles CardMarket Profit]]/tbl_MTG_Set[[#This Row],[Collector Booster Cost]]</f>
        <v/>
      </c>
      <c r="BO194" s="10">
        <f>tbl_MTG_Set[[#This Row],[Collector Singles CardMarket Profit]]&gt;0</f>
        <v/>
      </c>
      <c r="BP1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5">
      <c r="A195" t="n">
        <v>193</v>
      </c>
      <c r="B195" t="inlineStr">
        <is>
          <t>Shadows over Innistrad Remastered SIR</t>
        </is>
      </c>
      <c r="C195" t="n">
        <v>294</v>
      </c>
      <c r="D195" s="3" t="n">
        <v>45006</v>
      </c>
      <c r="F195" t="inlineStr">
        <is>
          <t>en es fr de it pt ja ko ru 汉语 漢語</t>
        </is>
      </c>
      <c r="G195" t="n">
        <v>332</v>
      </c>
      <c r="H195">
        <f>MONTH(NOW())+12*YEAR(NOW())-MONTH(tbl_MTG_Set[[#This Row],[Released On]])-12*YEAR(tbl_MTG_Set[[#This Row],[Released On]])</f>
        <v/>
      </c>
      <c r="I195">
        <f>_xlfn.XLOOKUP(tbl_MTG_Set[[#This Row],[Type Name]], tbl_MTG_Set_Type[Set Type], tbl_MTG_Set_Type[Index], "(Set Type not found)")</f>
        <v/>
      </c>
      <c r="J195">
        <f>_xlfn.XLOOKUP(tbl_MTG_Set[[#This Row],[Type Name]], tbl_MTG_Set_Type[Set Type], tbl_MTG_Set_Type[Buy Window Month Start], "(Set Type not found)")</f>
        <v/>
      </c>
      <c r="K195" s="3">
        <f>tbl_MTG_Set[[#This Row],[Released On]]+tbl_MTG_Set[[#This Row],[Buy Window Month Start]]*365.25/12</f>
        <v/>
      </c>
      <c r="L195">
        <f>_xlfn.XLOOKUP(tbl_MTG_Set[[#This Row],[Type Name]], tbl_MTG_Set_Type[Set Type], tbl_MTG_Set_Type[Buy Window Month End], "(Set Type not found)", 0, 1)</f>
        <v/>
      </c>
      <c r="M195" s="3">
        <f>tbl_MTG_Set[[#This Row],[Released On]]+tbl_MTG_Set[[#This Row],[Buy Window Month End]]*365.25/12</f>
        <v/>
      </c>
      <c r="N195" s="3">
        <f>AND(NOW()&gt;=tbl_MTG_Set[[#This Row],[Buy Window Start]], NOW()&lt;=tbl_MTG_Set[[#This Row],[Buy Window End]])</f>
        <v/>
      </c>
      <c r="O195">
        <f>_xlfn.XLOOKUP(tbl_MTG_Set[[#This Row],[Type Name]], tbl_MTG_Set_Type[Set Type], tbl_MTG_Set_Type[Heavy Printing Window Month Start], "(Set Type not found)", 0, 1)</f>
        <v/>
      </c>
      <c r="P195" s="3">
        <f>tbl_MTG_Set[[#This Row],[Released On]]+tbl_MTG_Set[[#This Row],[Heavy Printing Window Month Start]]*365.25/12</f>
        <v/>
      </c>
      <c r="Q195">
        <f>_xlfn.XLOOKUP(tbl_MTG_Set[[#This Row],[Type Name]], tbl_MTG_Set_Type[Set Type], tbl_MTG_Set_Type[Heavy Printing Window Month End], "(Set Type not found)", 0, 1)</f>
        <v/>
      </c>
      <c r="R195" s="3">
        <f>tbl_MTG_Set[[#This Row],[Released On]]+tbl_MTG_Set[[#This Row],[Heavy Printing Window Month End]]*365.25/12</f>
        <v/>
      </c>
      <c r="S195" s="3">
        <f>AND(NOW()&gt;=tbl_MTG_Set[[#This Row],[Heavy Printing Window Start]], NOW()&lt;=tbl_MTG_Set[[#This Row],[Heavy Printing Window End]])</f>
        <v/>
      </c>
      <c r="T195">
        <f>_xlfn.XLOOKUP(tbl_MTG_Set[[#This Row],[Type Name]], tbl_MTG_Set_Type[Set Type], tbl_MTG_Set_Type[Sell Window Month Start], "(Set Type not found)", 0, 1)</f>
        <v/>
      </c>
      <c r="U195" s="3">
        <f>tbl_MTG_Set[[#This Row],[Released On]]+tbl_MTG_Set[[#This Row],[Sell Window Month Start]]*365.25/12</f>
        <v/>
      </c>
      <c r="V195">
        <f>_xlfn.XLOOKUP(tbl_MTG_Set[[#This Row],[Type Name]], tbl_MTG_Set_Type[Set Type], tbl_MTG_Set_Type[Sell Window Month End], "(Set Type not found)", 0, 1)</f>
        <v/>
      </c>
      <c r="W195" s="3">
        <f>tbl_MTG_Set[[#This Row],[Released On]]+tbl_MTG_Set[[#This Row],[Sell Window Month End]]*365.25/12</f>
        <v/>
      </c>
      <c r="X195" s="3">
        <f>AND(NOW()&gt;=tbl_MTG_Set[[#This Row],[Sell Window Start]], NOW()&lt;=tbl_MTG_Set[[#This Row],[Sell Window End]])</f>
        <v/>
      </c>
      <c r="AG195" s="10" t="n"/>
      <c r="AH195" s="10" t="n"/>
      <c r="AM195" s="10">
        <f t="array" ref="AM1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5" s="10">
        <f t="array" ref="AN1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5" s="4">
        <f>_xlfn.XLOOKUP(tbl_MTG_Set[[#This Row],[Play Booster Box Product Id]], tbl_Product[Product Id], tbl_Product[Pack Size])</f>
        <v/>
      </c>
      <c r="AP195" s="10">
        <f>(tbl_MTG_Set[[#This Row],[Play Booster Box Cost]]+v_Item_Shipping_Cost_In)/tbl_MTG_Set[[#This Row],[Play Booster Box Size]]</f>
        <v/>
      </c>
      <c r="AQ195" s="10">
        <f t="array" ref="AQ1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5" s="10" t="n"/>
      <c r="AS195" s="10" t="n"/>
      <c r="AT195" s="17">
        <f>tbl_MTG_Set[[#This Row],[Play Booster CardMarket Profit]]/tbl_MTG_Set[[#This Row],[Play Booster Cost]]</f>
        <v/>
      </c>
      <c r="AU195" s="10">
        <f>_xlfn.XLOOKUP(tbl_MTG_Set[[#This Row],[Collector Booster Box Product Id]], tbl_Product[Product Id], tbl_Product[Min Cost])</f>
        <v/>
      </c>
      <c r="AV195" s="10">
        <f>_xlfn.XLOOKUP(tbl_MTG_Set[[#This Row],[Collector Booster Box Product Id]], tbl_Product[Product Id], tbl_Product[Best Source])</f>
        <v/>
      </c>
      <c r="AW195" s="4">
        <f>_xlfn.XLOOKUP(tbl_MTG_Set[[#This Row],[Collector Booster Box Product Id]], tbl_Product[Product Id], tbl_Product[Pack Size])</f>
        <v/>
      </c>
      <c r="AX195" s="10">
        <f>(tbl_MTG_Set[[#This Row],[Collector Booster Box Cost]] + v_Item_Shipping_Cost_In) / tbl_MTG_Set[[#This Row],[Collector Booster Box Size]]</f>
        <v/>
      </c>
      <c r="AY195" s="10">
        <f t="array" ref="AY1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5" s="10" t="n"/>
      <c r="BA1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5" s="17">
        <f>tbl_MTG_Set[[#This Row],[Collector Booster CardMarket Profit]]/tbl_MTG_Set[[#This Row],[Collector Booster Cost]]</f>
        <v/>
      </c>
      <c r="BC195" s="10" t="n"/>
      <c r="BF195" s="10">
        <f>tbl_MTG_Set[[#This Row],[Play Booster Sell Price CardMarket]]*tbl_MTG_Set[[#This Row],[Play Booster Expected Market Value]]/tbl_MTG_Set[[#This Row],[Play Boost Sealed Market Value]]</f>
        <v/>
      </c>
      <c r="BG1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5" s="10">
        <f>tbl_MTG_Set[[#This Row],[Play Singles CardMarket Profit]]/tbl_MTG_Set[[#This Row],[Play Booster Cost]]</f>
        <v/>
      </c>
      <c r="BI195" s="10">
        <f>tbl_MTG_Set[[#This Row],[Play Singles CardMarket Profit]]&gt;0</f>
        <v/>
      </c>
      <c r="BJ195" s="10" t="n"/>
      <c r="BK195" s="10" t="n"/>
      <c r="BL195" s="10">
        <f>tbl_MTG_Set[[#This Row],[Collector Booster Sell Price CardMarket]]*tbl_MTG_Set[[#This Row],[Collector Booster Expected Market Value]]/tbl_MTG_Set[[#This Row],[Collector Boost Sealed Market Value]]</f>
        <v/>
      </c>
      <c r="BM1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5" s="10">
        <f>tbl_MTG_Set[[#This Row],[Collector Singles CardMarket Profit]]/tbl_MTG_Set[[#This Row],[Collector Booster Cost]]</f>
        <v/>
      </c>
      <c r="BO195" s="10">
        <f>tbl_MTG_Set[[#This Row],[Collector Singles CardMarket Profit]]&gt;0</f>
        <v/>
      </c>
      <c r="BP1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6">
      <c r="A196" t="n">
        <v>194</v>
      </c>
      <c r="B196" t="inlineStr">
        <is>
          <t>Shadows of the Past SIS</t>
        </is>
      </c>
      <c r="C196" t="n">
        <v>76</v>
      </c>
      <c r="D196" s="3" t="n">
        <v>45006</v>
      </c>
      <c r="F196" t="inlineStr">
        <is>
          <t>en es fr de it pt ja ko ru 汉语 漢語</t>
        </is>
      </c>
      <c r="G196" t="n">
        <v>334</v>
      </c>
      <c r="H196">
        <f>MONTH(NOW())+12*YEAR(NOW())-MONTH(tbl_MTG_Set[[#This Row],[Released On]])-12*YEAR(tbl_MTG_Set[[#This Row],[Released On]])</f>
        <v/>
      </c>
      <c r="I196">
        <f>_xlfn.XLOOKUP(tbl_MTG_Set[[#This Row],[Type Name]], tbl_MTG_Set_Type[Set Type], tbl_MTG_Set_Type[Index], "(Set Type not found)")</f>
        <v/>
      </c>
      <c r="J196">
        <f>_xlfn.XLOOKUP(tbl_MTG_Set[[#This Row],[Type Name]], tbl_MTG_Set_Type[Set Type], tbl_MTG_Set_Type[Buy Window Month Start], "(Set Type not found)")</f>
        <v/>
      </c>
      <c r="K196" s="3">
        <f>tbl_MTG_Set[[#This Row],[Released On]]+tbl_MTG_Set[[#This Row],[Buy Window Month Start]]*365.25/12</f>
        <v/>
      </c>
      <c r="L196">
        <f>_xlfn.XLOOKUP(tbl_MTG_Set[[#This Row],[Type Name]], tbl_MTG_Set_Type[Set Type], tbl_MTG_Set_Type[Buy Window Month End], "(Set Type not found)", 0, 1)</f>
        <v/>
      </c>
      <c r="M196" s="3">
        <f>tbl_MTG_Set[[#This Row],[Released On]]+tbl_MTG_Set[[#This Row],[Buy Window Month End]]*365.25/12</f>
        <v/>
      </c>
      <c r="N196" s="3">
        <f>AND(NOW()&gt;=tbl_MTG_Set[[#This Row],[Buy Window Start]], NOW()&lt;=tbl_MTG_Set[[#This Row],[Buy Window End]])</f>
        <v/>
      </c>
      <c r="O196">
        <f>_xlfn.XLOOKUP(tbl_MTG_Set[[#This Row],[Type Name]], tbl_MTG_Set_Type[Set Type], tbl_MTG_Set_Type[Heavy Printing Window Month Start], "(Set Type not found)", 0, 1)</f>
        <v/>
      </c>
      <c r="P196" s="3">
        <f>tbl_MTG_Set[[#This Row],[Released On]]+tbl_MTG_Set[[#This Row],[Heavy Printing Window Month Start]]*365.25/12</f>
        <v/>
      </c>
      <c r="Q196">
        <f>_xlfn.XLOOKUP(tbl_MTG_Set[[#This Row],[Type Name]], tbl_MTG_Set_Type[Set Type], tbl_MTG_Set_Type[Heavy Printing Window Month End], "(Set Type not found)", 0, 1)</f>
        <v/>
      </c>
      <c r="R196" s="3">
        <f>tbl_MTG_Set[[#This Row],[Released On]]+tbl_MTG_Set[[#This Row],[Heavy Printing Window Month End]]*365.25/12</f>
        <v/>
      </c>
      <c r="S196" s="3">
        <f>AND(NOW()&gt;=tbl_MTG_Set[[#This Row],[Heavy Printing Window Start]], NOW()&lt;=tbl_MTG_Set[[#This Row],[Heavy Printing Window End]])</f>
        <v/>
      </c>
      <c r="T196">
        <f>_xlfn.XLOOKUP(tbl_MTG_Set[[#This Row],[Type Name]], tbl_MTG_Set_Type[Set Type], tbl_MTG_Set_Type[Sell Window Month Start], "(Set Type not found)", 0, 1)</f>
        <v/>
      </c>
      <c r="U196" s="3">
        <f>tbl_MTG_Set[[#This Row],[Released On]]+tbl_MTG_Set[[#This Row],[Sell Window Month Start]]*365.25/12</f>
        <v/>
      </c>
      <c r="V196">
        <f>_xlfn.XLOOKUP(tbl_MTG_Set[[#This Row],[Type Name]], tbl_MTG_Set_Type[Set Type], tbl_MTG_Set_Type[Sell Window Month End], "(Set Type not found)", 0, 1)</f>
        <v/>
      </c>
      <c r="W196" s="3">
        <f>tbl_MTG_Set[[#This Row],[Released On]]+tbl_MTG_Set[[#This Row],[Sell Window Month End]]*365.25/12</f>
        <v/>
      </c>
      <c r="X196" s="3">
        <f>AND(NOW()&gt;=tbl_MTG_Set[[#This Row],[Sell Window Start]], NOW()&lt;=tbl_MTG_Set[[#This Row],[Sell Window End]])</f>
        <v/>
      </c>
      <c r="AG196" s="10" t="n"/>
      <c r="AH196" s="10" t="n"/>
      <c r="AM196" s="10">
        <f t="array" ref="AM1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6" s="10">
        <f t="array" ref="AN1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6" s="4">
        <f>_xlfn.XLOOKUP(tbl_MTG_Set[[#This Row],[Play Booster Box Product Id]], tbl_Product[Product Id], tbl_Product[Pack Size])</f>
        <v/>
      </c>
      <c r="AP196" s="10">
        <f>(tbl_MTG_Set[[#This Row],[Play Booster Box Cost]]+v_Item_Shipping_Cost_In)/tbl_MTG_Set[[#This Row],[Play Booster Box Size]]</f>
        <v/>
      </c>
      <c r="AQ196" s="10">
        <f t="array" ref="AQ1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6" s="10" t="n"/>
      <c r="AS196" s="10" t="n"/>
      <c r="AT196" s="17">
        <f>tbl_MTG_Set[[#This Row],[Play Booster CardMarket Profit]]/tbl_MTG_Set[[#This Row],[Play Booster Cost]]</f>
        <v/>
      </c>
      <c r="AU196" s="10">
        <f>_xlfn.XLOOKUP(tbl_MTG_Set[[#This Row],[Collector Booster Box Product Id]], tbl_Product[Product Id], tbl_Product[Min Cost])</f>
        <v/>
      </c>
      <c r="AV196" s="10">
        <f>_xlfn.XLOOKUP(tbl_MTG_Set[[#This Row],[Collector Booster Box Product Id]], tbl_Product[Product Id], tbl_Product[Best Source])</f>
        <v/>
      </c>
      <c r="AW196" s="4">
        <f>_xlfn.XLOOKUP(tbl_MTG_Set[[#This Row],[Collector Booster Box Product Id]], tbl_Product[Product Id], tbl_Product[Pack Size])</f>
        <v/>
      </c>
      <c r="AX196" s="10">
        <f>(tbl_MTG_Set[[#This Row],[Collector Booster Box Cost]] + v_Item_Shipping_Cost_In) / tbl_MTG_Set[[#This Row],[Collector Booster Box Size]]</f>
        <v/>
      </c>
      <c r="AY196" s="10">
        <f t="array" ref="AY1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6" s="10" t="n"/>
      <c r="BA1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6" s="17">
        <f>tbl_MTG_Set[[#This Row],[Collector Booster CardMarket Profit]]/tbl_MTG_Set[[#This Row],[Collector Booster Cost]]</f>
        <v/>
      </c>
      <c r="BC196" s="10" t="n"/>
      <c r="BF196" s="10">
        <f>tbl_MTG_Set[[#This Row],[Play Booster Sell Price CardMarket]]*tbl_MTG_Set[[#This Row],[Play Booster Expected Market Value]]/tbl_MTG_Set[[#This Row],[Play Boost Sealed Market Value]]</f>
        <v/>
      </c>
      <c r="BG1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6" s="10">
        <f>tbl_MTG_Set[[#This Row],[Play Singles CardMarket Profit]]/tbl_MTG_Set[[#This Row],[Play Booster Cost]]</f>
        <v/>
      </c>
      <c r="BI196" s="10">
        <f>tbl_MTG_Set[[#This Row],[Play Singles CardMarket Profit]]&gt;0</f>
        <v/>
      </c>
      <c r="BJ196" s="10" t="n"/>
      <c r="BK196" s="10" t="n"/>
      <c r="BL196" s="10">
        <f>tbl_MTG_Set[[#This Row],[Collector Booster Sell Price CardMarket]]*tbl_MTG_Set[[#This Row],[Collector Booster Expected Market Value]]/tbl_MTG_Set[[#This Row],[Collector Boost Sealed Market Value]]</f>
        <v/>
      </c>
      <c r="BM1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6" s="10">
        <f>tbl_MTG_Set[[#This Row],[Collector Singles CardMarket Profit]]/tbl_MTG_Set[[#This Row],[Collector Booster Cost]]</f>
        <v/>
      </c>
      <c r="BO196" s="10">
        <f>tbl_MTG_Set[[#This Row],[Collector Singles CardMarket Profit]]&gt;0</f>
        <v/>
      </c>
      <c r="BP1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7">
      <c r="A197" t="n">
        <v>195</v>
      </c>
      <c r="B197" t="inlineStr">
        <is>
          <t>Unknown Event UNK</t>
        </is>
      </c>
      <c r="C197" t="n">
        <v>471</v>
      </c>
      <c r="D197" s="3" t="n">
        <v>44972</v>
      </c>
      <c r="F197" t="inlineStr">
        <is>
          <t>en es fr de it pt ja ko ru 汉语 漢語</t>
        </is>
      </c>
      <c r="G197" t="n">
        <v>336</v>
      </c>
      <c r="H197">
        <f>MONTH(NOW())+12*YEAR(NOW())-MONTH(tbl_MTG_Set[[#This Row],[Released On]])-12*YEAR(tbl_MTG_Set[[#This Row],[Released On]])</f>
        <v/>
      </c>
      <c r="I197">
        <f>_xlfn.XLOOKUP(tbl_MTG_Set[[#This Row],[Type Name]], tbl_MTG_Set_Type[Set Type], tbl_MTG_Set_Type[Index], "(Set Type not found)")</f>
        <v/>
      </c>
      <c r="J197">
        <f>_xlfn.XLOOKUP(tbl_MTG_Set[[#This Row],[Type Name]], tbl_MTG_Set_Type[Set Type], tbl_MTG_Set_Type[Buy Window Month Start], "(Set Type not found)")</f>
        <v/>
      </c>
      <c r="K197" s="3">
        <f>tbl_MTG_Set[[#This Row],[Released On]]+tbl_MTG_Set[[#This Row],[Buy Window Month Start]]*365.25/12</f>
        <v/>
      </c>
      <c r="L197">
        <f>_xlfn.XLOOKUP(tbl_MTG_Set[[#This Row],[Type Name]], tbl_MTG_Set_Type[Set Type], tbl_MTG_Set_Type[Buy Window Month End], "(Set Type not found)", 0, 1)</f>
        <v/>
      </c>
      <c r="M197" s="3">
        <f>tbl_MTG_Set[[#This Row],[Released On]]+tbl_MTG_Set[[#This Row],[Buy Window Month End]]*365.25/12</f>
        <v/>
      </c>
      <c r="N197" s="3">
        <f>AND(NOW()&gt;=tbl_MTG_Set[[#This Row],[Buy Window Start]], NOW()&lt;=tbl_MTG_Set[[#This Row],[Buy Window End]])</f>
        <v/>
      </c>
      <c r="O197">
        <f>_xlfn.XLOOKUP(tbl_MTG_Set[[#This Row],[Type Name]], tbl_MTG_Set_Type[Set Type], tbl_MTG_Set_Type[Heavy Printing Window Month Start], "(Set Type not found)", 0, 1)</f>
        <v/>
      </c>
      <c r="P197" s="3">
        <f>tbl_MTG_Set[[#This Row],[Released On]]+tbl_MTG_Set[[#This Row],[Heavy Printing Window Month Start]]*365.25/12</f>
        <v/>
      </c>
      <c r="Q197">
        <f>_xlfn.XLOOKUP(tbl_MTG_Set[[#This Row],[Type Name]], tbl_MTG_Set_Type[Set Type], tbl_MTG_Set_Type[Heavy Printing Window Month End], "(Set Type not found)", 0, 1)</f>
        <v/>
      </c>
      <c r="R197" s="3">
        <f>tbl_MTG_Set[[#This Row],[Released On]]+tbl_MTG_Set[[#This Row],[Heavy Printing Window Month End]]*365.25/12</f>
        <v/>
      </c>
      <c r="S197" s="3">
        <f>AND(NOW()&gt;=tbl_MTG_Set[[#This Row],[Heavy Printing Window Start]], NOW()&lt;=tbl_MTG_Set[[#This Row],[Heavy Printing Window End]])</f>
        <v/>
      </c>
      <c r="T197">
        <f>_xlfn.XLOOKUP(tbl_MTG_Set[[#This Row],[Type Name]], tbl_MTG_Set_Type[Set Type], tbl_MTG_Set_Type[Sell Window Month Start], "(Set Type not found)", 0, 1)</f>
        <v/>
      </c>
      <c r="U197" s="3">
        <f>tbl_MTG_Set[[#This Row],[Released On]]+tbl_MTG_Set[[#This Row],[Sell Window Month Start]]*365.25/12</f>
        <v/>
      </c>
      <c r="V197">
        <f>_xlfn.XLOOKUP(tbl_MTG_Set[[#This Row],[Type Name]], tbl_MTG_Set_Type[Set Type], tbl_MTG_Set_Type[Sell Window Month End], "(Set Type not found)", 0, 1)</f>
        <v/>
      </c>
      <c r="W197" s="3">
        <f>tbl_MTG_Set[[#This Row],[Released On]]+tbl_MTG_Set[[#This Row],[Sell Window Month End]]*365.25/12</f>
        <v/>
      </c>
      <c r="X197" s="3">
        <f>AND(NOW()&gt;=tbl_MTG_Set[[#This Row],[Sell Window Start]], NOW()&lt;=tbl_MTG_Set[[#This Row],[Sell Window End]])</f>
        <v/>
      </c>
      <c r="AG197" s="10" t="n"/>
      <c r="AH197" s="10" t="n"/>
      <c r="AM197" s="10">
        <f t="array" ref="AM1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7" s="10">
        <f t="array" ref="AN1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7" s="4">
        <f>_xlfn.XLOOKUP(tbl_MTG_Set[[#This Row],[Play Booster Box Product Id]], tbl_Product[Product Id], tbl_Product[Pack Size])</f>
        <v/>
      </c>
      <c r="AP197" s="10">
        <f>(tbl_MTG_Set[[#This Row],[Play Booster Box Cost]]+v_Item_Shipping_Cost_In)/tbl_MTG_Set[[#This Row],[Play Booster Box Size]]</f>
        <v/>
      </c>
      <c r="AQ197" s="10">
        <f t="array" ref="AQ1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7" s="10" t="n"/>
      <c r="AS197" s="10" t="n"/>
      <c r="AT197" s="17">
        <f>tbl_MTG_Set[[#This Row],[Play Booster CardMarket Profit]]/tbl_MTG_Set[[#This Row],[Play Booster Cost]]</f>
        <v/>
      </c>
      <c r="AU197" s="10">
        <f>_xlfn.XLOOKUP(tbl_MTG_Set[[#This Row],[Collector Booster Box Product Id]], tbl_Product[Product Id], tbl_Product[Min Cost])</f>
        <v/>
      </c>
      <c r="AV197" s="10">
        <f>_xlfn.XLOOKUP(tbl_MTG_Set[[#This Row],[Collector Booster Box Product Id]], tbl_Product[Product Id], tbl_Product[Best Source])</f>
        <v/>
      </c>
      <c r="AW197" s="4">
        <f>_xlfn.XLOOKUP(tbl_MTG_Set[[#This Row],[Collector Booster Box Product Id]], tbl_Product[Product Id], tbl_Product[Pack Size])</f>
        <v/>
      </c>
      <c r="AX197" s="10">
        <f>(tbl_MTG_Set[[#This Row],[Collector Booster Box Cost]] + v_Item_Shipping_Cost_In) / tbl_MTG_Set[[#This Row],[Collector Booster Box Size]]</f>
        <v/>
      </c>
      <c r="AY197" s="10">
        <f t="array" ref="AY1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7" s="10" t="n"/>
      <c r="BA1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7" s="17">
        <f>tbl_MTG_Set[[#This Row],[Collector Booster CardMarket Profit]]/tbl_MTG_Set[[#This Row],[Collector Booster Cost]]</f>
        <v/>
      </c>
      <c r="BC197" s="10" t="n"/>
      <c r="BF197" s="10">
        <f>tbl_MTG_Set[[#This Row],[Play Booster Sell Price CardMarket]]*tbl_MTG_Set[[#This Row],[Play Booster Expected Market Value]]/tbl_MTG_Set[[#This Row],[Play Boost Sealed Market Value]]</f>
        <v/>
      </c>
      <c r="BG1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7" s="10">
        <f>tbl_MTG_Set[[#This Row],[Play Singles CardMarket Profit]]/tbl_MTG_Set[[#This Row],[Play Booster Cost]]</f>
        <v/>
      </c>
      <c r="BI197" s="10">
        <f>tbl_MTG_Set[[#This Row],[Play Singles CardMarket Profit]]&gt;0</f>
        <v/>
      </c>
      <c r="BJ197" s="10" t="n"/>
      <c r="BK197" s="10" t="n"/>
      <c r="BL197" s="10">
        <f>tbl_MTG_Set[[#This Row],[Collector Booster Sell Price CardMarket]]*tbl_MTG_Set[[#This Row],[Collector Booster Expected Market Value]]/tbl_MTG_Set[[#This Row],[Collector Boost Sealed Market Value]]</f>
        <v/>
      </c>
      <c r="BM1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7" s="10">
        <f>tbl_MTG_Set[[#This Row],[Collector Singles CardMarket Profit]]/tbl_MTG_Set[[#This Row],[Collector Booster Cost]]</f>
        <v/>
      </c>
      <c r="BO197" s="10">
        <f>tbl_MTG_Set[[#This Row],[Collector Singles CardMarket Profit]]&gt;0</f>
        <v/>
      </c>
      <c r="BP1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8">
      <c r="A198" t="n">
        <v>196</v>
      </c>
      <c r="B198" t="inlineStr">
        <is>
          <t>Black Lotus Unknown Planechase PUNK</t>
        </is>
      </c>
      <c r="C198" t="n">
        <v>52</v>
      </c>
      <c r="D198" s="3" t="n">
        <v>45346</v>
      </c>
      <c r="F198" t="inlineStr">
        <is>
          <t>en es fr de it pt ja ko ru 汉语 漢語</t>
        </is>
      </c>
      <c r="G198" t="n">
        <v>338</v>
      </c>
      <c r="H198">
        <f>MONTH(NOW())+12*YEAR(NOW())-MONTH(tbl_MTG_Set[[#This Row],[Released On]])-12*YEAR(tbl_MTG_Set[[#This Row],[Released On]])</f>
        <v/>
      </c>
      <c r="I198">
        <f>_xlfn.XLOOKUP(tbl_MTG_Set[[#This Row],[Type Name]], tbl_MTG_Set_Type[Set Type], tbl_MTG_Set_Type[Index], "(Set Type not found)")</f>
        <v/>
      </c>
      <c r="J198">
        <f>_xlfn.XLOOKUP(tbl_MTG_Set[[#This Row],[Type Name]], tbl_MTG_Set_Type[Set Type], tbl_MTG_Set_Type[Buy Window Month Start], "(Set Type not found)")</f>
        <v/>
      </c>
      <c r="K198" s="3">
        <f>tbl_MTG_Set[[#This Row],[Released On]]+tbl_MTG_Set[[#This Row],[Buy Window Month Start]]*365.25/12</f>
        <v/>
      </c>
      <c r="L198">
        <f>_xlfn.XLOOKUP(tbl_MTG_Set[[#This Row],[Type Name]], tbl_MTG_Set_Type[Set Type], tbl_MTG_Set_Type[Buy Window Month End], "(Set Type not found)", 0, 1)</f>
        <v/>
      </c>
      <c r="M198" s="3">
        <f>tbl_MTG_Set[[#This Row],[Released On]]+tbl_MTG_Set[[#This Row],[Buy Window Month End]]*365.25/12</f>
        <v/>
      </c>
      <c r="N198" s="3">
        <f>AND(NOW()&gt;=tbl_MTG_Set[[#This Row],[Buy Window Start]], NOW()&lt;=tbl_MTG_Set[[#This Row],[Buy Window End]])</f>
        <v/>
      </c>
      <c r="O198">
        <f>_xlfn.XLOOKUP(tbl_MTG_Set[[#This Row],[Type Name]], tbl_MTG_Set_Type[Set Type], tbl_MTG_Set_Type[Heavy Printing Window Month Start], "(Set Type not found)", 0, 1)</f>
        <v/>
      </c>
      <c r="P198" s="3">
        <f>tbl_MTG_Set[[#This Row],[Released On]]+tbl_MTG_Set[[#This Row],[Heavy Printing Window Month Start]]*365.25/12</f>
        <v/>
      </c>
      <c r="Q198">
        <f>_xlfn.XLOOKUP(tbl_MTG_Set[[#This Row],[Type Name]], tbl_MTG_Set_Type[Set Type], tbl_MTG_Set_Type[Heavy Printing Window Month End], "(Set Type not found)", 0, 1)</f>
        <v/>
      </c>
      <c r="R198" s="3">
        <f>tbl_MTG_Set[[#This Row],[Released On]]+tbl_MTG_Set[[#This Row],[Heavy Printing Window Month End]]*365.25/12</f>
        <v/>
      </c>
      <c r="S198" s="3">
        <f>AND(NOW()&gt;=tbl_MTG_Set[[#This Row],[Heavy Printing Window Start]], NOW()&lt;=tbl_MTG_Set[[#This Row],[Heavy Printing Window End]])</f>
        <v/>
      </c>
      <c r="T198">
        <f>_xlfn.XLOOKUP(tbl_MTG_Set[[#This Row],[Type Name]], tbl_MTG_Set_Type[Set Type], tbl_MTG_Set_Type[Sell Window Month Start], "(Set Type not found)", 0, 1)</f>
        <v/>
      </c>
      <c r="U198" s="3">
        <f>tbl_MTG_Set[[#This Row],[Released On]]+tbl_MTG_Set[[#This Row],[Sell Window Month Start]]*365.25/12</f>
        <v/>
      </c>
      <c r="V198">
        <f>_xlfn.XLOOKUP(tbl_MTG_Set[[#This Row],[Type Name]], tbl_MTG_Set_Type[Set Type], tbl_MTG_Set_Type[Sell Window Month End], "(Set Type not found)", 0, 1)</f>
        <v/>
      </c>
      <c r="W198" s="3">
        <f>tbl_MTG_Set[[#This Row],[Released On]]+tbl_MTG_Set[[#This Row],[Sell Window Month End]]*365.25/12</f>
        <v/>
      </c>
      <c r="X198" s="3">
        <f>AND(NOW()&gt;=tbl_MTG_Set[[#This Row],[Sell Window Start]], NOW()&lt;=tbl_MTG_Set[[#This Row],[Sell Window End]])</f>
        <v/>
      </c>
      <c r="AG198" s="10" t="n"/>
      <c r="AH198" s="10" t="n"/>
      <c r="AM198" s="10">
        <f t="array" ref="AM1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8" s="10">
        <f t="array" ref="AN1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8" s="4">
        <f>_xlfn.XLOOKUP(tbl_MTG_Set[[#This Row],[Play Booster Box Product Id]], tbl_Product[Product Id], tbl_Product[Pack Size])</f>
        <v/>
      </c>
      <c r="AP198" s="10">
        <f>(tbl_MTG_Set[[#This Row],[Play Booster Box Cost]]+v_Item_Shipping_Cost_In)/tbl_MTG_Set[[#This Row],[Play Booster Box Size]]</f>
        <v/>
      </c>
      <c r="AQ198" s="10">
        <f t="array" ref="AQ1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8" s="10" t="n"/>
      <c r="AS198" s="10" t="n"/>
      <c r="AT198" s="17">
        <f>tbl_MTG_Set[[#This Row],[Play Booster CardMarket Profit]]/tbl_MTG_Set[[#This Row],[Play Booster Cost]]</f>
        <v/>
      </c>
      <c r="AU198" s="10">
        <f>_xlfn.XLOOKUP(tbl_MTG_Set[[#This Row],[Collector Booster Box Product Id]], tbl_Product[Product Id], tbl_Product[Min Cost])</f>
        <v/>
      </c>
      <c r="AV198" s="10">
        <f>_xlfn.XLOOKUP(tbl_MTG_Set[[#This Row],[Collector Booster Box Product Id]], tbl_Product[Product Id], tbl_Product[Best Source])</f>
        <v/>
      </c>
      <c r="AW198" s="4">
        <f>_xlfn.XLOOKUP(tbl_MTG_Set[[#This Row],[Collector Booster Box Product Id]], tbl_Product[Product Id], tbl_Product[Pack Size])</f>
        <v/>
      </c>
      <c r="AX198" s="10">
        <f>(tbl_MTG_Set[[#This Row],[Collector Booster Box Cost]] + v_Item_Shipping_Cost_In) / tbl_MTG_Set[[#This Row],[Collector Booster Box Size]]</f>
        <v/>
      </c>
      <c r="AY198" s="10">
        <f t="array" ref="AY1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8" s="10" t="n"/>
      <c r="BA1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8" s="17">
        <f>tbl_MTG_Set[[#This Row],[Collector Booster CardMarket Profit]]/tbl_MTG_Set[[#This Row],[Collector Booster Cost]]</f>
        <v/>
      </c>
      <c r="BC198" s="10" t="n"/>
      <c r="BF198" s="10">
        <f>tbl_MTG_Set[[#This Row],[Play Booster Sell Price CardMarket]]*tbl_MTG_Set[[#This Row],[Play Booster Expected Market Value]]/tbl_MTG_Set[[#This Row],[Play Boost Sealed Market Value]]</f>
        <v/>
      </c>
      <c r="BG1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8" s="10">
        <f>tbl_MTG_Set[[#This Row],[Play Singles CardMarket Profit]]/tbl_MTG_Set[[#This Row],[Play Booster Cost]]</f>
        <v/>
      </c>
      <c r="BI198" s="10">
        <f>tbl_MTG_Set[[#This Row],[Play Singles CardMarket Profit]]&gt;0</f>
        <v/>
      </c>
      <c r="BJ198" s="10" t="n"/>
      <c r="BK198" s="10" t="n"/>
      <c r="BL198" s="10">
        <f>tbl_MTG_Set[[#This Row],[Collector Booster Sell Price CardMarket]]*tbl_MTG_Set[[#This Row],[Collector Booster Expected Market Value]]/tbl_MTG_Set[[#This Row],[Collector Boost Sealed Market Value]]</f>
        <v/>
      </c>
      <c r="BM1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8" s="10">
        <f>tbl_MTG_Set[[#This Row],[Collector Singles CardMarket Profit]]/tbl_MTG_Set[[#This Row],[Collector Booster Cost]]</f>
        <v/>
      </c>
      <c r="BO198" s="10">
        <f>tbl_MTG_Set[[#This Row],[Collector Singles CardMarket Profit]]&gt;0</f>
        <v/>
      </c>
      <c r="BP1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9">
      <c r="A199" t="n">
        <v>197</v>
      </c>
      <c r="B199" t="inlineStr">
        <is>
          <t>Year of the Rabbit 2023 PL23</t>
        </is>
      </c>
      <c r="C199" t="n">
        <v>6</v>
      </c>
      <c r="D199" s="3" t="n">
        <v>44967</v>
      </c>
      <c r="F199" t="inlineStr">
        <is>
          <t>en es fr de it pt ja ko ru 汉语 漢語</t>
        </is>
      </c>
      <c r="G199" t="n">
        <v>340</v>
      </c>
      <c r="H199">
        <f>MONTH(NOW())+12*YEAR(NOW())-MONTH(tbl_MTG_Set[[#This Row],[Released On]])-12*YEAR(tbl_MTG_Set[[#This Row],[Released On]])</f>
        <v/>
      </c>
      <c r="I199">
        <f>_xlfn.XLOOKUP(tbl_MTG_Set[[#This Row],[Type Name]], tbl_MTG_Set_Type[Set Type], tbl_MTG_Set_Type[Index], "(Set Type not found)")</f>
        <v/>
      </c>
      <c r="J199">
        <f>_xlfn.XLOOKUP(tbl_MTG_Set[[#This Row],[Type Name]], tbl_MTG_Set_Type[Set Type], tbl_MTG_Set_Type[Buy Window Month Start], "(Set Type not found)")</f>
        <v/>
      </c>
      <c r="K199" s="3">
        <f>tbl_MTG_Set[[#This Row],[Released On]]+tbl_MTG_Set[[#This Row],[Buy Window Month Start]]*365.25/12</f>
        <v/>
      </c>
      <c r="L199">
        <f>_xlfn.XLOOKUP(tbl_MTG_Set[[#This Row],[Type Name]], tbl_MTG_Set_Type[Set Type], tbl_MTG_Set_Type[Buy Window Month End], "(Set Type not found)", 0, 1)</f>
        <v/>
      </c>
      <c r="M199" s="3">
        <f>tbl_MTG_Set[[#This Row],[Released On]]+tbl_MTG_Set[[#This Row],[Buy Window Month End]]*365.25/12</f>
        <v/>
      </c>
      <c r="N199" s="3">
        <f>AND(NOW()&gt;=tbl_MTG_Set[[#This Row],[Buy Window Start]], NOW()&lt;=tbl_MTG_Set[[#This Row],[Buy Window End]])</f>
        <v/>
      </c>
      <c r="O199">
        <f>_xlfn.XLOOKUP(tbl_MTG_Set[[#This Row],[Type Name]], tbl_MTG_Set_Type[Set Type], tbl_MTG_Set_Type[Heavy Printing Window Month Start], "(Set Type not found)", 0, 1)</f>
        <v/>
      </c>
      <c r="P199" s="3">
        <f>tbl_MTG_Set[[#This Row],[Released On]]+tbl_MTG_Set[[#This Row],[Heavy Printing Window Month Start]]*365.25/12</f>
        <v/>
      </c>
      <c r="Q199">
        <f>_xlfn.XLOOKUP(tbl_MTG_Set[[#This Row],[Type Name]], tbl_MTG_Set_Type[Set Type], tbl_MTG_Set_Type[Heavy Printing Window Month End], "(Set Type not found)", 0, 1)</f>
        <v/>
      </c>
      <c r="R199" s="3">
        <f>tbl_MTG_Set[[#This Row],[Released On]]+tbl_MTG_Set[[#This Row],[Heavy Printing Window Month End]]*365.25/12</f>
        <v/>
      </c>
      <c r="S199" s="3">
        <f>AND(NOW()&gt;=tbl_MTG_Set[[#This Row],[Heavy Printing Window Start]], NOW()&lt;=tbl_MTG_Set[[#This Row],[Heavy Printing Window End]])</f>
        <v/>
      </c>
      <c r="T199">
        <f>_xlfn.XLOOKUP(tbl_MTG_Set[[#This Row],[Type Name]], tbl_MTG_Set_Type[Set Type], tbl_MTG_Set_Type[Sell Window Month Start], "(Set Type not found)", 0, 1)</f>
        <v/>
      </c>
      <c r="U199" s="3">
        <f>tbl_MTG_Set[[#This Row],[Released On]]+tbl_MTG_Set[[#This Row],[Sell Window Month Start]]*365.25/12</f>
        <v/>
      </c>
      <c r="V199">
        <f>_xlfn.XLOOKUP(tbl_MTG_Set[[#This Row],[Type Name]], tbl_MTG_Set_Type[Set Type], tbl_MTG_Set_Type[Sell Window Month End], "(Set Type not found)", 0, 1)</f>
        <v/>
      </c>
      <c r="W199" s="3">
        <f>tbl_MTG_Set[[#This Row],[Released On]]+tbl_MTG_Set[[#This Row],[Sell Window Month End]]*365.25/12</f>
        <v/>
      </c>
      <c r="X199" s="3">
        <f>AND(NOW()&gt;=tbl_MTG_Set[[#This Row],[Sell Window Start]], NOW()&lt;=tbl_MTG_Set[[#This Row],[Sell Window End]])</f>
        <v/>
      </c>
      <c r="AG199" s="10" t="n"/>
      <c r="AH199" s="10" t="n"/>
      <c r="AM199" s="10">
        <f t="array" ref="AM1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9" s="10">
        <f t="array" ref="AN1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9" s="4">
        <f>_xlfn.XLOOKUP(tbl_MTG_Set[[#This Row],[Play Booster Box Product Id]], tbl_Product[Product Id], tbl_Product[Pack Size])</f>
        <v/>
      </c>
      <c r="AP199" s="10">
        <f>(tbl_MTG_Set[[#This Row],[Play Booster Box Cost]]+v_Item_Shipping_Cost_In)/tbl_MTG_Set[[#This Row],[Play Booster Box Size]]</f>
        <v/>
      </c>
      <c r="AQ199" s="10">
        <f t="array" ref="AQ1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99" s="10" t="n"/>
      <c r="AS199" s="10" t="n"/>
      <c r="AT199" s="17">
        <f>tbl_MTG_Set[[#This Row],[Play Booster CardMarket Profit]]/tbl_MTG_Set[[#This Row],[Play Booster Cost]]</f>
        <v/>
      </c>
      <c r="AU199" s="10">
        <f>_xlfn.XLOOKUP(tbl_MTG_Set[[#This Row],[Collector Booster Box Product Id]], tbl_Product[Product Id], tbl_Product[Min Cost])</f>
        <v/>
      </c>
      <c r="AV199" s="10">
        <f>_xlfn.XLOOKUP(tbl_MTG_Set[[#This Row],[Collector Booster Box Product Id]], tbl_Product[Product Id], tbl_Product[Best Source])</f>
        <v/>
      </c>
      <c r="AW199" s="4">
        <f>_xlfn.XLOOKUP(tbl_MTG_Set[[#This Row],[Collector Booster Box Product Id]], tbl_Product[Product Id], tbl_Product[Pack Size])</f>
        <v/>
      </c>
      <c r="AX199" s="10">
        <f>(tbl_MTG_Set[[#This Row],[Collector Booster Box Cost]] + v_Item_Shipping_Cost_In) / tbl_MTG_Set[[#This Row],[Collector Booster Box Size]]</f>
        <v/>
      </c>
      <c r="AY199" s="10">
        <f t="array" ref="AY1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99" s="10" t="n"/>
      <c r="BA1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9" s="17">
        <f>tbl_MTG_Set[[#This Row],[Collector Booster CardMarket Profit]]/tbl_MTG_Set[[#This Row],[Collector Booster Cost]]</f>
        <v/>
      </c>
      <c r="BC199" s="10" t="n"/>
      <c r="BF199" s="10">
        <f>tbl_MTG_Set[[#This Row],[Play Booster Sell Price CardMarket]]*tbl_MTG_Set[[#This Row],[Play Booster Expected Market Value]]/tbl_MTG_Set[[#This Row],[Play Boost Sealed Market Value]]</f>
        <v/>
      </c>
      <c r="BG1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9" s="10">
        <f>tbl_MTG_Set[[#This Row],[Play Singles CardMarket Profit]]/tbl_MTG_Set[[#This Row],[Play Booster Cost]]</f>
        <v/>
      </c>
      <c r="BI199" s="10">
        <f>tbl_MTG_Set[[#This Row],[Play Singles CardMarket Profit]]&gt;0</f>
        <v/>
      </c>
      <c r="BJ199" s="10" t="n"/>
      <c r="BK199" s="10" t="n"/>
      <c r="BL199" s="10">
        <f>tbl_MTG_Set[[#This Row],[Collector Booster Sell Price CardMarket]]*tbl_MTG_Set[[#This Row],[Collector Booster Expected Market Value]]/tbl_MTG_Set[[#This Row],[Collector Boost Sealed Market Value]]</f>
        <v/>
      </c>
      <c r="BM1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9" s="10">
        <f>tbl_MTG_Set[[#This Row],[Collector Singles CardMarket Profit]]/tbl_MTG_Set[[#This Row],[Collector Booster Cost]]</f>
        <v/>
      </c>
      <c r="BO199" s="10">
        <f>tbl_MTG_Set[[#This Row],[Collector Singles CardMarket Profit]]&gt;0</f>
        <v/>
      </c>
      <c r="BP1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0">
      <c r="A200" t="n">
        <v>198</v>
      </c>
      <c r="B200" t="inlineStr">
        <is>
          <t>Phyrexia: All Will Be One ONE</t>
        </is>
      </c>
      <c r="C200" t="n">
        <v>479</v>
      </c>
      <c r="D200" s="3" t="n">
        <v>44967</v>
      </c>
      <c r="E200" t="inlineStr">
        <is>
          <t>Standard Expansion</t>
        </is>
      </c>
      <c r="F200" t="inlineStr">
        <is>
          <t>en es fr de it pt ja ko ru 汉语 漢語</t>
        </is>
      </c>
      <c r="G200" t="n">
        <v>342</v>
      </c>
      <c r="H200">
        <f>MONTH(NOW())+12*YEAR(NOW())-MONTH(tbl_MTG_Set[[#This Row],[Released On]])-12*YEAR(tbl_MTG_Set[[#This Row],[Released On]])</f>
        <v/>
      </c>
      <c r="I200">
        <f>_xlfn.XLOOKUP(tbl_MTG_Set[[#This Row],[Type Name]], tbl_MTG_Set_Type[Set Type], tbl_MTG_Set_Type[Index], "(Set Type not found)")</f>
        <v/>
      </c>
      <c r="J200">
        <f>_xlfn.XLOOKUP(tbl_MTG_Set[[#This Row],[Type Name]], tbl_MTG_Set_Type[Set Type], tbl_MTG_Set_Type[Buy Window Month Start], "(Set Type not found)")</f>
        <v/>
      </c>
      <c r="K200" s="3">
        <f>tbl_MTG_Set[[#This Row],[Released On]]+tbl_MTG_Set[[#This Row],[Buy Window Month Start]]*365.25/12</f>
        <v/>
      </c>
      <c r="L200">
        <f>_xlfn.XLOOKUP(tbl_MTG_Set[[#This Row],[Type Name]], tbl_MTG_Set_Type[Set Type], tbl_MTG_Set_Type[Buy Window Month End], "(Set Type not found)", 0, 1)</f>
        <v/>
      </c>
      <c r="M200" s="3">
        <f>tbl_MTG_Set[[#This Row],[Released On]]+tbl_MTG_Set[[#This Row],[Buy Window Month End]]*365.25/12</f>
        <v/>
      </c>
      <c r="N200" s="3">
        <f>AND(NOW()&gt;=tbl_MTG_Set[[#This Row],[Buy Window Start]], NOW()&lt;=tbl_MTG_Set[[#This Row],[Buy Window End]])</f>
        <v/>
      </c>
      <c r="O200">
        <f>_xlfn.XLOOKUP(tbl_MTG_Set[[#This Row],[Type Name]], tbl_MTG_Set_Type[Set Type], tbl_MTG_Set_Type[Heavy Printing Window Month Start], "(Set Type not found)", 0, 1)</f>
        <v/>
      </c>
      <c r="P200" s="3">
        <f>tbl_MTG_Set[[#This Row],[Released On]]+tbl_MTG_Set[[#This Row],[Heavy Printing Window Month Start]]*365.25/12</f>
        <v/>
      </c>
      <c r="Q200">
        <f>_xlfn.XLOOKUP(tbl_MTG_Set[[#This Row],[Type Name]], tbl_MTG_Set_Type[Set Type], tbl_MTG_Set_Type[Heavy Printing Window Month End], "(Set Type not found)", 0, 1)</f>
        <v/>
      </c>
      <c r="R200" s="3">
        <f>tbl_MTG_Set[[#This Row],[Released On]]+tbl_MTG_Set[[#This Row],[Heavy Printing Window Month End]]*365.25/12</f>
        <v/>
      </c>
      <c r="S200" s="3">
        <f>AND(NOW()&gt;=tbl_MTG_Set[[#This Row],[Heavy Printing Window Start]], NOW()&lt;=tbl_MTG_Set[[#This Row],[Heavy Printing Window End]])</f>
        <v/>
      </c>
      <c r="T200">
        <f>_xlfn.XLOOKUP(tbl_MTG_Set[[#This Row],[Type Name]], tbl_MTG_Set_Type[Set Type], tbl_MTG_Set_Type[Sell Window Month Start], "(Set Type not found)", 0, 1)</f>
        <v/>
      </c>
      <c r="U200" s="3">
        <f>tbl_MTG_Set[[#This Row],[Released On]]+tbl_MTG_Set[[#This Row],[Sell Window Month Start]]*365.25/12</f>
        <v/>
      </c>
      <c r="V200">
        <f>_xlfn.XLOOKUP(tbl_MTG_Set[[#This Row],[Type Name]], tbl_MTG_Set_Type[Set Type], tbl_MTG_Set_Type[Sell Window Month End], "(Set Type not found)", 0, 1)</f>
        <v/>
      </c>
      <c r="W200" s="3">
        <f>tbl_MTG_Set[[#This Row],[Released On]]+tbl_MTG_Set[[#This Row],[Sell Window Month End]]*365.25/12</f>
        <v/>
      </c>
      <c r="X200" s="3">
        <f>AND(NOW()&gt;=tbl_MTG_Set[[#This Row],[Sell Window Start]], NOW()&lt;=tbl_MTG_Set[[#This Row],[Sell Window End]])</f>
        <v/>
      </c>
      <c r="Y200" s="10" t="n">
        <v>158</v>
      </c>
      <c r="Z200" s="10" t="n">
        <v>115</v>
      </c>
      <c r="AD200" s="10">
        <f>(Y200+96/20)/30</f>
        <v/>
      </c>
      <c r="AE200" s="10">
        <f>(Z200+96/20)/30</f>
        <v/>
      </c>
      <c r="AG200" s="10" t="n"/>
      <c r="AH200" s="10" t="n"/>
      <c r="AI200" s="4" t="n">
        <v>67</v>
      </c>
      <c r="AJ200" s="4" t="n">
        <v>22</v>
      </c>
      <c r="AK200" s="4" t="n">
        <v>128</v>
      </c>
      <c r="AL200" s="4" t="n">
        <v>127</v>
      </c>
      <c r="AM200" s="10">
        <f t="array" ref="AM2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0" s="10">
        <f t="array" ref="AN2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0" s="4">
        <f>_xlfn.XLOOKUP(tbl_MTG_Set[[#This Row],[Play Booster Box Product Id]], tbl_Product[Product Id], tbl_Product[Pack Size])</f>
        <v/>
      </c>
      <c r="AP200" s="10">
        <f>(tbl_MTG_Set[[#This Row],[Play Booster Box Cost]]+v_Item_Shipping_Cost_In)/tbl_MTG_Set[[#This Row],[Play Booster Box Size]]</f>
        <v/>
      </c>
      <c r="AQ200" s="10">
        <f t="array" ref="AQ2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0" s="10" t="n">
        <v>6</v>
      </c>
      <c r="AS20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00" s="17">
        <f>tbl_MTG_Set[[#This Row],[Play Booster CardMarket Profit]]/tbl_MTG_Set[[#This Row],[Play Booster Cost]]</f>
        <v/>
      </c>
      <c r="AU200" s="10">
        <f>_xlfn.XLOOKUP(tbl_MTG_Set[[#This Row],[Collector Booster Box Product Id]], tbl_Product[Product Id], tbl_Product[Min Cost])</f>
        <v/>
      </c>
      <c r="AV200" s="10">
        <f>_xlfn.XLOOKUP(tbl_MTG_Set[[#This Row],[Collector Booster Box Product Id]], tbl_Product[Product Id], tbl_Product[Best Source])</f>
        <v/>
      </c>
      <c r="AW200" s="4">
        <f>_xlfn.XLOOKUP(tbl_MTG_Set[[#This Row],[Collector Booster Box Product Id]], tbl_Product[Product Id], tbl_Product[Pack Size])</f>
        <v/>
      </c>
      <c r="AX200" s="10">
        <f>(tbl_MTG_Set[[#This Row],[Collector Booster Box Cost]] + v_Item_Shipping_Cost_In) / tbl_MTG_Set[[#This Row],[Collector Booster Box Size]]</f>
        <v/>
      </c>
      <c r="AY200" s="10">
        <f t="array" ref="AY2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0" s="10" t="n"/>
      <c r="BA2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0" s="17">
        <f>tbl_MTG_Set[[#This Row],[Collector Booster CardMarket Profit]]/tbl_MTG_Set[[#This Row],[Collector Booster Cost]]</f>
        <v/>
      </c>
      <c r="BC200" s="10" t="n"/>
      <c r="BE200" s="11" t="inlineStr">
        <is>
          <t>.</t>
        </is>
      </c>
      <c r="BF200" s="10">
        <f>tbl_MTG_Set[[#This Row],[Play Booster Sell Price CardMarket]]*tbl_MTG_Set[[#This Row],[Play Booster Expected Market Value]]/tbl_MTG_Set[[#This Row],[Play Boost Sealed Market Value]]</f>
        <v/>
      </c>
      <c r="BG2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0" s="17">
        <f>tbl_MTG_Set[[#This Row],[Play Singles CardMarket Profit]]/tbl_MTG_Set[[#This Row],[Play Booster Cost]]</f>
        <v/>
      </c>
      <c r="BI200" s="10">
        <f>tbl_MTG_Set[[#This Row],[Play Singles CardMarket Profit]]&gt;0</f>
        <v/>
      </c>
      <c r="BJ200" s="10" t="n"/>
      <c r="BK200" s="10" t="n"/>
      <c r="BL200" s="10">
        <f>tbl_MTG_Set[[#This Row],[Collector Booster Sell Price CardMarket]]*tbl_MTG_Set[[#This Row],[Collector Booster Expected Market Value]]/tbl_MTG_Set[[#This Row],[Collector Boost Sealed Market Value]]</f>
        <v/>
      </c>
      <c r="BM2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0" s="17">
        <f>tbl_MTG_Set[[#This Row],[Collector Singles CardMarket Profit]]/tbl_MTG_Set[[#This Row],[Collector Booster Cost]]</f>
        <v/>
      </c>
      <c r="BO200" s="10">
        <f>tbl_MTG_Set[[#This Row],[Collector Singles CardMarket Profit]]&gt;0</f>
        <v/>
      </c>
      <c r="BP2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1">
      <c r="A201" t="n">
        <v>199</v>
      </c>
      <c r="B201" t="inlineStr">
        <is>
          <t>Phyrexia: All Will Be One Promos PONE</t>
        </is>
      </c>
      <c r="C201" t="n">
        <v>160</v>
      </c>
      <c r="D201" s="3" t="n">
        <v>44967</v>
      </c>
      <c r="E201" t="inlineStr">
        <is>
          <t>Standard Expansion</t>
        </is>
      </c>
      <c r="F201" t="inlineStr">
        <is>
          <t>en es fr de it pt ja ko ru 汉语 漢語</t>
        </is>
      </c>
      <c r="G201" t="n">
        <v>344</v>
      </c>
      <c r="H201">
        <f>MONTH(NOW())+12*YEAR(NOW())-MONTH(tbl_MTG_Set[[#This Row],[Released On]])-12*YEAR(tbl_MTG_Set[[#This Row],[Released On]])</f>
        <v/>
      </c>
      <c r="I201">
        <f>_xlfn.XLOOKUP(tbl_MTG_Set[[#This Row],[Type Name]], tbl_MTG_Set_Type[Set Type], tbl_MTG_Set_Type[Index], "(Set Type not found)")</f>
        <v/>
      </c>
      <c r="J201">
        <f>_xlfn.XLOOKUP(tbl_MTG_Set[[#This Row],[Type Name]], tbl_MTG_Set_Type[Set Type], tbl_MTG_Set_Type[Buy Window Month Start], "(Set Type not found)")</f>
        <v/>
      </c>
      <c r="K201" s="3">
        <f>tbl_MTG_Set[[#This Row],[Released On]]+tbl_MTG_Set[[#This Row],[Buy Window Month Start]]*365.25/12</f>
        <v/>
      </c>
      <c r="L201">
        <f>_xlfn.XLOOKUP(tbl_MTG_Set[[#This Row],[Type Name]], tbl_MTG_Set_Type[Set Type], tbl_MTG_Set_Type[Buy Window Month End], "(Set Type not found)", 0, 1)</f>
        <v/>
      </c>
      <c r="M201" s="3">
        <f>tbl_MTG_Set[[#This Row],[Released On]]+tbl_MTG_Set[[#This Row],[Buy Window Month End]]*365.25/12</f>
        <v/>
      </c>
      <c r="N201" s="3">
        <f>AND(NOW()&gt;=tbl_MTG_Set[[#This Row],[Buy Window Start]], NOW()&lt;=tbl_MTG_Set[[#This Row],[Buy Window End]])</f>
        <v/>
      </c>
      <c r="O201">
        <f>_xlfn.XLOOKUP(tbl_MTG_Set[[#This Row],[Type Name]], tbl_MTG_Set_Type[Set Type], tbl_MTG_Set_Type[Heavy Printing Window Month Start], "(Set Type not found)", 0, 1)</f>
        <v/>
      </c>
      <c r="P201" s="3">
        <f>tbl_MTG_Set[[#This Row],[Released On]]+tbl_MTG_Set[[#This Row],[Heavy Printing Window Month Start]]*365.25/12</f>
        <v/>
      </c>
      <c r="Q201">
        <f>_xlfn.XLOOKUP(tbl_MTG_Set[[#This Row],[Type Name]], tbl_MTG_Set_Type[Set Type], tbl_MTG_Set_Type[Heavy Printing Window Month End], "(Set Type not found)", 0, 1)</f>
        <v/>
      </c>
      <c r="R201" s="3">
        <f>tbl_MTG_Set[[#This Row],[Released On]]+tbl_MTG_Set[[#This Row],[Heavy Printing Window Month End]]*365.25/12</f>
        <v/>
      </c>
      <c r="S201" s="3">
        <f>AND(NOW()&gt;=tbl_MTG_Set[[#This Row],[Heavy Printing Window Start]], NOW()&lt;=tbl_MTG_Set[[#This Row],[Heavy Printing Window End]])</f>
        <v/>
      </c>
      <c r="T201">
        <f>_xlfn.XLOOKUP(tbl_MTG_Set[[#This Row],[Type Name]], tbl_MTG_Set_Type[Set Type], tbl_MTG_Set_Type[Sell Window Month Start], "(Set Type not found)", 0, 1)</f>
        <v/>
      </c>
      <c r="U201" s="3">
        <f>tbl_MTG_Set[[#This Row],[Released On]]+tbl_MTG_Set[[#This Row],[Sell Window Month Start]]*365.25/12</f>
        <v/>
      </c>
      <c r="V201">
        <f>_xlfn.XLOOKUP(tbl_MTG_Set[[#This Row],[Type Name]], tbl_MTG_Set_Type[Set Type], tbl_MTG_Set_Type[Sell Window Month End], "(Set Type not found)", 0, 1)</f>
        <v/>
      </c>
      <c r="W201" s="3">
        <f>tbl_MTG_Set[[#This Row],[Released On]]+tbl_MTG_Set[[#This Row],[Sell Window Month End]]*365.25/12</f>
        <v/>
      </c>
      <c r="X201" s="3">
        <f>AND(NOW()&gt;=tbl_MTG_Set[[#This Row],[Sell Window Start]], NOW()&lt;=tbl_MTG_Set[[#This Row],[Sell Window End]])</f>
        <v/>
      </c>
      <c r="AG201" s="10" t="n"/>
      <c r="AH201" s="10" t="n"/>
      <c r="AM201" s="10">
        <f t="array" ref="AM2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1" s="10">
        <f t="array" ref="AN2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1" s="4">
        <f>_xlfn.XLOOKUP(tbl_MTG_Set[[#This Row],[Play Booster Box Product Id]], tbl_Product[Product Id], tbl_Product[Pack Size])</f>
        <v/>
      </c>
      <c r="AP201" s="10">
        <f>(tbl_MTG_Set[[#This Row],[Play Booster Box Cost]]+v_Item_Shipping_Cost_In)/tbl_MTG_Set[[#This Row],[Play Booster Box Size]]</f>
        <v/>
      </c>
      <c r="AQ201" s="10">
        <f t="array" ref="AQ2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1" s="10" t="n"/>
      <c r="AS201" s="10" t="n"/>
      <c r="AT201" s="17">
        <f>tbl_MTG_Set[[#This Row],[Play Booster CardMarket Profit]]/tbl_MTG_Set[[#This Row],[Play Booster Cost]]</f>
        <v/>
      </c>
      <c r="AU201" s="10">
        <f>_xlfn.XLOOKUP(tbl_MTG_Set[[#This Row],[Collector Booster Box Product Id]], tbl_Product[Product Id], tbl_Product[Min Cost])</f>
        <v/>
      </c>
      <c r="AV201" s="10">
        <f>_xlfn.XLOOKUP(tbl_MTG_Set[[#This Row],[Collector Booster Box Product Id]], tbl_Product[Product Id], tbl_Product[Best Source])</f>
        <v/>
      </c>
      <c r="AW201" s="4">
        <f>_xlfn.XLOOKUP(tbl_MTG_Set[[#This Row],[Collector Booster Box Product Id]], tbl_Product[Product Id], tbl_Product[Pack Size])</f>
        <v/>
      </c>
      <c r="AX201" s="10">
        <f>(tbl_MTG_Set[[#This Row],[Collector Booster Box Cost]] + v_Item_Shipping_Cost_In) / tbl_MTG_Set[[#This Row],[Collector Booster Box Size]]</f>
        <v/>
      </c>
      <c r="AY201" s="10">
        <f t="array" ref="AY2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1" s="10" t="n"/>
      <c r="BA2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1" s="17">
        <f>tbl_MTG_Set[[#This Row],[Collector Booster CardMarket Profit]]/tbl_MTG_Set[[#This Row],[Collector Booster Cost]]</f>
        <v/>
      </c>
      <c r="BC201" s="10" t="n"/>
      <c r="BF201" s="10">
        <f>tbl_MTG_Set[[#This Row],[Play Booster Sell Price CardMarket]]*tbl_MTG_Set[[#This Row],[Play Booster Expected Market Value]]/tbl_MTG_Set[[#This Row],[Play Boost Sealed Market Value]]</f>
        <v/>
      </c>
      <c r="BG2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1" s="10">
        <f>tbl_MTG_Set[[#This Row],[Play Singles CardMarket Profit]]/tbl_MTG_Set[[#This Row],[Play Booster Cost]]</f>
        <v/>
      </c>
      <c r="BI201" s="10">
        <f>tbl_MTG_Set[[#This Row],[Play Singles CardMarket Profit]]&gt;0</f>
        <v/>
      </c>
      <c r="BJ201" s="10" t="n"/>
      <c r="BK201" s="10" t="n"/>
      <c r="BL201" s="10">
        <f>tbl_MTG_Set[[#This Row],[Collector Booster Sell Price CardMarket]]*tbl_MTG_Set[[#This Row],[Collector Booster Expected Market Value]]/tbl_MTG_Set[[#This Row],[Collector Boost Sealed Market Value]]</f>
        <v/>
      </c>
      <c r="BM2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1" s="10">
        <f>tbl_MTG_Set[[#This Row],[Collector Singles CardMarket Profit]]/tbl_MTG_Set[[#This Row],[Collector Booster Cost]]</f>
        <v/>
      </c>
      <c r="BO201" s="10">
        <f>tbl_MTG_Set[[#This Row],[Collector Singles CardMarket Profit]]&gt;0</f>
        <v/>
      </c>
      <c r="BP2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2">
      <c r="A202" t="n">
        <v>200</v>
      </c>
      <c r="B202" t="inlineStr">
        <is>
          <t>Phyrexia: All Will Be One Tokens TONE</t>
        </is>
      </c>
      <c r="C202" t="n">
        <v>14</v>
      </c>
      <c r="D202" s="3" t="n">
        <v>44960</v>
      </c>
      <c r="E202" t="inlineStr">
        <is>
          <t>Standard Expansion</t>
        </is>
      </c>
      <c r="F202" t="inlineStr">
        <is>
          <t>en es fr de it pt ja ko ru 汉语 漢語</t>
        </is>
      </c>
      <c r="G202" t="n">
        <v>346</v>
      </c>
      <c r="H202">
        <f>MONTH(NOW())+12*YEAR(NOW())-MONTH(tbl_MTG_Set[[#This Row],[Released On]])-12*YEAR(tbl_MTG_Set[[#This Row],[Released On]])</f>
        <v/>
      </c>
      <c r="I202">
        <f>_xlfn.XLOOKUP(tbl_MTG_Set[[#This Row],[Type Name]], tbl_MTG_Set_Type[Set Type], tbl_MTG_Set_Type[Index], "(Set Type not found)")</f>
        <v/>
      </c>
      <c r="J202">
        <f>_xlfn.XLOOKUP(tbl_MTG_Set[[#This Row],[Type Name]], tbl_MTG_Set_Type[Set Type], tbl_MTG_Set_Type[Buy Window Month Start], "(Set Type not found)")</f>
        <v/>
      </c>
      <c r="K202" s="3">
        <f>tbl_MTG_Set[[#This Row],[Released On]]+tbl_MTG_Set[[#This Row],[Buy Window Month Start]]*365.25/12</f>
        <v/>
      </c>
      <c r="L202">
        <f>_xlfn.XLOOKUP(tbl_MTG_Set[[#This Row],[Type Name]], tbl_MTG_Set_Type[Set Type], tbl_MTG_Set_Type[Buy Window Month End], "(Set Type not found)", 0, 1)</f>
        <v/>
      </c>
      <c r="M202" s="3">
        <f>tbl_MTG_Set[[#This Row],[Released On]]+tbl_MTG_Set[[#This Row],[Buy Window Month End]]*365.25/12</f>
        <v/>
      </c>
      <c r="N202" s="3">
        <f>AND(NOW()&gt;=tbl_MTG_Set[[#This Row],[Buy Window Start]], NOW()&lt;=tbl_MTG_Set[[#This Row],[Buy Window End]])</f>
        <v/>
      </c>
      <c r="O202">
        <f>_xlfn.XLOOKUP(tbl_MTG_Set[[#This Row],[Type Name]], tbl_MTG_Set_Type[Set Type], tbl_MTG_Set_Type[Heavy Printing Window Month Start], "(Set Type not found)", 0, 1)</f>
        <v/>
      </c>
      <c r="P202" s="3">
        <f>tbl_MTG_Set[[#This Row],[Released On]]+tbl_MTG_Set[[#This Row],[Heavy Printing Window Month Start]]*365.25/12</f>
        <v/>
      </c>
      <c r="Q202">
        <f>_xlfn.XLOOKUP(tbl_MTG_Set[[#This Row],[Type Name]], tbl_MTG_Set_Type[Set Type], tbl_MTG_Set_Type[Heavy Printing Window Month End], "(Set Type not found)", 0, 1)</f>
        <v/>
      </c>
      <c r="R202" s="3">
        <f>tbl_MTG_Set[[#This Row],[Released On]]+tbl_MTG_Set[[#This Row],[Heavy Printing Window Month End]]*365.25/12</f>
        <v/>
      </c>
      <c r="S202" s="3">
        <f>AND(NOW()&gt;=tbl_MTG_Set[[#This Row],[Heavy Printing Window Start]], NOW()&lt;=tbl_MTG_Set[[#This Row],[Heavy Printing Window End]])</f>
        <v/>
      </c>
      <c r="T202">
        <f>_xlfn.XLOOKUP(tbl_MTG_Set[[#This Row],[Type Name]], tbl_MTG_Set_Type[Set Type], tbl_MTG_Set_Type[Sell Window Month Start], "(Set Type not found)", 0, 1)</f>
        <v/>
      </c>
      <c r="U202" s="3">
        <f>tbl_MTG_Set[[#This Row],[Released On]]+tbl_MTG_Set[[#This Row],[Sell Window Month Start]]*365.25/12</f>
        <v/>
      </c>
      <c r="V202">
        <f>_xlfn.XLOOKUP(tbl_MTG_Set[[#This Row],[Type Name]], tbl_MTG_Set_Type[Set Type], tbl_MTG_Set_Type[Sell Window Month End], "(Set Type not found)", 0, 1)</f>
        <v/>
      </c>
      <c r="W202" s="3">
        <f>tbl_MTG_Set[[#This Row],[Released On]]+tbl_MTG_Set[[#This Row],[Sell Window Month End]]*365.25/12</f>
        <v/>
      </c>
      <c r="X202" s="3">
        <f>AND(NOW()&gt;=tbl_MTG_Set[[#This Row],[Sell Window Start]], NOW()&lt;=tbl_MTG_Set[[#This Row],[Sell Window End]])</f>
        <v/>
      </c>
      <c r="AG202" s="10" t="n"/>
      <c r="AH202" s="10" t="n"/>
      <c r="AM202" s="10">
        <f t="array" ref="AM2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2" s="10">
        <f t="array" ref="AN2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2" s="4">
        <f>_xlfn.XLOOKUP(tbl_MTG_Set[[#This Row],[Play Booster Box Product Id]], tbl_Product[Product Id], tbl_Product[Pack Size])</f>
        <v/>
      </c>
      <c r="AP202" s="10">
        <f>(tbl_MTG_Set[[#This Row],[Play Booster Box Cost]]+v_Item_Shipping_Cost_In)/tbl_MTG_Set[[#This Row],[Play Booster Box Size]]</f>
        <v/>
      </c>
      <c r="AQ202" s="10">
        <f t="array" ref="AQ2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2" s="10" t="n"/>
      <c r="AS202" s="10" t="n"/>
      <c r="AT202" s="17">
        <f>tbl_MTG_Set[[#This Row],[Play Booster CardMarket Profit]]/tbl_MTG_Set[[#This Row],[Play Booster Cost]]</f>
        <v/>
      </c>
      <c r="AU202" s="10">
        <f>_xlfn.XLOOKUP(tbl_MTG_Set[[#This Row],[Collector Booster Box Product Id]], tbl_Product[Product Id], tbl_Product[Min Cost])</f>
        <v/>
      </c>
      <c r="AV202" s="10">
        <f>_xlfn.XLOOKUP(tbl_MTG_Set[[#This Row],[Collector Booster Box Product Id]], tbl_Product[Product Id], tbl_Product[Best Source])</f>
        <v/>
      </c>
      <c r="AW202" s="4">
        <f>_xlfn.XLOOKUP(tbl_MTG_Set[[#This Row],[Collector Booster Box Product Id]], tbl_Product[Product Id], tbl_Product[Pack Size])</f>
        <v/>
      </c>
      <c r="AX202" s="10">
        <f>(tbl_MTG_Set[[#This Row],[Collector Booster Box Cost]] + v_Item_Shipping_Cost_In) / tbl_MTG_Set[[#This Row],[Collector Booster Box Size]]</f>
        <v/>
      </c>
      <c r="AY202" s="10">
        <f t="array" ref="AY2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2" s="10" t="n"/>
      <c r="BA2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2" s="17">
        <f>tbl_MTG_Set[[#This Row],[Collector Booster CardMarket Profit]]/tbl_MTG_Set[[#This Row],[Collector Booster Cost]]</f>
        <v/>
      </c>
      <c r="BC202" s="10" t="n"/>
      <c r="BF202" s="10">
        <f>tbl_MTG_Set[[#This Row],[Play Booster Sell Price CardMarket]]*tbl_MTG_Set[[#This Row],[Play Booster Expected Market Value]]/tbl_MTG_Set[[#This Row],[Play Boost Sealed Market Value]]</f>
        <v/>
      </c>
      <c r="BG2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2" s="10">
        <f>tbl_MTG_Set[[#This Row],[Play Singles CardMarket Profit]]/tbl_MTG_Set[[#This Row],[Play Booster Cost]]</f>
        <v/>
      </c>
      <c r="BI202" s="10">
        <f>tbl_MTG_Set[[#This Row],[Play Singles CardMarket Profit]]&gt;0</f>
        <v/>
      </c>
      <c r="BJ202" s="10" t="n"/>
      <c r="BK202" s="10" t="n"/>
      <c r="BL202" s="10">
        <f>tbl_MTG_Set[[#This Row],[Collector Booster Sell Price CardMarket]]*tbl_MTG_Set[[#This Row],[Collector Booster Expected Market Value]]/tbl_MTG_Set[[#This Row],[Collector Boost Sealed Market Value]]</f>
        <v/>
      </c>
      <c r="BM2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2" s="10">
        <f>tbl_MTG_Set[[#This Row],[Collector Singles CardMarket Profit]]/tbl_MTG_Set[[#This Row],[Collector Booster Cost]]</f>
        <v/>
      </c>
      <c r="BO202" s="10">
        <f>tbl_MTG_Set[[#This Row],[Collector Singles CardMarket Profit]]&gt;0</f>
        <v/>
      </c>
      <c r="BP2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3">
      <c r="A203" t="n">
        <v>201</v>
      </c>
      <c r="B203" t="inlineStr">
        <is>
          <t>Alchemy: Phyrexia YONE</t>
        </is>
      </c>
      <c r="C203" t="n">
        <v>30</v>
      </c>
      <c r="D203" s="3" t="n">
        <v>44985</v>
      </c>
      <c r="F203" t="inlineStr">
        <is>
          <t>en es fr de it pt ja ko ru 汉语 漢語</t>
        </is>
      </c>
      <c r="G203" t="n">
        <v>348</v>
      </c>
      <c r="H203">
        <f>MONTH(NOW())+12*YEAR(NOW())-MONTH(tbl_MTG_Set[[#This Row],[Released On]])-12*YEAR(tbl_MTG_Set[[#This Row],[Released On]])</f>
        <v/>
      </c>
      <c r="I203">
        <f>_xlfn.XLOOKUP(tbl_MTG_Set[[#This Row],[Type Name]], tbl_MTG_Set_Type[Set Type], tbl_MTG_Set_Type[Index], "(Set Type not found)")</f>
        <v/>
      </c>
      <c r="J203">
        <f>_xlfn.XLOOKUP(tbl_MTG_Set[[#This Row],[Type Name]], tbl_MTG_Set_Type[Set Type], tbl_MTG_Set_Type[Buy Window Month Start], "(Set Type not found)")</f>
        <v/>
      </c>
      <c r="K203" s="3">
        <f>tbl_MTG_Set[[#This Row],[Released On]]+tbl_MTG_Set[[#This Row],[Buy Window Month Start]]*365.25/12</f>
        <v/>
      </c>
      <c r="L203">
        <f>_xlfn.XLOOKUP(tbl_MTG_Set[[#This Row],[Type Name]], tbl_MTG_Set_Type[Set Type], tbl_MTG_Set_Type[Buy Window Month End], "(Set Type not found)", 0, 1)</f>
        <v/>
      </c>
      <c r="M203" s="3">
        <f>tbl_MTG_Set[[#This Row],[Released On]]+tbl_MTG_Set[[#This Row],[Buy Window Month End]]*365.25/12</f>
        <v/>
      </c>
      <c r="N203" s="3">
        <f>AND(NOW()&gt;=tbl_MTG_Set[[#This Row],[Buy Window Start]], NOW()&lt;=tbl_MTG_Set[[#This Row],[Buy Window End]])</f>
        <v/>
      </c>
      <c r="O203">
        <f>_xlfn.XLOOKUP(tbl_MTG_Set[[#This Row],[Type Name]], tbl_MTG_Set_Type[Set Type], tbl_MTG_Set_Type[Heavy Printing Window Month Start], "(Set Type not found)", 0, 1)</f>
        <v/>
      </c>
      <c r="P203" s="3">
        <f>tbl_MTG_Set[[#This Row],[Released On]]+tbl_MTG_Set[[#This Row],[Heavy Printing Window Month Start]]*365.25/12</f>
        <v/>
      </c>
      <c r="Q203">
        <f>_xlfn.XLOOKUP(tbl_MTG_Set[[#This Row],[Type Name]], tbl_MTG_Set_Type[Set Type], tbl_MTG_Set_Type[Heavy Printing Window Month End], "(Set Type not found)", 0, 1)</f>
        <v/>
      </c>
      <c r="R203" s="3">
        <f>tbl_MTG_Set[[#This Row],[Released On]]+tbl_MTG_Set[[#This Row],[Heavy Printing Window Month End]]*365.25/12</f>
        <v/>
      </c>
      <c r="S203" s="3">
        <f>AND(NOW()&gt;=tbl_MTG_Set[[#This Row],[Heavy Printing Window Start]], NOW()&lt;=tbl_MTG_Set[[#This Row],[Heavy Printing Window End]])</f>
        <v/>
      </c>
      <c r="T203">
        <f>_xlfn.XLOOKUP(tbl_MTG_Set[[#This Row],[Type Name]], tbl_MTG_Set_Type[Set Type], tbl_MTG_Set_Type[Sell Window Month Start], "(Set Type not found)", 0, 1)</f>
        <v/>
      </c>
      <c r="U203" s="3">
        <f>tbl_MTG_Set[[#This Row],[Released On]]+tbl_MTG_Set[[#This Row],[Sell Window Month Start]]*365.25/12</f>
        <v/>
      </c>
      <c r="V203">
        <f>_xlfn.XLOOKUP(tbl_MTG_Set[[#This Row],[Type Name]], tbl_MTG_Set_Type[Set Type], tbl_MTG_Set_Type[Sell Window Month End], "(Set Type not found)", 0, 1)</f>
        <v/>
      </c>
      <c r="W203" s="3">
        <f>tbl_MTG_Set[[#This Row],[Released On]]+tbl_MTG_Set[[#This Row],[Sell Window Month End]]*365.25/12</f>
        <v/>
      </c>
      <c r="X203" s="3">
        <f>AND(NOW()&gt;=tbl_MTG_Set[[#This Row],[Sell Window Start]], NOW()&lt;=tbl_MTG_Set[[#This Row],[Sell Window End]])</f>
        <v/>
      </c>
      <c r="AG203" s="10" t="n"/>
      <c r="AH203" s="10" t="n"/>
      <c r="AM203" s="10">
        <f t="array" ref="AM2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3" s="10">
        <f t="array" ref="AN2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3" s="4">
        <f>_xlfn.XLOOKUP(tbl_MTG_Set[[#This Row],[Play Booster Box Product Id]], tbl_Product[Product Id], tbl_Product[Pack Size])</f>
        <v/>
      </c>
      <c r="AP203" s="10">
        <f>(tbl_MTG_Set[[#This Row],[Play Booster Box Cost]]+v_Item_Shipping_Cost_In)/tbl_MTG_Set[[#This Row],[Play Booster Box Size]]</f>
        <v/>
      </c>
      <c r="AQ203" s="10">
        <f t="array" ref="AQ2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3" s="10" t="n"/>
      <c r="AS203" s="10" t="n"/>
      <c r="AT203" s="17">
        <f>tbl_MTG_Set[[#This Row],[Play Booster CardMarket Profit]]/tbl_MTG_Set[[#This Row],[Play Booster Cost]]</f>
        <v/>
      </c>
      <c r="AU203" s="10">
        <f>_xlfn.XLOOKUP(tbl_MTG_Set[[#This Row],[Collector Booster Box Product Id]], tbl_Product[Product Id], tbl_Product[Min Cost])</f>
        <v/>
      </c>
      <c r="AV203" s="10">
        <f>_xlfn.XLOOKUP(tbl_MTG_Set[[#This Row],[Collector Booster Box Product Id]], tbl_Product[Product Id], tbl_Product[Best Source])</f>
        <v/>
      </c>
      <c r="AW203" s="4">
        <f>_xlfn.XLOOKUP(tbl_MTG_Set[[#This Row],[Collector Booster Box Product Id]], tbl_Product[Product Id], tbl_Product[Pack Size])</f>
        <v/>
      </c>
      <c r="AX203" s="10">
        <f>(tbl_MTG_Set[[#This Row],[Collector Booster Box Cost]] + v_Item_Shipping_Cost_In) / tbl_MTG_Set[[#This Row],[Collector Booster Box Size]]</f>
        <v/>
      </c>
      <c r="AY203" s="10">
        <f t="array" ref="AY2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3" s="10" t="n"/>
      <c r="BA2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3" s="17">
        <f>tbl_MTG_Set[[#This Row],[Collector Booster CardMarket Profit]]/tbl_MTG_Set[[#This Row],[Collector Booster Cost]]</f>
        <v/>
      </c>
      <c r="BC203" s="10" t="n"/>
      <c r="BF203" s="10">
        <f>tbl_MTG_Set[[#This Row],[Play Booster Sell Price CardMarket]]*tbl_MTG_Set[[#This Row],[Play Booster Expected Market Value]]/tbl_MTG_Set[[#This Row],[Play Boost Sealed Market Value]]</f>
        <v/>
      </c>
      <c r="BG2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3" s="10">
        <f>tbl_MTG_Set[[#This Row],[Play Singles CardMarket Profit]]/tbl_MTG_Set[[#This Row],[Play Booster Cost]]</f>
        <v/>
      </c>
      <c r="BI203" s="10">
        <f>tbl_MTG_Set[[#This Row],[Play Singles CardMarket Profit]]&gt;0</f>
        <v/>
      </c>
      <c r="BJ203" s="10" t="n"/>
      <c r="BK203" s="10" t="n"/>
      <c r="BL203" s="10">
        <f>tbl_MTG_Set[[#This Row],[Collector Booster Sell Price CardMarket]]*tbl_MTG_Set[[#This Row],[Collector Booster Expected Market Value]]/tbl_MTG_Set[[#This Row],[Collector Boost Sealed Market Value]]</f>
        <v/>
      </c>
      <c r="BM2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3" s="10">
        <f>tbl_MTG_Set[[#This Row],[Collector Singles CardMarket Profit]]/tbl_MTG_Set[[#This Row],[Collector Booster Cost]]</f>
        <v/>
      </c>
      <c r="BO203" s="10">
        <f>tbl_MTG_Set[[#This Row],[Collector Singles CardMarket Profit]]&gt;0</f>
        <v/>
      </c>
      <c r="BP2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4">
      <c r="A204" t="n">
        <v>202</v>
      </c>
      <c r="B204" t="inlineStr">
        <is>
          <t>Phyrexia: All Will Be One Commander ONC</t>
        </is>
      </c>
      <c r="C204" t="n">
        <v>174</v>
      </c>
      <c r="D204" s="3" t="n">
        <v>44967</v>
      </c>
      <c r="E204" t="inlineStr">
        <is>
          <t>Standard Expansion</t>
        </is>
      </c>
      <c r="F204" t="inlineStr">
        <is>
          <t>en es fr de it pt ja ko ru 汉语 漢語</t>
        </is>
      </c>
      <c r="G204" t="n">
        <v>350</v>
      </c>
      <c r="H204">
        <f>MONTH(NOW())+12*YEAR(NOW())-MONTH(tbl_MTG_Set[[#This Row],[Released On]])-12*YEAR(tbl_MTG_Set[[#This Row],[Released On]])</f>
        <v/>
      </c>
      <c r="I204">
        <f>_xlfn.XLOOKUP(tbl_MTG_Set[[#This Row],[Type Name]], tbl_MTG_Set_Type[Set Type], tbl_MTG_Set_Type[Index], "(Set Type not found)")</f>
        <v/>
      </c>
      <c r="J204">
        <f>_xlfn.XLOOKUP(tbl_MTG_Set[[#This Row],[Type Name]], tbl_MTG_Set_Type[Set Type], tbl_MTG_Set_Type[Buy Window Month Start], "(Set Type not found)")</f>
        <v/>
      </c>
      <c r="K204" s="3">
        <f>tbl_MTG_Set[[#This Row],[Released On]]+tbl_MTG_Set[[#This Row],[Buy Window Month Start]]*365.25/12</f>
        <v/>
      </c>
      <c r="L204">
        <f>_xlfn.XLOOKUP(tbl_MTG_Set[[#This Row],[Type Name]], tbl_MTG_Set_Type[Set Type], tbl_MTG_Set_Type[Buy Window Month End], "(Set Type not found)", 0, 1)</f>
        <v/>
      </c>
      <c r="M204" s="3">
        <f>tbl_MTG_Set[[#This Row],[Released On]]+tbl_MTG_Set[[#This Row],[Buy Window Month End]]*365.25/12</f>
        <v/>
      </c>
      <c r="N204" s="3">
        <f>AND(NOW()&gt;=tbl_MTG_Set[[#This Row],[Buy Window Start]], NOW()&lt;=tbl_MTG_Set[[#This Row],[Buy Window End]])</f>
        <v/>
      </c>
      <c r="O204">
        <f>_xlfn.XLOOKUP(tbl_MTG_Set[[#This Row],[Type Name]], tbl_MTG_Set_Type[Set Type], tbl_MTG_Set_Type[Heavy Printing Window Month Start], "(Set Type not found)", 0, 1)</f>
        <v/>
      </c>
      <c r="P204" s="3">
        <f>tbl_MTG_Set[[#This Row],[Released On]]+tbl_MTG_Set[[#This Row],[Heavy Printing Window Month Start]]*365.25/12</f>
        <v/>
      </c>
      <c r="Q204">
        <f>_xlfn.XLOOKUP(tbl_MTG_Set[[#This Row],[Type Name]], tbl_MTG_Set_Type[Set Type], tbl_MTG_Set_Type[Heavy Printing Window Month End], "(Set Type not found)", 0, 1)</f>
        <v/>
      </c>
      <c r="R204" s="3">
        <f>tbl_MTG_Set[[#This Row],[Released On]]+tbl_MTG_Set[[#This Row],[Heavy Printing Window Month End]]*365.25/12</f>
        <v/>
      </c>
      <c r="S204" s="3">
        <f>AND(NOW()&gt;=tbl_MTG_Set[[#This Row],[Heavy Printing Window Start]], NOW()&lt;=tbl_MTG_Set[[#This Row],[Heavy Printing Window End]])</f>
        <v/>
      </c>
      <c r="T204">
        <f>_xlfn.XLOOKUP(tbl_MTG_Set[[#This Row],[Type Name]], tbl_MTG_Set_Type[Set Type], tbl_MTG_Set_Type[Sell Window Month Start], "(Set Type not found)", 0, 1)</f>
        <v/>
      </c>
      <c r="U204" s="3">
        <f>tbl_MTG_Set[[#This Row],[Released On]]+tbl_MTG_Set[[#This Row],[Sell Window Month Start]]*365.25/12</f>
        <v/>
      </c>
      <c r="V204">
        <f>_xlfn.XLOOKUP(tbl_MTG_Set[[#This Row],[Type Name]], tbl_MTG_Set_Type[Set Type], tbl_MTG_Set_Type[Sell Window Month End], "(Set Type not found)", 0, 1)</f>
        <v/>
      </c>
      <c r="W204" s="3">
        <f>tbl_MTG_Set[[#This Row],[Released On]]+tbl_MTG_Set[[#This Row],[Sell Window Month End]]*365.25/12</f>
        <v/>
      </c>
      <c r="X204" s="3">
        <f>AND(NOW()&gt;=tbl_MTG_Set[[#This Row],[Sell Window Start]], NOW()&lt;=tbl_MTG_Set[[#This Row],[Sell Window End]])</f>
        <v/>
      </c>
      <c r="AG204" s="10" t="n"/>
      <c r="AH204" s="10" t="n"/>
      <c r="AM204" s="10">
        <f t="array" ref="AM2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4" s="10">
        <f t="array" ref="AN2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4" s="4">
        <f>_xlfn.XLOOKUP(tbl_MTG_Set[[#This Row],[Play Booster Box Product Id]], tbl_Product[Product Id], tbl_Product[Pack Size])</f>
        <v/>
      </c>
      <c r="AP204" s="10">
        <f>(tbl_MTG_Set[[#This Row],[Play Booster Box Cost]]+v_Item_Shipping_Cost_In)/tbl_MTG_Set[[#This Row],[Play Booster Box Size]]</f>
        <v/>
      </c>
      <c r="AQ204" s="10">
        <f t="array" ref="AQ2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4" s="10" t="n"/>
      <c r="AS204" s="10" t="n"/>
      <c r="AT204" s="17">
        <f>tbl_MTG_Set[[#This Row],[Play Booster CardMarket Profit]]/tbl_MTG_Set[[#This Row],[Play Booster Cost]]</f>
        <v/>
      </c>
      <c r="AU204" s="10">
        <f>_xlfn.XLOOKUP(tbl_MTG_Set[[#This Row],[Collector Booster Box Product Id]], tbl_Product[Product Id], tbl_Product[Min Cost])</f>
        <v/>
      </c>
      <c r="AV204" s="10">
        <f>_xlfn.XLOOKUP(tbl_MTG_Set[[#This Row],[Collector Booster Box Product Id]], tbl_Product[Product Id], tbl_Product[Best Source])</f>
        <v/>
      </c>
      <c r="AW204" s="4">
        <f>_xlfn.XLOOKUP(tbl_MTG_Set[[#This Row],[Collector Booster Box Product Id]], tbl_Product[Product Id], tbl_Product[Pack Size])</f>
        <v/>
      </c>
      <c r="AX204" s="10">
        <f>(tbl_MTG_Set[[#This Row],[Collector Booster Box Cost]] + v_Item_Shipping_Cost_In) / tbl_MTG_Set[[#This Row],[Collector Booster Box Size]]</f>
        <v/>
      </c>
      <c r="AY204" s="10">
        <f t="array" ref="AY2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4" s="10" t="n"/>
      <c r="BA2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4" s="17">
        <f>tbl_MTG_Set[[#This Row],[Collector Booster CardMarket Profit]]/tbl_MTG_Set[[#This Row],[Collector Booster Cost]]</f>
        <v/>
      </c>
      <c r="BC204" s="10" t="n"/>
      <c r="BF204" s="10">
        <f>tbl_MTG_Set[[#This Row],[Play Booster Sell Price CardMarket]]*tbl_MTG_Set[[#This Row],[Play Booster Expected Market Value]]/tbl_MTG_Set[[#This Row],[Play Boost Sealed Market Value]]</f>
        <v/>
      </c>
      <c r="BG2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4" s="10">
        <f>tbl_MTG_Set[[#This Row],[Play Singles CardMarket Profit]]/tbl_MTG_Set[[#This Row],[Play Booster Cost]]</f>
        <v/>
      </c>
      <c r="BI204" s="10">
        <f>tbl_MTG_Set[[#This Row],[Play Singles CardMarket Profit]]&gt;0</f>
        <v/>
      </c>
      <c r="BJ204" s="10" t="n"/>
      <c r="BK204" s="10" t="n"/>
      <c r="BL204" s="10">
        <f>tbl_MTG_Set[[#This Row],[Collector Booster Sell Price CardMarket]]*tbl_MTG_Set[[#This Row],[Collector Booster Expected Market Value]]/tbl_MTG_Set[[#This Row],[Collector Boost Sealed Market Value]]</f>
        <v/>
      </c>
      <c r="BM2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4" s="10">
        <f>tbl_MTG_Set[[#This Row],[Collector Singles CardMarket Profit]]/tbl_MTG_Set[[#This Row],[Collector Booster Cost]]</f>
        <v/>
      </c>
      <c r="BO204" s="10">
        <f>tbl_MTG_Set[[#This Row],[Collector Singles CardMarket Profit]]&gt;0</f>
        <v/>
      </c>
      <c r="BP2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5">
      <c r="A205" t="n">
        <v>203</v>
      </c>
      <c r="B205" t="inlineStr">
        <is>
          <t>Phyrexia: All Will Be One Commander Tokens TONC</t>
        </is>
      </c>
      <c r="C205" t="n">
        <v>23</v>
      </c>
      <c r="D205" s="3" t="n">
        <v>44960</v>
      </c>
      <c r="E205" t="inlineStr">
        <is>
          <t>Standard Expansion</t>
        </is>
      </c>
      <c r="F205" t="inlineStr">
        <is>
          <t>en es fr de it pt ja ko ru 汉语 漢語</t>
        </is>
      </c>
      <c r="G205" t="n">
        <v>352</v>
      </c>
      <c r="H205">
        <f>MONTH(NOW())+12*YEAR(NOW())-MONTH(tbl_MTG_Set[[#This Row],[Released On]])-12*YEAR(tbl_MTG_Set[[#This Row],[Released On]])</f>
        <v/>
      </c>
      <c r="I205">
        <f>_xlfn.XLOOKUP(tbl_MTG_Set[[#This Row],[Type Name]], tbl_MTG_Set_Type[Set Type], tbl_MTG_Set_Type[Index], "(Set Type not found)")</f>
        <v/>
      </c>
      <c r="J205">
        <f>_xlfn.XLOOKUP(tbl_MTG_Set[[#This Row],[Type Name]], tbl_MTG_Set_Type[Set Type], tbl_MTG_Set_Type[Buy Window Month Start], "(Set Type not found)")</f>
        <v/>
      </c>
      <c r="K205" s="3">
        <f>tbl_MTG_Set[[#This Row],[Released On]]+tbl_MTG_Set[[#This Row],[Buy Window Month Start]]*365.25/12</f>
        <v/>
      </c>
      <c r="L205">
        <f>_xlfn.XLOOKUP(tbl_MTG_Set[[#This Row],[Type Name]], tbl_MTG_Set_Type[Set Type], tbl_MTG_Set_Type[Buy Window Month End], "(Set Type not found)", 0, 1)</f>
        <v/>
      </c>
      <c r="M205" s="3">
        <f>tbl_MTG_Set[[#This Row],[Released On]]+tbl_MTG_Set[[#This Row],[Buy Window Month End]]*365.25/12</f>
        <v/>
      </c>
      <c r="N205" s="3">
        <f>AND(NOW()&gt;=tbl_MTG_Set[[#This Row],[Buy Window Start]], NOW()&lt;=tbl_MTG_Set[[#This Row],[Buy Window End]])</f>
        <v/>
      </c>
      <c r="O205">
        <f>_xlfn.XLOOKUP(tbl_MTG_Set[[#This Row],[Type Name]], tbl_MTG_Set_Type[Set Type], tbl_MTG_Set_Type[Heavy Printing Window Month Start], "(Set Type not found)", 0, 1)</f>
        <v/>
      </c>
      <c r="P205" s="3">
        <f>tbl_MTG_Set[[#This Row],[Released On]]+tbl_MTG_Set[[#This Row],[Heavy Printing Window Month Start]]*365.25/12</f>
        <v/>
      </c>
      <c r="Q205">
        <f>_xlfn.XLOOKUP(tbl_MTG_Set[[#This Row],[Type Name]], tbl_MTG_Set_Type[Set Type], tbl_MTG_Set_Type[Heavy Printing Window Month End], "(Set Type not found)", 0, 1)</f>
        <v/>
      </c>
      <c r="R205" s="3">
        <f>tbl_MTG_Set[[#This Row],[Released On]]+tbl_MTG_Set[[#This Row],[Heavy Printing Window Month End]]*365.25/12</f>
        <v/>
      </c>
      <c r="S205" s="3">
        <f>AND(NOW()&gt;=tbl_MTG_Set[[#This Row],[Heavy Printing Window Start]], NOW()&lt;=tbl_MTG_Set[[#This Row],[Heavy Printing Window End]])</f>
        <v/>
      </c>
      <c r="T205">
        <f>_xlfn.XLOOKUP(tbl_MTG_Set[[#This Row],[Type Name]], tbl_MTG_Set_Type[Set Type], tbl_MTG_Set_Type[Sell Window Month Start], "(Set Type not found)", 0, 1)</f>
        <v/>
      </c>
      <c r="U205" s="3">
        <f>tbl_MTG_Set[[#This Row],[Released On]]+tbl_MTG_Set[[#This Row],[Sell Window Month Start]]*365.25/12</f>
        <v/>
      </c>
      <c r="V205">
        <f>_xlfn.XLOOKUP(tbl_MTG_Set[[#This Row],[Type Name]], tbl_MTG_Set_Type[Set Type], tbl_MTG_Set_Type[Sell Window Month End], "(Set Type not found)", 0, 1)</f>
        <v/>
      </c>
      <c r="W205" s="3">
        <f>tbl_MTG_Set[[#This Row],[Released On]]+tbl_MTG_Set[[#This Row],[Sell Window Month End]]*365.25/12</f>
        <v/>
      </c>
      <c r="X205" s="3">
        <f>AND(NOW()&gt;=tbl_MTG_Set[[#This Row],[Sell Window Start]], NOW()&lt;=tbl_MTG_Set[[#This Row],[Sell Window End]])</f>
        <v/>
      </c>
      <c r="AG205" s="10" t="n"/>
      <c r="AH205" s="10" t="n"/>
      <c r="AM205" s="10">
        <f t="array" ref="AM2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5" s="10">
        <f t="array" ref="AN2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5" s="4">
        <f>_xlfn.XLOOKUP(tbl_MTG_Set[[#This Row],[Play Booster Box Product Id]], tbl_Product[Product Id], tbl_Product[Pack Size])</f>
        <v/>
      </c>
      <c r="AP205" s="10">
        <f>(tbl_MTG_Set[[#This Row],[Play Booster Box Cost]]+v_Item_Shipping_Cost_In)/tbl_MTG_Set[[#This Row],[Play Booster Box Size]]</f>
        <v/>
      </c>
      <c r="AQ205" s="10">
        <f t="array" ref="AQ2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5" s="10" t="n"/>
      <c r="AS205" s="10" t="n"/>
      <c r="AT205" s="17">
        <f>tbl_MTG_Set[[#This Row],[Play Booster CardMarket Profit]]/tbl_MTG_Set[[#This Row],[Play Booster Cost]]</f>
        <v/>
      </c>
      <c r="AU205" s="10">
        <f>_xlfn.XLOOKUP(tbl_MTG_Set[[#This Row],[Collector Booster Box Product Id]], tbl_Product[Product Id], tbl_Product[Min Cost])</f>
        <v/>
      </c>
      <c r="AV205" s="10">
        <f>_xlfn.XLOOKUP(tbl_MTG_Set[[#This Row],[Collector Booster Box Product Id]], tbl_Product[Product Id], tbl_Product[Best Source])</f>
        <v/>
      </c>
      <c r="AW205" s="4">
        <f>_xlfn.XLOOKUP(tbl_MTG_Set[[#This Row],[Collector Booster Box Product Id]], tbl_Product[Product Id], tbl_Product[Pack Size])</f>
        <v/>
      </c>
      <c r="AX205" s="10">
        <f>(tbl_MTG_Set[[#This Row],[Collector Booster Box Cost]] + v_Item_Shipping_Cost_In) / tbl_MTG_Set[[#This Row],[Collector Booster Box Size]]</f>
        <v/>
      </c>
      <c r="AY205" s="10">
        <f t="array" ref="AY2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5" s="10" t="n"/>
      <c r="BA2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5" s="17">
        <f>tbl_MTG_Set[[#This Row],[Collector Booster CardMarket Profit]]/tbl_MTG_Set[[#This Row],[Collector Booster Cost]]</f>
        <v/>
      </c>
      <c r="BC205" s="10" t="n"/>
      <c r="BF205" s="10">
        <f>tbl_MTG_Set[[#This Row],[Play Booster Sell Price CardMarket]]*tbl_MTG_Set[[#This Row],[Play Booster Expected Market Value]]/tbl_MTG_Set[[#This Row],[Play Boost Sealed Market Value]]</f>
        <v/>
      </c>
      <c r="BG2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5" s="10">
        <f>tbl_MTG_Set[[#This Row],[Play Singles CardMarket Profit]]/tbl_MTG_Set[[#This Row],[Play Booster Cost]]</f>
        <v/>
      </c>
      <c r="BI205" s="10">
        <f>tbl_MTG_Set[[#This Row],[Play Singles CardMarket Profit]]&gt;0</f>
        <v/>
      </c>
      <c r="BJ205" s="10" t="n"/>
      <c r="BK205" s="10" t="n"/>
      <c r="BL205" s="10">
        <f>tbl_MTG_Set[[#This Row],[Collector Booster Sell Price CardMarket]]*tbl_MTG_Set[[#This Row],[Collector Booster Expected Market Value]]/tbl_MTG_Set[[#This Row],[Collector Boost Sealed Market Value]]</f>
        <v/>
      </c>
      <c r="BM2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5" s="10">
        <f>tbl_MTG_Set[[#This Row],[Collector Singles CardMarket Profit]]/tbl_MTG_Set[[#This Row],[Collector Booster Cost]]</f>
        <v/>
      </c>
      <c r="BO205" s="10">
        <f>tbl_MTG_Set[[#This Row],[Collector Singles CardMarket Profit]]&gt;0</f>
        <v/>
      </c>
      <c r="BP2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6">
      <c r="A206" t="n">
        <v>204</v>
      </c>
      <c r="B206" t="inlineStr">
        <is>
          <t>Phyrexia: All Will Be One Minigames MONE</t>
        </is>
      </c>
      <c r="C206" t="n">
        <v>5</v>
      </c>
      <c r="D206" s="3" t="n">
        <v>44960</v>
      </c>
      <c r="E206" t="inlineStr">
        <is>
          <t>Standard Expansion</t>
        </is>
      </c>
      <c r="F206" t="inlineStr">
        <is>
          <t>en es fr de it pt ja ko ru 汉语 漢語</t>
        </is>
      </c>
      <c r="G206" t="n">
        <v>354</v>
      </c>
      <c r="H206">
        <f>MONTH(NOW())+12*YEAR(NOW())-MONTH(tbl_MTG_Set[[#This Row],[Released On]])-12*YEAR(tbl_MTG_Set[[#This Row],[Released On]])</f>
        <v/>
      </c>
      <c r="I206">
        <f>_xlfn.XLOOKUP(tbl_MTG_Set[[#This Row],[Type Name]], tbl_MTG_Set_Type[Set Type], tbl_MTG_Set_Type[Index], "(Set Type not found)")</f>
        <v/>
      </c>
      <c r="J206">
        <f>_xlfn.XLOOKUP(tbl_MTG_Set[[#This Row],[Type Name]], tbl_MTG_Set_Type[Set Type], tbl_MTG_Set_Type[Buy Window Month Start], "(Set Type not found)")</f>
        <v/>
      </c>
      <c r="K206" s="3">
        <f>tbl_MTG_Set[[#This Row],[Released On]]+tbl_MTG_Set[[#This Row],[Buy Window Month Start]]*365.25/12</f>
        <v/>
      </c>
      <c r="L206">
        <f>_xlfn.XLOOKUP(tbl_MTG_Set[[#This Row],[Type Name]], tbl_MTG_Set_Type[Set Type], tbl_MTG_Set_Type[Buy Window Month End], "(Set Type not found)", 0, 1)</f>
        <v/>
      </c>
      <c r="M206" s="3">
        <f>tbl_MTG_Set[[#This Row],[Released On]]+tbl_MTG_Set[[#This Row],[Buy Window Month End]]*365.25/12</f>
        <v/>
      </c>
      <c r="N206" s="3">
        <f>AND(NOW()&gt;=tbl_MTG_Set[[#This Row],[Buy Window Start]], NOW()&lt;=tbl_MTG_Set[[#This Row],[Buy Window End]])</f>
        <v/>
      </c>
      <c r="O206">
        <f>_xlfn.XLOOKUP(tbl_MTG_Set[[#This Row],[Type Name]], tbl_MTG_Set_Type[Set Type], tbl_MTG_Set_Type[Heavy Printing Window Month Start], "(Set Type not found)", 0, 1)</f>
        <v/>
      </c>
      <c r="P206" s="3">
        <f>tbl_MTG_Set[[#This Row],[Released On]]+tbl_MTG_Set[[#This Row],[Heavy Printing Window Month Start]]*365.25/12</f>
        <v/>
      </c>
      <c r="Q206">
        <f>_xlfn.XLOOKUP(tbl_MTG_Set[[#This Row],[Type Name]], tbl_MTG_Set_Type[Set Type], tbl_MTG_Set_Type[Heavy Printing Window Month End], "(Set Type not found)", 0, 1)</f>
        <v/>
      </c>
      <c r="R206" s="3">
        <f>tbl_MTG_Set[[#This Row],[Released On]]+tbl_MTG_Set[[#This Row],[Heavy Printing Window Month End]]*365.25/12</f>
        <v/>
      </c>
      <c r="S206" s="3">
        <f>AND(NOW()&gt;=tbl_MTG_Set[[#This Row],[Heavy Printing Window Start]], NOW()&lt;=tbl_MTG_Set[[#This Row],[Heavy Printing Window End]])</f>
        <v/>
      </c>
      <c r="T206">
        <f>_xlfn.XLOOKUP(tbl_MTG_Set[[#This Row],[Type Name]], tbl_MTG_Set_Type[Set Type], tbl_MTG_Set_Type[Sell Window Month Start], "(Set Type not found)", 0, 1)</f>
        <v/>
      </c>
      <c r="U206" s="3">
        <f>tbl_MTG_Set[[#This Row],[Released On]]+tbl_MTG_Set[[#This Row],[Sell Window Month Start]]*365.25/12</f>
        <v/>
      </c>
      <c r="V206">
        <f>_xlfn.XLOOKUP(tbl_MTG_Set[[#This Row],[Type Name]], tbl_MTG_Set_Type[Set Type], tbl_MTG_Set_Type[Sell Window Month End], "(Set Type not found)", 0, 1)</f>
        <v/>
      </c>
      <c r="W206" s="3">
        <f>tbl_MTG_Set[[#This Row],[Released On]]+tbl_MTG_Set[[#This Row],[Sell Window Month End]]*365.25/12</f>
        <v/>
      </c>
      <c r="X206" s="3">
        <f>AND(NOW()&gt;=tbl_MTG_Set[[#This Row],[Sell Window Start]], NOW()&lt;=tbl_MTG_Set[[#This Row],[Sell Window End]])</f>
        <v/>
      </c>
      <c r="AG206" s="10" t="n"/>
      <c r="AH206" s="10" t="n"/>
      <c r="AM206" s="10">
        <f t="array" ref="AM2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6" s="10">
        <f t="array" ref="AN2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6" s="4">
        <f>_xlfn.XLOOKUP(tbl_MTG_Set[[#This Row],[Play Booster Box Product Id]], tbl_Product[Product Id], tbl_Product[Pack Size])</f>
        <v/>
      </c>
      <c r="AP206" s="10">
        <f>(tbl_MTG_Set[[#This Row],[Play Booster Box Cost]]+v_Item_Shipping_Cost_In)/tbl_MTG_Set[[#This Row],[Play Booster Box Size]]</f>
        <v/>
      </c>
      <c r="AQ206" s="10">
        <f t="array" ref="AQ2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6" s="10" t="n"/>
      <c r="AS206" s="10" t="n"/>
      <c r="AT206" s="17">
        <f>tbl_MTG_Set[[#This Row],[Play Booster CardMarket Profit]]/tbl_MTG_Set[[#This Row],[Play Booster Cost]]</f>
        <v/>
      </c>
      <c r="AU206" s="10">
        <f>_xlfn.XLOOKUP(tbl_MTG_Set[[#This Row],[Collector Booster Box Product Id]], tbl_Product[Product Id], tbl_Product[Min Cost])</f>
        <v/>
      </c>
      <c r="AV206" s="10">
        <f>_xlfn.XLOOKUP(tbl_MTG_Set[[#This Row],[Collector Booster Box Product Id]], tbl_Product[Product Id], tbl_Product[Best Source])</f>
        <v/>
      </c>
      <c r="AW206" s="4">
        <f>_xlfn.XLOOKUP(tbl_MTG_Set[[#This Row],[Collector Booster Box Product Id]], tbl_Product[Product Id], tbl_Product[Pack Size])</f>
        <v/>
      </c>
      <c r="AX206" s="10">
        <f>(tbl_MTG_Set[[#This Row],[Collector Booster Box Cost]] + v_Item_Shipping_Cost_In) / tbl_MTG_Set[[#This Row],[Collector Booster Box Size]]</f>
        <v/>
      </c>
      <c r="AY206" s="10">
        <f t="array" ref="AY2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6" s="10" t="n"/>
      <c r="BA2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6" s="17">
        <f>tbl_MTG_Set[[#This Row],[Collector Booster CardMarket Profit]]/tbl_MTG_Set[[#This Row],[Collector Booster Cost]]</f>
        <v/>
      </c>
      <c r="BC206" s="10" t="n"/>
      <c r="BF206" s="10">
        <f>tbl_MTG_Set[[#This Row],[Play Booster Sell Price CardMarket]]*tbl_MTG_Set[[#This Row],[Play Booster Expected Market Value]]/tbl_MTG_Set[[#This Row],[Play Boost Sealed Market Value]]</f>
        <v/>
      </c>
      <c r="BG2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6" s="10">
        <f>tbl_MTG_Set[[#This Row],[Play Singles CardMarket Profit]]/tbl_MTG_Set[[#This Row],[Play Booster Cost]]</f>
        <v/>
      </c>
      <c r="BI206" s="10">
        <f>tbl_MTG_Set[[#This Row],[Play Singles CardMarket Profit]]&gt;0</f>
        <v/>
      </c>
      <c r="BJ206" s="10" t="n"/>
      <c r="BK206" s="10" t="n"/>
      <c r="BL206" s="10">
        <f>tbl_MTG_Set[[#This Row],[Collector Booster Sell Price CardMarket]]*tbl_MTG_Set[[#This Row],[Collector Booster Expected Market Value]]/tbl_MTG_Set[[#This Row],[Collector Boost Sealed Market Value]]</f>
        <v/>
      </c>
      <c r="BM2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6" s="10">
        <f>tbl_MTG_Set[[#This Row],[Collector Singles CardMarket Profit]]/tbl_MTG_Set[[#This Row],[Collector Booster Cost]]</f>
        <v/>
      </c>
      <c r="BO206" s="10">
        <f>tbl_MTG_Set[[#This Row],[Collector Singles CardMarket Profit]]&gt;0</f>
        <v/>
      </c>
      <c r="BP2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7">
      <c r="A207" t="n">
        <v>205</v>
      </c>
      <c r="B207" t="inlineStr">
        <is>
          <t>Phyrexia: All Will Be One Art Series AONE</t>
        </is>
      </c>
      <c r="C207" t="n">
        <v>81</v>
      </c>
      <c r="D207" s="3" t="n">
        <v>44960</v>
      </c>
      <c r="E207" t="inlineStr">
        <is>
          <t>Standard Expansion</t>
        </is>
      </c>
      <c r="F207" t="inlineStr">
        <is>
          <t>en es fr de it pt ja ko ru 汉语 漢語</t>
        </is>
      </c>
      <c r="G207" t="n">
        <v>356</v>
      </c>
      <c r="H207">
        <f>MONTH(NOW())+12*YEAR(NOW())-MONTH(tbl_MTG_Set[[#This Row],[Released On]])-12*YEAR(tbl_MTG_Set[[#This Row],[Released On]])</f>
        <v/>
      </c>
      <c r="I207">
        <f>_xlfn.XLOOKUP(tbl_MTG_Set[[#This Row],[Type Name]], tbl_MTG_Set_Type[Set Type], tbl_MTG_Set_Type[Index], "(Set Type not found)")</f>
        <v/>
      </c>
      <c r="J207">
        <f>_xlfn.XLOOKUP(tbl_MTG_Set[[#This Row],[Type Name]], tbl_MTG_Set_Type[Set Type], tbl_MTG_Set_Type[Buy Window Month Start], "(Set Type not found)")</f>
        <v/>
      </c>
      <c r="K207" s="3">
        <f>tbl_MTG_Set[[#This Row],[Released On]]+tbl_MTG_Set[[#This Row],[Buy Window Month Start]]*365.25/12</f>
        <v/>
      </c>
      <c r="L207">
        <f>_xlfn.XLOOKUP(tbl_MTG_Set[[#This Row],[Type Name]], tbl_MTG_Set_Type[Set Type], tbl_MTG_Set_Type[Buy Window Month End], "(Set Type not found)", 0, 1)</f>
        <v/>
      </c>
      <c r="M207" s="3">
        <f>tbl_MTG_Set[[#This Row],[Released On]]+tbl_MTG_Set[[#This Row],[Buy Window Month End]]*365.25/12</f>
        <v/>
      </c>
      <c r="N207" s="3">
        <f>AND(NOW()&gt;=tbl_MTG_Set[[#This Row],[Buy Window Start]], NOW()&lt;=tbl_MTG_Set[[#This Row],[Buy Window End]])</f>
        <v/>
      </c>
      <c r="O207">
        <f>_xlfn.XLOOKUP(tbl_MTG_Set[[#This Row],[Type Name]], tbl_MTG_Set_Type[Set Type], tbl_MTG_Set_Type[Heavy Printing Window Month Start], "(Set Type not found)", 0, 1)</f>
        <v/>
      </c>
      <c r="P207" s="3">
        <f>tbl_MTG_Set[[#This Row],[Released On]]+tbl_MTG_Set[[#This Row],[Heavy Printing Window Month Start]]*365.25/12</f>
        <v/>
      </c>
      <c r="Q207">
        <f>_xlfn.XLOOKUP(tbl_MTG_Set[[#This Row],[Type Name]], tbl_MTG_Set_Type[Set Type], tbl_MTG_Set_Type[Heavy Printing Window Month End], "(Set Type not found)", 0, 1)</f>
        <v/>
      </c>
      <c r="R207" s="3">
        <f>tbl_MTG_Set[[#This Row],[Released On]]+tbl_MTG_Set[[#This Row],[Heavy Printing Window Month End]]*365.25/12</f>
        <v/>
      </c>
      <c r="S207" s="3">
        <f>AND(NOW()&gt;=tbl_MTG_Set[[#This Row],[Heavy Printing Window Start]], NOW()&lt;=tbl_MTG_Set[[#This Row],[Heavy Printing Window End]])</f>
        <v/>
      </c>
      <c r="T207">
        <f>_xlfn.XLOOKUP(tbl_MTG_Set[[#This Row],[Type Name]], tbl_MTG_Set_Type[Set Type], tbl_MTG_Set_Type[Sell Window Month Start], "(Set Type not found)", 0, 1)</f>
        <v/>
      </c>
      <c r="U207" s="3">
        <f>tbl_MTG_Set[[#This Row],[Released On]]+tbl_MTG_Set[[#This Row],[Sell Window Month Start]]*365.25/12</f>
        <v/>
      </c>
      <c r="V207">
        <f>_xlfn.XLOOKUP(tbl_MTG_Set[[#This Row],[Type Name]], tbl_MTG_Set_Type[Set Type], tbl_MTG_Set_Type[Sell Window Month End], "(Set Type not found)", 0, 1)</f>
        <v/>
      </c>
      <c r="W207" s="3">
        <f>tbl_MTG_Set[[#This Row],[Released On]]+tbl_MTG_Set[[#This Row],[Sell Window Month End]]*365.25/12</f>
        <v/>
      </c>
      <c r="X207" s="3">
        <f>AND(NOW()&gt;=tbl_MTG_Set[[#This Row],[Sell Window Start]], NOW()&lt;=tbl_MTG_Set[[#This Row],[Sell Window End]])</f>
        <v/>
      </c>
      <c r="AG207" s="10" t="n"/>
      <c r="AH207" s="10" t="n"/>
      <c r="AM207" s="10">
        <f t="array" ref="AM2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7" s="10">
        <f t="array" ref="AN2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7" s="4">
        <f>_xlfn.XLOOKUP(tbl_MTG_Set[[#This Row],[Play Booster Box Product Id]], tbl_Product[Product Id], tbl_Product[Pack Size])</f>
        <v/>
      </c>
      <c r="AP207" s="10">
        <f>(tbl_MTG_Set[[#This Row],[Play Booster Box Cost]]+v_Item_Shipping_Cost_In)/tbl_MTG_Set[[#This Row],[Play Booster Box Size]]</f>
        <v/>
      </c>
      <c r="AQ207" s="10">
        <f t="array" ref="AQ2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7" s="10" t="n"/>
      <c r="AS207" s="10" t="n"/>
      <c r="AT207" s="17">
        <f>tbl_MTG_Set[[#This Row],[Play Booster CardMarket Profit]]/tbl_MTG_Set[[#This Row],[Play Booster Cost]]</f>
        <v/>
      </c>
      <c r="AU207" s="10">
        <f>_xlfn.XLOOKUP(tbl_MTG_Set[[#This Row],[Collector Booster Box Product Id]], tbl_Product[Product Id], tbl_Product[Min Cost])</f>
        <v/>
      </c>
      <c r="AV207" s="10">
        <f>_xlfn.XLOOKUP(tbl_MTG_Set[[#This Row],[Collector Booster Box Product Id]], tbl_Product[Product Id], tbl_Product[Best Source])</f>
        <v/>
      </c>
      <c r="AW207" s="4">
        <f>_xlfn.XLOOKUP(tbl_MTG_Set[[#This Row],[Collector Booster Box Product Id]], tbl_Product[Product Id], tbl_Product[Pack Size])</f>
        <v/>
      </c>
      <c r="AX207" s="10">
        <f>(tbl_MTG_Set[[#This Row],[Collector Booster Box Cost]] + v_Item_Shipping_Cost_In) / tbl_MTG_Set[[#This Row],[Collector Booster Box Size]]</f>
        <v/>
      </c>
      <c r="AY207" s="10">
        <f t="array" ref="AY2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7" s="10" t="n"/>
      <c r="BA2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7" s="17">
        <f>tbl_MTG_Set[[#This Row],[Collector Booster CardMarket Profit]]/tbl_MTG_Set[[#This Row],[Collector Booster Cost]]</f>
        <v/>
      </c>
      <c r="BC207" s="10" t="n"/>
      <c r="BF207" s="10">
        <f>tbl_MTG_Set[[#This Row],[Play Booster Sell Price CardMarket]]*tbl_MTG_Set[[#This Row],[Play Booster Expected Market Value]]/tbl_MTG_Set[[#This Row],[Play Boost Sealed Market Value]]</f>
        <v/>
      </c>
      <c r="BG2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7" s="10">
        <f>tbl_MTG_Set[[#This Row],[Play Singles CardMarket Profit]]/tbl_MTG_Set[[#This Row],[Play Booster Cost]]</f>
        <v/>
      </c>
      <c r="BI207" s="10">
        <f>tbl_MTG_Set[[#This Row],[Play Singles CardMarket Profit]]&gt;0</f>
        <v/>
      </c>
      <c r="BJ207" s="10" t="n"/>
      <c r="BK207" s="10" t="n"/>
      <c r="BL207" s="10">
        <f>tbl_MTG_Set[[#This Row],[Collector Booster Sell Price CardMarket]]*tbl_MTG_Set[[#This Row],[Collector Booster Expected Market Value]]/tbl_MTG_Set[[#This Row],[Collector Boost Sealed Market Value]]</f>
        <v/>
      </c>
      <c r="BM2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7" s="10">
        <f>tbl_MTG_Set[[#This Row],[Collector Singles CardMarket Profit]]/tbl_MTG_Set[[#This Row],[Collector Booster Cost]]</f>
        <v/>
      </c>
      <c r="BO207" s="10">
        <f>tbl_MTG_Set[[#This Row],[Collector Singles CardMarket Profit]]&gt;0</f>
        <v/>
      </c>
      <c r="BP2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8">
      <c r="A208" t="n">
        <v>206</v>
      </c>
      <c r="B208" t="inlineStr">
        <is>
          <t>Phyrexia: All Will Be One Jumpstart Front Cards FONE</t>
        </is>
      </c>
      <c r="C208" t="n">
        <v>5</v>
      </c>
      <c r="D208" s="3" t="n">
        <v>44960</v>
      </c>
      <c r="E208" t="inlineStr">
        <is>
          <t>Standard Expansion</t>
        </is>
      </c>
      <c r="F208" t="inlineStr">
        <is>
          <t>en es fr de it pt ja ko ru 汉语 漢語</t>
        </is>
      </c>
      <c r="G208" t="n">
        <v>358</v>
      </c>
      <c r="H208">
        <f>MONTH(NOW())+12*YEAR(NOW())-MONTH(tbl_MTG_Set[[#This Row],[Released On]])-12*YEAR(tbl_MTG_Set[[#This Row],[Released On]])</f>
        <v/>
      </c>
      <c r="I208">
        <f>_xlfn.XLOOKUP(tbl_MTG_Set[[#This Row],[Type Name]], tbl_MTG_Set_Type[Set Type], tbl_MTG_Set_Type[Index], "(Set Type not found)")</f>
        <v/>
      </c>
      <c r="J208">
        <f>_xlfn.XLOOKUP(tbl_MTG_Set[[#This Row],[Type Name]], tbl_MTG_Set_Type[Set Type], tbl_MTG_Set_Type[Buy Window Month Start], "(Set Type not found)")</f>
        <v/>
      </c>
      <c r="K208" s="3">
        <f>tbl_MTG_Set[[#This Row],[Released On]]+tbl_MTG_Set[[#This Row],[Buy Window Month Start]]*365.25/12</f>
        <v/>
      </c>
      <c r="L208">
        <f>_xlfn.XLOOKUP(tbl_MTG_Set[[#This Row],[Type Name]], tbl_MTG_Set_Type[Set Type], tbl_MTG_Set_Type[Buy Window Month End], "(Set Type not found)", 0, 1)</f>
        <v/>
      </c>
      <c r="M208" s="3">
        <f>tbl_MTG_Set[[#This Row],[Released On]]+tbl_MTG_Set[[#This Row],[Buy Window Month End]]*365.25/12</f>
        <v/>
      </c>
      <c r="N208" s="3">
        <f>AND(NOW()&gt;=tbl_MTG_Set[[#This Row],[Buy Window Start]], NOW()&lt;=tbl_MTG_Set[[#This Row],[Buy Window End]])</f>
        <v/>
      </c>
      <c r="O208">
        <f>_xlfn.XLOOKUP(tbl_MTG_Set[[#This Row],[Type Name]], tbl_MTG_Set_Type[Set Type], tbl_MTG_Set_Type[Heavy Printing Window Month Start], "(Set Type not found)", 0, 1)</f>
        <v/>
      </c>
      <c r="P208" s="3">
        <f>tbl_MTG_Set[[#This Row],[Released On]]+tbl_MTG_Set[[#This Row],[Heavy Printing Window Month Start]]*365.25/12</f>
        <v/>
      </c>
      <c r="Q208">
        <f>_xlfn.XLOOKUP(tbl_MTG_Set[[#This Row],[Type Name]], tbl_MTG_Set_Type[Set Type], tbl_MTG_Set_Type[Heavy Printing Window Month End], "(Set Type not found)", 0, 1)</f>
        <v/>
      </c>
      <c r="R208" s="3">
        <f>tbl_MTG_Set[[#This Row],[Released On]]+tbl_MTG_Set[[#This Row],[Heavy Printing Window Month End]]*365.25/12</f>
        <v/>
      </c>
      <c r="S208" s="3">
        <f>AND(NOW()&gt;=tbl_MTG_Set[[#This Row],[Heavy Printing Window Start]], NOW()&lt;=tbl_MTG_Set[[#This Row],[Heavy Printing Window End]])</f>
        <v/>
      </c>
      <c r="T208">
        <f>_xlfn.XLOOKUP(tbl_MTG_Set[[#This Row],[Type Name]], tbl_MTG_Set_Type[Set Type], tbl_MTG_Set_Type[Sell Window Month Start], "(Set Type not found)", 0, 1)</f>
        <v/>
      </c>
      <c r="U208" s="3">
        <f>tbl_MTG_Set[[#This Row],[Released On]]+tbl_MTG_Set[[#This Row],[Sell Window Month Start]]*365.25/12</f>
        <v/>
      </c>
      <c r="V208">
        <f>_xlfn.XLOOKUP(tbl_MTG_Set[[#This Row],[Type Name]], tbl_MTG_Set_Type[Set Type], tbl_MTG_Set_Type[Sell Window Month End], "(Set Type not found)", 0, 1)</f>
        <v/>
      </c>
      <c r="W208" s="3">
        <f>tbl_MTG_Set[[#This Row],[Released On]]+tbl_MTG_Set[[#This Row],[Sell Window Month End]]*365.25/12</f>
        <v/>
      </c>
      <c r="X208" s="3">
        <f>AND(NOW()&gt;=tbl_MTG_Set[[#This Row],[Sell Window Start]], NOW()&lt;=tbl_MTG_Set[[#This Row],[Sell Window End]])</f>
        <v/>
      </c>
      <c r="AG208" s="10" t="n"/>
      <c r="AH208" s="10" t="n"/>
      <c r="AM208" s="10">
        <f t="array" ref="AM2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8" s="10">
        <f t="array" ref="AN2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8" s="4">
        <f>_xlfn.XLOOKUP(tbl_MTG_Set[[#This Row],[Play Booster Box Product Id]], tbl_Product[Product Id], tbl_Product[Pack Size])</f>
        <v/>
      </c>
      <c r="AP208" s="10">
        <f>(tbl_MTG_Set[[#This Row],[Play Booster Box Cost]]+v_Item_Shipping_Cost_In)/tbl_MTG_Set[[#This Row],[Play Booster Box Size]]</f>
        <v/>
      </c>
      <c r="AQ208" s="10">
        <f t="array" ref="AQ2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8" s="10" t="n"/>
      <c r="AS208" s="10" t="n"/>
      <c r="AT208" s="17">
        <f>tbl_MTG_Set[[#This Row],[Play Booster CardMarket Profit]]/tbl_MTG_Set[[#This Row],[Play Booster Cost]]</f>
        <v/>
      </c>
      <c r="AU208" s="10">
        <f>_xlfn.XLOOKUP(tbl_MTG_Set[[#This Row],[Collector Booster Box Product Id]], tbl_Product[Product Id], tbl_Product[Min Cost])</f>
        <v/>
      </c>
      <c r="AV208" s="10">
        <f>_xlfn.XLOOKUP(tbl_MTG_Set[[#This Row],[Collector Booster Box Product Id]], tbl_Product[Product Id], tbl_Product[Best Source])</f>
        <v/>
      </c>
      <c r="AW208" s="4">
        <f>_xlfn.XLOOKUP(tbl_MTG_Set[[#This Row],[Collector Booster Box Product Id]], tbl_Product[Product Id], tbl_Product[Pack Size])</f>
        <v/>
      </c>
      <c r="AX208" s="10">
        <f>(tbl_MTG_Set[[#This Row],[Collector Booster Box Cost]] + v_Item_Shipping_Cost_In) / tbl_MTG_Set[[#This Row],[Collector Booster Box Size]]</f>
        <v/>
      </c>
      <c r="AY208" s="10">
        <f t="array" ref="AY2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8" s="10" t="n"/>
      <c r="BA2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8" s="17">
        <f>tbl_MTG_Set[[#This Row],[Collector Booster CardMarket Profit]]/tbl_MTG_Set[[#This Row],[Collector Booster Cost]]</f>
        <v/>
      </c>
      <c r="BC208" s="10" t="n"/>
      <c r="BF208" s="10">
        <f>tbl_MTG_Set[[#This Row],[Play Booster Sell Price CardMarket]]*tbl_MTG_Set[[#This Row],[Play Booster Expected Market Value]]/tbl_MTG_Set[[#This Row],[Play Boost Sealed Market Value]]</f>
        <v/>
      </c>
      <c r="BG2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8" s="10">
        <f>tbl_MTG_Set[[#This Row],[Play Singles CardMarket Profit]]/tbl_MTG_Set[[#This Row],[Play Booster Cost]]</f>
        <v/>
      </c>
      <c r="BI208" s="10">
        <f>tbl_MTG_Set[[#This Row],[Play Singles CardMarket Profit]]&gt;0</f>
        <v/>
      </c>
      <c r="BJ208" s="10" t="n"/>
      <c r="BK208" s="10" t="n"/>
      <c r="BL208" s="10">
        <f>tbl_MTG_Set[[#This Row],[Collector Booster Sell Price CardMarket]]*tbl_MTG_Set[[#This Row],[Collector Booster Expected Market Value]]/tbl_MTG_Set[[#This Row],[Collector Boost Sealed Market Value]]</f>
        <v/>
      </c>
      <c r="BM2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8" s="10">
        <f>tbl_MTG_Set[[#This Row],[Collector Singles CardMarket Profit]]/tbl_MTG_Set[[#This Row],[Collector Booster Cost]]</f>
        <v/>
      </c>
      <c r="BO208" s="10">
        <f>tbl_MTG_Set[[#This Row],[Collector Singles CardMarket Profit]]&gt;0</f>
        <v/>
      </c>
      <c r="BP2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9">
      <c r="A209" t="n">
        <v>207</v>
      </c>
      <c r="B209" t="inlineStr">
        <is>
          <t>ONE Japanese Promo Tokens WONE</t>
        </is>
      </c>
      <c r="C209" t="n">
        <v>6</v>
      </c>
      <c r="D209" s="3" t="n">
        <v>44953</v>
      </c>
      <c r="E209" t="inlineStr">
        <is>
          <t>Standard Expansion</t>
        </is>
      </c>
      <c r="F209" t="inlineStr">
        <is>
          <t>en es fr de it pt ja ko ru 汉语 漢語</t>
        </is>
      </c>
      <c r="G209" t="n">
        <v>360</v>
      </c>
      <c r="H209">
        <f>MONTH(NOW())+12*YEAR(NOW())-MONTH(tbl_MTG_Set[[#This Row],[Released On]])-12*YEAR(tbl_MTG_Set[[#This Row],[Released On]])</f>
        <v/>
      </c>
      <c r="I209">
        <f>_xlfn.XLOOKUP(tbl_MTG_Set[[#This Row],[Type Name]], tbl_MTG_Set_Type[Set Type], tbl_MTG_Set_Type[Index], "(Set Type not found)")</f>
        <v/>
      </c>
      <c r="J209">
        <f>_xlfn.XLOOKUP(tbl_MTG_Set[[#This Row],[Type Name]], tbl_MTG_Set_Type[Set Type], tbl_MTG_Set_Type[Buy Window Month Start], "(Set Type not found)")</f>
        <v/>
      </c>
      <c r="K209" s="3">
        <f>tbl_MTG_Set[[#This Row],[Released On]]+tbl_MTG_Set[[#This Row],[Buy Window Month Start]]*365.25/12</f>
        <v/>
      </c>
      <c r="L209">
        <f>_xlfn.XLOOKUP(tbl_MTG_Set[[#This Row],[Type Name]], tbl_MTG_Set_Type[Set Type], tbl_MTG_Set_Type[Buy Window Month End], "(Set Type not found)", 0, 1)</f>
        <v/>
      </c>
      <c r="M209" s="3">
        <f>tbl_MTG_Set[[#This Row],[Released On]]+tbl_MTG_Set[[#This Row],[Buy Window Month End]]*365.25/12</f>
        <v/>
      </c>
      <c r="N209" s="3">
        <f>AND(NOW()&gt;=tbl_MTG_Set[[#This Row],[Buy Window Start]], NOW()&lt;=tbl_MTG_Set[[#This Row],[Buy Window End]])</f>
        <v/>
      </c>
      <c r="O209">
        <f>_xlfn.XLOOKUP(tbl_MTG_Set[[#This Row],[Type Name]], tbl_MTG_Set_Type[Set Type], tbl_MTG_Set_Type[Heavy Printing Window Month Start], "(Set Type not found)", 0, 1)</f>
        <v/>
      </c>
      <c r="P209" s="3">
        <f>tbl_MTG_Set[[#This Row],[Released On]]+tbl_MTG_Set[[#This Row],[Heavy Printing Window Month Start]]*365.25/12</f>
        <v/>
      </c>
      <c r="Q209">
        <f>_xlfn.XLOOKUP(tbl_MTG_Set[[#This Row],[Type Name]], tbl_MTG_Set_Type[Set Type], tbl_MTG_Set_Type[Heavy Printing Window Month End], "(Set Type not found)", 0, 1)</f>
        <v/>
      </c>
      <c r="R209" s="3">
        <f>tbl_MTG_Set[[#This Row],[Released On]]+tbl_MTG_Set[[#This Row],[Heavy Printing Window Month End]]*365.25/12</f>
        <v/>
      </c>
      <c r="S209" s="3">
        <f>AND(NOW()&gt;=tbl_MTG_Set[[#This Row],[Heavy Printing Window Start]], NOW()&lt;=tbl_MTG_Set[[#This Row],[Heavy Printing Window End]])</f>
        <v/>
      </c>
      <c r="T209">
        <f>_xlfn.XLOOKUP(tbl_MTG_Set[[#This Row],[Type Name]], tbl_MTG_Set_Type[Set Type], tbl_MTG_Set_Type[Sell Window Month Start], "(Set Type not found)", 0, 1)</f>
        <v/>
      </c>
      <c r="U209" s="3">
        <f>tbl_MTG_Set[[#This Row],[Released On]]+tbl_MTG_Set[[#This Row],[Sell Window Month Start]]*365.25/12</f>
        <v/>
      </c>
      <c r="V209">
        <f>_xlfn.XLOOKUP(tbl_MTG_Set[[#This Row],[Type Name]], tbl_MTG_Set_Type[Set Type], tbl_MTG_Set_Type[Sell Window Month End], "(Set Type not found)", 0, 1)</f>
        <v/>
      </c>
      <c r="W209" s="3">
        <f>tbl_MTG_Set[[#This Row],[Released On]]+tbl_MTG_Set[[#This Row],[Sell Window Month End]]*365.25/12</f>
        <v/>
      </c>
      <c r="X209" s="3">
        <f>AND(NOW()&gt;=tbl_MTG_Set[[#This Row],[Sell Window Start]], NOW()&lt;=tbl_MTG_Set[[#This Row],[Sell Window End]])</f>
        <v/>
      </c>
      <c r="AG209" s="10" t="n"/>
      <c r="AH209" s="10" t="n"/>
      <c r="AM209" s="10">
        <f t="array" ref="AM2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9" s="10">
        <f t="array" ref="AN2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9" s="4">
        <f>_xlfn.XLOOKUP(tbl_MTG_Set[[#This Row],[Play Booster Box Product Id]], tbl_Product[Product Id], tbl_Product[Pack Size])</f>
        <v/>
      </c>
      <c r="AP209" s="10">
        <f>(tbl_MTG_Set[[#This Row],[Play Booster Box Cost]]+v_Item_Shipping_Cost_In)/tbl_MTG_Set[[#This Row],[Play Booster Box Size]]</f>
        <v/>
      </c>
      <c r="AQ209" s="10">
        <f t="array" ref="AQ2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09" s="10" t="n"/>
      <c r="AS209" s="10" t="n"/>
      <c r="AT209" s="17">
        <f>tbl_MTG_Set[[#This Row],[Play Booster CardMarket Profit]]/tbl_MTG_Set[[#This Row],[Play Booster Cost]]</f>
        <v/>
      </c>
      <c r="AU209" s="10">
        <f>_xlfn.XLOOKUP(tbl_MTG_Set[[#This Row],[Collector Booster Box Product Id]], tbl_Product[Product Id], tbl_Product[Min Cost])</f>
        <v/>
      </c>
      <c r="AV209" s="10">
        <f>_xlfn.XLOOKUP(tbl_MTG_Set[[#This Row],[Collector Booster Box Product Id]], tbl_Product[Product Id], tbl_Product[Best Source])</f>
        <v/>
      </c>
      <c r="AW209" s="4">
        <f>_xlfn.XLOOKUP(tbl_MTG_Set[[#This Row],[Collector Booster Box Product Id]], tbl_Product[Product Id], tbl_Product[Pack Size])</f>
        <v/>
      </c>
      <c r="AX209" s="10">
        <f>(tbl_MTG_Set[[#This Row],[Collector Booster Box Cost]] + v_Item_Shipping_Cost_In) / tbl_MTG_Set[[#This Row],[Collector Booster Box Size]]</f>
        <v/>
      </c>
      <c r="AY209" s="10">
        <f t="array" ref="AY2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09" s="10" t="n"/>
      <c r="BA2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9" s="17">
        <f>tbl_MTG_Set[[#This Row],[Collector Booster CardMarket Profit]]/tbl_MTG_Set[[#This Row],[Collector Booster Cost]]</f>
        <v/>
      </c>
      <c r="BC209" s="10" t="n"/>
      <c r="BF209" s="10">
        <f>tbl_MTG_Set[[#This Row],[Play Booster Sell Price CardMarket]]*tbl_MTG_Set[[#This Row],[Play Booster Expected Market Value]]/tbl_MTG_Set[[#This Row],[Play Boost Sealed Market Value]]</f>
        <v/>
      </c>
      <c r="BG2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9" s="10">
        <f>tbl_MTG_Set[[#This Row],[Play Singles CardMarket Profit]]/tbl_MTG_Set[[#This Row],[Play Booster Cost]]</f>
        <v/>
      </c>
      <c r="BI209" s="10">
        <f>tbl_MTG_Set[[#This Row],[Play Singles CardMarket Profit]]&gt;0</f>
        <v/>
      </c>
      <c r="BJ209" s="10" t="n"/>
      <c r="BK209" s="10" t="n"/>
      <c r="BL209" s="10">
        <f>tbl_MTG_Set[[#This Row],[Collector Booster Sell Price CardMarket]]*tbl_MTG_Set[[#This Row],[Collector Booster Expected Market Value]]/tbl_MTG_Set[[#This Row],[Collector Boost Sealed Market Value]]</f>
        <v/>
      </c>
      <c r="BM2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9" s="10">
        <f>tbl_MTG_Set[[#This Row],[Collector Singles CardMarket Profit]]/tbl_MTG_Set[[#This Row],[Collector Booster Cost]]</f>
        <v/>
      </c>
      <c r="BO209" s="10">
        <f>tbl_MTG_Set[[#This Row],[Collector Singles CardMarket Profit]]&gt;0</f>
        <v/>
      </c>
      <c r="BP2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0">
      <c r="A210" t="n">
        <v>208</v>
      </c>
      <c r="B210" t="inlineStr">
        <is>
          <t>Dominaria Remastered DMR</t>
        </is>
      </c>
      <c r="C210" t="n">
        <v>457</v>
      </c>
      <c r="D210" s="3" t="n">
        <v>44939</v>
      </c>
      <c r="E210" t="inlineStr">
        <is>
          <t>Standard Expansion</t>
        </is>
      </c>
      <c r="F210" t="inlineStr">
        <is>
          <t>en es fr de it pt ja ko ru 汉语 漢語</t>
        </is>
      </c>
      <c r="G210" t="n">
        <v>362</v>
      </c>
      <c r="H210">
        <f>MONTH(NOW())+12*YEAR(NOW())-MONTH(tbl_MTG_Set[[#This Row],[Released On]])-12*YEAR(tbl_MTG_Set[[#This Row],[Released On]])</f>
        <v/>
      </c>
      <c r="I210">
        <f>_xlfn.XLOOKUP(tbl_MTG_Set[[#This Row],[Type Name]], tbl_MTG_Set_Type[Set Type], tbl_MTG_Set_Type[Index], "(Set Type not found)")</f>
        <v/>
      </c>
      <c r="J210">
        <f>_xlfn.XLOOKUP(tbl_MTG_Set[[#This Row],[Type Name]], tbl_MTG_Set_Type[Set Type], tbl_MTG_Set_Type[Buy Window Month Start], "(Set Type not found)")</f>
        <v/>
      </c>
      <c r="K210" s="3">
        <f>tbl_MTG_Set[[#This Row],[Released On]]+tbl_MTG_Set[[#This Row],[Buy Window Month Start]]*365.25/12</f>
        <v/>
      </c>
      <c r="L210">
        <f>_xlfn.XLOOKUP(tbl_MTG_Set[[#This Row],[Type Name]], tbl_MTG_Set_Type[Set Type], tbl_MTG_Set_Type[Buy Window Month End], "(Set Type not found)", 0, 1)</f>
        <v/>
      </c>
      <c r="M210" s="3">
        <f>tbl_MTG_Set[[#This Row],[Released On]]+tbl_MTG_Set[[#This Row],[Buy Window Month End]]*365.25/12</f>
        <v/>
      </c>
      <c r="N210" s="3">
        <f>AND(NOW()&gt;=tbl_MTG_Set[[#This Row],[Buy Window Start]], NOW()&lt;=tbl_MTG_Set[[#This Row],[Buy Window End]])</f>
        <v/>
      </c>
      <c r="O210">
        <f>_xlfn.XLOOKUP(tbl_MTG_Set[[#This Row],[Type Name]], tbl_MTG_Set_Type[Set Type], tbl_MTG_Set_Type[Heavy Printing Window Month Start], "(Set Type not found)", 0, 1)</f>
        <v/>
      </c>
      <c r="P210" s="3">
        <f>tbl_MTG_Set[[#This Row],[Released On]]+tbl_MTG_Set[[#This Row],[Heavy Printing Window Month Start]]*365.25/12</f>
        <v/>
      </c>
      <c r="Q210">
        <f>_xlfn.XLOOKUP(tbl_MTG_Set[[#This Row],[Type Name]], tbl_MTG_Set_Type[Set Type], tbl_MTG_Set_Type[Heavy Printing Window Month End], "(Set Type not found)", 0, 1)</f>
        <v/>
      </c>
      <c r="R210" s="3">
        <f>tbl_MTG_Set[[#This Row],[Released On]]+tbl_MTG_Set[[#This Row],[Heavy Printing Window Month End]]*365.25/12</f>
        <v/>
      </c>
      <c r="S210" s="3">
        <f>AND(NOW()&gt;=tbl_MTG_Set[[#This Row],[Heavy Printing Window Start]], NOW()&lt;=tbl_MTG_Set[[#This Row],[Heavy Printing Window End]])</f>
        <v/>
      </c>
      <c r="T210">
        <f>_xlfn.XLOOKUP(tbl_MTG_Set[[#This Row],[Type Name]], tbl_MTG_Set_Type[Set Type], tbl_MTG_Set_Type[Sell Window Month Start], "(Set Type not found)", 0, 1)</f>
        <v/>
      </c>
      <c r="U210" s="3">
        <f>tbl_MTG_Set[[#This Row],[Released On]]+tbl_MTG_Set[[#This Row],[Sell Window Month Start]]*365.25/12</f>
        <v/>
      </c>
      <c r="V210">
        <f>_xlfn.XLOOKUP(tbl_MTG_Set[[#This Row],[Type Name]], tbl_MTG_Set_Type[Set Type], tbl_MTG_Set_Type[Sell Window Month End], "(Set Type not found)", 0, 1)</f>
        <v/>
      </c>
      <c r="W210" s="3">
        <f>tbl_MTG_Set[[#This Row],[Released On]]+tbl_MTG_Set[[#This Row],[Sell Window Month End]]*365.25/12</f>
        <v/>
      </c>
      <c r="X210" s="3">
        <f>AND(NOW()&gt;=tbl_MTG_Set[[#This Row],[Sell Window Start]], NOW()&lt;=tbl_MTG_Set[[#This Row],[Sell Window End]])</f>
        <v/>
      </c>
      <c r="AG210" s="10" t="n"/>
      <c r="AH210" s="10" t="n"/>
      <c r="AM210" s="10">
        <f t="array" ref="AM2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0" s="10">
        <f t="array" ref="AN2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0" s="4">
        <f>_xlfn.XLOOKUP(tbl_MTG_Set[[#This Row],[Play Booster Box Product Id]], tbl_Product[Product Id], tbl_Product[Pack Size])</f>
        <v/>
      </c>
      <c r="AP210" s="10">
        <f>(tbl_MTG_Set[[#This Row],[Play Booster Box Cost]]+v_Item_Shipping_Cost_In)/tbl_MTG_Set[[#This Row],[Play Booster Box Size]]</f>
        <v/>
      </c>
      <c r="AQ210" s="10">
        <f t="array" ref="AQ2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0" s="10" t="n"/>
      <c r="AS210" s="10" t="n"/>
      <c r="AT210" s="17">
        <f>tbl_MTG_Set[[#This Row],[Play Booster CardMarket Profit]]/tbl_MTG_Set[[#This Row],[Play Booster Cost]]</f>
        <v/>
      </c>
      <c r="AU210" s="10">
        <f>_xlfn.XLOOKUP(tbl_MTG_Set[[#This Row],[Collector Booster Box Product Id]], tbl_Product[Product Id], tbl_Product[Min Cost])</f>
        <v/>
      </c>
      <c r="AV210" s="10">
        <f>_xlfn.XLOOKUP(tbl_MTG_Set[[#This Row],[Collector Booster Box Product Id]], tbl_Product[Product Id], tbl_Product[Best Source])</f>
        <v/>
      </c>
      <c r="AW210" s="4">
        <f>_xlfn.XLOOKUP(tbl_MTG_Set[[#This Row],[Collector Booster Box Product Id]], tbl_Product[Product Id], tbl_Product[Pack Size])</f>
        <v/>
      </c>
      <c r="AX210" s="10">
        <f>(tbl_MTG_Set[[#This Row],[Collector Booster Box Cost]] + v_Item_Shipping_Cost_In) / tbl_MTG_Set[[#This Row],[Collector Booster Box Size]]</f>
        <v/>
      </c>
      <c r="AY210" s="10">
        <f t="array" ref="AY2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0" s="10" t="n"/>
      <c r="BA2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0" s="17">
        <f>tbl_MTG_Set[[#This Row],[Collector Booster CardMarket Profit]]/tbl_MTG_Set[[#This Row],[Collector Booster Cost]]</f>
        <v/>
      </c>
      <c r="BC210" s="10" t="n"/>
      <c r="BF210" s="10">
        <f>tbl_MTG_Set[[#This Row],[Play Booster Sell Price CardMarket]]*tbl_MTG_Set[[#This Row],[Play Booster Expected Market Value]]/tbl_MTG_Set[[#This Row],[Play Boost Sealed Market Value]]</f>
        <v/>
      </c>
      <c r="BG2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0" s="10">
        <f>tbl_MTG_Set[[#This Row],[Play Singles CardMarket Profit]]/tbl_MTG_Set[[#This Row],[Play Booster Cost]]</f>
        <v/>
      </c>
      <c r="BI210" s="10">
        <f>tbl_MTG_Set[[#This Row],[Play Singles CardMarket Profit]]&gt;0</f>
        <v/>
      </c>
      <c r="BJ210" s="10" t="n"/>
      <c r="BK210" s="10" t="n"/>
      <c r="BL210" s="10">
        <f>tbl_MTG_Set[[#This Row],[Collector Booster Sell Price CardMarket]]*tbl_MTG_Set[[#This Row],[Collector Booster Expected Market Value]]/tbl_MTG_Set[[#This Row],[Collector Boost Sealed Market Value]]</f>
        <v/>
      </c>
      <c r="BM2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0" s="10">
        <f>tbl_MTG_Set[[#This Row],[Collector Singles CardMarket Profit]]/tbl_MTG_Set[[#This Row],[Collector Booster Cost]]</f>
        <v/>
      </c>
      <c r="BO210" s="10">
        <f>tbl_MTG_Set[[#This Row],[Collector Singles CardMarket Profit]]&gt;0</f>
        <v/>
      </c>
      <c r="BP2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1">
      <c r="A211" t="n">
        <v>209</v>
      </c>
      <c r="B211" t="inlineStr">
        <is>
          <t>Dominaria Remastered Tokens TDMR</t>
        </is>
      </c>
      <c r="C211" t="n">
        <v>14</v>
      </c>
      <c r="D211" s="3" t="n">
        <v>44939</v>
      </c>
      <c r="E211" t="inlineStr">
        <is>
          <t>Standard Expansion</t>
        </is>
      </c>
      <c r="F211" t="inlineStr">
        <is>
          <t>en es fr de it pt ja ko ru 汉语 漢語</t>
        </is>
      </c>
      <c r="G211" t="n">
        <v>364</v>
      </c>
      <c r="H211">
        <f>MONTH(NOW())+12*YEAR(NOW())-MONTH(tbl_MTG_Set[[#This Row],[Released On]])-12*YEAR(tbl_MTG_Set[[#This Row],[Released On]])</f>
        <v/>
      </c>
      <c r="I211">
        <f>_xlfn.XLOOKUP(tbl_MTG_Set[[#This Row],[Type Name]], tbl_MTG_Set_Type[Set Type], tbl_MTG_Set_Type[Index], "(Set Type not found)")</f>
        <v/>
      </c>
      <c r="J211">
        <f>_xlfn.XLOOKUP(tbl_MTG_Set[[#This Row],[Type Name]], tbl_MTG_Set_Type[Set Type], tbl_MTG_Set_Type[Buy Window Month Start], "(Set Type not found)")</f>
        <v/>
      </c>
      <c r="K211" s="3">
        <f>tbl_MTG_Set[[#This Row],[Released On]]+tbl_MTG_Set[[#This Row],[Buy Window Month Start]]*365.25/12</f>
        <v/>
      </c>
      <c r="L211">
        <f>_xlfn.XLOOKUP(tbl_MTG_Set[[#This Row],[Type Name]], tbl_MTG_Set_Type[Set Type], tbl_MTG_Set_Type[Buy Window Month End], "(Set Type not found)", 0, 1)</f>
        <v/>
      </c>
      <c r="M211" s="3">
        <f>tbl_MTG_Set[[#This Row],[Released On]]+tbl_MTG_Set[[#This Row],[Buy Window Month End]]*365.25/12</f>
        <v/>
      </c>
      <c r="N211" s="3">
        <f>AND(NOW()&gt;=tbl_MTG_Set[[#This Row],[Buy Window Start]], NOW()&lt;=tbl_MTG_Set[[#This Row],[Buy Window End]])</f>
        <v/>
      </c>
      <c r="O211">
        <f>_xlfn.XLOOKUP(tbl_MTG_Set[[#This Row],[Type Name]], tbl_MTG_Set_Type[Set Type], tbl_MTG_Set_Type[Heavy Printing Window Month Start], "(Set Type not found)", 0, 1)</f>
        <v/>
      </c>
      <c r="P211" s="3">
        <f>tbl_MTG_Set[[#This Row],[Released On]]+tbl_MTG_Set[[#This Row],[Heavy Printing Window Month Start]]*365.25/12</f>
        <v/>
      </c>
      <c r="Q211">
        <f>_xlfn.XLOOKUP(tbl_MTG_Set[[#This Row],[Type Name]], tbl_MTG_Set_Type[Set Type], tbl_MTG_Set_Type[Heavy Printing Window Month End], "(Set Type not found)", 0, 1)</f>
        <v/>
      </c>
      <c r="R211" s="3">
        <f>tbl_MTG_Set[[#This Row],[Released On]]+tbl_MTG_Set[[#This Row],[Heavy Printing Window Month End]]*365.25/12</f>
        <v/>
      </c>
      <c r="S211" s="3">
        <f>AND(NOW()&gt;=tbl_MTG_Set[[#This Row],[Heavy Printing Window Start]], NOW()&lt;=tbl_MTG_Set[[#This Row],[Heavy Printing Window End]])</f>
        <v/>
      </c>
      <c r="T211">
        <f>_xlfn.XLOOKUP(tbl_MTG_Set[[#This Row],[Type Name]], tbl_MTG_Set_Type[Set Type], tbl_MTG_Set_Type[Sell Window Month Start], "(Set Type not found)", 0, 1)</f>
        <v/>
      </c>
      <c r="U211" s="3">
        <f>tbl_MTG_Set[[#This Row],[Released On]]+tbl_MTG_Set[[#This Row],[Sell Window Month Start]]*365.25/12</f>
        <v/>
      </c>
      <c r="V211">
        <f>_xlfn.XLOOKUP(tbl_MTG_Set[[#This Row],[Type Name]], tbl_MTG_Set_Type[Set Type], tbl_MTG_Set_Type[Sell Window Month End], "(Set Type not found)", 0, 1)</f>
        <v/>
      </c>
      <c r="W211" s="3">
        <f>tbl_MTG_Set[[#This Row],[Released On]]+tbl_MTG_Set[[#This Row],[Sell Window Month End]]*365.25/12</f>
        <v/>
      </c>
      <c r="X211" s="3">
        <f>AND(NOW()&gt;=tbl_MTG_Set[[#This Row],[Sell Window Start]], NOW()&lt;=tbl_MTG_Set[[#This Row],[Sell Window End]])</f>
        <v/>
      </c>
      <c r="AG211" s="10" t="n"/>
      <c r="AH211" s="10" t="n"/>
      <c r="AM211" s="10">
        <f t="array" ref="AM2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1" s="10">
        <f t="array" ref="AN2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1" s="4">
        <f>_xlfn.XLOOKUP(tbl_MTG_Set[[#This Row],[Play Booster Box Product Id]], tbl_Product[Product Id], tbl_Product[Pack Size])</f>
        <v/>
      </c>
      <c r="AP211" s="10">
        <f>(tbl_MTG_Set[[#This Row],[Play Booster Box Cost]]+v_Item_Shipping_Cost_In)/tbl_MTG_Set[[#This Row],[Play Booster Box Size]]</f>
        <v/>
      </c>
      <c r="AQ211" s="10">
        <f t="array" ref="AQ2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1" s="10" t="n"/>
      <c r="AS211" s="10" t="n"/>
      <c r="AT211" s="17">
        <f>tbl_MTG_Set[[#This Row],[Play Booster CardMarket Profit]]/tbl_MTG_Set[[#This Row],[Play Booster Cost]]</f>
        <v/>
      </c>
      <c r="AU211" s="10">
        <f>_xlfn.XLOOKUP(tbl_MTG_Set[[#This Row],[Collector Booster Box Product Id]], tbl_Product[Product Id], tbl_Product[Min Cost])</f>
        <v/>
      </c>
      <c r="AV211" s="10">
        <f>_xlfn.XLOOKUP(tbl_MTG_Set[[#This Row],[Collector Booster Box Product Id]], tbl_Product[Product Id], tbl_Product[Best Source])</f>
        <v/>
      </c>
      <c r="AW211" s="4">
        <f>_xlfn.XLOOKUP(tbl_MTG_Set[[#This Row],[Collector Booster Box Product Id]], tbl_Product[Product Id], tbl_Product[Pack Size])</f>
        <v/>
      </c>
      <c r="AX211" s="10">
        <f>(tbl_MTG_Set[[#This Row],[Collector Booster Box Cost]] + v_Item_Shipping_Cost_In) / tbl_MTG_Set[[#This Row],[Collector Booster Box Size]]</f>
        <v/>
      </c>
      <c r="AY211" s="10">
        <f t="array" ref="AY2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1" s="10" t="n"/>
      <c r="BA2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1" s="17">
        <f>tbl_MTG_Set[[#This Row],[Collector Booster CardMarket Profit]]/tbl_MTG_Set[[#This Row],[Collector Booster Cost]]</f>
        <v/>
      </c>
      <c r="BC211" s="10" t="n"/>
      <c r="BF211" s="10">
        <f>tbl_MTG_Set[[#This Row],[Play Booster Sell Price CardMarket]]*tbl_MTG_Set[[#This Row],[Play Booster Expected Market Value]]/tbl_MTG_Set[[#This Row],[Play Boost Sealed Market Value]]</f>
        <v/>
      </c>
      <c r="BG2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1" s="10">
        <f>tbl_MTG_Set[[#This Row],[Play Singles CardMarket Profit]]/tbl_MTG_Set[[#This Row],[Play Booster Cost]]</f>
        <v/>
      </c>
      <c r="BI211" s="10">
        <f>tbl_MTG_Set[[#This Row],[Play Singles CardMarket Profit]]&gt;0</f>
        <v/>
      </c>
      <c r="BJ211" s="10" t="n"/>
      <c r="BK211" s="10" t="n"/>
      <c r="BL211" s="10">
        <f>tbl_MTG_Set[[#This Row],[Collector Booster Sell Price CardMarket]]*tbl_MTG_Set[[#This Row],[Collector Booster Expected Market Value]]/tbl_MTG_Set[[#This Row],[Collector Boost Sealed Market Value]]</f>
        <v/>
      </c>
      <c r="BM2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1" s="10">
        <f>tbl_MTG_Set[[#This Row],[Collector Singles CardMarket Profit]]/tbl_MTG_Set[[#This Row],[Collector Booster Cost]]</f>
        <v/>
      </c>
      <c r="BO211" s="10">
        <f>tbl_MTG_Set[[#This Row],[Collector Singles CardMarket Profit]]&gt;0</f>
        <v/>
      </c>
      <c r="BP2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2">
      <c r="A212" t="n">
        <v>210</v>
      </c>
      <c r="B212" t="inlineStr">
        <is>
          <t>Regional Championship Qualifiers 2023 PR23</t>
        </is>
      </c>
      <c r="C212" t="n">
        <v>3</v>
      </c>
      <c r="D212" s="3" t="n">
        <v>44933</v>
      </c>
      <c r="F212" t="inlineStr">
        <is>
          <t>en es fr de it pt ja ko ru 汉语 漢語</t>
        </is>
      </c>
      <c r="G212" t="n">
        <v>366</v>
      </c>
      <c r="H212">
        <f>MONTH(NOW())+12*YEAR(NOW())-MONTH(tbl_MTG_Set[[#This Row],[Released On]])-12*YEAR(tbl_MTG_Set[[#This Row],[Released On]])</f>
        <v/>
      </c>
      <c r="I212">
        <f>_xlfn.XLOOKUP(tbl_MTG_Set[[#This Row],[Type Name]], tbl_MTG_Set_Type[Set Type], tbl_MTG_Set_Type[Index], "(Set Type not found)")</f>
        <v/>
      </c>
      <c r="J212">
        <f>_xlfn.XLOOKUP(tbl_MTG_Set[[#This Row],[Type Name]], tbl_MTG_Set_Type[Set Type], tbl_MTG_Set_Type[Buy Window Month Start], "(Set Type not found)")</f>
        <v/>
      </c>
      <c r="K212" s="3">
        <f>tbl_MTG_Set[[#This Row],[Released On]]+tbl_MTG_Set[[#This Row],[Buy Window Month Start]]*365.25/12</f>
        <v/>
      </c>
      <c r="L212">
        <f>_xlfn.XLOOKUP(tbl_MTG_Set[[#This Row],[Type Name]], tbl_MTG_Set_Type[Set Type], tbl_MTG_Set_Type[Buy Window Month End], "(Set Type not found)", 0, 1)</f>
        <v/>
      </c>
      <c r="M212" s="3">
        <f>tbl_MTG_Set[[#This Row],[Released On]]+tbl_MTG_Set[[#This Row],[Buy Window Month End]]*365.25/12</f>
        <v/>
      </c>
      <c r="N212" s="3">
        <f>AND(NOW()&gt;=tbl_MTG_Set[[#This Row],[Buy Window Start]], NOW()&lt;=tbl_MTG_Set[[#This Row],[Buy Window End]])</f>
        <v/>
      </c>
      <c r="O212">
        <f>_xlfn.XLOOKUP(tbl_MTG_Set[[#This Row],[Type Name]], tbl_MTG_Set_Type[Set Type], tbl_MTG_Set_Type[Heavy Printing Window Month Start], "(Set Type not found)", 0, 1)</f>
        <v/>
      </c>
      <c r="P212" s="3">
        <f>tbl_MTG_Set[[#This Row],[Released On]]+tbl_MTG_Set[[#This Row],[Heavy Printing Window Month Start]]*365.25/12</f>
        <v/>
      </c>
      <c r="Q212">
        <f>_xlfn.XLOOKUP(tbl_MTG_Set[[#This Row],[Type Name]], tbl_MTG_Set_Type[Set Type], tbl_MTG_Set_Type[Heavy Printing Window Month End], "(Set Type not found)", 0, 1)</f>
        <v/>
      </c>
      <c r="R212" s="3">
        <f>tbl_MTG_Set[[#This Row],[Released On]]+tbl_MTG_Set[[#This Row],[Heavy Printing Window Month End]]*365.25/12</f>
        <v/>
      </c>
      <c r="S212" s="3">
        <f>AND(NOW()&gt;=tbl_MTG_Set[[#This Row],[Heavy Printing Window Start]], NOW()&lt;=tbl_MTG_Set[[#This Row],[Heavy Printing Window End]])</f>
        <v/>
      </c>
      <c r="T212">
        <f>_xlfn.XLOOKUP(tbl_MTG_Set[[#This Row],[Type Name]], tbl_MTG_Set_Type[Set Type], tbl_MTG_Set_Type[Sell Window Month Start], "(Set Type not found)", 0, 1)</f>
        <v/>
      </c>
      <c r="U212" s="3">
        <f>tbl_MTG_Set[[#This Row],[Released On]]+tbl_MTG_Set[[#This Row],[Sell Window Month Start]]*365.25/12</f>
        <v/>
      </c>
      <c r="V212">
        <f>_xlfn.XLOOKUP(tbl_MTG_Set[[#This Row],[Type Name]], tbl_MTG_Set_Type[Set Type], tbl_MTG_Set_Type[Sell Window Month End], "(Set Type not found)", 0, 1)</f>
        <v/>
      </c>
      <c r="W212" s="3">
        <f>tbl_MTG_Set[[#This Row],[Released On]]+tbl_MTG_Set[[#This Row],[Sell Window Month End]]*365.25/12</f>
        <v/>
      </c>
      <c r="X212" s="3">
        <f>AND(NOW()&gt;=tbl_MTG_Set[[#This Row],[Sell Window Start]], NOW()&lt;=tbl_MTG_Set[[#This Row],[Sell Window End]])</f>
        <v/>
      </c>
      <c r="AG212" s="10" t="n"/>
      <c r="AH212" s="10" t="n"/>
      <c r="AM212" s="10">
        <f t="array" ref="AM2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2" s="10">
        <f t="array" ref="AN2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2" s="4">
        <f>_xlfn.XLOOKUP(tbl_MTG_Set[[#This Row],[Play Booster Box Product Id]], tbl_Product[Product Id], tbl_Product[Pack Size])</f>
        <v/>
      </c>
      <c r="AP212" s="10">
        <f>(tbl_MTG_Set[[#This Row],[Play Booster Box Cost]]+v_Item_Shipping_Cost_In)/tbl_MTG_Set[[#This Row],[Play Booster Box Size]]</f>
        <v/>
      </c>
      <c r="AQ212" s="10">
        <f t="array" ref="AQ2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2" s="10" t="n"/>
      <c r="AS212" s="10" t="n"/>
      <c r="AT212" s="17">
        <f>tbl_MTG_Set[[#This Row],[Play Booster CardMarket Profit]]/tbl_MTG_Set[[#This Row],[Play Booster Cost]]</f>
        <v/>
      </c>
      <c r="AU212" s="10">
        <f>_xlfn.XLOOKUP(tbl_MTG_Set[[#This Row],[Collector Booster Box Product Id]], tbl_Product[Product Id], tbl_Product[Min Cost])</f>
        <v/>
      </c>
      <c r="AV212" s="10">
        <f>_xlfn.XLOOKUP(tbl_MTG_Set[[#This Row],[Collector Booster Box Product Id]], tbl_Product[Product Id], tbl_Product[Best Source])</f>
        <v/>
      </c>
      <c r="AW212" s="4">
        <f>_xlfn.XLOOKUP(tbl_MTG_Set[[#This Row],[Collector Booster Box Product Id]], tbl_Product[Product Id], tbl_Product[Pack Size])</f>
        <v/>
      </c>
      <c r="AX212" s="10">
        <f>(tbl_MTG_Set[[#This Row],[Collector Booster Box Cost]] + v_Item_Shipping_Cost_In) / tbl_MTG_Set[[#This Row],[Collector Booster Box Size]]</f>
        <v/>
      </c>
      <c r="AY212" s="10">
        <f t="array" ref="AY2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2" s="10" t="n"/>
      <c r="BA2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2" s="17">
        <f>tbl_MTG_Set[[#This Row],[Collector Booster CardMarket Profit]]/tbl_MTG_Set[[#This Row],[Collector Booster Cost]]</f>
        <v/>
      </c>
      <c r="BC212" s="10" t="n"/>
      <c r="BF212" s="10">
        <f>tbl_MTG_Set[[#This Row],[Play Booster Sell Price CardMarket]]*tbl_MTG_Set[[#This Row],[Play Booster Expected Market Value]]/tbl_MTG_Set[[#This Row],[Play Boost Sealed Market Value]]</f>
        <v/>
      </c>
      <c r="BG2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2" s="10">
        <f>tbl_MTG_Set[[#This Row],[Play Singles CardMarket Profit]]/tbl_MTG_Set[[#This Row],[Play Booster Cost]]</f>
        <v/>
      </c>
      <c r="BI212" s="10">
        <f>tbl_MTG_Set[[#This Row],[Play Singles CardMarket Profit]]&gt;0</f>
        <v/>
      </c>
      <c r="BJ212" s="10" t="n"/>
      <c r="BK212" s="10" t="n"/>
      <c r="BL212" s="10">
        <f>tbl_MTG_Set[[#This Row],[Collector Booster Sell Price CardMarket]]*tbl_MTG_Set[[#This Row],[Collector Booster Expected Market Value]]/tbl_MTG_Set[[#This Row],[Collector Boost Sealed Market Value]]</f>
        <v/>
      </c>
      <c r="BM2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2" s="10">
        <f>tbl_MTG_Set[[#This Row],[Collector Singles CardMarket Profit]]/tbl_MTG_Set[[#This Row],[Collector Booster Cost]]</f>
        <v/>
      </c>
      <c r="BO212" s="10">
        <f>tbl_MTG_Set[[#This Row],[Collector Singles CardMarket Profit]]&gt;0</f>
        <v/>
      </c>
      <c r="BP2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3">
      <c r="A213" t="n">
        <v>211</v>
      </c>
      <c r="B213" t="inlineStr">
        <is>
          <t>Wizards Play Network 2023 PW23</t>
        </is>
      </c>
      <c r="C213" t="n">
        <v>11</v>
      </c>
      <c r="D213" s="3" t="n">
        <v>44927</v>
      </c>
      <c r="F213" t="inlineStr">
        <is>
          <t>en es fr de it pt ja ko ru 汉语 漢語</t>
        </is>
      </c>
      <c r="G213" t="n">
        <v>368</v>
      </c>
      <c r="H213">
        <f>MONTH(NOW())+12*YEAR(NOW())-MONTH(tbl_MTG_Set[[#This Row],[Released On]])-12*YEAR(tbl_MTG_Set[[#This Row],[Released On]])</f>
        <v/>
      </c>
      <c r="I213">
        <f>_xlfn.XLOOKUP(tbl_MTG_Set[[#This Row],[Type Name]], tbl_MTG_Set_Type[Set Type], tbl_MTG_Set_Type[Index], "(Set Type not found)")</f>
        <v/>
      </c>
      <c r="J213">
        <f>_xlfn.XLOOKUP(tbl_MTG_Set[[#This Row],[Type Name]], tbl_MTG_Set_Type[Set Type], tbl_MTG_Set_Type[Buy Window Month Start], "(Set Type not found)")</f>
        <v/>
      </c>
      <c r="K213" s="3">
        <f>tbl_MTG_Set[[#This Row],[Released On]]+tbl_MTG_Set[[#This Row],[Buy Window Month Start]]*365.25/12</f>
        <v/>
      </c>
      <c r="L213">
        <f>_xlfn.XLOOKUP(tbl_MTG_Set[[#This Row],[Type Name]], tbl_MTG_Set_Type[Set Type], tbl_MTG_Set_Type[Buy Window Month End], "(Set Type not found)", 0, 1)</f>
        <v/>
      </c>
      <c r="M213" s="3">
        <f>tbl_MTG_Set[[#This Row],[Released On]]+tbl_MTG_Set[[#This Row],[Buy Window Month End]]*365.25/12</f>
        <v/>
      </c>
      <c r="N213" s="3">
        <f>AND(NOW()&gt;=tbl_MTG_Set[[#This Row],[Buy Window Start]], NOW()&lt;=tbl_MTG_Set[[#This Row],[Buy Window End]])</f>
        <v/>
      </c>
      <c r="O213">
        <f>_xlfn.XLOOKUP(tbl_MTG_Set[[#This Row],[Type Name]], tbl_MTG_Set_Type[Set Type], tbl_MTG_Set_Type[Heavy Printing Window Month Start], "(Set Type not found)", 0, 1)</f>
        <v/>
      </c>
      <c r="P213" s="3">
        <f>tbl_MTG_Set[[#This Row],[Released On]]+tbl_MTG_Set[[#This Row],[Heavy Printing Window Month Start]]*365.25/12</f>
        <v/>
      </c>
      <c r="Q213">
        <f>_xlfn.XLOOKUP(tbl_MTG_Set[[#This Row],[Type Name]], tbl_MTG_Set_Type[Set Type], tbl_MTG_Set_Type[Heavy Printing Window Month End], "(Set Type not found)", 0, 1)</f>
        <v/>
      </c>
      <c r="R213" s="3">
        <f>tbl_MTG_Set[[#This Row],[Released On]]+tbl_MTG_Set[[#This Row],[Heavy Printing Window Month End]]*365.25/12</f>
        <v/>
      </c>
      <c r="S213" s="3">
        <f>AND(NOW()&gt;=tbl_MTG_Set[[#This Row],[Heavy Printing Window Start]], NOW()&lt;=tbl_MTG_Set[[#This Row],[Heavy Printing Window End]])</f>
        <v/>
      </c>
      <c r="T213">
        <f>_xlfn.XLOOKUP(tbl_MTG_Set[[#This Row],[Type Name]], tbl_MTG_Set_Type[Set Type], tbl_MTG_Set_Type[Sell Window Month Start], "(Set Type not found)", 0, 1)</f>
        <v/>
      </c>
      <c r="U213" s="3">
        <f>tbl_MTG_Set[[#This Row],[Released On]]+tbl_MTG_Set[[#This Row],[Sell Window Month Start]]*365.25/12</f>
        <v/>
      </c>
      <c r="V213">
        <f>_xlfn.XLOOKUP(tbl_MTG_Set[[#This Row],[Type Name]], tbl_MTG_Set_Type[Set Type], tbl_MTG_Set_Type[Sell Window Month End], "(Set Type not found)", 0, 1)</f>
        <v/>
      </c>
      <c r="W213" s="3">
        <f>tbl_MTG_Set[[#This Row],[Released On]]+tbl_MTG_Set[[#This Row],[Sell Window Month End]]*365.25/12</f>
        <v/>
      </c>
      <c r="X213" s="3">
        <f>AND(NOW()&gt;=tbl_MTG_Set[[#This Row],[Sell Window Start]], NOW()&lt;=tbl_MTG_Set[[#This Row],[Sell Window End]])</f>
        <v/>
      </c>
      <c r="AG213" s="10" t="n"/>
      <c r="AH213" s="10" t="n"/>
      <c r="AM213" s="10">
        <f t="array" ref="AM2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3" s="10">
        <f t="array" ref="AN2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3" s="4">
        <f>_xlfn.XLOOKUP(tbl_MTG_Set[[#This Row],[Play Booster Box Product Id]], tbl_Product[Product Id], tbl_Product[Pack Size])</f>
        <v/>
      </c>
      <c r="AP213" s="10">
        <f>(tbl_MTG_Set[[#This Row],[Play Booster Box Cost]]+v_Item_Shipping_Cost_In)/tbl_MTG_Set[[#This Row],[Play Booster Box Size]]</f>
        <v/>
      </c>
      <c r="AQ213" s="10">
        <f t="array" ref="AQ2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3" s="10" t="n"/>
      <c r="AS213" s="10" t="n"/>
      <c r="AT213" s="17">
        <f>tbl_MTG_Set[[#This Row],[Play Booster CardMarket Profit]]/tbl_MTG_Set[[#This Row],[Play Booster Cost]]</f>
        <v/>
      </c>
      <c r="AU213" s="10">
        <f>_xlfn.XLOOKUP(tbl_MTG_Set[[#This Row],[Collector Booster Box Product Id]], tbl_Product[Product Id], tbl_Product[Min Cost])</f>
        <v/>
      </c>
      <c r="AV213" s="10">
        <f>_xlfn.XLOOKUP(tbl_MTG_Set[[#This Row],[Collector Booster Box Product Id]], tbl_Product[Product Id], tbl_Product[Best Source])</f>
        <v/>
      </c>
      <c r="AW213" s="4">
        <f>_xlfn.XLOOKUP(tbl_MTG_Set[[#This Row],[Collector Booster Box Product Id]], tbl_Product[Product Id], tbl_Product[Pack Size])</f>
        <v/>
      </c>
      <c r="AX213" s="10">
        <f>(tbl_MTG_Set[[#This Row],[Collector Booster Box Cost]] + v_Item_Shipping_Cost_In) / tbl_MTG_Set[[#This Row],[Collector Booster Box Size]]</f>
        <v/>
      </c>
      <c r="AY213" s="10">
        <f t="array" ref="AY2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3" s="10" t="n"/>
      <c r="BA2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3" s="17">
        <f>tbl_MTG_Set[[#This Row],[Collector Booster CardMarket Profit]]/tbl_MTG_Set[[#This Row],[Collector Booster Cost]]</f>
        <v/>
      </c>
      <c r="BC213" s="10" t="n"/>
      <c r="BF213" s="10">
        <f>tbl_MTG_Set[[#This Row],[Play Booster Sell Price CardMarket]]*tbl_MTG_Set[[#This Row],[Play Booster Expected Market Value]]/tbl_MTG_Set[[#This Row],[Play Boost Sealed Market Value]]</f>
        <v/>
      </c>
      <c r="BG2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3" s="10">
        <f>tbl_MTG_Set[[#This Row],[Play Singles CardMarket Profit]]/tbl_MTG_Set[[#This Row],[Play Booster Cost]]</f>
        <v/>
      </c>
      <c r="BI213" s="10">
        <f>tbl_MTG_Set[[#This Row],[Play Singles CardMarket Profit]]&gt;0</f>
        <v/>
      </c>
      <c r="BJ213" s="10" t="n"/>
      <c r="BK213" s="10" t="n"/>
      <c r="BL213" s="10">
        <f>tbl_MTG_Set[[#This Row],[Collector Booster Sell Price CardMarket]]*tbl_MTG_Set[[#This Row],[Collector Booster Expected Market Value]]/tbl_MTG_Set[[#This Row],[Collector Boost Sealed Market Value]]</f>
        <v/>
      </c>
      <c r="BM2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3" s="10">
        <f>tbl_MTG_Set[[#This Row],[Collector Singles CardMarket Profit]]/tbl_MTG_Set[[#This Row],[Collector Booster Cost]]</f>
        <v/>
      </c>
      <c r="BO213" s="10">
        <f>tbl_MTG_Set[[#This Row],[Collector Singles CardMarket Profit]]&gt;0</f>
        <v/>
      </c>
      <c r="BP2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4">
      <c r="A214" t="n">
        <v>212</v>
      </c>
      <c r="B214" t="inlineStr">
        <is>
          <t>Judge Gift Cards 2023 P23</t>
        </is>
      </c>
      <c r="C214" t="n">
        <v>10</v>
      </c>
      <c r="D214" s="3" t="n">
        <v>44927</v>
      </c>
      <c r="F214" t="inlineStr">
        <is>
          <t>en es fr de it pt ja ko ru 汉语 漢語</t>
        </is>
      </c>
      <c r="G214" t="n">
        <v>370</v>
      </c>
      <c r="H214">
        <f>MONTH(NOW())+12*YEAR(NOW())-MONTH(tbl_MTG_Set[[#This Row],[Released On]])-12*YEAR(tbl_MTG_Set[[#This Row],[Released On]])</f>
        <v/>
      </c>
      <c r="I214">
        <f>_xlfn.XLOOKUP(tbl_MTG_Set[[#This Row],[Type Name]], tbl_MTG_Set_Type[Set Type], tbl_MTG_Set_Type[Index], "(Set Type not found)")</f>
        <v/>
      </c>
      <c r="J214">
        <f>_xlfn.XLOOKUP(tbl_MTG_Set[[#This Row],[Type Name]], tbl_MTG_Set_Type[Set Type], tbl_MTG_Set_Type[Buy Window Month Start], "(Set Type not found)")</f>
        <v/>
      </c>
      <c r="K214" s="3">
        <f>tbl_MTG_Set[[#This Row],[Released On]]+tbl_MTG_Set[[#This Row],[Buy Window Month Start]]*365.25/12</f>
        <v/>
      </c>
      <c r="L214">
        <f>_xlfn.XLOOKUP(tbl_MTG_Set[[#This Row],[Type Name]], tbl_MTG_Set_Type[Set Type], tbl_MTG_Set_Type[Buy Window Month End], "(Set Type not found)", 0, 1)</f>
        <v/>
      </c>
      <c r="M214" s="3">
        <f>tbl_MTG_Set[[#This Row],[Released On]]+tbl_MTG_Set[[#This Row],[Buy Window Month End]]*365.25/12</f>
        <v/>
      </c>
      <c r="N214" s="3">
        <f>AND(NOW()&gt;=tbl_MTG_Set[[#This Row],[Buy Window Start]], NOW()&lt;=tbl_MTG_Set[[#This Row],[Buy Window End]])</f>
        <v/>
      </c>
      <c r="O214">
        <f>_xlfn.XLOOKUP(tbl_MTG_Set[[#This Row],[Type Name]], tbl_MTG_Set_Type[Set Type], tbl_MTG_Set_Type[Heavy Printing Window Month Start], "(Set Type not found)", 0, 1)</f>
        <v/>
      </c>
      <c r="P214" s="3">
        <f>tbl_MTG_Set[[#This Row],[Released On]]+tbl_MTG_Set[[#This Row],[Heavy Printing Window Month Start]]*365.25/12</f>
        <v/>
      </c>
      <c r="Q214">
        <f>_xlfn.XLOOKUP(tbl_MTG_Set[[#This Row],[Type Name]], tbl_MTG_Set_Type[Set Type], tbl_MTG_Set_Type[Heavy Printing Window Month End], "(Set Type not found)", 0, 1)</f>
        <v/>
      </c>
      <c r="R214" s="3">
        <f>tbl_MTG_Set[[#This Row],[Released On]]+tbl_MTG_Set[[#This Row],[Heavy Printing Window Month End]]*365.25/12</f>
        <v/>
      </c>
      <c r="S214" s="3">
        <f>AND(NOW()&gt;=tbl_MTG_Set[[#This Row],[Heavy Printing Window Start]], NOW()&lt;=tbl_MTG_Set[[#This Row],[Heavy Printing Window End]])</f>
        <v/>
      </c>
      <c r="T214">
        <f>_xlfn.XLOOKUP(tbl_MTG_Set[[#This Row],[Type Name]], tbl_MTG_Set_Type[Set Type], tbl_MTG_Set_Type[Sell Window Month Start], "(Set Type not found)", 0, 1)</f>
        <v/>
      </c>
      <c r="U214" s="3">
        <f>tbl_MTG_Set[[#This Row],[Released On]]+tbl_MTG_Set[[#This Row],[Sell Window Month Start]]*365.25/12</f>
        <v/>
      </c>
      <c r="V214">
        <f>_xlfn.XLOOKUP(tbl_MTG_Set[[#This Row],[Type Name]], tbl_MTG_Set_Type[Set Type], tbl_MTG_Set_Type[Sell Window Month End], "(Set Type not found)", 0, 1)</f>
        <v/>
      </c>
      <c r="W214" s="3">
        <f>tbl_MTG_Set[[#This Row],[Released On]]+tbl_MTG_Set[[#This Row],[Sell Window Month End]]*365.25/12</f>
        <v/>
      </c>
      <c r="X214" s="3">
        <f>AND(NOW()&gt;=tbl_MTG_Set[[#This Row],[Sell Window Start]], NOW()&lt;=tbl_MTG_Set[[#This Row],[Sell Window End]])</f>
        <v/>
      </c>
      <c r="AG214" s="10" t="n"/>
      <c r="AH214" s="10" t="n"/>
      <c r="AM214" s="10">
        <f t="array" ref="AM2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4" s="10">
        <f t="array" ref="AN2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4" s="4">
        <f>_xlfn.XLOOKUP(tbl_MTG_Set[[#This Row],[Play Booster Box Product Id]], tbl_Product[Product Id], tbl_Product[Pack Size])</f>
        <v/>
      </c>
      <c r="AP214" s="10">
        <f>(tbl_MTG_Set[[#This Row],[Play Booster Box Cost]]+v_Item_Shipping_Cost_In)/tbl_MTG_Set[[#This Row],[Play Booster Box Size]]</f>
        <v/>
      </c>
      <c r="AQ214" s="10">
        <f t="array" ref="AQ2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4" s="10" t="n"/>
      <c r="AS214" s="10" t="n"/>
      <c r="AT214" s="17">
        <f>tbl_MTG_Set[[#This Row],[Play Booster CardMarket Profit]]/tbl_MTG_Set[[#This Row],[Play Booster Cost]]</f>
        <v/>
      </c>
      <c r="AU214" s="10">
        <f>_xlfn.XLOOKUP(tbl_MTG_Set[[#This Row],[Collector Booster Box Product Id]], tbl_Product[Product Id], tbl_Product[Min Cost])</f>
        <v/>
      </c>
      <c r="AV214" s="10">
        <f>_xlfn.XLOOKUP(tbl_MTG_Set[[#This Row],[Collector Booster Box Product Id]], tbl_Product[Product Id], tbl_Product[Best Source])</f>
        <v/>
      </c>
      <c r="AW214" s="4">
        <f>_xlfn.XLOOKUP(tbl_MTG_Set[[#This Row],[Collector Booster Box Product Id]], tbl_Product[Product Id], tbl_Product[Pack Size])</f>
        <v/>
      </c>
      <c r="AX214" s="10">
        <f>(tbl_MTG_Set[[#This Row],[Collector Booster Box Cost]] + v_Item_Shipping_Cost_In) / tbl_MTG_Set[[#This Row],[Collector Booster Box Size]]</f>
        <v/>
      </c>
      <c r="AY214" s="10">
        <f t="array" ref="AY2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4" s="10" t="n"/>
      <c r="BA2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4" s="17">
        <f>tbl_MTG_Set[[#This Row],[Collector Booster CardMarket Profit]]/tbl_MTG_Set[[#This Row],[Collector Booster Cost]]</f>
        <v/>
      </c>
      <c r="BC214" s="10" t="n"/>
      <c r="BF214" s="10">
        <f>tbl_MTG_Set[[#This Row],[Play Booster Sell Price CardMarket]]*tbl_MTG_Set[[#This Row],[Play Booster Expected Market Value]]/tbl_MTG_Set[[#This Row],[Play Boost Sealed Market Value]]</f>
        <v/>
      </c>
      <c r="BG2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4" s="10">
        <f>tbl_MTG_Set[[#This Row],[Play Singles CardMarket Profit]]/tbl_MTG_Set[[#This Row],[Play Booster Cost]]</f>
        <v/>
      </c>
      <c r="BI214" s="10">
        <f>tbl_MTG_Set[[#This Row],[Play Singles CardMarket Profit]]&gt;0</f>
        <v/>
      </c>
      <c r="BJ214" s="10" t="n"/>
      <c r="BK214" s="10" t="n"/>
      <c r="BL214" s="10">
        <f>tbl_MTG_Set[[#This Row],[Collector Booster Sell Price CardMarket]]*tbl_MTG_Set[[#This Row],[Collector Booster Expected Market Value]]/tbl_MTG_Set[[#This Row],[Collector Boost Sealed Market Value]]</f>
        <v/>
      </c>
      <c r="BM2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4" s="10">
        <f>tbl_MTG_Set[[#This Row],[Collector Singles CardMarket Profit]]/tbl_MTG_Set[[#This Row],[Collector Booster Cost]]</f>
        <v/>
      </c>
      <c r="BO214" s="10">
        <f>tbl_MTG_Set[[#This Row],[Collector Singles CardMarket Profit]]&gt;0</f>
        <v/>
      </c>
      <c r="BP2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5">
      <c r="A215" t="n">
        <v>213</v>
      </c>
      <c r="B215" t="inlineStr">
        <is>
          <t>Explorer Anthology 2 EA2</t>
        </is>
      </c>
      <c r="C215" t="n">
        <v>25</v>
      </c>
      <c r="D215" s="3" t="n">
        <v>44908</v>
      </c>
      <c r="F215" t="inlineStr">
        <is>
          <t>en es fr de it pt ja ko ru 汉语 漢語</t>
        </is>
      </c>
      <c r="G215" t="n">
        <v>372</v>
      </c>
      <c r="H215">
        <f>MONTH(NOW())+12*YEAR(NOW())-MONTH(tbl_MTG_Set[[#This Row],[Released On]])-12*YEAR(tbl_MTG_Set[[#This Row],[Released On]])</f>
        <v/>
      </c>
      <c r="I215">
        <f>_xlfn.XLOOKUP(tbl_MTG_Set[[#This Row],[Type Name]], tbl_MTG_Set_Type[Set Type], tbl_MTG_Set_Type[Index], "(Set Type not found)")</f>
        <v/>
      </c>
      <c r="J215">
        <f>_xlfn.XLOOKUP(tbl_MTG_Set[[#This Row],[Type Name]], tbl_MTG_Set_Type[Set Type], tbl_MTG_Set_Type[Buy Window Month Start], "(Set Type not found)")</f>
        <v/>
      </c>
      <c r="K215" s="3">
        <f>tbl_MTG_Set[[#This Row],[Released On]]+tbl_MTG_Set[[#This Row],[Buy Window Month Start]]*365.25/12</f>
        <v/>
      </c>
      <c r="L215">
        <f>_xlfn.XLOOKUP(tbl_MTG_Set[[#This Row],[Type Name]], tbl_MTG_Set_Type[Set Type], tbl_MTG_Set_Type[Buy Window Month End], "(Set Type not found)", 0, 1)</f>
        <v/>
      </c>
      <c r="M215" s="3">
        <f>tbl_MTG_Set[[#This Row],[Released On]]+tbl_MTG_Set[[#This Row],[Buy Window Month End]]*365.25/12</f>
        <v/>
      </c>
      <c r="N215" s="3">
        <f>AND(NOW()&gt;=tbl_MTG_Set[[#This Row],[Buy Window Start]], NOW()&lt;=tbl_MTG_Set[[#This Row],[Buy Window End]])</f>
        <v/>
      </c>
      <c r="O215">
        <f>_xlfn.XLOOKUP(tbl_MTG_Set[[#This Row],[Type Name]], tbl_MTG_Set_Type[Set Type], tbl_MTG_Set_Type[Heavy Printing Window Month Start], "(Set Type not found)", 0, 1)</f>
        <v/>
      </c>
      <c r="P215" s="3">
        <f>tbl_MTG_Set[[#This Row],[Released On]]+tbl_MTG_Set[[#This Row],[Heavy Printing Window Month Start]]*365.25/12</f>
        <v/>
      </c>
      <c r="Q215">
        <f>_xlfn.XLOOKUP(tbl_MTG_Set[[#This Row],[Type Name]], tbl_MTG_Set_Type[Set Type], tbl_MTG_Set_Type[Heavy Printing Window Month End], "(Set Type not found)", 0, 1)</f>
        <v/>
      </c>
      <c r="R215" s="3">
        <f>tbl_MTG_Set[[#This Row],[Released On]]+tbl_MTG_Set[[#This Row],[Heavy Printing Window Month End]]*365.25/12</f>
        <v/>
      </c>
      <c r="S215" s="3">
        <f>AND(NOW()&gt;=tbl_MTG_Set[[#This Row],[Heavy Printing Window Start]], NOW()&lt;=tbl_MTG_Set[[#This Row],[Heavy Printing Window End]])</f>
        <v/>
      </c>
      <c r="T215">
        <f>_xlfn.XLOOKUP(tbl_MTG_Set[[#This Row],[Type Name]], tbl_MTG_Set_Type[Set Type], tbl_MTG_Set_Type[Sell Window Month Start], "(Set Type not found)", 0, 1)</f>
        <v/>
      </c>
      <c r="U215" s="3">
        <f>tbl_MTG_Set[[#This Row],[Released On]]+tbl_MTG_Set[[#This Row],[Sell Window Month Start]]*365.25/12</f>
        <v/>
      </c>
      <c r="V215">
        <f>_xlfn.XLOOKUP(tbl_MTG_Set[[#This Row],[Type Name]], tbl_MTG_Set_Type[Set Type], tbl_MTG_Set_Type[Sell Window Month End], "(Set Type not found)", 0, 1)</f>
        <v/>
      </c>
      <c r="W215" s="3">
        <f>tbl_MTG_Set[[#This Row],[Released On]]+tbl_MTG_Set[[#This Row],[Sell Window Month End]]*365.25/12</f>
        <v/>
      </c>
      <c r="X215" s="3">
        <f>AND(NOW()&gt;=tbl_MTG_Set[[#This Row],[Sell Window Start]], NOW()&lt;=tbl_MTG_Set[[#This Row],[Sell Window End]])</f>
        <v/>
      </c>
      <c r="AG215" s="10" t="n"/>
      <c r="AH215" s="10" t="n"/>
      <c r="AM215" s="10">
        <f t="array" ref="AM2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5" s="10">
        <f t="array" ref="AN2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5" s="4">
        <f>_xlfn.XLOOKUP(tbl_MTG_Set[[#This Row],[Play Booster Box Product Id]], tbl_Product[Product Id], tbl_Product[Pack Size])</f>
        <v/>
      </c>
      <c r="AP215" s="10">
        <f>(tbl_MTG_Set[[#This Row],[Play Booster Box Cost]]+v_Item_Shipping_Cost_In)/tbl_MTG_Set[[#This Row],[Play Booster Box Size]]</f>
        <v/>
      </c>
      <c r="AQ215" s="10">
        <f t="array" ref="AQ2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5" s="10" t="n"/>
      <c r="AS215" s="10" t="n"/>
      <c r="AT215" s="17">
        <f>tbl_MTG_Set[[#This Row],[Play Booster CardMarket Profit]]/tbl_MTG_Set[[#This Row],[Play Booster Cost]]</f>
        <v/>
      </c>
      <c r="AU215" s="10">
        <f>_xlfn.XLOOKUP(tbl_MTG_Set[[#This Row],[Collector Booster Box Product Id]], tbl_Product[Product Id], tbl_Product[Min Cost])</f>
        <v/>
      </c>
      <c r="AV215" s="10">
        <f>_xlfn.XLOOKUP(tbl_MTG_Set[[#This Row],[Collector Booster Box Product Id]], tbl_Product[Product Id], tbl_Product[Best Source])</f>
        <v/>
      </c>
      <c r="AW215" s="4">
        <f>_xlfn.XLOOKUP(tbl_MTG_Set[[#This Row],[Collector Booster Box Product Id]], tbl_Product[Product Id], tbl_Product[Pack Size])</f>
        <v/>
      </c>
      <c r="AX215" s="10">
        <f>(tbl_MTG_Set[[#This Row],[Collector Booster Box Cost]] + v_Item_Shipping_Cost_In) / tbl_MTG_Set[[#This Row],[Collector Booster Box Size]]</f>
        <v/>
      </c>
      <c r="AY215" s="10">
        <f t="array" ref="AY2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5" s="10" t="n"/>
      <c r="BA2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5" s="17">
        <f>tbl_MTG_Set[[#This Row],[Collector Booster CardMarket Profit]]/tbl_MTG_Set[[#This Row],[Collector Booster Cost]]</f>
        <v/>
      </c>
      <c r="BC215" s="10" t="n"/>
      <c r="BF215" s="10">
        <f>tbl_MTG_Set[[#This Row],[Play Booster Sell Price CardMarket]]*tbl_MTG_Set[[#This Row],[Play Booster Expected Market Value]]/tbl_MTG_Set[[#This Row],[Play Boost Sealed Market Value]]</f>
        <v/>
      </c>
      <c r="BG2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5" s="10">
        <f>tbl_MTG_Set[[#This Row],[Play Singles CardMarket Profit]]/tbl_MTG_Set[[#This Row],[Play Booster Cost]]</f>
        <v/>
      </c>
      <c r="BI215" s="10">
        <f>tbl_MTG_Set[[#This Row],[Play Singles CardMarket Profit]]&gt;0</f>
        <v/>
      </c>
      <c r="BJ215" s="10" t="n"/>
      <c r="BK215" s="10" t="n"/>
      <c r="BL215" s="10">
        <f>tbl_MTG_Set[[#This Row],[Collector Booster Sell Price CardMarket]]*tbl_MTG_Set[[#This Row],[Collector Booster Expected Market Value]]/tbl_MTG_Set[[#This Row],[Collector Boost Sealed Market Value]]</f>
        <v/>
      </c>
      <c r="BM2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5" s="10">
        <f>tbl_MTG_Set[[#This Row],[Collector Singles CardMarket Profit]]/tbl_MTG_Set[[#This Row],[Collector Booster Cost]]</f>
        <v/>
      </c>
      <c r="BO215" s="10">
        <f>tbl_MTG_Set[[#This Row],[Collector Singles CardMarket Profit]]&gt;0</f>
        <v/>
      </c>
      <c r="BP2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6">
      <c r="A216" t="n">
        <v>214</v>
      </c>
      <c r="B216" t="inlineStr">
        <is>
          <t>Starter Commander Decks SCD</t>
        </is>
      </c>
      <c r="C216" t="n">
        <v>352</v>
      </c>
      <c r="D216" s="3" t="n">
        <v>44897</v>
      </c>
      <c r="E216" t="inlineStr">
        <is>
          <t>Commander</t>
        </is>
      </c>
      <c r="F216" t="inlineStr">
        <is>
          <t>en es fr de it pt ja ko ru 汉语 漢語</t>
        </is>
      </c>
      <c r="G216" t="n">
        <v>374</v>
      </c>
      <c r="H216">
        <f>MONTH(NOW())+12*YEAR(NOW())-MONTH(tbl_MTG_Set[[#This Row],[Released On]])-12*YEAR(tbl_MTG_Set[[#This Row],[Released On]])</f>
        <v/>
      </c>
      <c r="I216">
        <f>_xlfn.XLOOKUP(tbl_MTG_Set[[#This Row],[Type Name]], tbl_MTG_Set_Type[Set Type], tbl_MTG_Set_Type[Index], "(Set Type not found)")</f>
        <v/>
      </c>
      <c r="J216">
        <f>_xlfn.XLOOKUP(tbl_MTG_Set[[#This Row],[Type Name]], tbl_MTG_Set_Type[Set Type], tbl_MTG_Set_Type[Buy Window Month Start], "(Set Type not found)")</f>
        <v/>
      </c>
      <c r="K216" s="3">
        <f>tbl_MTG_Set[[#This Row],[Released On]]+tbl_MTG_Set[[#This Row],[Buy Window Month Start]]*365.25/12</f>
        <v/>
      </c>
      <c r="L216">
        <f>_xlfn.XLOOKUP(tbl_MTG_Set[[#This Row],[Type Name]], tbl_MTG_Set_Type[Set Type], tbl_MTG_Set_Type[Buy Window Month End], "(Set Type not found)", 0, 1)</f>
        <v/>
      </c>
      <c r="M216" s="3">
        <f>tbl_MTG_Set[[#This Row],[Released On]]+tbl_MTG_Set[[#This Row],[Buy Window Month End]]*365.25/12</f>
        <v/>
      </c>
      <c r="N216" s="3">
        <f>AND(NOW()&gt;=tbl_MTG_Set[[#This Row],[Buy Window Start]], NOW()&lt;=tbl_MTG_Set[[#This Row],[Buy Window End]])</f>
        <v/>
      </c>
      <c r="O216">
        <f>_xlfn.XLOOKUP(tbl_MTG_Set[[#This Row],[Type Name]], tbl_MTG_Set_Type[Set Type], tbl_MTG_Set_Type[Heavy Printing Window Month Start], "(Set Type not found)", 0, 1)</f>
        <v/>
      </c>
      <c r="P216" s="3">
        <f>tbl_MTG_Set[[#This Row],[Released On]]+tbl_MTG_Set[[#This Row],[Heavy Printing Window Month Start]]*365.25/12</f>
        <v/>
      </c>
      <c r="Q216">
        <f>_xlfn.XLOOKUP(tbl_MTG_Set[[#This Row],[Type Name]], tbl_MTG_Set_Type[Set Type], tbl_MTG_Set_Type[Heavy Printing Window Month End], "(Set Type not found)", 0, 1)</f>
        <v/>
      </c>
      <c r="R216" s="3">
        <f>tbl_MTG_Set[[#This Row],[Released On]]+tbl_MTG_Set[[#This Row],[Heavy Printing Window Month End]]*365.25/12</f>
        <v/>
      </c>
      <c r="S216" s="3">
        <f>AND(NOW()&gt;=tbl_MTG_Set[[#This Row],[Heavy Printing Window Start]], NOW()&lt;=tbl_MTG_Set[[#This Row],[Heavy Printing Window End]])</f>
        <v/>
      </c>
      <c r="T216">
        <f>_xlfn.XLOOKUP(tbl_MTG_Set[[#This Row],[Type Name]], tbl_MTG_Set_Type[Set Type], tbl_MTG_Set_Type[Sell Window Month Start], "(Set Type not found)", 0, 1)</f>
        <v/>
      </c>
      <c r="U216" s="3">
        <f>tbl_MTG_Set[[#This Row],[Released On]]+tbl_MTG_Set[[#This Row],[Sell Window Month Start]]*365.25/12</f>
        <v/>
      </c>
      <c r="V216">
        <f>_xlfn.XLOOKUP(tbl_MTG_Set[[#This Row],[Type Name]], tbl_MTG_Set_Type[Set Type], tbl_MTG_Set_Type[Sell Window Month End], "(Set Type not found)", 0, 1)</f>
        <v/>
      </c>
      <c r="W216" s="3">
        <f>tbl_MTG_Set[[#This Row],[Released On]]+tbl_MTG_Set[[#This Row],[Sell Window Month End]]*365.25/12</f>
        <v/>
      </c>
      <c r="X216" s="3">
        <f>AND(NOW()&gt;=tbl_MTG_Set[[#This Row],[Sell Window Start]], NOW()&lt;=tbl_MTG_Set[[#This Row],[Sell Window End]])</f>
        <v/>
      </c>
      <c r="AG216" s="10" t="n"/>
      <c r="AH216" s="10" t="n"/>
      <c r="AM216" s="10">
        <f t="array" ref="AM2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6" s="10">
        <f t="array" ref="AN2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6" s="4">
        <f>_xlfn.XLOOKUP(tbl_MTG_Set[[#This Row],[Play Booster Box Product Id]], tbl_Product[Product Id], tbl_Product[Pack Size])</f>
        <v/>
      </c>
      <c r="AP216" s="10">
        <f>(tbl_MTG_Set[[#This Row],[Play Booster Box Cost]]+v_Item_Shipping_Cost_In)/tbl_MTG_Set[[#This Row],[Play Booster Box Size]]</f>
        <v/>
      </c>
      <c r="AQ216" s="10">
        <f t="array" ref="AQ2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6" s="10" t="n"/>
      <c r="AS216" s="10" t="n"/>
      <c r="AT216" s="17">
        <f>tbl_MTG_Set[[#This Row],[Play Booster CardMarket Profit]]/tbl_MTG_Set[[#This Row],[Play Booster Cost]]</f>
        <v/>
      </c>
      <c r="AU216" s="10">
        <f>_xlfn.XLOOKUP(tbl_MTG_Set[[#This Row],[Collector Booster Box Product Id]], tbl_Product[Product Id], tbl_Product[Min Cost])</f>
        <v/>
      </c>
      <c r="AV216" s="10">
        <f>_xlfn.XLOOKUP(tbl_MTG_Set[[#This Row],[Collector Booster Box Product Id]], tbl_Product[Product Id], tbl_Product[Best Source])</f>
        <v/>
      </c>
      <c r="AW216" s="4">
        <f>_xlfn.XLOOKUP(tbl_MTG_Set[[#This Row],[Collector Booster Box Product Id]], tbl_Product[Product Id], tbl_Product[Pack Size])</f>
        <v/>
      </c>
      <c r="AX216" s="10">
        <f>(tbl_MTG_Set[[#This Row],[Collector Booster Box Cost]] + v_Item_Shipping_Cost_In) / tbl_MTG_Set[[#This Row],[Collector Booster Box Size]]</f>
        <v/>
      </c>
      <c r="AY216" s="10">
        <f t="array" ref="AY2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6" s="10" t="n"/>
      <c r="BA2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6" s="17">
        <f>tbl_MTG_Set[[#This Row],[Collector Booster CardMarket Profit]]/tbl_MTG_Set[[#This Row],[Collector Booster Cost]]</f>
        <v/>
      </c>
      <c r="BC216" s="10" t="n"/>
      <c r="BF216" s="10">
        <f>tbl_MTG_Set[[#This Row],[Play Booster Sell Price CardMarket]]*tbl_MTG_Set[[#This Row],[Play Booster Expected Market Value]]/tbl_MTG_Set[[#This Row],[Play Boost Sealed Market Value]]</f>
        <v/>
      </c>
      <c r="BG2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6" s="10">
        <f>tbl_MTG_Set[[#This Row],[Play Singles CardMarket Profit]]/tbl_MTG_Set[[#This Row],[Play Booster Cost]]</f>
        <v/>
      </c>
      <c r="BI216" s="10">
        <f>tbl_MTG_Set[[#This Row],[Play Singles CardMarket Profit]]&gt;0</f>
        <v/>
      </c>
      <c r="BJ216" s="10" t="n"/>
      <c r="BK216" s="10" t="n"/>
      <c r="BL216" s="10">
        <f>tbl_MTG_Set[[#This Row],[Collector Booster Sell Price CardMarket]]*tbl_MTG_Set[[#This Row],[Collector Booster Expected Market Value]]/tbl_MTG_Set[[#This Row],[Collector Boost Sealed Market Value]]</f>
        <v/>
      </c>
      <c r="BM2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6" s="10">
        <f>tbl_MTG_Set[[#This Row],[Collector Singles CardMarket Profit]]/tbl_MTG_Set[[#This Row],[Collector Booster Cost]]</f>
        <v/>
      </c>
      <c r="BO216" s="10">
        <f>tbl_MTG_Set[[#This Row],[Collector Singles CardMarket Profit]]&gt;0</f>
        <v/>
      </c>
      <c r="BP2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7">
      <c r="A217" t="n">
        <v>215</v>
      </c>
      <c r="B217" t="inlineStr">
        <is>
          <t>Starter Commander Deck Tokens TSCD</t>
        </is>
      </c>
      <c r="C217" t="n">
        <v>27</v>
      </c>
      <c r="D217" s="3" t="n">
        <v>44897</v>
      </c>
      <c r="E217" t="inlineStr">
        <is>
          <t>Commander</t>
        </is>
      </c>
      <c r="F217" t="inlineStr">
        <is>
          <t>en es fr de it pt ja ko ru 汉语 漢語</t>
        </is>
      </c>
      <c r="G217" t="n">
        <v>376</v>
      </c>
      <c r="H217">
        <f>MONTH(NOW())+12*YEAR(NOW())-MONTH(tbl_MTG_Set[[#This Row],[Released On]])-12*YEAR(tbl_MTG_Set[[#This Row],[Released On]])</f>
        <v/>
      </c>
      <c r="I217">
        <f>_xlfn.XLOOKUP(tbl_MTG_Set[[#This Row],[Type Name]], tbl_MTG_Set_Type[Set Type], tbl_MTG_Set_Type[Index], "(Set Type not found)")</f>
        <v/>
      </c>
      <c r="J217">
        <f>_xlfn.XLOOKUP(tbl_MTG_Set[[#This Row],[Type Name]], tbl_MTG_Set_Type[Set Type], tbl_MTG_Set_Type[Buy Window Month Start], "(Set Type not found)")</f>
        <v/>
      </c>
      <c r="K217" s="3">
        <f>tbl_MTG_Set[[#This Row],[Released On]]+tbl_MTG_Set[[#This Row],[Buy Window Month Start]]*365.25/12</f>
        <v/>
      </c>
      <c r="L217">
        <f>_xlfn.XLOOKUP(tbl_MTG_Set[[#This Row],[Type Name]], tbl_MTG_Set_Type[Set Type], tbl_MTG_Set_Type[Buy Window Month End], "(Set Type not found)", 0, 1)</f>
        <v/>
      </c>
      <c r="M217" s="3">
        <f>tbl_MTG_Set[[#This Row],[Released On]]+tbl_MTG_Set[[#This Row],[Buy Window Month End]]*365.25/12</f>
        <v/>
      </c>
      <c r="N217" s="3">
        <f>AND(NOW()&gt;=tbl_MTG_Set[[#This Row],[Buy Window Start]], NOW()&lt;=tbl_MTG_Set[[#This Row],[Buy Window End]])</f>
        <v/>
      </c>
      <c r="O217">
        <f>_xlfn.XLOOKUP(tbl_MTG_Set[[#This Row],[Type Name]], tbl_MTG_Set_Type[Set Type], tbl_MTG_Set_Type[Heavy Printing Window Month Start], "(Set Type not found)", 0, 1)</f>
        <v/>
      </c>
      <c r="P217" s="3">
        <f>tbl_MTG_Set[[#This Row],[Released On]]+tbl_MTG_Set[[#This Row],[Heavy Printing Window Month Start]]*365.25/12</f>
        <v/>
      </c>
      <c r="Q217">
        <f>_xlfn.XLOOKUP(tbl_MTG_Set[[#This Row],[Type Name]], tbl_MTG_Set_Type[Set Type], tbl_MTG_Set_Type[Heavy Printing Window Month End], "(Set Type not found)", 0, 1)</f>
        <v/>
      </c>
      <c r="R217" s="3">
        <f>tbl_MTG_Set[[#This Row],[Released On]]+tbl_MTG_Set[[#This Row],[Heavy Printing Window Month End]]*365.25/12</f>
        <v/>
      </c>
      <c r="S217" s="3">
        <f>AND(NOW()&gt;=tbl_MTG_Set[[#This Row],[Heavy Printing Window Start]], NOW()&lt;=tbl_MTG_Set[[#This Row],[Heavy Printing Window End]])</f>
        <v/>
      </c>
      <c r="T217">
        <f>_xlfn.XLOOKUP(tbl_MTG_Set[[#This Row],[Type Name]], tbl_MTG_Set_Type[Set Type], tbl_MTG_Set_Type[Sell Window Month Start], "(Set Type not found)", 0, 1)</f>
        <v/>
      </c>
      <c r="U217" s="3">
        <f>tbl_MTG_Set[[#This Row],[Released On]]+tbl_MTG_Set[[#This Row],[Sell Window Month Start]]*365.25/12</f>
        <v/>
      </c>
      <c r="V217">
        <f>_xlfn.XLOOKUP(tbl_MTG_Set[[#This Row],[Type Name]], tbl_MTG_Set_Type[Set Type], tbl_MTG_Set_Type[Sell Window Month End], "(Set Type not found)", 0, 1)</f>
        <v/>
      </c>
      <c r="W217" s="3">
        <f>tbl_MTG_Set[[#This Row],[Released On]]+tbl_MTG_Set[[#This Row],[Sell Window Month End]]*365.25/12</f>
        <v/>
      </c>
      <c r="X217" s="3">
        <f>AND(NOW()&gt;=tbl_MTG_Set[[#This Row],[Sell Window Start]], NOW()&lt;=tbl_MTG_Set[[#This Row],[Sell Window End]])</f>
        <v/>
      </c>
      <c r="AG217" s="10" t="n"/>
      <c r="AH217" s="10" t="n"/>
      <c r="AM217" s="10">
        <f t="array" ref="AM2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7" s="10">
        <f t="array" ref="AN2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7" s="4">
        <f>_xlfn.XLOOKUP(tbl_MTG_Set[[#This Row],[Play Booster Box Product Id]], tbl_Product[Product Id], tbl_Product[Pack Size])</f>
        <v/>
      </c>
      <c r="AP217" s="10">
        <f>(tbl_MTG_Set[[#This Row],[Play Booster Box Cost]]+v_Item_Shipping_Cost_In)/tbl_MTG_Set[[#This Row],[Play Booster Box Size]]</f>
        <v/>
      </c>
      <c r="AQ217" s="10">
        <f t="array" ref="AQ2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7" s="10" t="n"/>
      <c r="AS217" s="10" t="n"/>
      <c r="AT217" s="17">
        <f>tbl_MTG_Set[[#This Row],[Play Booster CardMarket Profit]]/tbl_MTG_Set[[#This Row],[Play Booster Cost]]</f>
        <v/>
      </c>
      <c r="AU217" s="10">
        <f>_xlfn.XLOOKUP(tbl_MTG_Set[[#This Row],[Collector Booster Box Product Id]], tbl_Product[Product Id], tbl_Product[Min Cost])</f>
        <v/>
      </c>
      <c r="AV217" s="10">
        <f>_xlfn.XLOOKUP(tbl_MTG_Set[[#This Row],[Collector Booster Box Product Id]], tbl_Product[Product Id], tbl_Product[Best Source])</f>
        <v/>
      </c>
      <c r="AW217" s="4">
        <f>_xlfn.XLOOKUP(tbl_MTG_Set[[#This Row],[Collector Booster Box Product Id]], tbl_Product[Product Id], tbl_Product[Pack Size])</f>
        <v/>
      </c>
      <c r="AX217" s="10">
        <f>(tbl_MTG_Set[[#This Row],[Collector Booster Box Cost]] + v_Item_Shipping_Cost_In) / tbl_MTG_Set[[#This Row],[Collector Booster Box Size]]</f>
        <v/>
      </c>
      <c r="AY217" s="10">
        <f t="array" ref="AY2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7" s="10" t="n"/>
      <c r="BA2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7" s="17">
        <f>tbl_MTG_Set[[#This Row],[Collector Booster CardMarket Profit]]/tbl_MTG_Set[[#This Row],[Collector Booster Cost]]</f>
        <v/>
      </c>
      <c r="BC217" s="10" t="n"/>
      <c r="BF217" s="10">
        <f>tbl_MTG_Set[[#This Row],[Play Booster Sell Price CardMarket]]*tbl_MTG_Set[[#This Row],[Play Booster Expected Market Value]]/tbl_MTG_Set[[#This Row],[Play Boost Sealed Market Value]]</f>
        <v/>
      </c>
      <c r="BG2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7" s="10">
        <f>tbl_MTG_Set[[#This Row],[Play Singles CardMarket Profit]]/tbl_MTG_Set[[#This Row],[Play Booster Cost]]</f>
        <v/>
      </c>
      <c r="BI217" s="10">
        <f>tbl_MTG_Set[[#This Row],[Play Singles CardMarket Profit]]&gt;0</f>
        <v/>
      </c>
      <c r="BJ217" s="10" t="n"/>
      <c r="BK217" s="10" t="n"/>
      <c r="BL217" s="10">
        <f>tbl_MTG_Set[[#This Row],[Collector Booster Sell Price CardMarket]]*tbl_MTG_Set[[#This Row],[Collector Booster Expected Market Value]]/tbl_MTG_Set[[#This Row],[Collector Boost Sealed Market Value]]</f>
        <v/>
      </c>
      <c r="BM2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7" s="10">
        <f>tbl_MTG_Set[[#This Row],[Collector Singles CardMarket Profit]]/tbl_MTG_Set[[#This Row],[Collector Booster Cost]]</f>
        <v/>
      </c>
      <c r="BO217" s="10">
        <f>tbl_MTG_Set[[#This Row],[Collector Singles CardMarket Profit]]&gt;0</f>
        <v/>
      </c>
      <c r="BP2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8">
      <c r="A218" t="n">
        <v>216</v>
      </c>
      <c r="B218" t="inlineStr">
        <is>
          <t>Jumpstart 2022 J22</t>
        </is>
      </c>
      <c r="C218" t="n">
        <v>835</v>
      </c>
      <c r="D218" s="3" t="n">
        <v>44897</v>
      </c>
      <c r="F218" t="inlineStr">
        <is>
          <t>en es fr de it pt ja ko ru 汉语 漢語</t>
        </is>
      </c>
      <c r="G218" t="n">
        <v>378</v>
      </c>
      <c r="H218">
        <f>MONTH(NOW())+12*YEAR(NOW())-MONTH(tbl_MTG_Set[[#This Row],[Released On]])-12*YEAR(tbl_MTG_Set[[#This Row],[Released On]])</f>
        <v/>
      </c>
      <c r="I218">
        <f>_xlfn.XLOOKUP(tbl_MTG_Set[[#This Row],[Type Name]], tbl_MTG_Set_Type[Set Type], tbl_MTG_Set_Type[Index], "(Set Type not found)")</f>
        <v/>
      </c>
      <c r="J218">
        <f>_xlfn.XLOOKUP(tbl_MTG_Set[[#This Row],[Type Name]], tbl_MTG_Set_Type[Set Type], tbl_MTG_Set_Type[Buy Window Month Start], "(Set Type not found)")</f>
        <v/>
      </c>
      <c r="K218" s="3">
        <f>tbl_MTG_Set[[#This Row],[Released On]]+tbl_MTG_Set[[#This Row],[Buy Window Month Start]]*365.25/12</f>
        <v/>
      </c>
      <c r="L218">
        <f>_xlfn.XLOOKUP(tbl_MTG_Set[[#This Row],[Type Name]], tbl_MTG_Set_Type[Set Type], tbl_MTG_Set_Type[Buy Window Month End], "(Set Type not found)", 0, 1)</f>
        <v/>
      </c>
      <c r="M218" s="3">
        <f>tbl_MTG_Set[[#This Row],[Released On]]+tbl_MTG_Set[[#This Row],[Buy Window Month End]]*365.25/12</f>
        <v/>
      </c>
      <c r="N218" s="3">
        <f>AND(NOW()&gt;=tbl_MTG_Set[[#This Row],[Buy Window Start]], NOW()&lt;=tbl_MTG_Set[[#This Row],[Buy Window End]])</f>
        <v/>
      </c>
      <c r="O218">
        <f>_xlfn.XLOOKUP(tbl_MTG_Set[[#This Row],[Type Name]], tbl_MTG_Set_Type[Set Type], tbl_MTG_Set_Type[Heavy Printing Window Month Start], "(Set Type not found)", 0, 1)</f>
        <v/>
      </c>
      <c r="P218" s="3">
        <f>tbl_MTG_Set[[#This Row],[Released On]]+tbl_MTG_Set[[#This Row],[Heavy Printing Window Month Start]]*365.25/12</f>
        <v/>
      </c>
      <c r="Q218">
        <f>_xlfn.XLOOKUP(tbl_MTG_Set[[#This Row],[Type Name]], tbl_MTG_Set_Type[Set Type], tbl_MTG_Set_Type[Heavy Printing Window Month End], "(Set Type not found)", 0, 1)</f>
        <v/>
      </c>
      <c r="R218" s="3">
        <f>tbl_MTG_Set[[#This Row],[Released On]]+tbl_MTG_Set[[#This Row],[Heavy Printing Window Month End]]*365.25/12</f>
        <v/>
      </c>
      <c r="S218" s="3">
        <f>AND(NOW()&gt;=tbl_MTG_Set[[#This Row],[Heavy Printing Window Start]], NOW()&lt;=tbl_MTG_Set[[#This Row],[Heavy Printing Window End]])</f>
        <v/>
      </c>
      <c r="T218">
        <f>_xlfn.XLOOKUP(tbl_MTG_Set[[#This Row],[Type Name]], tbl_MTG_Set_Type[Set Type], tbl_MTG_Set_Type[Sell Window Month Start], "(Set Type not found)", 0, 1)</f>
        <v/>
      </c>
      <c r="U218" s="3">
        <f>tbl_MTG_Set[[#This Row],[Released On]]+tbl_MTG_Set[[#This Row],[Sell Window Month Start]]*365.25/12</f>
        <v/>
      </c>
      <c r="V218">
        <f>_xlfn.XLOOKUP(tbl_MTG_Set[[#This Row],[Type Name]], tbl_MTG_Set_Type[Set Type], tbl_MTG_Set_Type[Sell Window Month End], "(Set Type not found)", 0, 1)</f>
        <v/>
      </c>
      <c r="W218" s="3">
        <f>tbl_MTG_Set[[#This Row],[Released On]]+tbl_MTG_Set[[#This Row],[Sell Window Month End]]*365.25/12</f>
        <v/>
      </c>
      <c r="X218" s="3">
        <f>AND(NOW()&gt;=tbl_MTG_Set[[#This Row],[Sell Window Start]], NOW()&lt;=tbl_MTG_Set[[#This Row],[Sell Window End]])</f>
        <v/>
      </c>
      <c r="AG218" s="10" t="n"/>
      <c r="AH218" s="10" t="n"/>
      <c r="AM218" s="10">
        <f t="array" ref="AM2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8" s="10">
        <f t="array" ref="AN2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8" s="4">
        <f>_xlfn.XLOOKUP(tbl_MTG_Set[[#This Row],[Play Booster Box Product Id]], tbl_Product[Product Id], tbl_Product[Pack Size])</f>
        <v/>
      </c>
      <c r="AP218" s="10">
        <f>(tbl_MTG_Set[[#This Row],[Play Booster Box Cost]]+v_Item_Shipping_Cost_In)/tbl_MTG_Set[[#This Row],[Play Booster Box Size]]</f>
        <v/>
      </c>
      <c r="AQ218" s="10">
        <f t="array" ref="AQ2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8" s="10" t="n"/>
      <c r="AS218" s="10" t="n"/>
      <c r="AT218" s="17">
        <f>tbl_MTG_Set[[#This Row],[Play Booster CardMarket Profit]]/tbl_MTG_Set[[#This Row],[Play Booster Cost]]</f>
        <v/>
      </c>
      <c r="AU218" s="10">
        <f>_xlfn.XLOOKUP(tbl_MTG_Set[[#This Row],[Collector Booster Box Product Id]], tbl_Product[Product Id], tbl_Product[Min Cost])</f>
        <v/>
      </c>
      <c r="AV218" s="10">
        <f>_xlfn.XLOOKUP(tbl_MTG_Set[[#This Row],[Collector Booster Box Product Id]], tbl_Product[Product Id], tbl_Product[Best Source])</f>
        <v/>
      </c>
      <c r="AW218" s="4">
        <f>_xlfn.XLOOKUP(tbl_MTG_Set[[#This Row],[Collector Booster Box Product Id]], tbl_Product[Product Id], tbl_Product[Pack Size])</f>
        <v/>
      </c>
      <c r="AX218" s="10">
        <f>(tbl_MTG_Set[[#This Row],[Collector Booster Box Cost]] + v_Item_Shipping_Cost_In) / tbl_MTG_Set[[#This Row],[Collector Booster Box Size]]</f>
        <v/>
      </c>
      <c r="AY218" s="10">
        <f t="array" ref="AY2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8" s="10" t="n"/>
      <c r="BA2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8" s="17">
        <f>tbl_MTG_Set[[#This Row],[Collector Booster CardMarket Profit]]/tbl_MTG_Set[[#This Row],[Collector Booster Cost]]</f>
        <v/>
      </c>
      <c r="BC218" s="10" t="n"/>
      <c r="BF218" s="10">
        <f>tbl_MTG_Set[[#This Row],[Play Booster Sell Price CardMarket]]*tbl_MTG_Set[[#This Row],[Play Booster Expected Market Value]]/tbl_MTG_Set[[#This Row],[Play Boost Sealed Market Value]]</f>
        <v/>
      </c>
      <c r="BG2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8" s="10">
        <f>tbl_MTG_Set[[#This Row],[Play Singles CardMarket Profit]]/tbl_MTG_Set[[#This Row],[Play Booster Cost]]</f>
        <v/>
      </c>
      <c r="BI218" s="10">
        <f>tbl_MTG_Set[[#This Row],[Play Singles CardMarket Profit]]&gt;0</f>
        <v/>
      </c>
      <c r="BJ218" s="10" t="n"/>
      <c r="BK218" s="10" t="n"/>
      <c r="BL218" s="10">
        <f>tbl_MTG_Set[[#This Row],[Collector Booster Sell Price CardMarket]]*tbl_MTG_Set[[#This Row],[Collector Booster Expected Market Value]]/tbl_MTG_Set[[#This Row],[Collector Boost Sealed Market Value]]</f>
        <v/>
      </c>
      <c r="BM2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8" s="10">
        <f>tbl_MTG_Set[[#This Row],[Collector Singles CardMarket Profit]]/tbl_MTG_Set[[#This Row],[Collector Booster Cost]]</f>
        <v/>
      </c>
      <c r="BO218" s="10">
        <f>tbl_MTG_Set[[#This Row],[Collector Singles CardMarket Profit]]&gt;0</f>
        <v/>
      </c>
      <c r="BP2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9">
      <c r="A219" t="n">
        <v>217</v>
      </c>
      <c r="B219" t="inlineStr">
        <is>
          <t>Jumpstart 2022 Front Cards FJ22</t>
        </is>
      </c>
      <c r="C219" t="n">
        <v>46</v>
      </c>
      <c r="D219" s="3" t="n">
        <v>44897</v>
      </c>
      <c r="F219" t="inlineStr">
        <is>
          <t>en es fr de it pt ja ko ru 汉语 漢語</t>
        </is>
      </c>
      <c r="G219" t="n">
        <v>380</v>
      </c>
      <c r="H219">
        <f>MONTH(NOW())+12*YEAR(NOW())-MONTH(tbl_MTG_Set[[#This Row],[Released On]])-12*YEAR(tbl_MTG_Set[[#This Row],[Released On]])</f>
        <v/>
      </c>
      <c r="I219">
        <f>_xlfn.XLOOKUP(tbl_MTG_Set[[#This Row],[Type Name]], tbl_MTG_Set_Type[Set Type], tbl_MTG_Set_Type[Index], "(Set Type not found)")</f>
        <v/>
      </c>
      <c r="J219">
        <f>_xlfn.XLOOKUP(tbl_MTG_Set[[#This Row],[Type Name]], tbl_MTG_Set_Type[Set Type], tbl_MTG_Set_Type[Buy Window Month Start], "(Set Type not found)")</f>
        <v/>
      </c>
      <c r="K219" s="3">
        <f>tbl_MTG_Set[[#This Row],[Released On]]+tbl_MTG_Set[[#This Row],[Buy Window Month Start]]*365.25/12</f>
        <v/>
      </c>
      <c r="L219">
        <f>_xlfn.XLOOKUP(tbl_MTG_Set[[#This Row],[Type Name]], tbl_MTG_Set_Type[Set Type], tbl_MTG_Set_Type[Buy Window Month End], "(Set Type not found)", 0, 1)</f>
        <v/>
      </c>
      <c r="M219" s="3">
        <f>tbl_MTG_Set[[#This Row],[Released On]]+tbl_MTG_Set[[#This Row],[Buy Window Month End]]*365.25/12</f>
        <v/>
      </c>
      <c r="N219" s="3">
        <f>AND(NOW()&gt;=tbl_MTG_Set[[#This Row],[Buy Window Start]], NOW()&lt;=tbl_MTG_Set[[#This Row],[Buy Window End]])</f>
        <v/>
      </c>
      <c r="O219">
        <f>_xlfn.XLOOKUP(tbl_MTG_Set[[#This Row],[Type Name]], tbl_MTG_Set_Type[Set Type], tbl_MTG_Set_Type[Heavy Printing Window Month Start], "(Set Type not found)", 0, 1)</f>
        <v/>
      </c>
      <c r="P219" s="3">
        <f>tbl_MTG_Set[[#This Row],[Released On]]+tbl_MTG_Set[[#This Row],[Heavy Printing Window Month Start]]*365.25/12</f>
        <v/>
      </c>
      <c r="Q219">
        <f>_xlfn.XLOOKUP(tbl_MTG_Set[[#This Row],[Type Name]], tbl_MTG_Set_Type[Set Type], tbl_MTG_Set_Type[Heavy Printing Window Month End], "(Set Type not found)", 0, 1)</f>
        <v/>
      </c>
      <c r="R219" s="3">
        <f>tbl_MTG_Set[[#This Row],[Released On]]+tbl_MTG_Set[[#This Row],[Heavy Printing Window Month End]]*365.25/12</f>
        <v/>
      </c>
      <c r="S219" s="3">
        <f>AND(NOW()&gt;=tbl_MTG_Set[[#This Row],[Heavy Printing Window Start]], NOW()&lt;=tbl_MTG_Set[[#This Row],[Heavy Printing Window End]])</f>
        <v/>
      </c>
      <c r="T219">
        <f>_xlfn.XLOOKUP(tbl_MTG_Set[[#This Row],[Type Name]], tbl_MTG_Set_Type[Set Type], tbl_MTG_Set_Type[Sell Window Month Start], "(Set Type not found)", 0, 1)</f>
        <v/>
      </c>
      <c r="U219" s="3">
        <f>tbl_MTG_Set[[#This Row],[Released On]]+tbl_MTG_Set[[#This Row],[Sell Window Month Start]]*365.25/12</f>
        <v/>
      </c>
      <c r="V219">
        <f>_xlfn.XLOOKUP(tbl_MTG_Set[[#This Row],[Type Name]], tbl_MTG_Set_Type[Set Type], tbl_MTG_Set_Type[Sell Window Month End], "(Set Type not found)", 0, 1)</f>
        <v/>
      </c>
      <c r="W219" s="3">
        <f>tbl_MTG_Set[[#This Row],[Released On]]+tbl_MTG_Set[[#This Row],[Sell Window Month End]]*365.25/12</f>
        <v/>
      </c>
      <c r="X219" s="3">
        <f>AND(NOW()&gt;=tbl_MTG_Set[[#This Row],[Sell Window Start]], NOW()&lt;=tbl_MTG_Set[[#This Row],[Sell Window End]])</f>
        <v/>
      </c>
      <c r="AG219" s="10" t="n"/>
      <c r="AH219" s="10" t="n"/>
      <c r="AM219" s="10">
        <f t="array" ref="AM2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9" s="10">
        <f t="array" ref="AN2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9" s="4">
        <f>_xlfn.XLOOKUP(tbl_MTG_Set[[#This Row],[Play Booster Box Product Id]], tbl_Product[Product Id], tbl_Product[Pack Size])</f>
        <v/>
      </c>
      <c r="AP219" s="10">
        <f>(tbl_MTG_Set[[#This Row],[Play Booster Box Cost]]+v_Item_Shipping_Cost_In)/tbl_MTG_Set[[#This Row],[Play Booster Box Size]]</f>
        <v/>
      </c>
      <c r="AQ219" s="10">
        <f t="array" ref="AQ2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19" s="10" t="n"/>
      <c r="AS219" s="10" t="n"/>
      <c r="AT219" s="17">
        <f>tbl_MTG_Set[[#This Row],[Play Booster CardMarket Profit]]/tbl_MTG_Set[[#This Row],[Play Booster Cost]]</f>
        <v/>
      </c>
      <c r="AU219" s="10">
        <f>_xlfn.XLOOKUP(tbl_MTG_Set[[#This Row],[Collector Booster Box Product Id]], tbl_Product[Product Id], tbl_Product[Min Cost])</f>
        <v/>
      </c>
      <c r="AV219" s="10">
        <f>_xlfn.XLOOKUP(tbl_MTG_Set[[#This Row],[Collector Booster Box Product Id]], tbl_Product[Product Id], tbl_Product[Best Source])</f>
        <v/>
      </c>
      <c r="AW219" s="4">
        <f>_xlfn.XLOOKUP(tbl_MTG_Set[[#This Row],[Collector Booster Box Product Id]], tbl_Product[Product Id], tbl_Product[Pack Size])</f>
        <v/>
      </c>
      <c r="AX219" s="10">
        <f>(tbl_MTG_Set[[#This Row],[Collector Booster Box Cost]] + v_Item_Shipping_Cost_In) / tbl_MTG_Set[[#This Row],[Collector Booster Box Size]]</f>
        <v/>
      </c>
      <c r="AY219" s="10">
        <f t="array" ref="AY2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19" s="10" t="n"/>
      <c r="BA2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9" s="17">
        <f>tbl_MTG_Set[[#This Row],[Collector Booster CardMarket Profit]]/tbl_MTG_Set[[#This Row],[Collector Booster Cost]]</f>
        <v/>
      </c>
      <c r="BC219" s="10" t="n"/>
      <c r="BF219" s="10">
        <f>tbl_MTG_Set[[#This Row],[Play Booster Sell Price CardMarket]]*tbl_MTG_Set[[#This Row],[Play Booster Expected Market Value]]/tbl_MTG_Set[[#This Row],[Play Boost Sealed Market Value]]</f>
        <v/>
      </c>
      <c r="BG2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9" s="10">
        <f>tbl_MTG_Set[[#This Row],[Play Singles CardMarket Profit]]/tbl_MTG_Set[[#This Row],[Play Booster Cost]]</f>
        <v/>
      </c>
      <c r="BI219" s="10">
        <f>tbl_MTG_Set[[#This Row],[Play Singles CardMarket Profit]]&gt;0</f>
        <v/>
      </c>
      <c r="BJ219" s="10" t="n"/>
      <c r="BK219" s="10" t="n"/>
      <c r="BL219" s="10">
        <f>tbl_MTG_Set[[#This Row],[Collector Booster Sell Price CardMarket]]*tbl_MTG_Set[[#This Row],[Collector Booster Expected Market Value]]/tbl_MTG_Set[[#This Row],[Collector Boost Sealed Market Value]]</f>
        <v/>
      </c>
      <c r="BM2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9" s="10">
        <f>tbl_MTG_Set[[#This Row],[Collector Singles CardMarket Profit]]/tbl_MTG_Set[[#This Row],[Collector Booster Cost]]</f>
        <v/>
      </c>
      <c r="BO219" s="10">
        <f>tbl_MTG_Set[[#This Row],[Collector Singles CardMarket Profit]]&gt;0</f>
        <v/>
      </c>
      <c r="BP2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0">
      <c r="A220" t="n">
        <v>218</v>
      </c>
      <c r="B220" t="inlineStr">
        <is>
          <t>30th Anniversary Edition 30A</t>
        </is>
      </c>
      <c r="C220" t="n">
        <v>594</v>
      </c>
      <c r="D220" s="3" t="n">
        <v>44893</v>
      </c>
      <c r="F220" t="inlineStr">
        <is>
          <t>en es fr de it pt ja ko ru 汉语 漢語</t>
        </is>
      </c>
      <c r="G220" t="n">
        <v>382</v>
      </c>
      <c r="H220">
        <f>MONTH(NOW())+12*YEAR(NOW())-MONTH(tbl_MTG_Set[[#This Row],[Released On]])-12*YEAR(tbl_MTG_Set[[#This Row],[Released On]])</f>
        <v/>
      </c>
      <c r="I220">
        <f>_xlfn.XLOOKUP(tbl_MTG_Set[[#This Row],[Type Name]], tbl_MTG_Set_Type[Set Type], tbl_MTG_Set_Type[Index], "(Set Type not found)")</f>
        <v/>
      </c>
      <c r="J220">
        <f>_xlfn.XLOOKUP(tbl_MTG_Set[[#This Row],[Type Name]], tbl_MTG_Set_Type[Set Type], tbl_MTG_Set_Type[Buy Window Month Start], "(Set Type not found)")</f>
        <v/>
      </c>
      <c r="K220" s="3">
        <f>tbl_MTG_Set[[#This Row],[Released On]]+tbl_MTG_Set[[#This Row],[Buy Window Month Start]]*365.25/12</f>
        <v/>
      </c>
      <c r="L220">
        <f>_xlfn.XLOOKUP(tbl_MTG_Set[[#This Row],[Type Name]], tbl_MTG_Set_Type[Set Type], tbl_MTG_Set_Type[Buy Window Month End], "(Set Type not found)", 0, 1)</f>
        <v/>
      </c>
      <c r="M220" s="3">
        <f>tbl_MTG_Set[[#This Row],[Released On]]+tbl_MTG_Set[[#This Row],[Buy Window Month End]]*365.25/12</f>
        <v/>
      </c>
      <c r="N220" s="3">
        <f>AND(NOW()&gt;=tbl_MTG_Set[[#This Row],[Buy Window Start]], NOW()&lt;=tbl_MTG_Set[[#This Row],[Buy Window End]])</f>
        <v/>
      </c>
      <c r="O220">
        <f>_xlfn.XLOOKUP(tbl_MTG_Set[[#This Row],[Type Name]], tbl_MTG_Set_Type[Set Type], tbl_MTG_Set_Type[Heavy Printing Window Month Start], "(Set Type not found)", 0, 1)</f>
        <v/>
      </c>
      <c r="P220" s="3">
        <f>tbl_MTG_Set[[#This Row],[Released On]]+tbl_MTG_Set[[#This Row],[Heavy Printing Window Month Start]]*365.25/12</f>
        <v/>
      </c>
      <c r="Q220">
        <f>_xlfn.XLOOKUP(tbl_MTG_Set[[#This Row],[Type Name]], tbl_MTG_Set_Type[Set Type], tbl_MTG_Set_Type[Heavy Printing Window Month End], "(Set Type not found)", 0, 1)</f>
        <v/>
      </c>
      <c r="R220" s="3">
        <f>tbl_MTG_Set[[#This Row],[Released On]]+tbl_MTG_Set[[#This Row],[Heavy Printing Window Month End]]*365.25/12</f>
        <v/>
      </c>
      <c r="S220" s="3">
        <f>AND(NOW()&gt;=tbl_MTG_Set[[#This Row],[Heavy Printing Window Start]], NOW()&lt;=tbl_MTG_Set[[#This Row],[Heavy Printing Window End]])</f>
        <v/>
      </c>
      <c r="T220">
        <f>_xlfn.XLOOKUP(tbl_MTG_Set[[#This Row],[Type Name]], tbl_MTG_Set_Type[Set Type], tbl_MTG_Set_Type[Sell Window Month Start], "(Set Type not found)", 0, 1)</f>
        <v/>
      </c>
      <c r="U220" s="3">
        <f>tbl_MTG_Set[[#This Row],[Released On]]+tbl_MTG_Set[[#This Row],[Sell Window Month Start]]*365.25/12</f>
        <v/>
      </c>
      <c r="V220">
        <f>_xlfn.XLOOKUP(tbl_MTG_Set[[#This Row],[Type Name]], tbl_MTG_Set_Type[Set Type], tbl_MTG_Set_Type[Sell Window Month End], "(Set Type not found)", 0, 1)</f>
        <v/>
      </c>
      <c r="W220" s="3">
        <f>tbl_MTG_Set[[#This Row],[Released On]]+tbl_MTG_Set[[#This Row],[Sell Window Month End]]*365.25/12</f>
        <v/>
      </c>
      <c r="X220" s="3">
        <f>AND(NOW()&gt;=tbl_MTG_Set[[#This Row],[Sell Window Start]], NOW()&lt;=tbl_MTG_Set[[#This Row],[Sell Window End]])</f>
        <v/>
      </c>
      <c r="AG220" s="10" t="n"/>
      <c r="AH220" s="10" t="n"/>
      <c r="AM220" s="10">
        <f t="array" ref="AM2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0" s="10">
        <f t="array" ref="AN2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0" s="4">
        <f>_xlfn.XLOOKUP(tbl_MTG_Set[[#This Row],[Play Booster Box Product Id]], tbl_Product[Product Id], tbl_Product[Pack Size])</f>
        <v/>
      </c>
      <c r="AP220" s="10">
        <f>(tbl_MTG_Set[[#This Row],[Play Booster Box Cost]]+v_Item_Shipping_Cost_In)/tbl_MTG_Set[[#This Row],[Play Booster Box Size]]</f>
        <v/>
      </c>
      <c r="AQ220" s="10">
        <f t="array" ref="AQ2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0" s="10" t="n"/>
      <c r="AS220" s="10" t="n"/>
      <c r="AT220" s="17">
        <f>tbl_MTG_Set[[#This Row],[Play Booster CardMarket Profit]]/tbl_MTG_Set[[#This Row],[Play Booster Cost]]</f>
        <v/>
      </c>
      <c r="AU220" s="10">
        <f>_xlfn.XLOOKUP(tbl_MTG_Set[[#This Row],[Collector Booster Box Product Id]], tbl_Product[Product Id], tbl_Product[Min Cost])</f>
        <v/>
      </c>
      <c r="AV220" s="10">
        <f>_xlfn.XLOOKUP(tbl_MTG_Set[[#This Row],[Collector Booster Box Product Id]], tbl_Product[Product Id], tbl_Product[Best Source])</f>
        <v/>
      </c>
      <c r="AW220" s="4">
        <f>_xlfn.XLOOKUP(tbl_MTG_Set[[#This Row],[Collector Booster Box Product Id]], tbl_Product[Product Id], tbl_Product[Pack Size])</f>
        <v/>
      </c>
      <c r="AX220" s="10">
        <f>(tbl_MTG_Set[[#This Row],[Collector Booster Box Cost]] + v_Item_Shipping_Cost_In) / tbl_MTG_Set[[#This Row],[Collector Booster Box Size]]</f>
        <v/>
      </c>
      <c r="AY220" s="10">
        <f t="array" ref="AY2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0" s="10" t="n"/>
      <c r="BA2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0" s="17">
        <f>tbl_MTG_Set[[#This Row],[Collector Booster CardMarket Profit]]/tbl_MTG_Set[[#This Row],[Collector Booster Cost]]</f>
        <v/>
      </c>
      <c r="BC220" s="10" t="n"/>
      <c r="BF220" s="10">
        <f>tbl_MTG_Set[[#This Row],[Play Booster Sell Price CardMarket]]*tbl_MTG_Set[[#This Row],[Play Booster Expected Market Value]]/tbl_MTG_Set[[#This Row],[Play Boost Sealed Market Value]]</f>
        <v/>
      </c>
      <c r="BG2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0" s="10">
        <f>tbl_MTG_Set[[#This Row],[Play Singles CardMarket Profit]]/tbl_MTG_Set[[#This Row],[Play Booster Cost]]</f>
        <v/>
      </c>
      <c r="BI220" s="10">
        <f>tbl_MTG_Set[[#This Row],[Play Singles CardMarket Profit]]&gt;0</f>
        <v/>
      </c>
      <c r="BJ220" s="10" t="n"/>
      <c r="BK220" s="10" t="n"/>
      <c r="BL220" s="10">
        <f>tbl_MTG_Set[[#This Row],[Collector Booster Sell Price CardMarket]]*tbl_MTG_Set[[#This Row],[Collector Booster Expected Market Value]]/tbl_MTG_Set[[#This Row],[Collector Boost Sealed Market Value]]</f>
        <v/>
      </c>
      <c r="BM2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0" s="10">
        <f>tbl_MTG_Set[[#This Row],[Collector Singles CardMarket Profit]]/tbl_MTG_Set[[#This Row],[Collector Booster Cost]]</f>
        <v/>
      </c>
      <c r="BO220" s="10">
        <f>tbl_MTG_Set[[#This Row],[Collector Singles CardMarket Profit]]&gt;0</f>
        <v/>
      </c>
      <c r="BP2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1">
      <c r="A221" t="n">
        <v>219</v>
      </c>
      <c r="B221" t="inlineStr">
        <is>
          <t>30th Anniversary Play Promos P30A</t>
        </is>
      </c>
      <c r="C221" t="n">
        <v>30</v>
      </c>
      <c r="D221" s="3" t="n">
        <v>44806</v>
      </c>
      <c r="F221" t="inlineStr">
        <is>
          <t>en es fr de it pt ja ko ru 汉语 漢語</t>
        </is>
      </c>
      <c r="G221" t="n">
        <v>384</v>
      </c>
      <c r="H221">
        <f>MONTH(NOW())+12*YEAR(NOW())-MONTH(tbl_MTG_Set[[#This Row],[Released On]])-12*YEAR(tbl_MTG_Set[[#This Row],[Released On]])</f>
        <v/>
      </c>
      <c r="I221">
        <f>_xlfn.XLOOKUP(tbl_MTG_Set[[#This Row],[Type Name]], tbl_MTG_Set_Type[Set Type], tbl_MTG_Set_Type[Index], "(Set Type not found)")</f>
        <v/>
      </c>
      <c r="J221">
        <f>_xlfn.XLOOKUP(tbl_MTG_Set[[#This Row],[Type Name]], tbl_MTG_Set_Type[Set Type], tbl_MTG_Set_Type[Buy Window Month Start], "(Set Type not found)")</f>
        <v/>
      </c>
      <c r="K221" s="3">
        <f>tbl_MTG_Set[[#This Row],[Released On]]+tbl_MTG_Set[[#This Row],[Buy Window Month Start]]*365.25/12</f>
        <v/>
      </c>
      <c r="L221">
        <f>_xlfn.XLOOKUP(tbl_MTG_Set[[#This Row],[Type Name]], tbl_MTG_Set_Type[Set Type], tbl_MTG_Set_Type[Buy Window Month End], "(Set Type not found)", 0, 1)</f>
        <v/>
      </c>
      <c r="M221" s="3">
        <f>tbl_MTG_Set[[#This Row],[Released On]]+tbl_MTG_Set[[#This Row],[Buy Window Month End]]*365.25/12</f>
        <v/>
      </c>
      <c r="N221" s="3">
        <f>AND(NOW()&gt;=tbl_MTG_Set[[#This Row],[Buy Window Start]], NOW()&lt;=tbl_MTG_Set[[#This Row],[Buy Window End]])</f>
        <v/>
      </c>
      <c r="O221">
        <f>_xlfn.XLOOKUP(tbl_MTG_Set[[#This Row],[Type Name]], tbl_MTG_Set_Type[Set Type], tbl_MTG_Set_Type[Heavy Printing Window Month Start], "(Set Type not found)", 0, 1)</f>
        <v/>
      </c>
      <c r="P221" s="3">
        <f>tbl_MTG_Set[[#This Row],[Released On]]+tbl_MTG_Set[[#This Row],[Heavy Printing Window Month Start]]*365.25/12</f>
        <v/>
      </c>
      <c r="Q221">
        <f>_xlfn.XLOOKUP(tbl_MTG_Set[[#This Row],[Type Name]], tbl_MTG_Set_Type[Set Type], tbl_MTG_Set_Type[Heavy Printing Window Month End], "(Set Type not found)", 0, 1)</f>
        <v/>
      </c>
      <c r="R221" s="3">
        <f>tbl_MTG_Set[[#This Row],[Released On]]+tbl_MTG_Set[[#This Row],[Heavy Printing Window Month End]]*365.25/12</f>
        <v/>
      </c>
      <c r="S221" s="3">
        <f>AND(NOW()&gt;=tbl_MTG_Set[[#This Row],[Heavy Printing Window Start]], NOW()&lt;=tbl_MTG_Set[[#This Row],[Heavy Printing Window End]])</f>
        <v/>
      </c>
      <c r="T221">
        <f>_xlfn.XLOOKUP(tbl_MTG_Set[[#This Row],[Type Name]], tbl_MTG_Set_Type[Set Type], tbl_MTG_Set_Type[Sell Window Month Start], "(Set Type not found)", 0, 1)</f>
        <v/>
      </c>
      <c r="U221" s="3">
        <f>tbl_MTG_Set[[#This Row],[Released On]]+tbl_MTG_Set[[#This Row],[Sell Window Month Start]]*365.25/12</f>
        <v/>
      </c>
      <c r="V221">
        <f>_xlfn.XLOOKUP(tbl_MTG_Set[[#This Row],[Type Name]], tbl_MTG_Set_Type[Set Type], tbl_MTG_Set_Type[Sell Window Month End], "(Set Type not found)", 0, 1)</f>
        <v/>
      </c>
      <c r="W221" s="3">
        <f>tbl_MTG_Set[[#This Row],[Released On]]+tbl_MTG_Set[[#This Row],[Sell Window Month End]]*365.25/12</f>
        <v/>
      </c>
      <c r="X221" s="3">
        <f>AND(NOW()&gt;=tbl_MTG_Set[[#This Row],[Sell Window Start]], NOW()&lt;=tbl_MTG_Set[[#This Row],[Sell Window End]])</f>
        <v/>
      </c>
      <c r="AG221" s="10" t="n"/>
      <c r="AH221" s="10" t="n"/>
      <c r="AM221" s="10">
        <f t="array" ref="AM2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1" s="10">
        <f t="array" ref="AN2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1" s="4">
        <f>_xlfn.XLOOKUP(tbl_MTG_Set[[#This Row],[Play Booster Box Product Id]], tbl_Product[Product Id], tbl_Product[Pack Size])</f>
        <v/>
      </c>
      <c r="AP221" s="10">
        <f>(tbl_MTG_Set[[#This Row],[Play Booster Box Cost]]+v_Item_Shipping_Cost_In)/tbl_MTG_Set[[#This Row],[Play Booster Box Size]]</f>
        <v/>
      </c>
      <c r="AQ221" s="10">
        <f t="array" ref="AQ2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1" s="10" t="n"/>
      <c r="AS221" s="10" t="n"/>
      <c r="AT221" s="17">
        <f>tbl_MTG_Set[[#This Row],[Play Booster CardMarket Profit]]/tbl_MTG_Set[[#This Row],[Play Booster Cost]]</f>
        <v/>
      </c>
      <c r="AU221" s="10">
        <f>_xlfn.XLOOKUP(tbl_MTG_Set[[#This Row],[Collector Booster Box Product Id]], tbl_Product[Product Id], tbl_Product[Min Cost])</f>
        <v/>
      </c>
      <c r="AV221" s="10">
        <f>_xlfn.XLOOKUP(tbl_MTG_Set[[#This Row],[Collector Booster Box Product Id]], tbl_Product[Product Id], tbl_Product[Best Source])</f>
        <v/>
      </c>
      <c r="AW221" s="4">
        <f>_xlfn.XLOOKUP(tbl_MTG_Set[[#This Row],[Collector Booster Box Product Id]], tbl_Product[Product Id], tbl_Product[Pack Size])</f>
        <v/>
      </c>
      <c r="AX221" s="10">
        <f>(tbl_MTG_Set[[#This Row],[Collector Booster Box Cost]] + v_Item_Shipping_Cost_In) / tbl_MTG_Set[[#This Row],[Collector Booster Box Size]]</f>
        <v/>
      </c>
      <c r="AY221" s="10">
        <f t="array" ref="AY2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1" s="10" t="n"/>
      <c r="BA2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1" s="17">
        <f>tbl_MTG_Set[[#This Row],[Collector Booster CardMarket Profit]]/tbl_MTG_Set[[#This Row],[Collector Booster Cost]]</f>
        <v/>
      </c>
      <c r="BC221" s="10" t="n"/>
      <c r="BF221" s="10">
        <f>tbl_MTG_Set[[#This Row],[Play Booster Sell Price CardMarket]]*tbl_MTG_Set[[#This Row],[Play Booster Expected Market Value]]/tbl_MTG_Set[[#This Row],[Play Boost Sealed Market Value]]</f>
        <v/>
      </c>
      <c r="BG2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1" s="10">
        <f>tbl_MTG_Set[[#This Row],[Play Singles CardMarket Profit]]/tbl_MTG_Set[[#This Row],[Play Booster Cost]]</f>
        <v/>
      </c>
      <c r="BI221" s="10">
        <f>tbl_MTG_Set[[#This Row],[Play Singles CardMarket Profit]]&gt;0</f>
        <v/>
      </c>
      <c r="BJ221" s="10" t="n"/>
      <c r="BK221" s="10" t="n"/>
      <c r="BL221" s="10">
        <f>tbl_MTG_Set[[#This Row],[Collector Booster Sell Price CardMarket]]*tbl_MTG_Set[[#This Row],[Collector Booster Expected Market Value]]/tbl_MTG_Set[[#This Row],[Collector Boost Sealed Market Value]]</f>
        <v/>
      </c>
      <c r="BM2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1" s="10">
        <f>tbl_MTG_Set[[#This Row],[Collector Singles CardMarket Profit]]/tbl_MTG_Set[[#This Row],[Collector Booster Cost]]</f>
        <v/>
      </c>
      <c r="BO221" s="10">
        <f>tbl_MTG_Set[[#This Row],[Collector Singles CardMarket Profit]]&gt;0</f>
        <v/>
      </c>
      <c r="BP2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2">
      <c r="A222" t="n">
        <v>220</v>
      </c>
      <c r="B222" t="inlineStr">
        <is>
          <t>30th Anniversary Tokens T30A</t>
        </is>
      </c>
      <c r="C222" t="n">
        <v>16</v>
      </c>
      <c r="D222" s="3" t="n">
        <v>44893</v>
      </c>
      <c r="F222" t="inlineStr">
        <is>
          <t>en es fr de it pt ja ko ru 汉语 漢語</t>
        </is>
      </c>
      <c r="G222" t="n">
        <v>386</v>
      </c>
      <c r="H222">
        <f>MONTH(NOW())+12*YEAR(NOW())-MONTH(tbl_MTG_Set[[#This Row],[Released On]])-12*YEAR(tbl_MTG_Set[[#This Row],[Released On]])</f>
        <v/>
      </c>
      <c r="I222">
        <f>_xlfn.XLOOKUP(tbl_MTG_Set[[#This Row],[Type Name]], tbl_MTG_Set_Type[Set Type], tbl_MTG_Set_Type[Index], "(Set Type not found)")</f>
        <v/>
      </c>
      <c r="J222">
        <f>_xlfn.XLOOKUP(tbl_MTG_Set[[#This Row],[Type Name]], tbl_MTG_Set_Type[Set Type], tbl_MTG_Set_Type[Buy Window Month Start], "(Set Type not found)")</f>
        <v/>
      </c>
      <c r="K222" s="3">
        <f>tbl_MTG_Set[[#This Row],[Released On]]+tbl_MTG_Set[[#This Row],[Buy Window Month Start]]*365.25/12</f>
        <v/>
      </c>
      <c r="L222">
        <f>_xlfn.XLOOKUP(tbl_MTG_Set[[#This Row],[Type Name]], tbl_MTG_Set_Type[Set Type], tbl_MTG_Set_Type[Buy Window Month End], "(Set Type not found)", 0, 1)</f>
        <v/>
      </c>
      <c r="M222" s="3">
        <f>tbl_MTG_Set[[#This Row],[Released On]]+tbl_MTG_Set[[#This Row],[Buy Window Month End]]*365.25/12</f>
        <v/>
      </c>
      <c r="N222" s="3">
        <f>AND(NOW()&gt;=tbl_MTG_Set[[#This Row],[Buy Window Start]], NOW()&lt;=tbl_MTG_Set[[#This Row],[Buy Window End]])</f>
        <v/>
      </c>
      <c r="O222">
        <f>_xlfn.XLOOKUP(tbl_MTG_Set[[#This Row],[Type Name]], tbl_MTG_Set_Type[Set Type], tbl_MTG_Set_Type[Heavy Printing Window Month Start], "(Set Type not found)", 0, 1)</f>
        <v/>
      </c>
      <c r="P222" s="3">
        <f>tbl_MTG_Set[[#This Row],[Released On]]+tbl_MTG_Set[[#This Row],[Heavy Printing Window Month Start]]*365.25/12</f>
        <v/>
      </c>
      <c r="Q222">
        <f>_xlfn.XLOOKUP(tbl_MTG_Set[[#This Row],[Type Name]], tbl_MTG_Set_Type[Set Type], tbl_MTG_Set_Type[Heavy Printing Window Month End], "(Set Type not found)", 0, 1)</f>
        <v/>
      </c>
      <c r="R222" s="3">
        <f>tbl_MTG_Set[[#This Row],[Released On]]+tbl_MTG_Set[[#This Row],[Heavy Printing Window Month End]]*365.25/12</f>
        <v/>
      </c>
      <c r="S222" s="3">
        <f>AND(NOW()&gt;=tbl_MTG_Set[[#This Row],[Heavy Printing Window Start]], NOW()&lt;=tbl_MTG_Set[[#This Row],[Heavy Printing Window End]])</f>
        <v/>
      </c>
      <c r="T222">
        <f>_xlfn.XLOOKUP(tbl_MTG_Set[[#This Row],[Type Name]], tbl_MTG_Set_Type[Set Type], tbl_MTG_Set_Type[Sell Window Month Start], "(Set Type not found)", 0, 1)</f>
        <v/>
      </c>
      <c r="U222" s="3">
        <f>tbl_MTG_Set[[#This Row],[Released On]]+tbl_MTG_Set[[#This Row],[Sell Window Month Start]]*365.25/12</f>
        <v/>
      </c>
      <c r="V222">
        <f>_xlfn.XLOOKUP(tbl_MTG_Set[[#This Row],[Type Name]], tbl_MTG_Set_Type[Set Type], tbl_MTG_Set_Type[Sell Window Month End], "(Set Type not found)", 0, 1)</f>
        <v/>
      </c>
      <c r="W222" s="3">
        <f>tbl_MTG_Set[[#This Row],[Released On]]+tbl_MTG_Set[[#This Row],[Sell Window Month End]]*365.25/12</f>
        <v/>
      </c>
      <c r="X222" s="3">
        <f>AND(NOW()&gt;=tbl_MTG_Set[[#This Row],[Sell Window Start]], NOW()&lt;=tbl_MTG_Set[[#This Row],[Sell Window End]])</f>
        <v/>
      </c>
      <c r="AG222" s="10" t="n"/>
      <c r="AH222" s="10" t="n"/>
      <c r="AM222" s="10">
        <f t="array" ref="AM2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2" s="10">
        <f t="array" ref="AN2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2" s="4">
        <f>_xlfn.XLOOKUP(tbl_MTG_Set[[#This Row],[Play Booster Box Product Id]], tbl_Product[Product Id], tbl_Product[Pack Size])</f>
        <v/>
      </c>
      <c r="AP222" s="10">
        <f>(tbl_MTG_Set[[#This Row],[Play Booster Box Cost]]+v_Item_Shipping_Cost_In)/tbl_MTG_Set[[#This Row],[Play Booster Box Size]]</f>
        <v/>
      </c>
      <c r="AQ222" s="10">
        <f t="array" ref="AQ2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2" s="10" t="n"/>
      <c r="AS222" s="10" t="n"/>
      <c r="AT222" s="17">
        <f>tbl_MTG_Set[[#This Row],[Play Booster CardMarket Profit]]/tbl_MTG_Set[[#This Row],[Play Booster Cost]]</f>
        <v/>
      </c>
      <c r="AU222" s="10">
        <f>_xlfn.XLOOKUP(tbl_MTG_Set[[#This Row],[Collector Booster Box Product Id]], tbl_Product[Product Id], tbl_Product[Min Cost])</f>
        <v/>
      </c>
      <c r="AV222" s="10">
        <f>_xlfn.XLOOKUP(tbl_MTG_Set[[#This Row],[Collector Booster Box Product Id]], tbl_Product[Product Id], tbl_Product[Best Source])</f>
        <v/>
      </c>
      <c r="AW222" s="4">
        <f>_xlfn.XLOOKUP(tbl_MTG_Set[[#This Row],[Collector Booster Box Product Id]], tbl_Product[Product Id], tbl_Product[Pack Size])</f>
        <v/>
      </c>
      <c r="AX222" s="10">
        <f>(tbl_MTG_Set[[#This Row],[Collector Booster Box Cost]] + v_Item_Shipping_Cost_In) / tbl_MTG_Set[[#This Row],[Collector Booster Box Size]]</f>
        <v/>
      </c>
      <c r="AY222" s="10">
        <f t="array" ref="AY2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2" s="10" t="n"/>
      <c r="BA2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2" s="17">
        <f>tbl_MTG_Set[[#This Row],[Collector Booster CardMarket Profit]]/tbl_MTG_Set[[#This Row],[Collector Booster Cost]]</f>
        <v/>
      </c>
      <c r="BC222" s="10" t="n"/>
      <c r="BF222" s="10">
        <f>tbl_MTG_Set[[#This Row],[Play Booster Sell Price CardMarket]]*tbl_MTG_Set[[#This Row],[Play Booster Expected Market Value]]/tbl_MTG_Set[[#This Row],[Play Boost Sealed Market Value]]</f>
        <v/>
      </c>
      <c r="BG2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2" s="10">
        <f>tbl_MTG_Set[[#This Row],[Play Singles CardMarket Profit]]/tbl_MTG_Set[[#This Row],[Play Booster Cost]]</f>
        <v/>
      </c>
      <c r="BI222" s="10">
        <f>tbl_MTG_Set[[#This Row],[Play Singles CardMarket Profit]]&gt;0</f>
        <v/>
      </c>
      <c r="BJ222" s="10" t="n"/>
      <c r="BK222" s="10" t="n"/>
      <c r="BL222" s="10">
        <f>tbl_MTG_Set[[#This Row],[Collector Booster Sell Price CardMarket]]*tbl_MTG_Set[[#This Row],[Collector Booster Expected Market Value]]/tbl_MTG_Set[[#This Row],[Collector Boost Sealed Market Value]]</f>
        <v/>
      </c>
      <c r="BM2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2" s="10">
        <f>tbl_MTG_Set[[#This Row],[Collector Singles CardMarket Profit]]/tbl_MTG_Set[[#This Row],[Collector Booster Cost]]</f>
        <v/>
      </c>
      <c r="BO222" s="10">
        <f>tbl_MTG_Set[[#This Row],[Collector Singles CardMarket Profit]]&gt;0</f>
        <v/>
      </c>
      <c r="BP2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3">
      <c r="A223" t="n">
        <v>221</v>
      </c>
      <c r="B223" t="inlineStr">
        <is>
          <t>30th Anniversary Celebration Tokyo P30T</t>
        </is>
      </c>
      <c r="C223" t="n">
        <v>2</v>
      </c>
      <c r="D223" s="3" t="n">
        <v>45170</v>
      </c>
      <c r="F223" t="inlineStr">
        <is>
          <t>en es fr de it pt ja ko ru 汉语 漢語</t>
        </is>
      </c>
      <c r="G223" t="n">
        <v>388</v>
      </c>
      <c r="H223">
        <f>MONTH(NOW())+12*YEAR(NOW())-MONTH(tbl_MTG_Set[[#This Row],[Released On]])-12*YEAR(tbl_MTG_Set[[#This Row],[Released On]])</f>
        <v/>
      </c>
      <c r="I223">
        <f>_xlfn.XLOOKUP(tbl_MTG_Set[[#This Row],[Type Name]], tbl_MTG_Set_Type[Set Type], tbl_MTG_Set_Type[Index], "(Set Type not found)")</f>
        <v/>
      </c>
      <c r="J223">
        <f>_xlfn.XLOOKUP(tbl_MTG_Set[[#This Row],[Type Name]], tbl_MTG_Set_Type[Set Type], tbl_MTG_Set_Type[Buy Window Month Start], "(Set Type not found)")</f>
        <v/>
      </c>
      <c r="K223" s="3">
        <f>tbl_MTG_Set[[#This Row],[Released On]]+tbl_MTG_Set[[#This Row],[Buy Window Month Start]]*365.25/12</f>
        <v/>
      </c>
      <c r="L223">
        <f>_xlfn.XLOOKUP(tbl_MTG_Set[[#This Row],[Type Name]], tbl_MTG_Set_Type[Set Type], tbl_MTG_Set_Type[Buy Window Month End], "(Set Type not found)", 0, 1)</f>
        <v/>
      </c>
      <c r="M223" s="3">
        <f>tbl_MTG_Set[[#This Row],[Released On]]+tbl_MTG_Set[[#This Row],[Buy Window Month End]]*365.25/12</f>
        <v/>
      </c>
      <c r="N223" s="3">
        <f>AND(NOW()&gt;=tbl_MTG_Set[[#This Row],[Buy Window Start]], NOW()&lt;=tbl_MTG_Set[[#This Row],[Buy Window End]])</f>
        <v/>
      </c>
      <c r="O223">
        <f>_xlfn.XLOOKUP(tbl_MTG_Set[[#This Row],[Type Name]], tbl_MTG_Set_Type[Set Type], tbl_MTG_Set_Type[Heavy Printing Window Month Start], "(Set Type not found)", 0, 1)</f>
        <v/>
      </c>
      <c r="P223" s="3">
        <f>tbl_MTG_Set[[#This Row],[Released On]]+tbl_MTG_Set[[#This Row],[Heavy Printing Window Month Start]]*365.25/12</f>
        <v/>
      </c>
      <c r="Q223">
        <f>_xlfn.XLOOKUP(tbl_MTG_Set[[#This Row],[Type Name]], tbl_MTG_Set_Type[Set Type], tbl_MTG_Set_Type[Heavy Printing Window Month End], "(Set Type not found)", 0, 1)</f>
        <v/>
      </c>
      <c r="R223" s="3">
        <f>tbl_MTG_Set[[#This Row],[Released On]]+tbl_MTG_Set[[#This Row],[Heavy Printing Window Month End]]*365.25/12</f>
        <v/>
      </c>
      <c r="S223" s="3">
        <f>AND(NOW()&gt;=tbl_MTG_Set[[#This Row],[Heavy Printing Window Start]], NOW()&lt;=tbl_MTG_Set[[#This Row],[Heavy Printing Window End]])</f>
        <v/>
      </c>
      <c r="T223">
        <f>_xlfn.XLOOKUP(tbl_MTG_Set[[#This Row],[Type Name]], tbl_MTG_Set_Type[Set Type], tbl_MTG_Set_Type[Sell Window Month Start], "(Set Type not found)", 0, 1)</f>
        <v/>
      </c>
      <c r="U223" s="3">
        <f>tbl_MTG_Set[[#This Row],[Released On]]+tbl_MTG_Set[[#This Row],[Sell Window Month Start]]*365.25/12</f>
        <v/>
      </c>
      <c r="V223">
        <f>_xlfn.XLOOKUP(tbl_MTG_Set[[#This Row],[Type Name]], tbl_MTG_Set_Type[Set Type], tbl_MTG_Set_Type[Sell Window Month End], "(Set Type not found)", 0, 1)</f>
        <v/>
      </c>
      <c r="W223" s="3">
        <f>tbl_MTG_Set[[#This Row],[Released On]]+tbl_MTG_Set[[#This Row],[Sell Window Month End]]*365.25/12</f>
        <v/>
      </c>
      <c r="X223" s="3">
        <f>AND(NOW()&gt;=tbl_MTG_Set[[#This Row],[Sell Window Start]], NOW()&lt;=tbl_MTG_Set[[#This Row],[Sell Window End]])</f>
        <v/>
      </c>
      <c r="AG223" s="10" t="n"/>
      <c r="AH223" s="10" t="n"/>
      <c r="AM223" s="10">
        <f t="array" ref="AM2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3" s="10">
        <f t="array" ref="AN2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3" s="4">
        <f>_xlfn.XLOOKUP(tbl_MTG_Set[[#This Row],[Play Booster Box Product Id]], tbl_Product[Product Id], tbl_Product[Pack Size])</f>
        <v/>
      </c>
      <c r="AP223" s="10">
        <f>(tbl_MTG_Set[[#This Row],[Play Booster Box Cost]]+v_Item_Shipping_Cost_In)/tbl_MTG_Set[[#This Row],[Play Booster Box Size]]</f>
        <v/>
      </c>
      <c r="AQ223" s="10">
        <f t="array" ref="AQ2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3" s="10" t="n"/>
      <c r="AS223" s="10" t="n"/>
      <c r="AT223" s="17">
        <f>tbl_MTG_Set[[#This Row],[Play Booster CardMarket Profit]]/tbl_MTG_Set[[#This Row],[Play Booster Cost]]</f>
        <v/>
      </c>
      <c r="AU223" s="10">
        <f>_xlfn.XLOOKUP(tbl_MTG_Set[[#This Row],[Collector Booster Box Product Id]], tbl_Product[Product Id], tbl_Product[Min Cost])</f>
        <v/>
      </c>
      <c r="AV223" s="10">
        <f>_xlfn.XLOOKUP(tbl_MTG_Set[[#This Row],[Collector Booster Box Product Id]], tbl_Product[Product Id], tbl_Product[Best Source])</f>
        <v/>
      </c>
      <c r="AW223" s="4">
        <f>_xlfn.XLOOKUP(tbl_MTG_Set[[#This Row],[Collector Booster Box Product Id]], tbl_Product[Product Id], tbl_Product[Pack Size])</f>
        <v/>
      </c>
      <c r="AX223" s="10">
        <f>(tbl_MTG_Set[[#This Row],[Collector Booster Box Cost]] + v_Item_Shipping_Cost_In) / tbl_MTG_Set[[#This Row],[Collector Booster Box Size]]</f>
        <v/>
      </c>
      <c r="AY223" s="10">
        <f t="array" ref="AY2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3" s="10" t="n"/>
      <c r="BA2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3" s="17">
        <f>tbl_MTG_Set[[#This Row],[Collector Booster CardMarket Profit]]/tbl_MTG_Set[[#This Row],[Collector Booster Cost]]</f>
        <v/>
      </c>
      <c r="BC223" s="10" t="n"/>
      <c r="BF223" s="10">
        <f>tbl_MTG_Set[[#This Row],[Play Booster Sell Price CardMarket]]*tbl_MTG_Set[[#This Row],[Play Booster Expected Market Value]]/tbl_MTG_Set[[#This Row],[Play Boost Sealed Market Value]]</f>
        <v/>
      </c>
      <c r="BG2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3" s="10">
        <f>tbl_MTG_Set[[#This Row],[Play Singles CardMarket Profit]]/tbl_MTG_Set[[#This Row],[Play Booster Cost]]</f>
        <v/>
      </c>
      <c r="BI223" s="10">
        <f>tbl_MTG_Set[[#This Row],[Play Singles CardMarket Profit]]&gt;0</f>
        <v/>
      </c>
      <c r="BJ223" s="10" t="n"/>
      <c r="BK223" s="10" t="n"/>
      <c r="BL223" s="10">
        <f>tbl_MTG_Set[[#This Row],[Collector Booster Sell Price CardMarket]]*tbl_MTG_Set[[#This Row],[Collector Booster Expected Market Value]]/tbl_MTG_Set[[#This Row],[Collector Boost Sealed Market Value]]</f>
        <v/>
      </c>
      <c r="BM2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3" s="10">
        <f>tbl_MTG_Set[[#This Row],[Collector Singles CardMarket Profit]]/tbl_MTG_Set[[#This Row],[Collector Booster Cost]]</f>
        <v/>
      </c>
      <c r="BO223" s="10">
        <f>tbl_MTG_Set[[#This Row],[Collector Singles CardMarket Profit]]&gt;0</f>
        <v/>
      </c>
      <c r="BP2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4">
      <c r="A224" t="n">
        <v>222</v>
      </c>
      <c r="B224" t="inlineStr">
        <is>
          <t>30th Anniversary History Promos P30H</t>
        </is>
      </c>
      <c r="C224" t="n">
        <v>10</v>
      </c>
      <c r="D224" s="3" t="n">
        <v>44813</v>
      </c>
      <c r="F224" t="inlineStr">
        <is>
          <t>en es fr de it pt ja ko ru 汉语 漢語</t>
        </is>
      </c>
      <c r="G224" t="n">
        <v>390</v>
      </c>
      <c r="H224">
        <f>MONTH(NOW())+12*YEAR(NOW())-MONTH(tbl_MTG_Set[[#This Row],[Released On]])-12*YEAR(tbl_MTG_Set[[#This Row],[Released On]])</f>
        <v/>
      </c>
      <c r="I224">
        <f>_xlfn.XLOOKUP(tbl_MTG_Set[[#This Row],[Type Name]], tbl_MTG_Set_Type[Set Type], tbl_MTG_Set_Type[Index], "(Set Type not found)")</f>
        <v/>
      </c>
      <c r="J224">
        <f>_xlfn.XLOOKUP(tbl_MTG_Set[[#This Row],[Type Name]], tbl_MTG_Set_Type[Set Type], tbl_MTG_Set_Type[Buy Window Month Start], "(Set Type not found)")</f>
        <v/>
      </c>
      <c r="K224" s="3">
        <f>tbl_MTG_Set[[#This Row],[Released On]]+tbl_MTG_Set[[#This Row],[Buy Window Month Start]]*365.25/12</f>
        <v/>
      </c>
      <c r="L224">
        <f>_xlfn.XLOOKUP(tbl_MTG_Set[[#This Row],[Type Name]], tbl_MTG_Set_Type[Set Type], tbl_MTG_Set_Type[Buy Window Month End], "(Set Type not found)", 0, 1)</f>
        <v/>
      </c>
      <c r="M224" s="3">
        <f>tbl_MTG_Set[[#This Row],[Released On]]+tbl_MTG_Set[[#This Row],[Buy Window Month End]]*365.25/12</f>
        <v/>
      </c>
      <c r="N224" s="3">
        <f>AND(NOW()&gt;=tbl_MTG_Set[[#This Row],[Buy Window Start]], NOW()&lt;=tbl_MTG_Set[[#This Row],[Buy Window End]])</f>
        <v/>
      </c>
      <c r="O224">
        <f>_xlfn.XLOOKUP(tbl_MTG_Set[[#This Row],[Type Name]], tbl_MTG_Set_Type[Set Type], tbl_MTG_Set_Type[Heavy Printing Window Month Start], "(Set Type not found)", 0, 1)</f>
        <v/>
      </c>
      <c r="P224" s="3">
        <f>tbl_MTG_Set[[#This Row],[Released On]]+tbl_MTG_Set[[#This Row],[Heavy Printing Window Month Start]]*365.25/12</f>
        <v/>
      </c>
      <c r="Q224">
        <f>_xlfn.XLOOKUP(tbl_MTG_Set[[#This Row],[Type Name]], tbl_MTG_Set_Type[Set Type], tbl_MTG_Set_Type[Heavy Printing Window Month End], "(Set Type not found)", 0, 1)</f>
        <v/>
      </c>
      <c r="R224" s="3">
        <f>tbl_MTG_Set[[#This Row],[Released On]]+tbl_MTG_Set[[#This Row],[Heavy Printing Window Month End]]*365.25/12</f>
        <v/>
      </c>
      <c r="S224" s="3">
        <f>AND(NOW()&gt;=tbl_MTG_Set[[#This Row],[Heavy Printing Window Start]], NOW()&lt;=tbl_MTG_Set[[#This Row],[Heavy Printing Window End]])</f>
        <v/>
      </c>
      <c r="T224">
        <f>_xlfn.XLOOKUP(tbl_MTG_Set[[#This Row],[Type Name]], tbl_MTG_Set_Type[Set Type], tbl_MTG_Set_Type[Sell Window Month Start], "(Set Type not found)", 0, 1)</f>
        <v/>
      </c>
      <c r="U224" s="3">
        <f>tbl_MTG_Set[[#This Row],[Released On]]+tbl_MTG_Set[[#This Row],[Sell Window Month Start]]*365.25/12</f>
        <v/>
      </c>
      <c r="V224">
        <f>_xlfn.XLOOKUP(tbl_MTG_Set[[#This Row],[Type Name]], tbl_MTG_Set_Type[Set Type], tbl_MTG_Set_Type[Sell Window Month End], "(Set Type not found)", 0, 1)</f>
        <v/>
      </c>
      <c r="W224" s="3">
        <f>tbl_MTG_Set[[#This Row],[Released On]]+tbl_MTG_Set[[#This Row],[Sell Window Month End]]*365.25/12</f>
        <v/>
      </c>
      <c r="X224" s="3">
        <f>AND(NOW()&gt;=tbl_MTG_Set[[#This Row],[Sell Window Start]], NOW()&lt;=tbl_MTG_Set[[#This Row],[Sell Window End]])</f>
        <v/>
      </c>
      <c r="AG224" s="10" t="n"/>
      <c r="AH224" s="10" t="n"/>
      <c r="AM224" s="10">
        <f t="array" ref="AM2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4" s="10">
        <f t="array" ref="AN2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4" s="4">
        <f>_xlfn.XLOOKUP(tbl_MTG_Set[[#This Row],[Play Booster Box Product Id]], tbl_Product[Product Id], tbl_Product[Pack Size])</f>
        <v/>
      </c>
      <c r="AP224" s="10">
        <f>(tbl_MTG_Set[[#This Row],[Play Booster Box Cost]]+v_Item_Shipping_Cost_In)/tbl_MTG_Set[[#This Row],[Play Booster Box Size]]</f>
        <v/>
      </c>
      <c r="AQ224" s="10">
        <f t="array" ref="AQ2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4" s="10" t="n"/>
      <c r="AS224" s="10" t="n"/>
      <c r="AT224" s="17">
        <f>tbl_MTG_Set[[#This Row],[Play Booster CardMarket Profit]]/tbl_MTG_Set[[#This Row],[Play Booster Cost]]</f>
        <v/>
      </c>
      <c r="AU224" s="10">
        <f>_xlfn.XLOOKUP(tbl_MTG_Set[[#This Row],[Collector Booster Box Product Id]], tbl_Product[Product Id], tbl_Product[Min Cost])</f>
        <v/>
      </c>
      <c r="AV224" s="10">
        <f>_xlfn.XLOOKUP(tbl_MTG_Set[[#This Row],[Collector Booster Box Product Id]], tbl_Product[Product Id], tbl_Product[Best Source])</f>
        <v/>
      </c>
      <c r="AW224" s="4">
        <f>_xlfn.XLOOKUP(tbl_MTG_Set[[#This Row],[Collector Booster Box Product Id]], tbl_Product[Product Id], tbl_Product[Pack Size])</f>
        <v/>
      </c>
      <c r="AX224" s="10">
        <f>(tbl_MTG_Set[[#This Row],[Collector Booster Box Cost]] + v_Item_Shipping_Cost_In) / tbl_MTG_Set[[#This Row],[Collector Booster Box Size]]</f>
        <v/>
      </c>
      <c r="AY224" s="10">
        <f t="array" ref="AY2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4" s="10" t="n"/>
      <c r="BA2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4" s="17">
        <f>tbl_MTG_Set[[#This Row],[Collector Booster CardMarket Profit]]/tbl_MTG_Set[[#This Row],[Collector Booster Cost]]</f>
        <v/>
      </c>
      <c r="BC224" s="10" t="n"/>
      <c r="BF224" s="10">
        <f>tbl_MTG_Set[[#This Row],[Play Booster Sell Price CardMarket]]*tbl_MTG_Set[[#This Row],[Play Booster Expected Market Value]]/tbl_MTG_Set[[#This Row],[Play Boost Sealed Market Value]]</f>
        <v/>
      </c>
      <c r="BG2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4" s="10">
        <f>tbl_MTG_Set[[#This Row],[Play Singles CardMarket Profit]]/tbl_MTG_Set[[#This Row],[Play Booster Cost]]</f>
        <v/>
      </c>
      <c r="BI224" s="10">
        <f>tbl_MTG_Set[[#This Row],[Play Singles CardMarket Profit]]&gt;0</f>
        <v/>
      </c>
      <c r="BJ224" s="10" t="n"/>
      <c r="BK224" s="10" t="n"/>
      <c r="BL224" s="10">
        <f>tbl_MTG_Set[[#This Row],[Collector Booster Sell Price CardMarket]]*tbl_MTG_Set[[#This Row],[Collector Booster Expected Market Value]]/tbl_MTG_Set[[#This Row],[Collector Boost Sealed Market Value]]</f>
        <v/>
      </c>
      <c r="BM2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4" s="10">
        <f>tbl_MTG_Set[[#This Row],[Collector Singles CardMarket Profit]]/tbl_MTG_Set[[#This Row],[Collector Booster Cost]]</f>
        <v/>
      </c>
      <c r="BO224" s="10">
        <f>tbl_MTG_Set[[#This Row],[Collector Singles CardMarket Profit]]&gt;0</f>
        <v/>
      </c>
      <c r="BP2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5">
      <c r="A225" t="n">
        <v>223</v>
      </c>
      <c r="B225" t="inlineStr">
        <is>
          <t>30th Anniversary Misc Promos P30M</t>
        </is>
      </c>
      <c r="C225" t="n">
        <v>5</v>
      </c>
      <c r="D225" s="3" t="n">
        <v>44806</v>
      </c>
      <c r="F225" t="inlineStr">
        <is>
          <t>en es fr de it pt ja ko ru 汉语 漢語</t>
        </is>
      </c>
      <c r="G225" t="n">
        <v>392</v>
      </c>
      <c r="H225">
        <f>MONTH(NOW())+12*YEAR(NOW())-MONTH(tbl_MTG_Set[[#This Row],[Released On]])-12*YEAR(tbl_MTG_Set[[#This Row],[Released On]])</f>
        <v/>
      </c>
      <c r="I225">
        <f>_xlfn.XLOOKUP(tbl_MTG_Set[[#This Row],[Type Name]], tbl_MTG_Set_Type[Set Type], tbl_MTG_Set_Type[Index], "(Set Type not found)")</f>
        <v/>
      </c>
      <c r="J225">
        <f>_xlfn.XLOOKUP(tbl_MTG_Set[[#This Row],[Type Name]], tbl_MTG_Set_Type[Set Type], tbl_MTG_Set_Type[Buy Window Month Start], "(Set Type not found)")</f>
        <v/>
      </c>
      <c r="K225" s="3">
        <f>tbl_MTG_Set[[#This Row],[Released On]]+tbl_MTG_Set[[#This Row],[Buy Window Month Start]]*365.25/12</f>
        <v/>
      </c>
      <c r="L225">
        <f>_xlfn.XLOOKUP(tbl_MTG_Set[[#This Row],[Type Name]], tbl_MTG_Set_Type[Set Type], tbl_MTG_Set_Type[Buy Window Month End], "(Set Type not found)", 0, 1)</f>
        <v/>
      </c>
      <c r="M225" s="3">
        <f>tbl_MTG_Set[[#This Row],[Released On]]+tbl_MTG_Set[[#This Row],[Buy Window Month End]]*365.25/12</f>
        <v/>
      </c>
      <c r="N225" s="3">
        <f>AND(NOW()&gt;=tbl_MTG_Set[[#This Row],[Buy Window Start]], NOW()&lt;=tbl_MTG_Set[[#This Row],[Buy Window End]])</f>
        <v/>
      </c>
      <c r="O225">
        <f>_xlfn.XLOOKUP(tbl_MTG_Set[[#This Row],[Type Name]], tbl_MTG_Set_Type[Set Type], tbl_MTG_Set_Type[Heavy Printing Window Month Start], "(Set Type not found)", 0, 1)</f>
        <v/>
      </c>
      <c r="P225" s="3">
        <f>tbl_MTG_Set[[#This Row],[Released On]]+tbl_MTG_Set[[#This Row],[Heavy Printing Window Month Start]]*365.25/12</f>
        <v/>
      </c>
      <c r="Q225">
        <f>_xlfn.XLOOKUP(tbl_MTG_Set[[#This Row],[Type Name]], tbl_MTG_Set_Type[Set Type], tbl_MTG_Set_Type[Heavy Printing Window Month End], "(Set Type not found)", 0, 1)</f>
        <v/>
      </c>
      <c r="R225" s="3">
        <f>tbl_MTG_Set[[#This Row],[Released On]]+tbl_MTG_Set[[#This Row],[Heavy Printing Window Month End]]*365.25/12</f>
        <v/>
      </c>
      <c r="S225" s="3">
        <f>AND(NOW()&gt;=tbl_MTG_Set[[#This Row],[Heavy Printing Window Start]], NOW()&lt;=tbl_MTG_Set[[#This Row],[Heavy Printing Window End]])</f>
        <v/>
      </c>
      <c r="T225">
        <f>_xlfn.XLOOKUP(tbl_MTG_Set[[#This Row],[Type Name]], tbl_MTG_Set_Type[Set Type], tbl_MTG_Set_Type[Sell Window Month Start], "(Set Type not found)", 0, 1)</f>
        <v/>
      </c>
      <c r="U225" s="3">
        <f>tbl_MTG_Set[[#This Row],[Released On]]+tbl_MTG_Set[[#This Row],[Sell Window Month Start]]*365.25/12</f>
        <v/>
      </c>
      <c r="V225">
        <f>_xlfn.XLOOKUP(tbl_MTG_Set[[#This Row],[Type Name]], tbl_MTG_Set_Type[Set Type], tbl_MTG_Set_Type[Sell Window Month End], "(Set Type not found)", 0, 1)</f>
        <v/>
      </c>
      <c r="W225" s="3">
        <f>tbl_MTG_Set[[#This Row],[Released On]]+tbl_MTG_Set[[#This Row],[Sell Window Month End]]*365.25/12</f>
        <v/>
      </c>
      <c r="X225" s="3">
        <f>AND(NOW()&gt;=tbl_MTG_Set[[#This Row],[Sell Window Start]], NOW()&lt;=tbl_MTG_Set[[#This Row],[Sell Window End]])</f>
        <v/>
      </c>
      <c r="AG225" s="10" t="n"/>
      <c r="AH225" s="10" t="n"/>
      <c r="AM225" s="10">
        <f t="array" ref="AM2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5" s="10">
        <f t="array" ref="AN2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5" s="4">
        <f>_xlfn.XLOOKUP(tbl_MTG_Set[[#This Row],[Play Booster Box Product Id]], tbl_Product[Product Id], tbl_Product[Pack Size])</f>
        <v/>
      </c>
      <c r="AP225" s="10">
        <f>(tbl_MTG_Set[[#This Row],[Play Booster Box Cost]]+v_Item_Shipping_Cost_In)/tbl_MTG_Set[[#This Row],[Play Booster Box Size]]</f>
        <v/>
      </c>
      <c r="AQ225" s="10">
        <f t="array" ref="AQ2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5" s="10" t="n"/>
      <c r="AS225" s="10" t="n"/>
      <c r="AT225" s="17">
        <f>tbl_MTG_Set[[#This Row],[Play Booster CardMarket Profit]]/tbl_MTG_Set[[#This Row],[Play Booster Cost]]</f>
        <v/>
      </c>
      <c r="AU225" s="10">
        <f>_xlfn.XLOOKUP(tbl_MTG_Set[[#This Row],[Collector Booster Box Product Id]], tbl_Product[Product Id], tbl_Product[Min Cost])</f>
        <v/>
      </c>
      <c r="AV225" s="10">
        <f>_xlfn.XLOOKUP(tbl_MTG_Set[[#This Row],[Collector Booster Box Product Id]], tbl_Product[Product Id], tbl_Product[Best Source])</f>
        <v/>
      </c>
      <c r="AW225" s="4">
        <f>_xlfn.XLOOKUP(tbl_MTG_Set[[#This Row],[Collector Booster Box Product Id]], tbl_Product[Product Id], tbl_Product[Pack Size])</f>
        <v/>
      </c>
      <c r="AX225" s="10">
        <f>(tbl_MTG_Set[[#This Row],[Collector Booster Box Cost]] + v_Item_Shipping_Cost_In) / tbl_MTG_Set[[#This Row],[Collector Booster Box Size]]</f>
        <v/>
      </c>
      <c r="AY225" s="10">
        <f t="array" ref="AY2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5" s="10" t="n"/>
      <c r="BA2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5" s="17">
        <f>tbl_MTG_Set[[#This Row],[Collector Booster CardMarket Profit]]/tbl_MTG_Set[[#This Row],[Collector Booster Cost]]</f>
        <v/>
      </c>
      <c r="BC225" s="10" t="n"/>
      <c r="BF225" s="10">
        <f>tbl_MTG_Set[[#This Row],[Play Booster Sell Price CardMarket]]*tbl_MTG_Set[[#This Row],[Play Booster Expected Market Value]]/tbl_MTG_Set[[#This Row],[Play Boost Sealed Market Value]]</f>
        <v/>
      </c>
      <c r="BG2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5" s="10">
        <f>tbl_MTG_Set[[#This Row],[Play Singles CardMarket Profit]]/tbl_MTG_Set[[#This Row],[Play Booster Cost]]</f>
        <v/>
      </c>
      <c r="BI225" s="10">
        <f>tbl_MTG_Set[[#This Row],[Play Singles CardMarket Profit]]&gt;0</f>
        <v/>
      </c>
      <c r="BJ225" s="10" t="n"/>
      <c r="BK225" s="10" t="n"/>
      <c r="BL225" s="10">
        <f>tbl_MTG_Set[[#This Row],[Collector Booster Sell Price CardMarket]]*tbl_MTG_Set[[#This Row],[Collector Booster Expected Market Value]]/tbl_MTG_Set[[#This Row],[Collector Boost Sealed Market Value]]</f>
        <v/>
      </c>
      <c r="BM2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5" s="10">
        <f>tbl_MTG_Set[[#This Row],[Collector Singles CardMarket Profit]]/tbl_MTG_Set[[#This Row],[Collector Booster Cost]]</f>
        <v/>
      </c>
      <c r="BO225" s="10">
        <f>tbl_MTG_Set[[#This Row],[Collector Singles CardMarket Profit]]&gt;0</f>
        <v/>
      </c>
      <c r="BP2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6">
      <c r="A226" t="n">
        <v>224</v>
      </c>
      <c r="B226" t="inlineStr">
        <is>
          <t>Eternal Weekend PEWK</t>
        </is>
      </c>
      <c r="C226" t="n">
        <v>8</v>
      </c>
      <c r="D226" s="3" t="n">
        <v>44891</v>
      </c>
      <c r="F226" t="inlineStr">
        <is>
          <t>en es fr de it pt ja ko ru 汉语 漢語</t>
        </is>
      </c>
      <c r="G226" t="n">
        <v>394</v>
      </c>
      <c r="H226">
        <f>MONTH(NOW())+12*YEAR(NOW())-MONTH(tbl_MTG_Set[[#This Row],[Released On]])-12*YEAR(tbl_MTG_Set[[#This Row],[Released On]])</f>
        <v/>
      </c>
      <c r="I226">
        <f>_xlfn.XLOOKUP(tbl_MTG_Set[[#This Row],[Type Name]], tbl_MTG_Set_Type[Set Type], tbl_MTG_Set_Type[Index], "(Set Type not found)")</f>
        <v/>
      </c>
      <c r="J226">
        <f>_xlfn.XLOOKUP(tbl_MTG_Set[[#This Row],[Type Name]], tbl_MTG_Set_Type[Set Type], tbl_MTG_Set_Type[Buy Window Month Start], "(Set Type not found)")</f>
        <v/>
      </c>
      <c r="K226" s="3">
        <f>tbl_MTG_Set[[#This Row],[Released On]]+tbl_MTG_Set[[#This Row],[Buy Window Month Start]]*365.25/12</f>
        <v/>
      </c>
      <c r="L226">
        <f>_xlfn.XLOOKUP(tbl_MTG_Set[[#This Row],[Type Name]], tbl_MTG_Set_Type[Set Type], tbl_MTG_Set_Type[Buy Window Month End], "(Set Type not found)", 0, 1)</f>
        <v/>
      </c>
      <c r="M226" s="3">
        <f>tbl_MTG_Set[[#This Row],[Released On]]+tbl_MTG_Set[[#This Row],[Buy Window Month End]]*365.25/12</f>
        <v/>
      </c>
      <c r="N226" s="3">
        <f>AND(NOW()&gt;=tbl_MTG_Set[[#This Row],[Buy Window Start]], NOW()&lt;=tbl_MTG_Set[[#This Row],[Buy Window End]])</f>
        <v/>
      </c>
      <c r="O226">
        <f>_xlfn.XLOOKUP(tbl_MTG_Set[[#This Row],[Type Name]], tbl_MTG_Set_Type[Set Type], tbl_MTG_Set_Type[Heavy Printing Window Month Start], "(Set Type not found)", 0, 1)</f>
        <v/>
      </c>
      <c r="P226" s="3">
        <f>tbl_MTG_Set[[#This Row],[Released On]]+tbl_MTG_Set[[#This Row],[Heavy Printing Window Month Start]]*365.25/12</f>
        <v/>
      </c>
      <c r="Q226">
        <f>_xlfn.XLOOKUP(tbl_MTG_Set[[#This Row],[Type Name]], tbl_MTG_Set_Type[Set Type], tbl_MTG_Set_Type[Heavy Printing Window Month End], "(Set Type not found)", 0, 1)</f>
        <v/>
      </c>
      <c r="R226" s="3">
        <f>tbl_MTG_Set[[#This Row],[Released On]]+tbl_MTG_Set[[#This Row],[Heavy Printing Window Month End]]*365.25/12</f>
        <v/>
      </c>
      <c r="S226" s="3">
        <f>AND(NOW()&gt;=tbl_MTG_Set[[#This Row],[Heavy Printing Window Start]], NOW()&lt;=tbl_MTG_Set[[#This Row],[Heavy Printing Window End]])</f>
        <v/>
      </c>
      <c r="T226">
        <f>_xlfn.XLOOKUP(tbl_MTG_Set[[#This Row],[Type Name]], tbl_MTG_Set_Type[Set Type], tbl_MTG_Set_Type[Sell Window Month Start], "(Set Type not found)", 0, 1)</f>
        <v/>
      </c>
      <c r="U226" s="3">
        <f>tbl_MTG_Set[[#This Row],[Released On]]+tbl_MTG_Set[[#This Row],[Sell Window Month Start]]*365.25/12</f>
        <v/>
      </c>
      <c r="V226">
        <f>_xlfn.XLOOKUP(tbl_MTG_Set[[#This Row],[Type Name]], tbl_MTG_Set_Type[Set Type], tbl_MTG_Set_Type[Sell Window Month End], "(Set Type not found)", 0, 1)</f>
        <v/>
      </c>
      <c r="W226" s="3">
        <f>tbl_MTG_Set[[#This Row],[Released On]]+tbl_MTG_Set[[#This Row],[Sell Window Month End]]*365.25/12</f>
        <v/>
      </c>
      <c r="X226" s="3">
        <f>AND(NOW()&gt;=tbl_MTG_Set[[#This Row],[Sell Window Start]], NOW()&lt;=tbl_MTG_Set[[#This Row],[Sell Window End]])</f>
        <v/>
      </c>
      <c r="AG226" s="10" t="n"/>
      <c r="AH226" s="10" t="n"/>
      <c r="AM226" s="10">
        <f t="array" ref="AM2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6" s="10">
        <f t="array" ref="AN2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6" s="4">
        <f>_xlfn.XLOOKUP(tbl_MTG_Set[[#This Row],[Play Booster Box Product Id]], tbl_Product[Product Id], tbl_Product[Pack Size])</f>
        <v/>
      </c>
      <c r="AP226" s="10">
        <f>(tbl_MTG_Set[[#This Row],[Play Booster Box Cost]]+v_Item_Shipping_Cost_In)/tbl_MTG_Set[[#This Row],[Play Booster Box Size]]</f>
        <v/>
      </c>
      <c r="AQ226" s="10">
        <f t="array" ref="AQ2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6" s="10" t="n"/>
      <c r="AS226" s="10" t="n"/>
      <c r="AT226" s="17">
        <f>tbl_MTG_Set[[#This Row],[Play Booster CardMarket Profit]]/tbl_MTG_Set[[#This Row],[Play Booster Cost]]</f>
        <v/>
      </c>
      <c r="AU226" s="10">
        <f>_xlfn.XLOOKUP(tbl_MTG_Set[[#This Row],[Collector Booster Box Product Id]], tbl_Product[Product Id], tbl_Product[Min Cost])</f>
        <v/>
      </c>
      <c r="AV226" s="10">
        <f>_xlfn.XLOOKUP(tbl_MTG_Set[[#This Row],[Collector Booster Box Product Id]], tbl_Product[Product Id], tbl_Product[Best Source])</f>
        <v/>
      </c>
      <c r="AW226" s="4">
        <f>_xlfn.XLOOKUP(tbl_MTG_Set[[#This Row],[Collector Booster Box Product Id]], tbl_Product[Product Id], tbl_Product[Pack Size])</f>
        <v/>
      </c>
      <c r="AX226" s="10">
        <f>(tbl_MTG_Set[[#This Row],[Collector Booster Box Cost]] + v_Item_Shipping_Cost_In) / tbl_MTG_Set[[#This Row],[Collector Booster Box Size]]</f>
        <v/>
      </c>
      <c r="AY226" s="10">
        <f t="array" ref="AY2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6" s="10" t="n"/>
      <c r="BA2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6" s="17">
        <f>tbl_MTG_Set[[#This Row],[Collector Booster CardMarket Profit]]/tbl_MTG_Set[[#This Row],[Collector Booster Cost]]</f>
        <v/>
      </c>
      <c r="BC226" s="10" t="n"/>
      <c r="BF226" s="10">
        <f>tbl_MTG_Set[[#This Row],[Play Booster Sell Price CardMarket]]*tbl_MTG_Set[[#This Row],[Play Booster Expected Market Value]]/tbl_MTG_Set[[#This Row],[Play Boost Sealed Market Value]]</f>
        <v/>
      </c>
      <c r="BG2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6" s="10">
        <f>tbl_MTG_Set[[#This Row],[Play Singles CardMarket Profit]]/tbl_MTG_Set[[#This Row],[Play Booster Cost]]</f>
        <v/>
      </c>
      <c r="BI226" s="10">
        <f>tbl_MTG_Set[[#This Row],[Play Singles CardMarket Profit]]&gt;0</f>
        <v/>
      </c>
      <c r="BJ226" s="10" t="n"/>
      <c r="BK226" s="10" t="n"/>
      <c r="BL226" s="10">
        <f>tbl_MTG_Set[[#This Row],[Collector Booster Sell Price CardMarket]]*tbl_MTG_Set[[#This Row],[Collector Booster Expected Market Value]]/tbl_MTG_Set[[#This Row],[Collector Boost Sealed Market Value]]</f>
        <v/>
      </c>
      <c r="BM2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6" s="10">
        <f>tbl_MTG_Set[[#This Row],[Collector Singles CardMarket Profit]]/tbl_MTG_Set[[#This Row],[Collector Booster Cost]]</f>
        <v/>
      </c>
      <c r="BO226" s="10">
        <f>tbl_MTG_Set[[#This Row],[Collector Singles CardMarket Profit]]&gt;0</f>
        <v/>
      </c>
      <c r="BP2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7">
      <c r="A227" t="n">
        <v>225</v>
      </c>
      <c r="B227" t="inlineStr">
        <is>
          <t>The Brothers' War BRO</t>
        </is>
      </c>
      <c r="C227" t="n">
        <v>399</v>
      </c>
      <c r="D227" s="3" t="n">
        <v>44883</v>
      </c>
      <c r="E227" t="inlineStr">
        <is>
          <t>Standard Expansion</t>
        </is>
      </c>
      <c r="F227" t="inlineStr">
        <is>
          <t>en es fr de it pt ja ko ru 汉语 漢語</t>
        </is>
      </c>
      <c r="G227" t="n">
        <v>396</v>
      </c>
      <c r="H227">
        <f>MONTH(NOW())+12*YEAR(NOW())-MONTH(tbl_MTG_Set[[#This Row],[Released On]])-12*YEAR(tbl_MTG_Set[[#This Row],[Released On]])</f>
        <v/>
      </c>
      <c r="I227">
        <f>_xlfn.XLOOKUP(tbl_MTG_Set[[#This Row],[Type Name]], tbl_MTG_Set_Type[Set Type], tbl_MTG_Set_Type[Index], "(Set Type not found)")</f>
        <v/>
      </c>
      <c r="J227">
        <f>_xlfn.XLOOKUP(tbl_MTG_Set[[#This Row],[Type Name]], tbl_MTG_Set_Type[Set Type], tbl_MTG_Set_Type[Buy Window Month Start], "(Set Type not found)")</f>
        <v/>
      </c>
      <c r="K227" s="3">
        <f>tbl_MTG_Set[[#This Row],[Released On]]+tbl_MTG_Set[[#This Row],[Buy Window Month Start]]*365.25/12</f>
        <v/>
      </c>
      <c r="L227">
        <f>_xlfn.XLOOKUP(tbl_MTG_Set[[#This Row],[Type Name]], tbl_MTG_Set_Type[Set Type], tbl_MTG_Set_Type[Buy Window Month End], "(Set Type not found)", 0, 1)</f>
        <v/>
      </c>
      <c r="M227" s="3">
        <f>tbl_MTG_Set[[#This Row],[Released On]]+tbl_MTG_Set[[#This Row],[Buy Window Month End]]*365.25/12</f>
        <v/>
      </c>
      <c r="N227" s="3">
        <f>AND(NOW()&gt;=tbl_MTG_Set[[#This Row],[Buy Window Start]], NOW()&lt;=tbl_MTG_Set[[#This Row],[Buy Window End]])</f>
        <v/>
      </c>
      <c r="O227">
        <f>_xlfn.XLOOKUP(tbl_MTG_Set[[#This Row],[Type Name]], tbl_MTG_Set_Type[Set Type], tbl_MTG_Set_Type[Heavy Printing Window Month Start], "(Set Type not found)", 0, 1)</f>
        <v/>
      </c>
      <c r="P227" s="3">
        <f>tbl_MTG_Set[[#This Row],[Released On]]+tbl_MTG_Set[[#This Row],[Heavy Printing Window Month Start]]*365.25/12</f>
        <v/>
      </c>
      <c r="Q227">
        <f>_xlfn.XLOOKUP(tbl_MTG_Set[[#This Row],[Type Name]], tbl_MTG_Set_Type[Set Type], tbl_MTG_Set_Type[Heavy Printing Window Month End], "(Set Type not found)", 0, 1)</f>
        <v/>
      </c>
      <c r="R227" s="3">
        <f>tbl_MTG_Set[[#This Row],[Released On]]+tbl_MTG_Set[[#This Row],[Heavy Printing Window Month End]]*365.25/12</f>
        <v/>
      </c>
      <c r="S227" s="3">
        <f>AND(NOW()&gt;=tbl_MTG_Set[[#This Row],[Heavy Printing Window Start]], NOW()&lt;=tbl_MTG_Set[[#This Row],[Heavy Printing Window End]])</f>
        <v/>
      </c>
      <c r="T227">
        <f>_xlfn.XLOOKUP(tbl_MTG_Set[[#This Row],[Type Name]], tbl_MTG_Set_Type[Set Type], tbl_MTG_Set_Type[Sell Window Month Start], "(Set Type not found)", 0, 1)</f>
        <v/>
      </c>
      <c r="U227" s="3">
        <f>tbl_MTG_Set[[#This Row],[Released On]]+tbl_MTG_Set[[#This Row],[Sell Window Month Start]]*365.25/12</f>
        <v/>
      </c>
      <c r="V227">
        <f>_xlfn.XLOOKUP(tbl_MTG_Set[[#This Row],[Type Name]], tbl_MTG_Set_Type[Set Type], tbl_MTG_Set_Type[Sell Window Month End], "(Set Type not found)", 0, 1)</f>
        <v/>
      </c>
      <c r="W227" s="3">
        <f>tbl_MTG_Set[[#This Row],[Released On]]+tbl_MTG_Set[[#This Row],[Sell Window Month End]]*365.25/12</f>
        <v/>
      </c>
      <c r="X227" s="3">
        <f>AND(NOW()&gt;=tbl_MTG_Set[[#This Row],[Sell Window Start]], NOW()&lt;=tbl_MTG_Set[[#This Row],[Sell Window End]])</f>
        <v/>
      </c>
      <c r="Y227" s="10" t="n">
        <v>126</v>
      </c>
      <c r="Z227" s="10" t="n">
        <v>116</v>
      </c>
      <c r="AD227" s="10">
        <f>(Y227+96/20)/30</f>
        <v/>
      </c>
      <c r="AE227" s="10">
        <f>(Z227+96/20)/30</f>
        <v/>
      </c>
      <c r="AG227" s="10" t="n"/>
      <c r="AH227" s="10" t="n"/>
      <c r="AI227" s="4" t="n">
        <v>73</v>
      </c>
      <c r="AJ227" s="4" t="n">
        <v>28</v>
      </c>
      <c r="AK227" s="4" t="n">
        <v>138</v>
      </c>
      <c r="AL227" s="4" t="n">
        <v>137</v>
      </c>
      <c r="AM227" s="10">
        <f t="array" ref="AM2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7" s="10">
        <f t="array" ref="AN2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7" s="4">
        <f>_xlfn.XLOOKUP(tbl_MTG_Set[[#This Row],[Play Booster Box Product Id]], tbl_Product[Product Id], tbl_Product[Pack Size])</f>
        <v/>
      </c>
      <c r="AP227" s="10">
        <f>(tbl_MTG_Set[[#This Row],[Play Booster Box Cost]]+v_Item_Shipping_Cost_In)/tbl_MTG_Set[[#This Row],[Play Booster Box Size]]</f>
        <v/>
      </c>
      <c r="AQ227" s="10">
        <f t="array" ref="AQ2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7" s="10" t="n">
        <v>5.5</v>
      </c>
      <c r="AS22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27" s="17">
        <f>tbl_MTG_Set[[#This Row],[Play Booster CardMarket Profit]]/tbl_MTG_Set[[#This Row],[Play Booster Cost]]</f>
        <v/>
      </c>
      <c r="AU227" s="10">
        <f>_xlfn.XLOOKUP(tbl_MTG_Set[[#This Row],[Collector Booster Box Product Id]], tbl_Product[Product Id], tbl_Product[Min Cost])</f>
        <v/>
      </c>
      <c r="AV227" s="10">
        <f>_xlfn.XLOOKUP(tbl_MTG_Set[[#This Row],[Collector Booster Box Product Id]], tbl_Product[Product Id], tbl_Product[Best Source])</f>
        <v/>
      </c>
      <c r="AW227" s="4">
        <f>_xlfn.XLOOKUP(tbl_MTG_Set[[#This Row],[Collector Booster Box Product Id]], tbl_Product[Product Id], tbl_Product[Pack Size])</f>
        <v/>
      </c>
      <c r="AX227" s="10">
        <f>(tbl_MTG_Set[[#This Row],[Collector Booster Box Cost]] + v_Item_Shipping_Cost_In) / tbl_MTG_Set[[#This Row],[Collector Booster Box Size]]</f>
        <v/>
      </c>
      <c r="AY227" s="10">
        <f t="array" ref="AY2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7" s="10" t="n"/>
      <c r="BA2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7" s="17">
        <f>tbl_MTG_Set[[#This Row],[Collector Booster CardMarket Profit]]/tbl_MTG_Set[[#This Row],[Collector Booster Cost]]</f>
        <v/>
      </c>
      <c r="BC227" s="10" t="n"/>
      <c r="BF227" s="10">
        <f>tbl_MTG_Set[[#This Row],[Play Booster Sell Price CardMarket]]*tbl_MTG_Set[[#This Row],[Play Booster Expected Market Value]]/tbl_MTG_Set[[#This Row],[Play Boost Sealed Market Value]]</f>
        <v/>
      </c>
      <c r="BG2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7" s="17">
        <f>tbl_MTG_Set[[#This Row],[Play Singles CardMarket Profit]]/tbl_MTG_Set[[#This Row],[Play Booster Cost]]</f>
        <v/>
      </c>
      <c r="BI227" s="10">
        <f>tbl_MTG_Set[[#This Row],[Play Singles CardMarket Profit]]&gt;0</f>
        <v/>
      </c>
      <c r="BJ227" s="10" t="n"/>
      <c r="BK227" s="10" t="n"/>
      <c r="BL227" s="10">
        <f>tbl_MTG_Set[[#This Row],[Collector Booster Sell Price CardMarket]]*tbl_MTG_Set[[#This Row],[Collector Booster Expected Market Value]]/tbl_MTG_Set[[#This Row],[Collector Boost Sealed Market Value]]</f>
        <v/>
      </c>
      <c r="BM2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7" s="17">
        <f>tbl_MTG_Set[[#This Row],[Collector Singles CardMarket Profit]]/tbl_MTG_Set[[#This Row],[Collector Booster Cost]]</f>
        <v/>
      </c>
      <c r="BO227" s="10">
        <f>tbl_MTG_Set[[#This Row],[Collector Singles CardMarket Profit]]&gt;0</f>
        <v/>
      </c>
      <c r="BP2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8">
      <c r="A228" t="n">
        <v>226</v>
      </c>
      <c r="B228" t="inlineStr">
        <is>
          <t>The Brothers' War Retro Artifacts BRR</t>
        </is>
      </c>
      <c r="C228" t="n">
        <v>189</v>
      </c>
      <c r="D228" s="3" t="n">
        <v>44883</v>
      </c>
      <c r="E228" t="inlineStr">
        <is>
          <t>Standard Expansion</t>
        </is>
      </c>
      <c r="F228" t="inlineStr">
        <is>
          <t>en es fr de it pt ja ko ru 汉语 漢語</t>
        </is>
      </c>
      <c r="G228" t="n">
        <v>398</v>
      </c>
      <c r="H228">
        <f>MONTH(NOW())+12*YEAR(NOW())-MONTH(tbl_MTG_Set[[#This Row],[Released On]])-12*YEAR(tbl_MTG_Set[[#This Row],[Released On]])</f>
        <v/>
      </c>
      <c r="I228">
        <f>_xlfn.XLOOKUP(tbl_MTG_Set[[#This Row],[Type Name]], tbl_MTG_Set_Type[Set Type], tbl_MTG_Set_Type[Index], "(Set Type not found)")</f>
        <v/>
      </c>
      <c r="J228">
        <f>_xlfn.XLOOKUP(tbl_MTG_Set[[#This Row],[Type Name]], tbl_MTG_Set_Type[Set Type], tbl_MTG_Set_Type[Buy Window Month Start], "(Set Type not found)")</f>
        <v/>
      </c>
      <c r="K228" s="3">
        <f>tbl_MTG_Set[[#This Row],[Released On]]+tbl_MTG_Set[[#This Row],[Buy Window Month Start]]*365.25/12</f>
        <v/>
      </c>
      <c r="L228">
        <f>_xlfn.XLOOKUP(tbl_MTG_Set[[#This Row],[Type Name]], tbl_MTG_Set_Type[Set Type], tbl_MTG_Set_Type[Buy Window Month End], "(Set Type not found)", 0, 1)</f>
        <v/>
      </c>
      <c r="M228" s="3">
        <f>tbl_MTG_Set[[#This Row],[Released On]]+tbl_MTG_Set[[#This Row],[Buy Window Month End]]*365.25/12</f>
        <v/>
      </c>
      <c r="N228" s="3">
        <f>AND(NOW()&gt;=tbl_MTG_Set[[#This Row],[Buy Window Start]], NOW()&lt;=tbl_MTG_Set[[#This Row],[Buy Window End]])</f>
        <v/>
      </c>
      <c r="O228">
        <f>_xlfn.XLOOKUP(tbl_MTG_Set[[#This Row],[Type Name]], tbl_MTG_Set_Type[Set Type], tbl_MTG_Set_Type[Heavy Printing Window Month Start], "(Set Type not found)", 0, 1)</f>
        <v/>
      </c>
      <c r="P228" s="3">
        <f>tbl_MTG_Set[[#This Row],[Released On]]+tbl_MTG_Set[[#This Row],[Heavy Printing Window Month Start]]*365.25/12</f>
        <v/>
      </c>
      <c r="Q228">
        <f>_xlfn.XLOOKUP(tbl_MTG_Set[[#This Row],[Type Name]], tbl_MTG_Set_Type[Set Type], tbl_MTG_Set_Type[Heavy Printing Window Month End], "(Set Type not found)", 0, 1)</f>
        <v/>
      </c>
      <c r="R228" s="3">
        <f>tbl_MTG_Set[[#This Row],[Released On]]+tbl_MTG_Set[[#This Row],[Heavy Printing Window Month End]]*365.25/12</f>
        <v/>
      </c>
      <c r="S228" s="3">
        <f>AND(NOW()&gt;=tbl_MTG_Set[[#This Row],[Heavy Printing Window Start]], NOW()&lt;=tbl_MTG_Set[[#This Row],[Heavy Printing Window End]])</f>
        <v/>
      </c>
      <c r="T228">
        <f>_xlfn.XLOOKUP(tbl_MTG_Set[[#This Row],[Type Name]], tbl_MTG_Set_Type[Set Type], tbl_MTG_Set_Type[Sell Window Month Start], "(Set Type not found)", 0, 1)</f>
        <v/>
      </c>
      <c r="U228" s="3">
        <f>tbl_MTG_Set[[#This Row],[Released On]]+tbl_MTG_Set[[#This Row],[Sell Window Month Start]]*365.25/12</f>
        <v/>
      </c>
      <c r="V228">
        <f>_xlfn.XLOOKUP(tbl_MTG_Set[[#This Row],[Type Name]], tbl_MTG_Set_Type[Set Type], tbl_MTG_Set_Type[Sell Window Month End], "(Set Type not found)", 0, 1)</f>
        <v/>
      </c>
      <c r="W228" s="3">
        <f>tbl_MTG_Set[[#This Row],[Released On]]+tbl_MTG_Set[[#This Row],[Sell Window Month End]]*365.25/12</f>
        <v/>
      </c>
      <c r="X228" s="3">
        <f>AND(NOW()&gt;=tbl_MTG_Set[[#This Row],[Sell Window Start]], NOW()&lt;=tbl_MTG_Set[[#This Row],[Sell Window End]])</f>
        <v/>
      </c>
      <c r="AG228" s="10" t="n"/>
      <c r="AH228" s="10" t="n"/>
      <c r="AM228" s="10">
        <f t="array" ref="AM2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8" s="10">
        <f t="array" ref="AN2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8" s="4">
        <f>_xlfn.XLOOKUP(tbl_MTG_Set[[#This Row],[Play Booster Box Product Id]], tbl_Product[Product Id], tbl_Product[Pack Size])</f>
        <v/>
      </c>
      <c r="AP228" s="10">
        <f>(tbl_MTG_Set[[#This Row],[Play Booster Box Cost]]+v_Item_Shipping_Cost_In)/tbl_MTG_Set[[#This Row],[Play Booster Box Size]]</f>
        <v/>
      </c>
      <c r="AQ228" s="10">
        <f t="array" ref="AQ2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8" s="10" t="n"/>
      <c r="AS228" s="10" t="n"/>
      <c r="AT228" s="17">
        <f>tbl_MTG_Set[[#This Row],[Play Booster CardMarket Profit]]/tbl_MTG_Set[[#This Row],[Play Booster Cost]]</f>
        <v/>
      </c>
      <c r="AU228" s="10">
        <f>_xlfn.XLOOKUP(tbl_MTG_Set[[#This Row],[Collector Booster Box Product Id]], tbl_Product[Product Id], tbl_Product[Min Cost])</f>
        <v/>
      </c>
      <c r="AV228" s="10">
        <f>_xlfn.XLOOKUP(tbl_MTG_Set[[#This Row],[Collector Booster Box Product Id]], tbl_Product[Product Id], tbl_Product[Best Source])</f>
        <v/>
      </c>
      <c r="AW228" s="4">
        <f>_xlfn.XLOOKUP(tbl_MTG_Set[[#This Row],[Collector Booster Box Product Id]], tbl_Product[Product Id], tbl_Product[Pack Size])</f>
        <v/>
      </c>
      <c r="AX228" s="10">
        <f>(tbl_MTG_Set[[#This Row],[Collector Booster Box Cost]] + v_Item_Shipping_Cost_In) / tbl_MTG_Set[[#This Row],[Collector Booster Box Size]]</f>
        <v/>
      </c>
      <c r="AY228" s="10">
        <f t="array" ref="AY2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8" s="10" t="n"/>
      <c r="BA2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8" s="17">
        <f>tbl_MTG_Set[[#This Row],[Collector Booster CardMarket Profit]]/tbl_MTG_Set[[#This Row],[Collector Booster Cost]]</f>
        <v/>
      </c>
      <c r="BC228" s="10" t="n"/>
      <c r="BF228" s="10">
        <f>tbl_MTG_Set[[#This Row],[Play Booster Sell Price CardMarket]]*tbl_MTG_Set[[#This Row],[Play Booster Expected Market Value]]/tbl_MTG_Set[[#This Row],[Play Boost Sealed Market Value]]</f>
        <v/>
      </c>
      <c r="BG2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8" s="10">
        <f>tbl_MTG_Set[[#This Row],[Play Singles CardMarket Profit]]/tbl_MTG_Set[[#This Row],[Play Booster Cost]]</f>
        <v/>
      </c>
      <c r="BI228" s="10">
        <f>tbl_MTG_Set[[#This Row],[Play Singles CardMarket Profit]]&gt;0</f>
        <v/>
      </c>
      <c r="BJ228" s="10" t="n"/>
      <c r="BK228" s="10" t="n"/>
      <c r="BL228" s="10">
        <f>tbl_MTG_Set[[#This Row],[Collector Booster Sell Price CardMarket]]*tbl_MTG_Set[[#This Row],[Collector Booster Expected Market Value]]/tbl_MTG_Set[[#This Row],[Collector Boost Sealed Market Value]]</f>
        <v/>
      </c>
      <c r="BM2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8" s="10">
        <f>tbl_MTG_Set[[#This Row],[Collector Singles CardMarket Profit]]/tbl_MTG_Set[[#This Row],[Collector Booster Cost]]</f>
        <v/>
      </c>
      <c r="BO228" s="10">
        <f>tbl_MTG_Set[[#This Row],[Collector Singles CardMarket Profit]]&gt;0</f>
        <v/>
      </c>
      <c r="BP2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9">
      <c r="A229" t="n">
        <v>227</v>
      </c>
      <c r="B229" t="inlineStr">
        <is>
          <t>The Brothers' War Promos PBRO</t>
        </is>
      </c>
      <c r="C229" t="n">
        <v>171</v>
      </c>
      <c r="D229" s="3" t="n">
        <v>44883</v>
      </c>
      <c r="E229" t="inlineStr">
        <is>
          <t>Standard Expansion</t>
        </is>
      </c>
      <c r="F229" t="inlineStr">
        <is>
          <t>en es fr de it pt ja ko ru 汉语 漢語</t>
        </is>
      </c>
      <c r="G229" t="n">
        <v>400</v>
      </c>
      <c r="H229">
        <f>MONTH(NOW())+12*YEAR(NOW())-MONTH(tbl_MTG_Set[[#This Row],[Released On]])-12*YEAR(tbl_MTG_Set[[#This Row],[Released On]])</f>
        <v/>
      </c>
      <c r="I229">
        <f>_xlfn.XLOOKUP(tbl_MTG_Set[[#This Row],[Type Name]], tbl_MTG_Set_Type[Set Type], tbl_MTG_Set_Type[Index], "(Set Type not found)")</f>
        <v/>
      </c>
      <c r="J229">
        <f>_xlfn.XLOOKUP(tbl_MTG_Set[[#This Row],[Type Name]], tbl_MTG_Set_Type[Set Type], tbl_MTG_Set_Type[Buy Window Month Start], "(Set Type not found)")</f>
        <v/>
      </c>
      <c r="K229" s="3">
        <f>tbl_MTG_Set[[#This Row],[Released On]]+tbl_MTG_Set[[#This Row],[Buy Window Month Start]]*365.25/12</f>
        <v/>
      </c>
      <c r="L229">
        <f>_xlfn.XLOOKUP(tbl_MTG_Set[[#This Row],[Type Name]], tbl_MTG_Set_Type[Set Type], tbl_MTG_Set_Type[Buy Window Month End], "(Set Type not found)", 0, 1)</f>
        <v/>
      </c>
      <c r="M229" s="3">
        <f>tbl_MTG_Set[[#This Row],[Released On]]+tbl_MTG_Set[[#This Row],[Buy Window Month End]]*365.25/12</f>
        <v/>
      </c>
      <c r="N229" s="3">
        <f>AND(NOW()&gt;=tbl_MTG_Set[[#This Row],[Buy Window Start]], NOW()&lt;=tbl_MTG_Set[[#This Row],[Buy Window End]])</f>
        <v/>
      </c>
      <c r="O229">
        <f>_xlfn.XLOOKUP(tbl_MTG_Set[[#This Row],[Type Name]], tbl_MTG_Set_Type[Set Type], tbl_MTG_Set_Type[Heavy Printing Window Month Start], "(Set Type not found)", 0, 1)</f>
        <v/>
      </c>
      <c r="P229" s="3">
        <f>tbl_MTG_Set[[#This Row],[Released On]]+tbl_MTG_Set[[#This Row],[Heavy Printing Window Month Start]]*365.25/12</f>
        <v/>
      </c>
      <c r="Q229">
        <f>_xlfn.XLOOKUP(tbl_MTG_Set[[#This Row],[Type Name]], tbl_MTG_Set_Type[Set Type], tbl_MTG_Set_Type[Heavy Printing Window Month End], "(Set Type not found)", 0, 1)</f>
        <v/>
      </c>
      <c r="R229" s="3">
        <f>tbl_MTG_Set[[#This Row],[Released On]]+tbl_MTG_Set[[#This Row],[Heavy Printing Window Month End]]*365.25/12</f>
        <v/>
      </c>
      <c r="S229" s="3">
        <f>AND(NOW()&gt;=tbl_MTG_Set[[#This Row],[Heavy Printing Window Start]], NOW()&lt;=tbl_MTG_Set[[#This Row],[Heavy Printing Window End]])</f>
        <v/>
      </c>
      <c r="T229">
        <f>_xlfn.XLOOKUP(tbl_MTG_Set[[#This Row],[Type Name]], tbl_MTG_Set_Type[Set Type], tbl_MTG_Set_Type[Sell Window Month Start], "(Set Type not found)", 0, 1)</f>
        <v/>
      </c>
      <c r="U229" s="3">
        <f>tbl_MTG_Set[[#This Row],[Released On]]+tbl_MTG_Set[[#This Row],[Sell Window Month Start]]*365.25/12</f>
        <v/>
      </c>
      <c r="V229">
        <f>_xlfn.XLOOKUP(tbl_MTG_Set[[#This Row],[Type Name]], tbl_MTG_Set_Type[Set Type], tbl_MTG_Set_Type[Sell Window Month End], "(Set Type not found)", 0, 1)</f>
        <v/>
      </c>
      <c r="W229" s="3">
        <f>tbl_MTG_Set[[#This Row],[Released On]]+tbl_MTG_Set[[#This Row],[Sell Window Month End]]*365.25/12</f>
        <v/>
      </c>
      <c r="X229" s="3">
        <f>AND(NOW()&gt;=tbl_MTG_Set[[#This Row],[Sell Window Start]], NOW()&lt;=tbl_MTG_Set[[#This Row],[Sell Window End]])</f>
        <v/>
      </c>
      <c r="AG229" s="10" t="n"/>
      <c r="AH229" s="10" t="n"/>
      <c r="AM229" s="10">
        <f t="array" ref="AM2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9" s="10">
        <f t="array" ref="AN2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9" s="4">
        <f>_xlfn.XLOOKUP(tbl_MTG_Set[[#This Row],[Play Booster Box Product Id]], tbl_Product[Product Id], tbl_Product[Pack Size])</f>
        <v/>
      </c>
      <c r="AP229" s="10">
        <f>(tbl_MTG_Set[[#This Row],[Play Booster Box Cost]]+v_Item_Shipping_Cost_In)/tbl_MTG_Set[[#This Row],[Play Booster Box Size]]</f>
        <v/>
      </c>
      <c r="AQ229" s="10">
        <f t="array" ref="AQ2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29" s="10" t="n"/>
      <c r="AS229" s="10" t="n"/>
      <c r="AT229" s="17">
        <f>tbl_MTG_Set[[#This Row],[Play Booster CardMarket Profit]]/tbl_MTG_Set[[#This Row],[Play Booster Cost]]</f>
        <v/>
      </c>
      <c r="AU229" s="10">
        <f>_xlfn.XLOOKUP(tbl_MTG_Set[[#This Row],[Collector Booster Box Product Id]], tbl_Product[Product Id], tbl_Product[Min Cost])</f>
        <v/>
      </c>
      <c r="AV229" s="10">
        <f>_xlfn.XLOOKUP(tbl_MTG_Set[[#This Row],[Collector Booster Box Product Id]], tbl_Product[Product Id], tbl_Product[Best Source])</f>
        <v/>
      </c>
      <c r="AW229" s="4">
        <f>_xlfn.XLOOKUP(tbl_MTG_Set[[#This Row],[Collector Booster Box Product Id]], tbl_Product[Product Id], tbl_Product[Pack Size])</f>
        <v/>
      </c>
      <c r="AX229" s="10">
        <f>(tbl_MTG_Set[[#This Row],[Collector Booster Box Cost]] + v_Item_Shipping_Cost_In) / tbl_MTG_Set[[#This Row],[Collector Booster Box Size]]</f>
        <v/>
      </c>
      <c r="AY229" s="10">
        <f t="array" ref="AY2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29" s="10" t="n"/>
      <c r="BA2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9" s="17">
        <f>tbl_MTG_Set[[#This Row],[Collector Booster CardMarket Profit]]/tbl_MTG_Set[[#This Row],[Collector Booster Cost]]</f>
        <v/>
      </c>
      <c r="BC229" s="10" t="n"/>
      <c r="BF229" s="10">
        <f>tbl_MTG_Set[[#This Row],[Play Booster Sell Price CardMarket]]*tbl_MTG_Set[[#This Row],[Play Booster Expected Market Value]]/tbl_MTG_Set[[#This Row],[Play Boost Sealed Market Value]]</f>
        <v/>
      </c>
      <c r="BG2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9" s="10">
        <f>tbl_MTG_Set[[#This Row],[Play Singles CardMarket Profit]]/tbl_MTG_Set[[#This Row],[Play Booster Cost]]</f>
        <v/>
      </c>
      <c r="BI229" s="10">
        <f>tbl_MTG_Set[[#This Row],[Play Singles CardMarket Profit]]&gt;0</f>
        <v/>
      </c>
      <c r="BJ229" s="10" t="n"/>
      <c r="BK229" s="10" t="n"/>
      <c r="BL229" s="10">
        <f>tbl_MTG_Set[[#This Row],[Collector Booster Sell Price CardMarket]]*tbl_MTG_Set[[#This Row],[Collector Booster Expected Market Value]]/tbl_MTG_Set[[#This Row],[Collector Boost Sealed Market Value]]</f>
        <v/>
      </c>
      <c r="BM2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9" s="10">
        <f>tbl_MTG_Set[[#This Row],[Collector Singles CardMarket Profit]]/tbl_MTG_Set[[#This Row],[Collector Booster Cost]]</f>
        <v/>
      </c>
      <c r="BO229" s="10">
        <f>tbl_MTG_Set[[#This Row],[Collector Singles CardMarket Profit]]&gt;0</f>
        <v/>
      </c>
      <c r="BP2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0">
      <c r="A230" t="n">
        <v>228</v>
      </c>
      <c r="B230" t="inlineStr">
        <is>
          <t>The Brothers' War Tokens TBRO</t>
        </is>
      </c>
      <c r="C230" t="n">
        <v>12</v>
      </c>
      <c r="D230" s="3" t="n">
        <v>44883</v>
      </c>
      <c r="E230" t="inlineStr">
        <is>
          <t>Standard Expansion</t>
        </is>
      </c>
      <c r="F230" t="inlineStr">
        <is>
          <t>en es fr de it pt ja ko ru 汉语 漢語</t>
        </is>
      </c>
      <c r="G230" t="n">
        <v>402</v>
      </c>
      <c r="H230">
        <f>MONTH(NOW())+12*YEAR(NOW())-MONTH(tbl_MTG_Set[[#This Row],[Released On]])-12*YEAR(tbl_MTG_Set[[#This Row],[Released On]])</f>
        <v/>
      </c>
      <c r="I230">
        <f>_xlfn.XLOOKUP(tbl_MTG_Set[[#This Row],[Type Name]], tbl_MTG_Set_Type[Set Type], tbl_MTG_Set_Type[Index], "(Set Type not found)")</f>
        <v/>
      </c>
      <c r="J230">
        <f>_xlfn.XLOOKUP(tbl_MTG_Set[[#This Row],[Type Name]], tbl_MTG_Set_Type[Set Type], tbl_MTG_Set_Type[Buy Window Month Start], "(Set Type not found)")</f>
        <v/>
      </c>
      <c r="K230" s="3">
        <f>tbl_MTG_Set[[#This Row],[Released On]]+tbl_MTG_Set[[#This Row],[Buy Window Month Start]]*365.25/12</f>
        <v/>
      </c>
      <c r="L230">
        <f>_xlfn.XLOOKUP(tbl_MTG_Set[[#This Row],[Type Name]], tbl_MTG_Set_Type[Set Type], tbl_MTG_Set_Type[Buy Window Month End], "(Set Type not found)", 0, 1)</f>
        <v/>
      </c>
      <c r="M230" s="3">
        <f>tbl_MTG_Set[[#This Row],[Released On]]+tbl_MTG_Set[[#This Row],[Buy Window Month End]]*365.25/12</f>
        <v/>
      </c>
      <c r="N230" s="3">
        <f>AND(NOW()&gt;=tbl_MTG_Set[[#This Row],[Buy Window Start]], NOW()&lt;=tbl_MTG_Set[[#This Row],[Buy Window End]])</f>
        <v/>
      </c>
      <c r="O230">
        <f>_xlfn.XLOOKUP(tbl_MTG_Set[[#This Row],[Type Name]], tbl_MTG_Set_Type[Set Type], tbl_MTG_Set_Type[Heavy Printing Window Month Start], "(Set Type not found)", 0, 1)</f>
        <v/>
      </c>
      <c r="P230" s="3">
        <f>tbl_MTG_Set[[#This Row],[Released On]]+tbl_MTG_Set[[#This Row],[Heavy Printing Window Month Start]]*365.25/12</f>
        <v/>
      </c>
      <c r="Q230">
        <f>_xlfn.XLOOKUP(tbl_MTG_Set[[#This Row],[Type Name]], tbl_MTG_Set_Type[Set Type], tbl_MTG_Set_Type[Heavy Printing Window Month End], "(Set Type not found)", 0, 1)</f>
        <v/>
      </c>
      <c r="R230" s="3">
        <f>tbl_MTG_Set[[#This Row],[Released On]]+tbl_MTG_Set[[#This Row],[Heavy Printing Window Month End]]*365.25/12</f>
        <v/>
      </c>
      <c r="S230" s="3">
        <f>AND(NOW()&gt;=tbl_MTG_Set[[#This Row],[Heavy Printing Window Start]], NOW()&lt;=tbl_MTG_Set[[#This Row],[Heavy Printing Window End]])</f>
        <v/>
      </c>
      <c r="T230">
        <f>_xlfn.XLOOKUP(tbl_MTG_Set[[#This Row],[Type Name]], tbl_MTG_Set_Type[Set Type], tbl_MTG_Set_Type[Sell Window Month Start], "(Set Type not found)", 0, 1)</f>
        <v/>
      </c>
      <c r="U230" s="3">
        <f>tbl_MTG_Set[[#This Row],[Released On]]+tbl_MTG_Set[[#This Row],[Sell Window Month Start]]*365.25/12</f>
        <v/>
      </c>
      <c r="V230">
        <f>_xlfn.XLOOKUP(tbl_MTG_Set[[#This Row],[Type Name]], tbl_MTG_Set_Type[Set Type], tbl_MTG_Set_Type[Sell Window Month End], "(Set Type not found)", 0, 1)</f>
        <v/>
      </c>
      <c r="W230" s="3">
        <f>tbl_MTG_Set[[#This Row],[Released On]]+tbl_MTG_Set[[#This Row],[Sell Window Month End]]*365.25/12</f>
        <v/>
      </c>
      <c r="X230" s="3">
        <f>AND(NOW()&gt;=tbl_MTG_Set[[#This Row],[Sell Window Start]], NOW()&lt;=tbl_MTG_Set[[#This Row],[Sell Window End]])</f>
        <v/>
      </c>
      <c r="AG230" s="10" t="n"/>
      <c r="AH230" s="10" t="n"/>
      <c r="AM230" s="10">
        <f t="array" ref="AM2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0" s="10">
        <f t="array" ref="AN2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0" s="4">
        <f>_xlfn.XLOOKUP(tbl_MTG_Set[[#This Row],[Play Booster Box Product Id]], tbl_Product[Product Id], tbl_Product[Pack Size])</f>
        <v/>
      </c>
      <c r="AP230" s="10">
        <f>(tbl_MTG_Set[[#This Row],[Play Booster Box Cost]]+v_Item_Shipping_Cost_In)/tbl_MTG_Set[[#This Row],[Play Booster Box Size]]</f>
        <v/>
      </c>
      <c r="AQ230" s="10">
        <f t="array" ref="AQ2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0" s="10" t="n"/>
      <c r="AS230" s="10" t="n"/>
      <c r="AT230" s="17">
        <f>tbl_MTG_Set[[#This Row],[Play Booster CardMarket Profit]]/tbl_MTG_Set[[#This Row],[Play Booster Cost]]</f>
        <v/>
      </c>
      <c r="AU230" s="10">
        <f>_xlfn.XLOOKUP(tbl_MTG_Set[[#This Row],[Collector Booster Box Product Id]], tbl_Product[Product Id], tbl_Product[Min Cost])</f>
        <v/>
      </c>
      <c r="AV230" s="10">
        <f>_xlfn.XLOOKUP(tbl_MTG_Set[[#This Row],[Collector Booster Box Product Id]], tbl_Product[Product Id], tbl_Product[Best Source])</f>
        <v/>
      </c>
      <c r="AW230" s="4">
        <f>_xlfn.XLOOKUP(tbl_MTG_Set[[#This Row],[Collector Booster Box Product Id]], tbl_Product[Product Id], tbl_Product[Pack Size])</f>
        <v/>
      </c>
      <c r="AX230" s="10">
        <f>(tbl_MTG_Set[[#This Row],[Collector Booster Box Cost]] + v_Item_Shipping_Cost_In) / tbl_MTG_Set[[#This Row],[Collector Booster Box Size]]</f>
        <v/>
      </c>
      <c r="AY230" s="10">
        <f t="array" ref="AY2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0" s="10" t="n"/>
      <c r="BA2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0" s="17">
        <f>tbl_MTG_Set[[#This Row],[Collector Booster CardMarket Profit]]/tbl_MTG_Set[[#This Row],[Collector Booster Cost]]</f>
        <v/>
      </c>
      <c r="BC230" s="10" t="n"/>
      <c r="BF230" s="10">
        <f>tbl_MTG_Set[[#This Row],[Play Booster Sell Price CardMarket]]*tbl_MTG_Set[[#This Row],[Play Booster Expected Market Value]]/tbl_MTG_Set[[#This Row],[Play Boost Sealed Market Value]]</f>
        <v/>
      </c>
      <c r="BG2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0" s="10">
        <f>tbl_MTG_Set[[#This Row],[Play Singles CardMarket Profit]]/tbl_MTG_Set[[#This Row],[Play Booster Cost]]</f>
        <v/>
      </c>
      <c r="BI230" s="10">
        <f>tbl_MTG_Set[[#This Row],[Play Singles CardMarket Profit]]&gt;0</f>
        <v/>
      </c>
      <c r="BJ230" s="10" t="n"/>
      <c r="BK230" s="10" t="n"/>
      <c r="BL230" s="10">
        <f>tbl_MTG_Set[[#This Row],[Collector Booster Sell Price CardMarket]]*tbl_MTG_Set[[#This Row],[Collector Booster Expected Market Value]]/tbl_MTG_Set[[#This Row],[Collector Boost Sealed Market Value]]</f>
        <v/>
      </c>
      <c r="BM2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0" s="10">
        <f>tbl_MTG_Set[[#This Row],[Collector Singles CardMarket Profit]]/tbl_MTG_Set[[#This Row],[Collector Booster Cost]]</f>
        <v/>
      </c>
      <c r="BO230" s="10">
        <f>tbl_MTG_Set[[#This Row],[Collector Singles CardMarket Profit]]&gt;0</f>
        <v/>
      </c>
      <c r="BP2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1">
      <c r="A231" t="n">
        <v>229</v>
      </c>
      <c r="B231" t="inlineStr">
        <is>
          <t>Alchemy: The Brothers' War YBRO</t>
        </is>
      </c>
      <c r="C231" t="n">
        <v>31</v>
      </c>
      <c r="D231" s="3" t="n">
        <v>44908</v>
      </c>
      <c r="F231" t="inlineStr">
        <is>
          <t>en es fr de it pt ja ko ru 汉语 漢語</t>
        </is>
      </c>
      <c r="G231" t="n">
        <v>404</v>
      </c>
      <c r="H231">
        <f>MONTH(NOW())+12*YEAR(NOW())-MONTH(tbl_MTG_Set[[#This Row],[Released On]])-12*YEAR(tbl_MTG_Set[[#This Row],[Released On]])</f>
        <v/>
      </c>
      <c r="I231">
        <f>_xlfn.XLOOKUP(tbl_MTG_Set[[#This Row],[Type Name]], tbl_MTG_Set_Type[Set Type], tbl_MTG_Set_Type[Index], "(Set Type not found)")</f>
        <v/>
      </c>
      <c r="J231">
        <f>_xlfn.XLOOKUP(tbl_MTG_Set[[#This Row],[Type Name]], tbl_MTG_Set_Type[Set Type], tbl_MTG_Set_Type[Buy Window Month Start], "(Set Type not found)")</f>
        <v/>
      </c>
      <c r="K231" s="3">
        <f>tbl_MTG_Set[[#This Row],[Released On]]+tbl_MTG_Set[[#This Row],[Buy Window Month Start]]*365.25/12</f>
        <v/>
      </c>
      <c r="L231">
        <f>_xlfn.XLOOKUP(tbl_MTG_Set[[#This Row],[Type Name]], tbl_MTG_Set_Type[Set Type], tbl_MTG_Set_Type[Buy Window Month End], "(Set Type not found)", 0, 1)</f>
        <v/>
      </c>
      <c r="M231" s="3">
        <f>tbl_MTG_Set[[#This Row],[Released On]]+tbl_MTG_Set[[#This Row],[Buy Window Month End]]*365.25/12</f>
        <v/>
      </c>
      <c r="N231" s="3">
        <f>AND(NOW()&gt;=tbl_MTG_Set[[#This Row],[Buy Window Start]], NOW()&lt;=tbl_MTG_Set[[#This Row],[Buy Window End]])</f>
        <v/>
      </c>
      <c r="O231">
        <f>_xlfn.XLOOKUP(tbl_MTG_Set[[#This Row],[Type Name]], tbl_MTG_Set_Type[Set Type], tbl_MTG_Set_Type[Heavy Printing Window Month Start], "(Set Type not found)", 0, 1)</f>
        <v/>
      </c>
      <c r="P231" s="3">
        <f>tbl_MTG_Set[[#This Row],[Released On]]+tbl_MTG_Set[[#This Row],[Heavy Printing Window Month Start]]*365.25/12</f>
        <v/>
      </c>
      <c r="Q231">
        <f>_xlfn.XLOOKUP(tbl_MTG_Set[[#This Row],[Type Name]], tbl_MTG_Set_Type[Set Type], tbl_MTG_Set_Type[Heavy Printing Window Month End], "(Set Type not found)", 0, 1)</f>
        <v/>
      </c>
      <c r="R231" s="3">
        <f>tbl_MTG_Set[[#This Row],[Released On]]+tbl_MTG_Set[[#This Row],[Heavy Printing Window Month End]]*365.25/12</f>
        <v/>
      </c>
      <c r="S231" s="3">
        <f>AND(NOW()&gt;=tbl_MTG_Set[[#This Row],[Heavy Printing Window Start]], NOW()&lt;=tbl_MTG_Set[[#This Row],[Heavy Printing Window End]])</f>
        <v/>
      </c>
      <c r="T231">
        <f>_xlfn.XLOOKUP(tbl_MTG_Set[[#This Row],[Type Name]], tbl_MTG_Set_Type[Set Type], tbl_MTG_Set_Type[Sell Window Month Start], "(Set Type not found)", 0, 1)</f>
        <v/>
      </c>
      <c r="U231" s="3">
        <f>tbl_MTG_Set[[#This Row],[Released On]]+tbl_MTG_Set[[#This Row],[Sell Window Month Start]]*365.25/12</f>
        <v/>
      </c>
      <c r="V231">
        <f>_xlfn.XLOOKUP(tbl_MTG_Set[[#This Row],[Type Name]], tbl_MTG_Set_Type[Set Type], tbl_MTG_Set_Type[Sell Window Month End], "(Set Type not found)", 0, 1)</f>
        <v/>
      </c>
      <c r="W231" s="3">
        <f>tbl_MTG_Set[[#This Row],[Released On]]+tbl_MTG_Set[[#This Row],[Sell Window Month End]]*365.25/12</f>
        <v/>
      </c>
      <c r="X231" s="3">
        <f>AND(NOW()&gt;=tbl_MTG_Set[[#This Row],[Sell Window Start]], NOW()&lt;=tbl_MTG_Set[[#This Row],[Sell Window End]])</f>
        <v/>
      </c>
      <c r="AG231" s="10" t="n"/>
      <c r="AH231" s="10" t="n"/>
      <c r="AM231" s="10">
        <f t="array" ref="AM2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1" s="10">
        <f t="array" ref="AN2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1" s="4">
        <f>_xlfn.XLOOKUP(tbl_MTG_Set[[#This Row],[Play Booster Box Product Id]], tbl_Product[Product Id], tbl_Product[Pack Size])</f>
        <v/>
      </c>
      <c r="AP231" s="10">
        <f>(tbl_MTG_Set[[#This Row],[Play Booster Box Cost]]+v_Item_Shipping_Cost_In)/tbl_MTG_Set[[#This Row],[Play Booster Box Size]]</f>
        <v/>
      </c>
      <c r="AQ231" s="10">
        <f t="array" ref="AQ2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1" s="10" t="n"/>
      <c r="AS231" s="10" t="n"/>
      <c r="AT231" s="17">
        <f>tbl_MTG_Set[[#This Row],[Play Booster CardMarket Profit]]/tbl_MTG_Set[[#This Row],[Play Booster Cost]]</f>
        <v/>
      </c>
      <c r="AU231" s="10">
        <f>_xlfn.XLOOKUP(tbl_MTG_Set[[#This Row],[Collector Booster Box Product Id]], tbl_Product[Product Id], tbl_Product[Min Cost])</f>
        <v/>
      </c>
      <c r="AV231" s="10">
        <f>_xlfn.XLOOKUP(tbl_MTG_Set[[#This Row],[Collector Booster Box Product Id]], tbl_Product[Product Id], tbl_Product[Best Source])</f>
        <v/>
      </c>
      <c r="AW231" s="4">
        <f>_xlfn.XLOOKUP(tbl_MTG_Set[[#This Row],[Collector Booster Box Product Id]], tbl_Product[Product Id], tbl_Product[Pack Size])</f>
        <v/>
      </c>
      <c r="AX231" s="10">
        <f>(tbl_MTG_Set[[#This Row],[Collector Booster Box Cost]] + v_Item_Shipping_Cost_In) / tbl_MTG_Set[[#This Row],[Collector Booster Box Size]]</f>
        <v/>
      </c>
      <c r="AY231" s="10">
        <f t="array" ref="AY2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1" s="10" t="n"/>
      <c r="BA2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1" s="17">
        <f>tbl_MTG_Set[[#This Row],[Collector Booster CardMarket Profit]]/tbl_MTG_Set[[#This Row],[Collector Booster Cost]]</f>
        <v/>
      </c>
      <c r="BC231" s="10" t="n"/>
      <c r="BF231" s="10">
        <f>tbl_MTG_Set[[#This Row],[Play Booster Sell Price CardMarket]]*tbl_MTG_Set[[#This Row],[Play Booster Expected Market Value]]/tbl_MTG_Set[[#This Row],[Play Boost Sealed Market Value]]</f>
        <v/>
      </c>
      <c r="BG2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1" s="10">
        <f>tbl_MTG_Set[[#This Row],[Play Singles CardMarket Profit]]/tbl_MTG_Set[[#This Row],[Play Booster Cost]]</f>
        <v/>
      </c>
      <c r="BI231" s="10">
        <f>tbl_MTG_Set[[#This Row],[Play Singles CardMarket Profit]]&gt;0</f>
        <v/>
      </c>
      <c r="BJ231" s="10" t="n"/>
      <c r="BK231" s="10" t="n"/>
      <c r="BL231" s="10">
        <f>tbl_MTG_Set[[#This Row],[Collector Booster Sell Price CardMarket]]*tbl_MTG_Set[[#This Row],[Collector Booster Expected Market Value]]/tbl_MTG_Set[[#This Row],[Collector Boost Sealed Market Value]]</f>
        <v/>
      </c>
      <c r="BM2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1" s="10">
        <f>tbl_MTG_Set[[#This Row],[Collector Singles CardMarket Profit]]/tbl_MTG_Set[[#This Row],[Collector Booster Cost]]</f>
        <v/>
      </c>
      <c r="BO231" s="10">
        <f>tbl_MTG_Set[[#This Row],[Collector Singles CardMarket Profit]]&gt;0</f>
        <v/>
      </c>
      <c r="BP2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2">
      <c r="A232" t="n">
        <v>230</v>
      </c>
      <c r="B232" t="inlineStr">
        <is>
          <t>The Brothers' War Commander BRC</t>
        </is>
      </c>
      <c r="C232" t="n">
        <v>209</v>
      </c>
      <c r="D232" s="3" t="n">
        <v>44883</v>
      </c>
      <c r="E232" t="inlineStr">
        <is>
          <t>Standard Expansion</t>
        </is>
      </c>
      <c r="F232" t="inlineStr">
        <is>
          <t>en es fr de it pt ja ko ru 汉语 漢語</t>
        </is>
      </c>
      <c r="G232" t="n">
        <v>406</v>
      </c>
      <c r="H232">
        <f>MONTH(NOW())+12*YEAR(NOW())-MONTH(tbl_MTG_Set[[#This Row],[Released On]])-12*YEAR(tbl_MTG_Set[[#This Row],[Released On]])</f>
        <v/>
      </c>
      <c r="I232">
        <f>_xlfn.XLOOKUP(tbl_MTG_Set[[#This Row],[Type Name]], tbl_MTG_Set_Type[Set Type], tbl_MTG_Set_Type[Index], "(Set Type not found)")</f>
        <v/>
      </c>
      <c r="J232">
        <f>_xlfn.XLOOKUP(tbl_MTG_Set[[#This Row],[Type Name]], tbl_MTG_Set_Type[Set Type], tbl_MTG_Set_Type[Buy Window Month Start], "(Set Type not found)")</f>
        <v/>
      </c>
      <c r="K232" s="3">
        <f>tbl_MTG_Set[[#This Row],[Released On]]+tbl_MTG_Set[[#This Row],[Buy Window Month Start]]*365.25/12</f>
        <v/>
      </c>
      <c r="L232">
        <f>_xlfn.XLOOKUP(tbl_MTG_Set[[#This Row],[Type Name]], tbl_MTG_Set_Type[Set Type], tbl_MTG_Set_Type[Buy Window Month End], "(Set Type not found)", 0, 1)</f>
        <v/>
      </c>
      <c r="M232" s="3">
        <f>tbl_MTG_Set[[#This Row],[Released On]]+tbl_MTG_Set[[#This Row],[Buy Window Month End]]*365.25/12</f>
        <v/>
      </c>
      <c r="N232" s="3">
        <f>AND(NOW()&gt;=tbl_MTG_Set[[#This Row],[Buy Window Start]], NOW()&lt;=tbl_MTG_Set[[#This Row],[Buy Window End]])</f>
        <v/>
      </c>
      <c r="O232">
        <f>_xlfn.XLOOKUP(tbl_MTG_Set[[#This Row],[Type Name]], tbl_MTG_Set_Type[Set Type], tbl_MTG_Set_Type[Heavy Printing Window Month Start], "(Set Type not found)", 0, 1)</f>
        <v/>
      </c>
      <c r="P232" s="3">
        <f>tbl_MTG_Set[[#This Row],[Released On]]+tbl_MTG_Set[[#This Row],[Heavy Printing Window Month Start]]*365.25/12</f>
        <v/>
      </c>
      <c r="Q232">
        <f>_xlfn.XLOOKUP(tbl_MTG_Set[[#This Row],[Type Name]], tbl_MTG_Set_Type[Set Type], tbl_MTG_Set_Type[Heavy Printing Window Month End], "(Set Type not found)", 0, 1)</f>
        <v/>
      </c>
      <c r="R232" s="3">
        <f>tbl_MTG_Set[[#This Row],[Released On]]+tbl_MTG_Set[[#This Row],[Heavy Printing Window Month End]]*365.25/12</f>
        <v/>
      </c>
      <c r="S232" s="3">
        <f>AND(NOW()&gt;=tbl_MTG_Set[[#This Row],[Heavy Printing Window Start]], NOW()&lt;=tbl_MTG_Set[[#This Row],[Heavy Printing Window End]])</f>
        <v/>
      </c>
      <c r="T232">
        <f>_xlfn.XLOOKUP(tbl_MTG_Set[[#This Row],[Type Name]], tbl_MTG_Set_Type[Set Type], tbl_MTG_Set_Type[Sell Window Month Start], "(Set Type not found)", 0, 1)</f>
        <v/>
      </c>
      <c r="U232" s="3">
        <f>tbl_MTG_Set[[#This Row],[Released On]]+tbl_MTG_Set[[#This Row],[Sell Window Month Start]]*365.25/12</f>
        <v/>
      </c>
      <c r="V232">
        <f>_xlfn.XLOOKUP(tbl_MTG_Set[[#This Row],[Type Name]], tbl_MTG_Set_Type[Set Type], tbl_MTG_Set_Type[Sell Window Month End], "(Set Type not found)", 0, 1)</f>
        <v/>
      </c>
      <c r="W232" s="3">
        <f>tbl_MTG_Set[[#This Row],[Released On]]+tbl_MTG_Set[[#This Row],[Sell Window Month End]]*365.25/12</f>
        <v/>
      </c>
      <c r="X232" s="3">
        <f>AND(NOW()&gt;=tbl_MTG_Set[[#This Row],[Sell Window Start]], NOW()&lt;=tbl_MTG_Set[[#This Row],[Sell Window End]])</f>
        <v/>
      </c>
      <c r="AG232" s="10" t="n"/>
      <c r="AH232" s="10" t="n"/>
      <c r="AM232" s="10">
        <f t="array" ref="AM2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2" s="10">
        <f t="array" ref="AN2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2" s="4">
        <f>_xlfn.XLOOKUP(tbl_MTG_Set[[#This Row],[Play Booster Box Product Id]], tbl_Product[Product Id], tbl_Product[Pack Size])</f>
        <v/>
      </c>
      <c r="AP232" s="10">
        <f>(tbl_MTG_Set[[#This Row],[Play Booster Box Cost]]+v_Item_Shipping_Cost_In)/tbl_MTG_Set[[#This Row],[Play Booster Box Size]]</f>
        <v/>
      </c>
      <c r="AQ232" s="10">
        <f t="array" ref="AQ2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2" s="10" t="n"/>
      <c r="AS232" s="10" t="n"/>
      <c r="AT232" s="17">
        <f>tbl_MTG_Set[[#This Row],[Play Booster CardMarket Profit]]/tbl_MTG_Set[[#This Row],[Play Booster Cost]]</f>
        <v/>
      </c>
      <c r="AU232" s="10">
        <f>_xlfn.XLOOKUP(tbl_MTG_Set[[#This Row],[Collector Booster Box Product Id]], tbl_Product[Product Id], tbl_Product[Min Cost])</f>
        <v/>
      </c>
      <c r="AV232" s="10">
        <f>_xlfn.XLOOKUP(tbl_MTG_Set[[#This Row],[Collector Booster Box Product Id]], tbl_Product[Product Id], tbl_Product[Best Source])</f>
        <v/>
      </c>
      <c r="AW232" s="4">
        <f>_xlfn.XLOOKUP(tbl_MTG_Set[[#This Row],[Collector Booster Box Product Id]], tbl_Product[Product Id], tbl_Product[Pack Size])</f>
        <v/>
      </c>
      <c r="AX232" s="10">
        <f>(tbl_MTG_Set[[#This Row],[Collector Booster Box Cost]] + v_Item_Shipping_Cost_In) / tbl_MTG_Set[[#This Row],[Collector Booster Box Size]]</f>
        <v/>
      </c>
      <c r="AY232" s="10">
        <f t="array" ref="AY2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2" s="10" t="n"/>
      <c r="BA2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2" s="17">
        <f>tbl_MTG_Set[[#This Row],[Collector Booster CardMarket Profit]]/tbl_MTG_Set[[#This Row],[Collector Booster Cost]]</f>
        <v/>
      </c>
      <c r="BC232" s="10" t="n"/>
      <c r="BF232" s="10">
        <f>tbl_MTG_Set[[#This Row],[Play Booster Sell Price CardMarket]]*tbl_MTG_Set[[#This Row],[Play Booster Expected Market Value]]/tbl_MTG_Set[[#This Row],[Play Boost Sealed Market Value]]</f>
        <v/>
      </c>
      <c r="BG2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2" s="10">
        <f>tbl_MTG_Set[[#This Row],[Play Singles CardMarket Profit]]/tbl_MTG_Set[[#This Row],[Play Booster Cost]]</f>
        <v/>
      </c>
      <c r="BI232" s="10">
        <f>tbl_MTG_Set[[#This Row],[Play Singles CardMarket Profit]]&gt;0</f>
        <v/>
      </c>
      <c r="BJ232" s="10" t="n"/>
      <c r="BK232" s="10" t="n"/>
      <c r="BL232" s="10">
        <f>tbl_MTG_Set[[#This Row],[Collector Booster Sell Price CardMarket]]*tbl_MTG_Set[[#This Row],[Collector Booster Expected Market Value]]/tbl_MTG_Set[[#This Row],[Collector Boost Sealed Market Value]]</f>
        <v/>
      </c>
      <c r="BM2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2" s="10">
        <f>tbl_MTG_Set[[#This Row],[Collector Singles CardMarket Profit]]/tbl_MTG_Set[[#This Row],[Collector Booster Cost]]</f>
        <v/>
      </c>
      <c r="BO232" s="10">
        <f>tbl_MTG_Set[[#This Row],[Collector Singles CardMarket Profit]]&gt;0</f>
        <v/>
      </c>
      <c r="BP2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3">
      <c r="A233" t="n">
        <v>231</v>
      </c>
      <c r="B233" t="inlineStr">
        <is>
          <t>The Brothers' War Commander Tokens TBRC</t>
        </is>
      </c>
      <c r="C233" t="n">
        <v>14</v>
      </c>
      <c r="D233" s="3" t="n">
        <v>44883</v>
      </c>
      <c r="E233" t="inlineStr">
        <is>
          <t>Standard Expansion</t>
        </is>
      </c>
      <c r="F233" t="inlineStr">
        <is>
          <t>en es fr de it pt ja ko ru 汉语 漢語</t>
        </is>
      </c>
      <c r="G233" t="n">
        <v>408</v>
      </c>
      <c r="H233">
        <f>MONTH(NOW())+12*YEAR(NOW())-MONTH(tbl_MTG_Set[[#This Row],[Released On]])-12*YEAR(tbl_MTG_Set[[#This Row],[Released On]])</f>
        <v/>
      </c>
      <c r="I233">
        <f>_xlfn.XLOOKUP(tbl_MTG_Set[[#This Row],[Type Name]], tbl_MTG_Set_Type[Set Type], tbl_MTG_Set_Type[Index], "(Set Type not found)")</f>
        <v/>
      </c>
      <c r="J233">
        <f>_xlfn.XLOOKUP(tbl_MTG_Set[[#This Row],[Type Name]], tbl_MTG_Set_Type[Set Type], tbl_MTG_Set_Type[Buy Window Month Start], "(Set Type not found)")</f>
        <v/>
      </c>
      <c r="K233" s="3">
        <f>tbl_MTG_Set[[#This Row],[Released On]]+tbl_MTG_Set[[#This Row],[Buy Window Month Start]]*365.25/12</f>
        <v/>
      </c>
      <c r="L233">
        <f>_xlfn.XLOOKUP(tbl_MTG_Set[[#This Row],[Type Name]], tbl_MTG_Set_Type[Set Type], tbl_MTG_Set_Type[Buy Window Month End], "(Set Type not found)", 0, 1)</f>
        <v/>
      </c>
      <c r="M233" s="3">
        <f>tbl_MTG_Set[[#This Row],[Released On]]+tbl_MTG_Set[[#This Row],[Buy Window Month End]]*365.25/12</f>
        <v/>
      </c>
      <c r="N233" s="3">
        <f>AND(NOW()&gt;=tbl_MTG_Set[[#This Row],[Buy Window Start]], NOW()&lt;=tbl_MTG_Set[[#This Row],[Buy Window End]])</f>
        <v/>
      </c>
      <c r="O233">
        <f>_xlfn.XLOOKUP(tbl_MTG_Set[[#This Row],[Type Name]], tbl_MTG_Set_Type[Set Type], tbl_MTG_Set_Type[Heavy Printing Window Month Start], "(Set Type not found)", 0, 1)</f>
        <v/>
      </c>
      <c r="P233" s="3">
        <f>tbl_MTG_Set[[#This Row],[Released On]]+tbl_MTG_Set[[#This Row],[Heavy Printing Window Month Start]]*365.25/12</f>
        <v/>
      </c>
      <c r="Q233">
        <f>_xlfn.XLOOKUP(tbl_MTG_Set[[#This Row],[Type Name]], tbl_MTG_Set_Type[Set Type], tbl_MTG_Set_Type[Heavy Printing Window Month End], "(Set Type not found)", 0, 1)</f>
        <v/>
      </c>
      <c r="R233" s="3">
        <f>tbl_MTG_Set[[#This Row],[Released On]]+tbl_MTG_Set[[#This Row],[Heavy Printing Window Month End]]*365.25/12</f>
        <v/>
      </c>
      <c r="S233" s="3">
        <f>AND(NOW()&gt;=tbl_MTG_Set[[#This Row],[Heavy Printing Window Start]], NOW()&lt;=tbl_MTG_Set[[#This Row],[Heavy Printing Window End]])</f>
        <v/>
      </c>
      <c r="T233">
        <f>_xlfn.XLOOKUP(tbl_MTG_Set[[#This Row],[Type Name]], tbl_MTG_Set_Type[Set Type], tbl_MTG_Set_Type[Sell Window Month Start], "(Set Type not found)", 0, 1)</f>
        <v/>
      </c>
      <c r="U233" s="3">
        <f>tbl_MTG_Set[[#This Row],[Released On]]+tbl_MTG_Set[[#This Row],[Sell Window Month Start]]*365.25/12</f>
        <v/>
      </c>
      <c r="V233">
        <f>_xlfn.XLOOKUP(tbl_MTG_Set[[#This Row],[Type Name]], tbl_MTG_Set_Type[Set Type], tbl_MTG_Set_Type[Sell Window Month End], "(Set Type not found)", 0, 1)</f>
        <v/>
      </c>
      <c r="W233" s="3">
        <f>tbl_MTG_Set[[#This Row],[Released On]]+tbl_MTG_Set[[#This Row],[Sell Window Month End]]*365.25/12</f>
        <v/>
      </c>
      <c r="X233" s="3">
        <f>AND(NOW()&gt;=tbl_MTG_Set[[#This Row],[Sell Window Start]], NOW()&lt;=tbl_MTG_Set[[#This Row],[Sell Window End]])</f>
        <v/>
      </c>
      <c r="AG233" s="10" t="n"/>
      <c r="AH233" s="10" t="n"/>
      <c r="AM233" s="10">
        <f t="array" ref="AM2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3" s="10">
        <f t="array" ref="AN2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3" s="4">
        <f>_xlfn.XLOOKUP(tbl_MTG_Set[[#This Row],[Play Booster Box Product Id]], tbl_Product[Product Id], tbl_Product[Pack Size])</f>
        <v/>
      </c>
      <c r="AP233" s="10">
        <f>(tbl_MTG_Set[[#This Row],[Play Booster Box Cost]]+v_Item_Shipping_Cost_In)/tbl_MTG_Set[[#This Row],[Play Booster Box Size]]</f>
        <v/>
      </c>
      <c r="AQ233" s="10">
        <f t="array" ref="AQ2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3" s="10" t="n"/>
      <c r="AS233" s="10" t="n"/>
      <c r="AT233" s="17">
        <f>tbl_MTG_Set[[#This Row],[Play Booster CardMarket Profit]]/tbl_MTG_Set[[#This Row],[Play Booster Cost]]</f>
        <v/>
      </c>
      <c r="AU233" s="10">
        <f>_xlfn.XLOOKUP(tbl_MTG_Set[[#This Row],[Collector Booster Box Product Id]], tbl_Product[Product Id], tbl_Product[Min Cost])</f>
        <v/>
      </c>
      <c r="AV233" s="10">
        <f>_xlfn.XLOOKUP(tbl_MTG_Set[[#This Row],[Collector Booster Box Product Id]], tbl_Product[Product Id], tbl_Product[Best Source])</f>
        <v/>
      </c>
      <c r="AW233" s="4">
        <f>_xlfn.XLOOKUP(tbl_MTG_Set[[#This Row],[Collector Booster Box Product Id]], tbl_Product[Product Id], tbl_Product[Pack Size])</f>
        <v/>
      </c>
      <c r="AX233" s="10">
        <f>(tbl_MTG_Set[[#This Row],[Collector Booster Box Cost]] + v_Item_Shipping_Cost_In) / tbl_MTG_Set[[#This Row],[Collector Booster Box Size]]</f>
        <v/>
      </c>
      <c r="AY233" s="10">
        <f t="array" ref="AY2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3" s="10" t="n"/>
      <c r="BA2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3" s="17">
        <f>tbl_MTG_Set[[#This Row],[Collector Booster CardMarket Profit]]/tbl_MTG_Set[[#This Row],[Collector Booster Cost]]</f>
        <v/>
      </c>
      <c r="BC233" s="10" t="n"/>
      <c r="BF233" s="10">
        <f>tbl_MTG_Set[[#This Row],[Play Booster Sell Price CardMarket]]*tbl_MTG_Set[[#This Row],[Play Booster Expected Market Value]]/tbl_MTG_Set[[#This Row],[Play Boost Sealed Market Value]]</f>
        <v/>
      </c>
      <c r="BG2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3" s="10">
        <f>tbl_MTG_Set[[#This Row],[Play Singles CardMarket Profit]]/tbl_MTG_Set[[#This Row],[Play Booster Cost]]</f>
        <v/>
      </c>
      <c r="BI233" s="10">
        <f>tbl_MTG_Set[[#This Row],[Play Singles CardMarket Profit]]&gt;0</f>
        <v/>
      </c>
      <c r="BJ233" s="10" t="n"/>
      <c r="BK233" s="10" t="n"/>
      <c r="BL233" s="10">
        <f>tbl_MTG_Set[[#This Row],[Collector Booster Sell Price CardMarket]]*tbl_MTG_Set[[#This Row],[Collector Booster Expected Market Value]]/tbl_MTG_Set[[#This Row],[Collector Boost Sealed Market Value]]</f>
        <v/>
      </c>
      <c r="BM2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3" s="10">
        <f>tbl_MTG_Set[[#This Row],[Collector Singles CardMarket Profit]]/tbl_MTG_Set[[#This Row],[Collector Booster Cost]]</f>
        <v/>
      </c>
      <c r="BO233" s="10">
        <f>tbl_MTG_Set[[#This Row],[Collector Singles CardMarket Profit]]&gt;0</f>
        <v/>
      </c>
      <c r="BP2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4">
      <c r="A234" t="n">
        <v>232</v>
      </c>
      <c r="B234" t="inlineStr">
        <is>
          <t>Transformers BOT</t>
        </is>
      </c>
      <c r="C234" t="n">
        <v>29</v>
      </c>
      <c r="D234" s="3" t="n">
        <v>44883</v>
      </c>
      <c r="F234" t="inlineStr">
        <is>
          <t>en es fr de it pt ja ko ru 汉语 漢語</t>
        </is>
      </c>
      <c r="G234" t="n">
        <v>410</v>
      </c>
      <c r="H234">
        <f>MONTH(NOW())+12*YEAR(NOW())-MONTH(tbl_MTG_Set[[#This Row],[Released On]])-12*YEAR(tbl_MTG_Set[[#This Row],[Released On]])</f>
        <v/>
      </c>
      <c r="I234">
        <f>_xlfn.XLOOKUP(tbl_MTG_Set[[#This Row],[Type Name]], tbl_MTG_Set_Type[Set Type], tbl_MTG_Set_Type[Index], "(Set Type not found)")</f>
        <v/>
      </c>
      <c r="J234">
        <f>_xlfn.XLOOKUP(tbl_MTG_Set[[#This Row],[Type Name]], tbl_MTG_Set_Type[Set Type], tbl_MTG_Set_Type[Buy Window Month Start], "(Set Type not found)")</f>
        <v/>
      </c>
      <c r="K234" s="3">
        <f>tbl_MTG_Set[[#This Row],[Released On]]+tbl_MTG_Set[[#This Row],[Buy Window Month Start]]*365.25/12</f>
        <v/>
      </c>
      <c r="L234">
        <f>_xlfn.XLOOKUP(tbl_MTG_Set[[#This Row],[Type Name]], tbl_MTG_Set_Type[Set Type], tbl_MTG_Set_Type[Buy Window Month End], "(Set Type not found)", 0, 1)</f>
        <v/>
      </c>
      <c r="M234" s="3">
        <f>tbl_MTG_Set[[#This Row],[Released On]]+tbl_MTG_Set[[#This Row],[Buy Window Month End]]*365.25/12</f>
        <v/>
      </c>
      <c r="N234" s="3">
        <f>AND(NOW()&gt;=tbl_MTG_Set[[#This Row],[Buy Window Start]], NOW()&lt;=tbl_MTG_Set[[#This Row],[Buy Window End]])</f>
        <v/>
      </c>
      <c r="O234">
        <f>_xlfn.XLOOKUP(tbl_MTG_Set[[#This Row],[Type Name]], tbl_MTG_Set_Type[Set Type], tbl_MTG_Set_Type[Heavy Printing Window Month Start], "(Set Type not found)", 0, 1)</f>
        <v/>
      </c>
      <c r="P234" s="3">
        <f>tbl_MTG_Set[[#This Row],[Released On]]+tbl_MTG_Set[[#This Row],[Heavy Printing Window Month Start]]*365.25/12</f>
        <v/>
      </c>
      <c r="Q234">
        <f>_xlfn.XLOOKUP(tbl_MTG_Set[[#This Row],[Type Name]], tbl_MTG_Set_Type[Set Type], tbl_MTG_Set_Type[Heavy Printing Window Month End], "(Set Type not found)", 0, 1)</f>
        <v/>
      </c>
      <c r="R234" s="3">
        <f>tbl_MTG_Set[[#This Row],[Released On]]+tbl_MTG_Set[[#This Row],[Heavy Printing Window Month End]]*365.25/12</f>
        <v/>
      </c>
      <c r="S234" s="3">
        <f>AND(NOW()&gt;=tbl_MTG_Set[[#This Row],[Heavy Printing Window Start]], NOW()&lt;=tbl_MTG_Set[[#This Row],[Heavy Printing Window End]])</f>
        <v/>
      </c>
      <c r="T234">
        <f>_xlfn.XLOOKUP(tbl_MTG_Set[[#This Row],[Type Name]], tbl_MTG_Set_Type[Set Type], tbl_MTG_Set_Type[Sell Window Month Start], "(Set Type not found)", 0, 1)</f>
        <v/>
      </c>
      <c r="U234" s="3">
        <f>tbl_MTG_Set[[#This Row],[Released On]]+tbl_MTG_Set[[#This Row],[Sell Window Month Start]]*365.25/12</f>
        <v/>
      </c>
      <c r="V234">
        <f>_xlfn.XLOOKUP(tbl_MTG_Set[[#This Row],[Type Name]], tbl_MTG_Set_Type[Set Type], tbl_MTG_Set_Type[Sell Window Month End], "(Set Type not found)", 0, 1)</f>
        <v/>
      </c>
      <c r="W234" s="3">
        <f>tbl_MTG_Set[[#This Row],[Released On]]+tbl_MTG_Set[[#This Row],[Sell Window Month End]]*365.25/12</f>
        <v/>
      </c>
      <c r="X234" s="3">
        <f>AND(NOW()&gt;=tbl_MTG_Set[[#This Row],[Sell Window Start]], NOW()&lt;=tbl_MTG_Set[[#This Row],[Sell Window End]])</f>
        <v/>
      </c>
      <c r="AG234" s="10" t="n"/>
      <c r="AH234" s="10" t="n"/>
      <c r="AM234" s="10">
        <f t="array" ref="AM2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4" s="10">
        <f t="array" ref="AN2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4" s="4">
        <f>_xlfn.XLOOKUP(tbl_MTG_Set[[#This Row],[Play Booster Box Product Id]], tbl_Product[Product Id], tbl_Product[Pack Size])</f>
        <v/>
      </c>
      <c r="AP234" s="10">
        <f>(tbl_MTG_Set[[#This Row],[Play Booster Box Cost]]+v_Item_Shipping_Cost_In)/tbl_MTG_Set[[#This Row],[Play Booster Box Size]]</f>
        <v/>
      </c>
      <c r="AQ234" s="10">
        <f t="array" ref="AQ2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4" s="10" t="n"/>
      <c r="AS234" s="10" t="n"/>
      <c r="AT234" s="17">
        <f>tbl_MTG_Set[[#This Row],[Play Booster CardMarket Profit]]/tbl_MTG_Set[[#This Row],[Play Booster Cost]]</f>
        <v/>
      </c>
      <c r="AU234" s="10">
        <f>_xlfn.XLOOKUP(tbl_MTG_Set[[#This Row],[Collector Booster Box Product Id]], tbl_Product[Product Id], tbl_Product[Min Cost])</f>
        <v/>
      </c>
      <c r="AV234" s="10">
        <f>_xlfn.XLOOKUP(tbl_MTG_Set[[#This Row],[Collector Booster Box Product Id]], tbl_Product[Product Id], tbl_Product[Best Source])</f>
        <v/>
      </c>
      <c r="AW234" s="4">
        <f>_xlfn.XLOOKUP(tbl_MTG_Set[[#This Row],[Collector Booster Box Product Id]], tbl_Product[Product Id], tbl_Product[Pack Size])</f>
        <v/>
      </c>
      <c r="AX234" s="10">
        <f>(tbl_MTG_Set[[#This Row],[Collector Booster Box Cost]] + v_Item_Shipping_Cost_In) / tbl_MTG_Set[[#This Row],[Collector Booster Box Size]]</f>
        <v/>
      </c>
      <c r="AY234" s="10">
        <f t="array" ref="AY2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4" s="10" t="n"/>
      <c r="BA2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4" s="17">
        <f>tbl_MTG_Set[[#This Row],[Collector Booster CardMarket Profit]]/tbl_MTG_Set[[#This Row],[Collector Booster Cost]]</f>
        <v/>
      </c>
      <c r="BC234" s="10" t="n"/>
      <c r="BF234" s="10">
        <f>tbl_MTG_Set[[#This Row],[Play Booster Sell Price CardMarket]]*tbl_MTG_Set[[#This Row],[Play Booster Expected Market Value]]/tbl_MTG_Set[[#This Row],[Play Boost Sealed Market Value]]</f>
        <v/>
      </c>
      <c r="BG2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4" s="10">
        <f>tbl_MTG_Set[[#This Row],[Play Singles CardMarket Profit]]/tbl_MTG_Set[[#This Row],[Play Booster Cost]]</f>
        <v/>
      </c>
      <c r="BI234" s="10">
        <f>tbl_MTG_Set[[#This Row],[Play Singles CardMarket Profit]]&gt;0</f>
        <v/>
      </c>
      <c r="BJ234" s="10" t="n"/>
      <c r="BK234" s="10" t="n"/>
      <c r="BL234" s="10">
        <f>tbl_MTG_Set[[#This Row],[Collector Booster Sell Price CardMarket]]*tbl_MTG_Set[[#This Row],[Collector Booster Expected Market Value]]/tbl_MTG_Set[[#This Row],[Collector Boost Sealed Market Value]]</f>
        <v/>
      </c>
      <c r="BM2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4" s="10">
        <f>tbl_MTG_Set[[#This Row],[Collector Singles CardMarket Profit]]/tbl_MTG_Set[[#This Row],[Collector Booster Cost]]</f>
        <v/>
      </c>
      <c r="BO234" s="10">
        <f>tbl_MTG_Set[[#This Row],[Collector Singles CardMarket Profit]]&gt;0</f>
        <v/>
      </c>
      <c r="BP2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5">
      <c r="A235" t="n">
        <v>233</v>
      </c>
      <c r="B235" t="inlineStr">
        <is>
          <t>Transformers Tokens TBOT</t>
        </is>
      </c>
      <c r="C235" t="n">
        <v>2</v>
      </c>
      <c r="D235" s="3" t="n">
        <v>44883</v>
      </c>
      <c r="F235" t="inlineStr">
        <is>
          <t>en es fr de it pt ja ko ru 汉语 漢語</t>
        </is>
      </c>
      <c r="G235" t="n">
        <v>412</v>
      </c>
      <c r="H235">
        <f>MONTH(NOW())+12*YEAR(NOW())-MONTH(tbl_MTG_Set[[#This Row],[Released On]])-12*YEAR(tbl_MTG_Set[[#This Row],[Released On]])</f>
        <v/>
      </c>
      <c r="I235">
        <f>_xlfn.XLOOKUP(tbl_MTG_Set[[#This Row],[Type Name]], tbl_MTG_Set_Type[Set Type], tbl_MTG_Set_Type[Index], "(Set Type not found)")</f>
        <v/>
      </c>
      <c r="J235">
        <f>_xlfn.XLOOKUP(tbl_MTG_Set[[#This Row],[Type Name]], tbl_MTG_Set_Type[Set Type], tbl_MTG_Set_Type[Buy Window Month Start], "(Set Type not found)")</f>
        <v/>
      </c>
      <c r="K235" s="3">
        <f>tbl_MTG_Set[[#This Row],[Released On]]+tbl_MTG_Set[[#This Row],[Buy Window Month Start]]*365.25/12</f>
        <v/>
      </c>
      <c r="L235">
        <f>_xlfn.XLOOKUP(tbl_MTG_Set[[#This Row],[Type Name]], tbl_MTG_Set_Type[Set Type], tbl_MTG_Set_Type[Buy Window Month End], "(Set Type not found)", 0, 1)</f>
        <v/>
      </c>
      <c r="M235" s="3">
        <f>tbl_MTG_Set[[#This Row],[Released On]]+tbl_MTG_Set[[#This Row],[Buy Window Month End]]*365.25/12</f>
        <v/>
      </c>
      <c r="N235" s="3">
        <f>AND(NOW()&gt;=tbl_MTG_Set[[#This Row],[Buy Window Start]], NOW()&lt;=tbl_MTG_Set[[#This Row],[Buy Window End]])</f>
        <v/>
      </c>
      <c r="O235">
        <f>_xlfn.XLOOKUP(tbl_MTG_Set[[#This Row],[Type Name]], tbl_MTG_Set_Type[Set Type], tbl_MTG_Set_Type[Heavy Printing Window Month Start], "(Set Type not found)", 0, 1)</f>
        <v/>
      </c>
      <c r="P235" s="3">
        <f>tbl_MTG_Set[[#This Row],[Released On]]+tbl_MTG_Set[[#This Row],[Heavy Printing Window Month Start]]*365.25/12</f>
        <v/>
      </c>
      <c r="Q235">
        <f>_xlfn.XLOOKUP(tbl_MTG_Set[[#This Row],[Type Name]], tbl_MTG_Set_Type[Set Type], tbl_MTG_Set_Type[Heavy Printing Window Month End], "(Set Type not found)", 0, 1)</f>
        <v/>
      </c>
      <c r="R235" s="3">
        <f>tbl_MTG_Set[[#This Row],[Released On]]+tbl_MTG_Set[[#This Row],[Heavy Printing Window Month End]]*365.25/12</f>
        <v/>
      </c>
      <c r="S235" s="3">
        <f>AND(NOW()&gt;=tbl_MTG_Set[[#This Row],[Heavy Printing Window Start]], NOW()&lt;=tbl_MTG_Set[[#This Row],[Heavy Printing Window End]])</f>
        <v/>
      </c>
      <c r="T235">
        <f>_xlfn.XLOOKUP(tbl_MTG_Set[[#This Row],[Type Name]], tbl_MTG_Set_Type[Set Type], tbl_MTG_Set_Type[Sell Window Month Start], "(Set Type not found)", 0, 1)</f>
        <v/>
      </c>
      <c r="U235" s="3">
        <f>tbl_MTG_Set[[#This Row],[Released On]]+tbl_MTG_Set[[#This Row],[Sell Window Month Start]]*365.25/12</f>
        <v/>
      </c>
      <c r="V235">
        <f>_xlfn.XLOOKUP(tbl_MTG_Set[[#This Row],[Type Name]], tbl_MTG_Set_Type[Set Type], tbl_MTG_Set_Type[Sell Window Month End], "(Set Type not found)", 0, 1)</f>
        <v/>
      </c>
      <c r="W235" s="3">
        <f>tbl_MTG_Set[[#This Row],[Released On]]+tbl_MTG_Set[[#This Row],[Sell Window Month End]]*365.25/12</f>
        <v/>
      </c>
      <c r="X235" s="3">
        <f>AND(NOW()&gt;=tbl_MTG_Set[[#This Row],[Sell Window Start]], NOW()&lt;=tbl_MTG_Set[[#This Row],[Sell Window End]])</f>
        <v/>
      </c>
      <c r="AG235" s="10" t="n"/>
      <c r="AH235" s="10" t="n"/>
      <c r="AM235" s="10">
        <f t="array" ref="AM2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5" s="10">
        <f t="array" ref="AN2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5" s="4">
        <f>_xlfn.XLOOKUP(tbl_MTG_Set[[#This Row],[Play Booster Box Product Id]], tbl_Product[Product Id], tbl_Product[Pack Size])</f>
        <v/>
      </c>
      <c r="AP235" s="10">
        <f>(tbl_MTG_Set[[#This Row],[Play Booster Box Cost]]+v_Item_Shipping_Cost_In)/tbl_MTG_Set[[#This Row],[Play Booster Box Size]]</f>
        <v/>
      </c>
      <c r="AQ235" s="10">
        <f t="array" ref="AQ2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5" s="10" t="n"/>
      <c r="AS235" s="10" t="n"/>
      <c r="AT235" s="17">
        <f>tbl_MTG_Set[[#This Row],[Play Booster CardMarket Profit]]/tbl_MTG_Set[[#This Row],[Play Booster Cost]]</f>
        <v/>
      </c>
      <c r="AU235" s="10">
        <f>_xlfn.XLOOKUP(tbl_MTG_Set[[#This Row],[Collector Booster Box Product Id]], tbl_Product[Product Id], tbl_Product[Min Cost])</f>
        <v/>
      </c>
      <c r="AV235" s="10">
        <f>_xlfn.XLOOKUP(tbl_MTG_Set[[#This Row],[Collector Booster Box Product Id]], tbl_Product[Product Id], tbl_Product[Best Source])</f>
        <v/>
      </c>
      <c r="AW235" s="4">
        <f>_xlfn.XLOOKUP(tbl_MTG_Set[[#This Row],[Collector Booster Box Product Id]], tbl_Product[Product Id], tbl_Product[Pack Size])</f>
        <v/>
      </c>
      <c r="AX235" s="10">
        <f>(tbl_MTG_Set[[#This Row],[Collector Booster Box Cost]] + v_Item_Shipping_Cost_In) / tbl_MTG_Set[[#This Row],[Collector Booster Box Size]]</f>
        <v/>
      </c>
      <c r="AY235" s="10">
        <f t="array" ref="AY2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5" s="10" t="n"/>
      <c r="BA2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5" s="17">
        <f>tbl_MTG_Set[[#This Row],[Collector Booster CardMarket Profit]]/tbl_MTG_Set[[#This Row],[Collector Booster Cost]]</f>
        <v/>
      </c>
      <c r="BC235" s="10" t="n"/>
      <c r="BF235" s="10">
        <f>tbl_MTG_Set[[#This Row],[Play Booster Sell Price CardMarket]]*tbl_MTG_Set[[#This Row],[Play Booster Expected Market Value]]/tbl_MTG_Set[[#This Row],[Play Boost Sealed Market Value]]</f>
        <v/>
      </c>
      <c r="BG2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5" s="10">
        <f>tbl_MTG_Set[[#This Row],[Play Singles CardMarket Profit]]/tbl_MTG_Set[[#This Row],[Play Booster Cost]]</f>
        <v/>
      </c>
      <c r="BI235" s="10">
        <f>tbl_MTG_Set[[#This Row],[Play Singles CardMarket Profit]]&gt;0</f>
        <v/>
      </c>
      <c r="BJ235" s="10" t="n"/>
      <c r="BK235" s="10" t="n"/>
      <c r="BL235" s="10">
        <f>tbl_MTG_Set[[#This Row],[Collector Booster Sell Price CardMarket]]*tbl_MTG_Set[[#This Row],[Collector Booster Expected Market Value]]/tbl_MTG_Set[[#This Row],[Collector Boost Sealed Market Value]]</f>
        <v/>
      </c>
      <c r="BM2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5" s="10">
        <f>tbl_MTG_Set[[#This Row],[Collector Singles CardMarket Profit]]/tbl_MTG_Set[[#This Row],[Collector Booster Cost]]</f>
        <v/>
      </c>
      <c r="BO235" s="10">
        <f>tbl_MTG_Set[[#This Row],[Collector Singles CardMarket Profit]]&gt;0</f>
        <v/>
      </c>
      <c r="BP2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6">
      <c r="A236" t="n">
        <v>234</v>
      </c>
      <c r="B236" t="inlineStr">
        <is>
          <t>The Brothers' War Southeast Asia Tokens PTBRO</t>
        </is>
      </c>
      <c r="C236" t="n">
        <v>3</v>
      </c>
      <c r="D236" s="3" t="n">
        <v>44883</v>
      </c>
      <c r="E236" t="inlineStr">
        <is>
          <t>Standard Expansion</t>
        </is>
      </c>
      <c r="F236" t="inlineStr">
        <is>
          <t>en es fr de it pt ja ko ru 汉语 漢語</t>
        </is>
      </c>
      <c r="G236" t="n">
        <v>414</v>
      </c>
      <c r="H236">
        <f>MONTH(NOW())+12*YEAR(NOW())-MONTH(tbl_MTG_Set[[#This Row],[Released On]])-12*YEAR(tbl_MTG_Set[[#This Row],[Released On]])</f>
        <v/>
      </c>
      <c r="I236">
        <f>_xlfn.XLOOKUP(tbl_MTG_Set[[#This Row],[Type Name]], tbl_MTG_Set_Type[Set Type], tbl_MTG_Set_Type[Index], "(Set Type not found)")</f>
        <v/>
      </c>
      <c r="J236">
        <f>_xlfn.XLOOKUP(tbl_MTG_Set[[#This Row],[Type Name]], tbl_MTG_Set_Type[Set Type], tbl_MTG_Set_Type[Buy Window Month Start], "(Set Type not found)")</f>
        <v/>
      </c>
      <c r="K236" s="3">
        <f>tbl_MTG_Set[[#This Row],[Released On]]+tbl_MTG_Set[[#This Row],[Buy Window Month Start]]*365.25/12</f>
        <v/>
      </c>
      <c r="L236">
        <f>_xlfn.XLOOKUP(tbl_MTG_Set[[#This Row],[Type Name]], tbl_MTG_Set_Type[Set Type], tbl_MTG_Set_Type[Buy Window Month End], "(Set Type not found)", 0, 1)</f>
        <v/>
      </c>
      <c r="M236" s="3">
        <f>tbl_MTG_Set[[#This Row],[Released On]]+tbl_MTG_Set[[#This Row],[Buy Window Month End]]*365.25/12</f>
        <v/>
      </c>
      <c r="N236" s="3">
        <f>AND(NOW()&gt;=tbl_MTG_Set[[#This Row],[Buy Window Start]], NOW()&lt;=tbl_MTG_Set[[#This Row],[Buy Window End]])</f>
        <v/>
      </c>
      <c r="O236">
        <f>_xlfn.XLOOKUP(tbl_MTG_Set[[#This Row],[Type Name]], tbl_MTG_Set_Type[Set Type], tbl_MTG_Set_Type[Heavy Printing Window Month Start], "(Set Type not found)", 0, 1)</f>
        <v/>
      </c>
      <c r="P236" s="3">
        <f>tbl_MTG_Set[[#This Row],[Released On]]+tbl_MTG_Set[[#This Row],[Heavy Printing Window Month Start]]*365.25/12</f>
        <v/>
      </c>
      <c r="Q236">
        <f>_xlfn.XLOOKUP(tbl_MTG_Set[[#This Row],[Type Name]], tbl_MTG_Set_Type[Set Type], tbl_MTG_Set_Type[Heavy Printing Window Month End], "(Set Type not found)", 0, 1)</f>
        <v/>
      </c>
      <c r="R236" s="3">
        <f>tbl_MTG_Set[[#This Row],[Released On]]+tbl_MTG_Set[[#This Row],[Heavy Printing Window Month End]]*365.25/12</f>
        <v/>
      </c>
      <c r="S236" s="3">
        <f>AND(NOW()&gt;=tbl_MTG_Set[[#This Row],[Heavy Printing Window Start]], NOW()&lt;=tbl_MTG_Set[[#This Row],[Heavy Printing Window End]])</f>
        <v/>
      </c>
      <c r="T236">
        <f>_xlfn.XLOOKUP(tbl_MTG_Set[[#This Row],[Type Name]], tbl_MTG_Set_Type[Set Type], tbl_MTG_Set_Type[Sell Window Month Start], "(Set Type not found)", 0, 1)</f>
        <v/>
      </c>
      <c r="U236" s="3">
        <f>tbl_MTG_Set[[#This Row],[Released On]]+tbl_MTG_Set[[#This Row],[Sell Window Month Start]]*365.25/12</f>
        <v/>
      </c>
      <c r="V236">
        <f>_xlfn.XLOOKUP(tbl_MTG_Set[[#This Row],[Type Name]], tbl_MTG_Set_Type[Set Type], tbl_MTG_Set_Type[Sell Window Month End], "(Set Type not found)", 0, 1)</f>
        <v/>
      </c>
      <c r="W236" s="3">
        <f>tbl_MTG_Set[[#This Row],[Released On]]+tbl_MTG_Set[[#This Row],[Sell Window Month End]]*365.25/12</f>
        <v/>
      </c>
      <c r="X236" s="3">
        <f>AND(NOW()&gt;=tbl_MTG_Set[[#This Row],[Sell Window Start]], NOW()&lt;=tbl_MTG_Set[[#This Row],[Sell Window End]])</f>
        <v/>
      </c>
      <c r="AG236" s="10" t="n"/>
      <c r="AH236" s="10" t="n"/>
      <c r="AM236" s="10">
        <f t="array" ref="AM2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6" s="10">
        <f t="array" ref="AN2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6" s="4">
        <f>_xlfn.XLOOKUP(tbl_MTG_Set[[#This Row],[Play Booster Box Product Id]], tbl_Product[Product Id], tbl_Product[Pack Size])</f>
        <v/>
      </c>
      <c r="AP236" s="10">
        <f>(tbl_MTG_Set[[#This Row],[Play Booster Box Cost]]+v_Item_Shipping_Cost_In)/tbl_MTG_Set[[#This Row],[Play Booster Box Size]]</f>
        <v/>
      </c>
      <c r="AQ236" s="10">
        <f t="array" ref="AQ2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6" s="10" t="n"/>
      <c r="AS236" s="10" t="n"/>
      <c r="AT236" s="17">
        <f>tbl_MTG_Set[[#This Row],[Play Booster CardMarket Profit]]/tbl_MTG_Set[[#This Row],[Play Booster Cost]]</f>
        <v/>
      </c>
      <c r="AU236" s="10">
        <f>_xlfn.XLOOKUP(tbl_MTG_Set[[#This Row],[Collector Booster Box Product Id]], tbl_Product[Product Id], tbl_Product[Min Cost])</f>
        <v/>
      </c>
      <c r="AV236" s="10">
        <f>_xlfn.XLOOKUP(tbl_MTG_Set[[#This Row],[Collector Booster Box Product Id]], tbl_Product[Product Id], tbl_Product[Best Source])</f>
        <v/>
      </c>
      <c r="AW236" s="4">
        <f>_xlfn.XLOOKUP(tbl_MTG_Set[[#This Row],[Collector Booster Box Product Id]], tbl_Product[Product Id], tbl_Product[Pack Size])</f>
        <v/>
      </c>
      <c r="AX236" s="10">
        <f>(tbl_MTG_Set[[#This Row],[Collector Booster Box Cost]] + v_Item_Shipping_Cost_In) / tbl_MTG_Set[[#This Row],[Collector Booster Box Size]]</f>
        <v/>
      </c>
      <c r="AY236" s="10">
        <f t="array" ref="AY2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6" s="10" t="n"/>
      <c r="BA2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6" s="17">
        <f>tbl_MTG_Set[[#This Row],[Collector Booster CardMarket Profit]]/tbl_MTG_Set[[#This Row],[Collector Booster Cost]]</f>
        <v/>
      </c>
      <c r="BC236" s="10" t="n"/>
      <c r="BF236" s="10">
        <f>tbl_MTG_Set[[#This Row],[Play Booster Sell Price CardMarket]]*tbl_MTG_Set[[#This Row],[Play Booster Expected Market Value]]/tbl_MTG_Set[[#This Row],[Play Boost Sealed Market Value]]</f>
        <v/>
      </c>
      <c r="BG2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6" s="10">
        <f>tbl_MTG_Set[[#This Row],[Play Singles CardMarket Profit]]/tbl_MTG_Set[[#This Row],[Play Booster Cost]]</f>
        <v/>
      </c>
      <c r="BI236" s="10">
        <f>tbl_MTG_Set[[#This Row],[Play Singles CardMarket Profit]]&gt;0</f>
        <v/>
      </c>
      <c r="BJ236" s="10" t="n"/>
      <c r="BK236" s="10" t="n"/>
      <c r="BL236" s="10">
        <f>tbl_MTG_Set[[#This Row],[Collector Booster Sell Price CardMarket]]*tbl_MTG_Set[[#This Row],[Collector Booster Expected Market Value]]/tbl_MTG_Set[[#This Row],[Collector Boost Sealed Market Value]]</f>
        <v/>
      </c>
      <c r="BM2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6" s="10">
        <f>tbl_MTG_Set[[#This Row],[Collector Singles CardMarket Profit]]/tbl_MTG_Set[[#This Row],[Collector Booster Cost]]</f>
        <v/>
      </c>
      <c r="BO236" s="10">
        <f>tbl_MTG_Set[[#This Row],[Collector Singles CardMarket Profit]]&gt;0</f>
        <v/>
      </c>
      <c r="BP2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7">
      <c r="A237" t="n">
        <v>235</v>
      </c>
      <c r="B237" t="inlineStr">
        <is>
          <t>The Brothers' War Substitute Cards SBRO</t>
        </is>
      </c>
      <c r="C237" t="n">
        <v>1</v>
      </c>
      <c r="D237" s="3" t="n">
        <v>44883</v>
      </c>
      <c r="E237" t="inlineStr">
        <is>
          <t>Standard Expansion</t>
        </is>
      </c>
      <c r="F237" t="inlineStr">
        <is>
          <t>en es fr de it pt ja ko ru 汉语 漢語</t>
        </is>
      </c>
      <c r="G237" t="n">
        <v>416</v>
      </c>
      <c r="H237">
        <f>MONTH(NOW())+12*YEAR(NOW())-MONTH(tbl_MTG_Set[[#This Row],[Released On]])-12*YEAR(tbl_MTG_Set[[#This Row],[Released On]])</f>
        <v/>
      </c>
      <c r="I237">
        <f>_xlfn.XLOOKUP(tbl_MTG_Set[[#This Row],[Type Name]], tbl_MTG_Set_Type[Set Type], tbl_MTG_Set_Type[Index], "(Set Type not found)")</f>
        <v/>
      </c>
      <c r="J237">
        <f>_xlfn.XLOOKUP(tbl_MTG_Set[[#This Row],[Type Name]], tbl_MTG_Set_Type[Set Type], tbl_MTG_Set_Type[Buy Window Month Start], "(Set Type not found)")</f>
        <v/>
      </c>
      <c r="K237" s="3">
        <f>tbl_MTG_Set[[#This Row],[Released On]]+tbl_MTG_Set[[#This Row],[Buy Window Month Start]]*365.25/12</f>
        <v/>
      </c>
      <c r="L237">
        <f>_xlfn.XLOOKUP(tbl_MTG_Set[[#This Row],[Type Name]], tbl_MTG_Set_Type[Set Type], tbl_MTG_Set_Type[Buy Window Month End], "(Set Type not found)", 0, 1)</f>
        <v/>
      </c>
      <c r="M237" s="3">
        <f>tbl_MTG_Set[[#This Row],[Released On]]+tbl_MTG_Set[[#This Row],[Buy Window Month End]]*365.25/12</f>
        <v/>
      </c>
      <c r="N237" s="3">
        <f>AND(NOW()&gt;=tbl_MTG_Set[[#This Row],[Buy Window Start]], NOW()&lt;=tbl_MTG_Set[[#This Row],[Buy Window End]])</f>
        <v/>
      </c>
      <c r="O237">
        <f>_xlfn.XLOOKUP(tbl_MTG_Set[[#This Row],[Type Name]], tbl_MTG_Set_Type[Set Type], tbl_MTG_Set_Type[Heavy Printing Window Month Start], "(Set Type not found)", 0, 1)</f>
        <v/>
      </c>
      <c r="P237" s="3">
        <f>tbl_MTG_Set[[#This Row],[Released On]]+tbl_MTG_Set[[#This Row],[Heavy Printing Window Month Start]]*365.25/12</f>
        <v/>
      </c>
      <c r="Q237">
        <f>_xlfn.XLOOKUP(tbl_MTG_Set[[#This Row],[Type Name]], tbl_MTG_Set_Type[Set Type], tbl_MTG_Set_Type[Heavy Printing Window Month End], "(Set Type not found)", 0, 1)</f>
        <v/>
      </c>
      <c r="R237" s="3">
        <f>tbl_MTG_Set[[#This Row],[Released On]]+tbl_MTG_Set[[#This Row],[Heavy Printing Window Month End]]*365.25/12</f>
        <v/>
      </c>
      <c r="S237" s="3">
        <f>AND(NOW()&gt;=tbl_MTG_Set[[#This Row],[Heavy Printing Window Start]], NOW()&lt;=tbl_MTG_Set[[#This Row],[Heavy Printing Window End]])</f>
        <v/>
      </c>
      <c r="T237">
        <f>_xlfn.XLOOKUP(tbl_MTG_Set[[#This Row],[Type Name]], tbl_MTG_Set_Type[Set Type], tbl_MTG_Set_Type[Sell Window Month Start], "(Set Type not found)", 0, 1)</f>
        <v/>
      </c>
      <c r="U237" s="3">
        <f>tbl_MTG_Set[[#This Row],[Released On]]+tbl_MTG_Set[[#This Row],[Sell Window Month Start]]*365.25/12</f>
        <v/>
      </c>
      <c r="V237">
        <f>_xlfn.XLOOKUP(tbl_MTG_Set[[#This Row],[Type Name]], tbl_MTG_Set_Type[Set Type], tbl_MTG_Set_Type[Sell Window Month End], "(Set Type not found)", 0, 1)</f>
        <v/>
      </c>
      <c r="W237" s="3">
        <f>tbl_MTG_Set[[#This Row],[Released On]]+tbl_MTG_Set[[#This Row],[Sell Window Month End]]*365.25/12</f>
        <v/>
      </c>
      <c r="X237" s="3">
        <f>AND(NOW()&gt;=tbl_MTG_Set[[#This Row],[Sell Window Start]], NOW()&lt;=tbl_MTG_Set[[#This Row],[Sell Window End]])</f>
        <v/>
      </c>
      <c r="AG237" s="10" t="n"/>
      <c r="AH237" s="10" t="n"/>
      <c r="AM237" s="10">
        <f t="array" ref="AM2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7" s="10">
        <f t="array" ref="AN2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7" s="4">
        <f>_xlfn.XLOOKUP(tbl_MTG_Set[[#This Row],[Play Booster Box Product Id]], tbl_Product[Product Id], tbl_Product[Pack Size])</f>
        <v/>
      </c>
      <c r="AP237" s="10">
        <f>(tbl_MTG_Set[[#This Row],[Play Booster Box Cost]]+v_Item_Shipping_Cost_In)/tbl_MTG_Set[[#This Row],[Play Booster Box Size]]</f>
        <v/>
      </c>
      <c r="AQ237" s="10">
        <f t="array" ref="AQ2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7" s="10" t="n"/>
      <c r="AS237" s="10" t="n"/>
      <c r="AT237" s="17">
        <f>tbl_MTG_Set[[#This Row],[Play Booster CardMarket Profit]]/tbl_MTG_Set[[#This Row],[Play Booster Cost]]</f>
        <v/>
      </c>
      <c r="AU237" s="10">
        <f>_xlfn.XLOOKUP(tbl_MTG_Set[[#This Row],[Collector Booster Box Product Id]], tbl_Product[Product Id], tbl_Product[Min Cost])</f>
        <v/>
      </c>
      <c r="AV237" s="10">
        <f>_xlfn.XLOOKUP(tbl_MTG_Set[[#This Row],[Collector Booster Box Product Id]], tbl_Product[Product Id], tbl_Product[Best Source])</f>
        <v/>
      </c>
      <c r="AW237" s="4">
        <f>_xlfn.XLOOKUP(tbl_MTG_Set[[#This Row],[Collector Booster Box Product Id]], tbl_Product[Product Id], tbl_Product[Pack Size])</f>
        <v/>
      </c>
      <c r="AX237" s="10">
        <f>(tbl_MTG_Set[[#This Row],[Collector Booster Box Cost]] + v_Item_Shipping_Cost_In) / tbl_MTG_Set[[#This Row],[Collector Booster Box Size]]</f>
        <v/>
      </c>
      <c r="AY237" s="10">
        <f t="array" ref="AY2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7" s="10" t="n"/>
      <c r="BA2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7" s="17">
        <f>tbl_MTG_Set[[#This Row],[Collector Booster CardMarket Profit]]/tbl_MTG_Set[[#This Row],[Collector Booster Cost]]</f>
        <v/>
      </c>
      <c r="BC237" s="10" t="n"/>
      <c r="BF237" s="10">
        <f>tbl_MTG_Set[[#This Row],[Play Booster Sell Price CardMarket]]*tbl_MTG_Set[[#This Row],[Play Booster Expected Market Value]]/tbl_MTG_Set[[#This Row],[Play Boost Sealed Market Value]]</f>
        <v/>
      </c>
      <c r="BG2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7" s="10">
        <f>tbl_MTG_Set[[#This Row],[Play Singles CardMarket Profit]]/tbl_MTG_Set[[#This Row],[Play Booster Cost]]</f>
        <v/>
      </c>
      <c r="BI237" s="10">
        <f>tbl_MTG_Set[[#This Row],[Play Singles CardMarket Profit]]&gt;0</f>
        <v/>
      </c>
      <c r="BJ237" s="10" t="n"/>
      <c r="BK237" s="10" t="n"/>
      <c r="BL237" s="10">
        <f>tbl_MTG_Set[[#This Row],[Collector Booster Sell Price CardMarket]]*tbl_MTG_Set[[#This Row],[Collector Booster Expected Market Value]]/tbl_MTG_Set[[#This Row],[Collector Boost Sealed Market Value]]</f>
        <v/>
      </c>
      <c r="BM2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7" s="10">
        <f>tbl_MTG_Set[[#This Row],[Collector Singles CardMarket Profit]]/tbl_MTG_Set[[#This Row],[Collector Booster Cost]]</f>
        <v/>
      </c>
      <c r="BO237" s="10">
        <f>tbl_MTG_Set[[#This Row],[Collector Singles CardMarket Profit]]&gt;0</f>
        <v/>
      </c>
      <c r="BP2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8">
      <c r="A238" t="n">
        <v>236</v>
      </c>
      <c r="B238" t="inlineStr">
        <is>
          <t>The Brothers' War Art Series ABRO</t>
        </is>
      </c>
      <c r="C238" t="n">
        <v>81</v>
      </c>
      <c r="D238" s="3" t="n">
        <v>44883</v>
      </c>
      <c r="E238" t="inlineStr">
        <is>
          <t>Standard Expansion</t>
        </is>
      </c>
      <c r="F238" t="inlineStr">
        <is>
          <t>en es fr de it pt ja ko ru 汉语 漢語</t>
        </is>
      </c>
      <c r="G238" t="n">
        <v>418</v>
      </c>
      <c r="H238">
        <f>MONTH(NOW())+12*YEAR(NOW())-MONTH(tbl_MTG_Set[[#This Row],[Released On]])-12*YEAR(tbl_MTG_Set[[#This Row],[Released On]])</f>
        <v/>
      </c>
      <c r="I238">
        <f>_xlfn.XLOOKUP(tbl_MTG_Set[[#This Row],[Type Name]], tbl_MTG_Set_Type[Set Type], tbl_MTG_Set_Type[Index], "(Set Type not found)")</f>
        <v/>
      </c>
      <c r="J238">
        <f>_xlfn.XLOOKUP(tbl_MTG_Set[[#This Row],[Type Name]], tbl_MTG_Set_Type[Set Type], tbl_MTG_Set_Type[Buy Window Month Start], "(Set Type not found)")</f>
        <v/>
      </c>
      <c r="K238" s="3">
        <f>tbl_MTG_Set[[#This Row],[Released On]]+tbl_MTG_Set[[#This Row],[Buy Window Month Start]]*365.25/12</f>
        <v/>
      </c>
      <c r="L238">
        <f>_xlfn.XLOOKUP(tbl_MTG_Set[[#This Row],[Type Name]], tbl_MTG_Set_Type[Set Type], tbl_MTG_Set_Type[Buy Window Month End], "(Set Type not found)", 0, 1)</f>
        <v/>
      </c>
      <c r="M238" s="3">
        <f>tbl_MTG_Set[[#This Row],[Released On]]+tbl_MTG_Set[[#This Row],[Buy Window Month End]]*365.25/12</f>
        <v/>
      </c>
      <c r="N238" s="3">
        <f>AND(NOW()&gt;=tbl_MTG_Set[[#This Row],[Buy Window Start]], NOW()&lt;=tbl_MTG_Set[[#This Row],[Buy Window End]])</f>
        <v/>
      </c>
      <c r="O238">
        <f>_xlfn.XLOOKUP(tbl_MTG_Set[[#This Row],[Type Name]], tbl_MTG_Set_Type[Set Type], tbl_MTG_Set_Type[Heavy Printing Window Month Start], "(Set Type not found)", 0, 1)</f>
        <v/>
      </c>
      <c r="P238" s="3">
        <f>tbl_MTG_Set[[#This Row],[Released On]]+tbl_MTG_Set[[#This Row],[Heavy Printing Window Month Start]]*365.25/12</f>
        <v/>
      </c>
      <c r="Q238">
        <f>_xlfn.XLOOKUP(tbl_MTG_Set[[#This Row],[Type Name]], tbl_MTG_Set_Type[Set Type], tbl_MTG_Set_Type[Heavy Printing Window Month End], "(Set Type not found)", 0, 1)</f>
        <v/>
      </c>
      <c r="R238" s="3">
        <f>tbl_MTG_Set[[#This Row],[Released On]]+tbl_MTG_Set[[#This Row],[Heavy Printing Window Month End]]*365.25/12</f>
        <v/>
      </c>
      <c r="S238" s="3">
        <f>AND(NOW()&gt;=tbl_MTG_Set[[#This Row],[Heavy Printing Window Start]], NOW()&lt;=tbl_MTG_Set[[#This Row],[Heavy Printing Window End]])</f>
        <v/>
      </c>
      <c r="T238">
        <f>_xlfn.XLOOKUP(tbl_MTG_Set[[#This Row],[Type Name]], tbl_MTG_Set_Type[Set Type], tbl_MTG_Set_Type[Sell Window Month Start], "(Set Type not found)", 0, 1)</f>
        <v/>
      </c>
      <c r="U238" s="3">
        <f>tbl_MTG_Set[[#This Row],[Released On]]+tbl_MTG_Set[[#This Row],[Sell Window Month Start]]*365.25/12</f>
        <v/>
      </c>
      <c r="V238">
        <f>_xlfn.XLOOKUP(tbl_MTG_Set[[#This Row],[Type Name]], tbl_MTG_Set_Type[Set Type], tbl_MTG_Set_Type[Sell Window Month End], "(Set Type not found)", 0, 1)</f>
        <v/>
      </c>
      <c r="W238" s="3">
        <f>tbl_MTG_Set[[#This Row],[Released On]]+tbl_MTG_Set[[#This Row],[Sell Window Month End]]*365.25/12</f>
        <v/>
      </c>
      <c r="X238" s="3">
        <f>AND(NOW()&gt;=tbl_MTG_Set[[#This Row],[Sell Window Start]], NOW()&lt;=tbl_MTG_Set[[#This Row],[Sell Window End]])</f>
        <v/>
      </c>
      <c r="AG238" s="10" t="n"/>
      <c r="AH238" s="10" t="n"/>
      <c r="AM238" s="10">
        <f t="array" ref="AM2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8" s="10">
        <f t="array" ref="AN2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8" s="4">
        <f>_xlfn.XLOOKUP(tbl_MTG_Set[[#This Row],[Play Booster Box Product Id]], tbl_Product[Product Id], tbl_Product[Pack Size])</f>
        <v/>
      </c>
      <c r="AP238" s="10">
        <f>(tbl_MTG_Set[[#This Row],[Play Booster Box Cost]]+v_Item_Shipping_Cost_In)/tbl_MTG_Set[[#This Row],[Play Booster Box Size]]</f>
        <v/>
      </c>
      <c r="AQ238" s="10">
        <f t="array" ref="AQ2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8" s="10" t="n"/>
      <c r="AS238" s="10" t="n"/>
      <c r="AT238" s="17">
        <f>tbl_MTG_Set[[#This Row],[Play Booster CardMarket Profit]]/tbl_MTG_Set[[#This Row],[Play Booster Cost]]</f>
        <v/>
      </c>
      <c r="AU238" s="10">
        <f>_xlfn.XLOOKUP(tbl_MTG_Set[[#This Row],[Collector Booster Box Product Id]], tbl_Product[Product Id], tbl_Product[Min Cost])</f>
        <v/>
      </c>
      <c r="AV238" s="10">
        <f>_xlfn.XLOOKUP(tbl_MTG_Set[[#This Row],[Collector Booster Box Product Id]], tbl_Product[Product Id], tbl_Product[Best Source])</f>
        <v/>
      </c>
      <c r="AW238" s="4">
        <f>_xlfn.XLOOKUP(tbl_MTG_Set[[#This Row],[Collector Booster Box Product Id]], tbl_Product[Product Id], tbl_Product[Pack Size])</f>
        <v/>
      </c>
      <c r="AX238" s="10">
        <f>(tbl_MTG_Set[[#This Row],[Collector Booster Box Cost]] + v_Item_Shipping_Cost_In) / tbl_MTG_Set[[#This Row],[Collector Booster Box Size]]</f>
        <v/>
      </c>
      <c r="AY238" s="10">
        <f t="array" ref="AY2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8" s="10" t="n"/>
      <c r="BA2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8" s="17">
        <f>tbl_MTG_Set[[#This Row],[Collector Booster CardMarket Profit]]/tbl_MTG_Set[[#This Row],[Collector Booster Cost]]</f>
        <v/>
      </c>
      <c r="BC238" s="10" t="n"/>
      <c r="BF238" s="10">
        <f>tbl_MTG_Set[[#This Row],[Play Booster Sell Price CardMarket]]*tbl_MTG_Set[[#This Row],[Play Booster Expected Market Value]]/tbl_MTG_Set[[#This Row],[Play Boost Sealed Market Value]]</f>
        <v/>
      </c>
      <c r="BG2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8" s="10">
        <f>tbl_MTG_Set[[#This Row],[Play Singles CardMarket Profit]]/tbl_MTG_Set[[#This Row],[Play Booster Cost]]</f>
        <v/>
      </c>
      <c r="BI238" s="10">
        <f>tbl_MTG_Set[[#This Row],[Play Singles CardMarket Profit]]&gt;0</f>
        <v/>
      </c>
      <c r="BJ238" s="10" t="n"/>
      <c r="BK238" s="10" t="n"/>
      <c r="BL238" s="10">
        <f>tbl_MTG_Set[[#This Row],[Collector Booster Sell Price CardMarket]]*tbl_MTG_Set[[#This Row],[Collector Booster Expected Market Value]]/tbl_MTG_Set[[#This Row],[Collector Boost Sealed Market Value]]</f>
        <v/>
      </c>
      <c r="BM2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8" s="10">
        <f>tbl_MTG_Set[[#This Row],[Collector Singles CardMarket Profit]]/tbl_MTG_Set[[#This Row],[Collector Booster Cost]]</f>
        <v/>
      </c>
      <c r="BO238" s="10">
        <f>tbl_MTG_Set[[#This Row],[Collector Singles CardMarket Profit]]&gt;0</f>
        <v/>
      </c>
      <c r="BP2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9">
      <c r="A239" t="n">
        <v>237</v>
      </c>
      <c r="B239" t="inlineStr">
        <is>
          <t>The Brothers' War Minigames MBRO</t>
        </is>
      </c>
      <c r="C239" t="n">
        <v>3</v>
      </c>
      <c r="D239" s="3" t="n">
        <v>44883</v>
      </c>
      <c r="E239" t="inlineStr">
        <is>
          <t>Standard Expansion</t>
        </is>
      </c>
      <c r="F239" t="inlineStr">
        <is>
          <t>en es fr de it pt ja ko ru 汉语 漢語</t>
        </is>
      </c>
      <c r="G239" t="n">
        <v>420</v>
      </c>
      <c r="H239">
        <f>MONTH(NOW())+12*YEAR(NOW())-MONTH(tbl_MTG_Set[[#This Row],[Released On]])-12*YEAR(tbl_MTG_Set[[#This Row],[Released On]])</f>
        <v/>
      </c>
      <c r="I239">
        <f>_xlfn.XLOOKUP(tbl_MTG_Set[[#This Row],[Type Name]], tbl_MTG_Set_Type[Set Type], tbl_MTG_Set_Type[Index], "(Set Type not found)")</f>
        <v/>
      </c>
      <c r="J239">
        <f>_xlfn.XLOOKUP(tbl_MTG_Set[[#This Row],[Type Name]], tbl_MTG_Set_Type[Set Type], tbl_MTG_Set_Type[Buy Window Month Start], "(Set Type not found)")</f>
        <v/>
      </c>
      <c r="K239" s="3">
        <f>tbl_MTG_Set[[#This Row],[Released On]]+tbl_MTG_Set[[#This Row],[Buy Window Month Start]]*365.25/12</f>
        <v/>
      </c>
      <c r="L239">
        <f>_xlfn.XLOOKUP(tbl_MTG_Set[[#This Row],[Type Name]], tbl_MTG_Set_Type[Set Type], tbl_MTG_Set_Type[Buy Window Month End], "(Set Type not found)", 0, 1)</f>
        <v/>
      </c>
      <c r="M239" s="3">
        <f>tbl_MTG_Set[[#This Row],[Released On]]+tbl_MTG_Set[[#This Row],[Buy Window Month End]]*365.25/12</f>
        <v/>
      </c>
      <c r="N239" s="3">
        <f>AND(NOW()&gt;=tbl_MTG_Set[[#This Row],[Buy Window Start]], NOW()&lt;=tbl_MTG_Set[[#This Row],[Buy Window End]])</f>
        <v/>
      </c>
      <c r="O239">
        <f>_xlfn.XLOOKUP(tbl_MTG_Set[[#This Row],[Type Name]], tbl_MTG_Set_Type[Set Type], tbl_MTG_Set_Type[Heavy Printing Window Month Start], "(Set Type not found)", 0, 1)</f>
        <v/>
      </c>
      <c r="P239" s="3">
        <f>tbl_MTG_Set[[#This Row],[Released On]]+tbl_MTG_Set[[#This Row],[Heavy Printing Window Month Start]]*365.25/12</f>
        <v/>
      </c>
      <c r="Q239">
        <f>_xlfn.XLOOKUP(tbl_MTG_Set[[#This Row],[Type Name]], tbl_MTG_Set_Type[Set Type], tbl_MTG_Set_Type[Heavy Printing Window Month End], "(Set Type not found)", 0, 1)</f>
        <v/>
      </c>
      <c r="R239" s="3">
        <f>tbl_MTG_Set[[#This Row],[Released On]]+tbl_MTG_Set[[#This Row],[Heavy Printing Window Month End]]*365.25/12</f>
        <v/>
      </c>
      <c r="S239" s="3">
        <f>AND(NOW()&gt;=tbl_MTG_Set[[#This Row],[Heavy Printing Window Start]], NOW()&lt;=tbl_MTG_Set[[#This Row],[Heavy Printing Window End]])</f>
        <v/>
      </c>
      <c r="T239">
        <f>_xlfn.XLOOKUP(tbl_MTG_Set[[#This Row],[Type Name]], tbl_MTG_Set_Type[Set Type], tbl_MTG_Set_Type[Sell Window Month Start], "(Set Type not found)", 0, 1)</f>
        <v/>
      </c>
      <c r="U239" s="3">
        <f>tbl_MTG_Set[[#This Row],[Released On]]+tbl_MTG_Set[[#This Row],[Sell Window Month Start]]*365.25/12</f>
        <v/>
      </c>
      <c r="V239">
        <f>_xlfn.XLOOKUP(tbl_MTG_Set[[#This Row],[Type Name]], tbl_MTG_Set_Type[Set Type], tbl_MTG_Set_Type[Sell Window Month End], "(Set Type not found)", 0, 1)</f>
        <v/>
      </c>
      <c r="W239" s="3">
        <f>tbl_MTG_Set[[#This Row],[Released On]]+tbl_MTG_Set[[#This Row],[Sell Window Month End]]*365.25/12</f>
        <v/>
      </c>
      <c r="X239" s="3">
        <f>AND(NOW()&gt;=tbl_MTG_Set[[#This Row],[Sell Window Start]], NOW()&lt;=tbl_MTG_Set[[#This Row],[Sell Window End]])</f>
        <v/>
      </c>
      <c r="AG239" s="10" t="n"/>
      <c r="AH239" s="10" t="n"/>
      <c r="AM239" s="10">
        <f t="array" ref="AM2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9" s="10">
        <f t="array" ref="AN2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9" s="4">
        <f>_xlfn.XLOOKUP(tbl_MTG_Set[[#This Row],[Play Booster Box Product Id]], tbl_Product[Product Id], tbl_Product[Pack Size])</f>
        <v/>
      </c>
      <c r="AP239" s="10">
        <f>(tbl_MTG_Set[[#This Row],[Play Booster Box Cost]]+v_Item_Shipping_Cost_In)/tbl_MTG_Set[[#This Row],[Play Booster Box Size]]</f>
        <v/>
      </c>
      <c r="AQ239" s="10">
        <f t="array" ref="AQ2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39" s="10" t="n"/>
      <c r="AS239" s="10" t="n"/>
      <c r="AT239" s="17">
        <f>tbl_MTG_Set[[#This Row],[Play Booster CardMarket Profit]]/tbl_MTG_Set[[#This Row],[Play Booster Cost]]</f>
        <v/>
      </c>
      <c r="AU239" s="10">
        <f>_xlfn.XLOOKUP(tbl_MTG_Set[[#This Row],[Collector Booster Box Product Id]], tbl_Product[Product Id], tbl_Product[Min Cost])</f>
        <v/>
      </c>
      <c r="AV239" s="10">
        <f>_xlfn.XLOOKUP(tbl_MTG_Set[[#This Row],[Collector Booster Box Product Id]], tbl_Product[Product Id], tbl_Product[Best Source])</f>
        <v/>
      </c>
      <c r="AW239" s="4">
        <f>_xlfn.XLOOKUP(tbl_MTG_Set[[#This Row],[Collector Booster Box Product Id]], tbl_Product[Product Id], tbl_Product[Pack Size])</f>
        <v/>
      </c>
      <c r="AX239" s="10">
        <f>(tbl_MTG_Set[[#This Row],[Collector Booster Box Cost]] + v_Item_Shipping_Cost_In) / tbl_MTG_Set[[#This Row],[Collector Booster Box Size]]</f>
        <v/>
      </c>
      <c r="AY239" s="10">
        <f t="array" ref="AY2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39" s="10" t="n"/>
      <c r="BA2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9" s="17">
        <f>tbl_MTG_Set[[#This Row],[Collector Booster CardMarket Profit]]/tbl_MTG_Set[[#This Row],[Collector Booster Cost]]</f>
        <v/>
      </c>
      <c r="BC239" s="10" t="n"/>
      <c r="BF239" s="10">
        <f>tbl_MTG_Set[[#This Row],[Play Booster Sell Price CardMarket]]*tbl_MTG_Set[[#This Row],[Play Booster Expected Market Value]]/tbl_MTG_Set[[#This Row],[Play Boost Sealed Market Value]]</f>
        <v/>
      </c>
      <c r="BG2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9" s="10">
        <f>tbl_MTG_Set[[#This Row],[Play Singles CardMarket Profit]]/tbl_MTG_Set[[#This Row],[Play Booster Cost]]</f>
        <v/>
      </c>
      <c r="BI239" s="10">
        <f>tbl_MTG_Set[[#This Row],[Play Singles CardMarket Profit]]&gt;0</f>
        <v/>
      </c>
      <c r="BJ239" s="10" t="n"/>
      <c r="BK239" s="10" t="n"/>
      <c r="BL239" s="10">
        <f>tbl_MTG_Set[[#This Row],[Collector Booster Sell Price CardMarket]]*tbl_MTG_Set[[#This Row],[Collector Booster Expected Market Value]]/tbl_MTG_Set[[#This Row],[Collector Boost Sealed Market Value]]</f>
        <v/>
      </c>
      <c r="BM2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9" s="10">
        <f>tbl_MTG_Set[[#This Row],[Collector Singles CardMarket Profit]]/tbl_MTG_Set[[#This Row],[Collector Booster Cost]]</f>
        <v/>
      </c>
      <c r="BO239" s="10">
        <f>tbl_MTG_Set[[#This Row],[Collector Singles CardMarket Profit]]&gt;0</f>
        <v/>
      </c>
      <c r="BP2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0">
      <c r="A240" t="n">
        <v>238</v>
      </c>
      <c r="B240" t="inlineStr">
        <is>
          <t>The Brothers' War Jumpstart Front Cards FBRO</t>
        </is>
      </c>
      <c r="C240" t="n">
        <v>5</v>
      </c>
      <c r="D240" s="3" t="n">
        <v>44883</v>
      </c>
      <c r="E240" t="inlineStr">
        <is>
          <t>Standard Expansion</t>
        </is>
      </c>
      <c r="F240" t="inlineStr">
        <is>
          <t>en es fr de it pt ja ko ru 汉语 漢語</t>
        </is>
      </c>
      <c r="G240" t="n">
        <v>422</v>
      </c>
      <c r="H240">
        <f>MONTH(NOW())+12*YEAR(NOW())-MONTH(tbl_MTG_Set[[#This Row],[Released On]])-12*YEAR(tbl_MTG_Set[[#This Row],[Released On]])</f>
        <v/>
      </c>
      <c r="I240">
        <f>_xlfn.XLOOKUP(tbl_MTG_Set[[#This Row],[Type Name]], tbl_MTG_Set_Type[Set Type], tbl_MTG_Set_Type[Index], "(Set Type not found)")</f>
        <v/>
      </c>
      <c r="J240">
        <f>_xlfn.XLOOKUP(tbl_MTG_Set[[#This Row],[Type Name]], tbl_MTG_Set_Type[Set Type], tbl_MTG_Set_Type[Buy Window Month Start], "(Set Type not found)")</f>
        <v/>
      </c>
      <c r="K240" s="3">
        <f>tbl_MTG_Set[[#This Row],[Released On]]+tbl_MTG_Set[[#This Row],[Buy Window Month Start]]*365.25/12</f>
        <v/>
      </c>
      <c r="L240">
        <f>_xlfn.XLOOKUP(tbl_MTG_Set[[#This Row],[Type Name]], tbl_MTG_Set_Type[Set Type], tbl_MTG_Set_Type[Buy Window Month End], "(Set Type not found)", 0, 1)</f>
        <v/>
      </c>
      <c r="M240" s="3">
        <f>tbl_MTG_Set[[#This Row],[Released On]]+tbl_MTG_Set[[#This Row],[Buy Window Month End]]*365.25/12</f>
        <v/>
      </c>
      <c r="N240" s="3">
        <f>AND(NOW()&gt;=tbl_MTG_Set[[#This Row],[Buy Window Start]], NOW()&lt;=tbl_MTG_Set[[#This Row],[Buy Window End]])</f>
        <v/>
      </c>
      <c r="O240">
        <f>_xlfn.XLOOKUP(tbl_MTG_Set[[#This Row],[Type Name]], tbl_MTG_Set_Type[Set Type], tbl_MTG_Set_Type[Heavy Printing Window Month Start], "(Set Type not found)", 0, 1)</f>
        <v/>
      </c>
      <c r="P240" s="3">
        <f>tbl_MTG_Set[[#This Row],[Released On]]+tbl_MTG_Set[[#This Row],[Heavy Printing Window Month Start]]*365.25/12</f>
        <v/>
      </c>
      <c r="Q240">
        <f>_xlfn.XLOOKUP(tbl_MTG_Set[[#This Row],[Type Name]], tbl_MTG_Set_Type[Set Type], tbl_MTG_Set_Type[Heavy Printing Window Month End], "(Set Type not found)", 0, 1)</f>
        <v/>
      </c>
      <c r="R240" s="3">
        <f>tbl_MTG_Set[[#This Row],[Released On]]+tbl_MTG_Set[[#This Row],[Heavy Printing Window Month End]]*365.25/12</f>
        <v/>
      </c>
      <c r="S240" s="3">
        <f>AND(NOW()&gt;=tbl_MTG_Set[[#This Row],[Heavy Printing Window Start]], NOW()&lt;=tbl_MTG_Set[[#This Row],[Heavy Printing Window End]])</f>
        <v/>
      </c>
      <c r="T240">
        <f>_xlfn.XLOOKUP(tbl_MTG_Set[[#This Row],[Type Name]], tbl_MTG_Set_Type[Set Type], tbl_MTG_Set_Type[Sell Window Month Start], "(Set Type not found)", 0, 1)</f>
        <v/>
      </c>
      <c r="U240" s="3">
        <f>tbl_MTG_Set[[#This Row],[Released On]]+tbl_MTG_Set[[#This Row],[Sell Window Month Start]]*365.25/12</f>
        <v/>
      </c>
      <c r="V240">
        <f>_xlfn.XLOOKUP(tbl_MTG_Set[[#This Row],[Type Name]], tbl_MTG_Set_Type[Set Type], tbl_MTG_Set_Type[Sell Window Month End], "(Set Type not found)", 0, 1)</f>
        <v/>
      </c>
      <c r="W240" s="3">
        <f>tbl_MTG_Set[[#This Row],[Released On]]+tbl_MTG_Set[[#This Row],[Sell Window Month End]]*365.25/12</f>
        <v/>
      </c>
      <c r="X240" s="3">
        <f>AND(NOW()&gt;=tbl_MTG_Set[[#This Row],[Sell Window Start]], NOW()&lt;=tbl_MTG_Set[[#This Row],[Sell Window End]])</f>
        <v/>
      </c>
      <c r="AG240" s="10" t="n"/>
      <c r="AH240" s="10" t="n"/>
      <c r="AM240" s="10">
        <f t="array" ref="AM2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0" s="10">
        <f t="array" ref="AN2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0" s="4">
        <f>_xlfn.XLOOKUP(tbl_MTG_Set[[#This Row],[Play Booster Box Product Id]], tbl_Product[Product Id], tbl_Product[Pack Size])</f>
        <v/>
      </c>
      <c r="AP240" s="10">
        <f>(tbl_MTG_Set[[#This Row],[Play Booster Box Cost]]+v_Item_Shipping_Cost_In)/tbl_MTG_Set[[#This Row],[Play Booster Box Size]]</f>
        <v/>
      </c>
      <c r="AQ240" s="10">
        <f t="array" ref="AQ2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0" s="10" t="n"/>
      <c r="AS240" s="10" t="n"/>
      <c r="AT240" s="17">
        <f>tbl_MTG_Set[[#This Row],[Play Booster CardMarket Profit]]/tbl_MTG_Set[[#This Row],[Play Booster Cost]]</f>
        <v/>
      </c>
      <c r="AU240" s="10">
        <f>_xlfn.XLOOKUP(tbl_MTG_Set[[#This Row],[Collector Booster Box Product Id]], tbl_Product[Product Id], tbl_Product[Min Cost])</f>
        <v/>
      </c>
      <c r="AV240" s="10">
        <f>_xlfn.XLOOKUP(tbl_MTG_Set[[#This Row],[Collector Booster Box Product Id]], tbl_Product[Product Id], tbl_Product[Best Source])</f>
        <v/>
      </c>
      <c r="AW240" s="4">
        <f>_xlfn.XLOOKUP(tbl_MTG_Set[[#This Row],[Collector Booster Box Product Id]], tbl_Product[Product Id], tbl_Product[Pack Size])</f>
        <v/>
      </c>
      <c r="AX240" s="10">
        <f>(tbl_MTG_Set[[#This Row],[Collector Booster Box Cost]] + v_Item_Shipping_Cost_In) / tbl_MTG_Set[[#This Row],[Collector Booster Box Size]]</f>
        <v/>
      </c>
      <c r="AY240" s="10">
        <f t="array" ref="AY2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0" s="10" t="n"/>
      <c r="BA2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0" s="17">
        <f>tbl_MTG_Set[[#This Row],[Collector Booster CardMarket Profit]]/tbl_MTG_Set[[#This Row],[Collector Booster Cost]]</f>
        <v/>
      </c>
      <c r="BC240" s="10" t="n"/>
      <c r="BF240" s="10">
        <f>tbl_MTG_Set[[#This Row],[Play Booster Sell Price CardMarket]]*tbl_MTG_Set[[#This Row],[Play Booster Expected Market Value]]/tbl_MTG_Set[[#This Row],[Play Boost Sealed Market Value]]</f>
        <v/>
      </c>
      <c r="BG2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0" s="10">
        <f>tbl_MTG_Set[[#This Row],[Play Singles CardMarket Profit]]/tbl_MTG_Set[[#This Row],[Play Booster Cost]]</f>
        <v/>
      </c>
      <c r="BI240" s="10">
        <f>tbl_MTG_Set[[#This Row],[Play Singles CardMarket Profit]]&gt;0</f>
        <v/>
      </c>
      <c r="BJ240" s="10" t="n"/>
      <c r="BK240" s="10" t="n"/>
      <c r="BL240" s="10">
        <f>tbl_MTG_Set[[#This Row],[Collector Booster Sell Price CardMarket]]*tbl_MTG_Set[[#This Row],[Collector Booster Expected Market Value]]/tbl_MTG_Set[[#This Row],[Collector Boost Sealed Market Value]]</f>
        <v/>
      </c>
      <c r="BM2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0" s="10">
        <f>tbl_MTG_Set[[#This Row],[Collector Singles CardMarket Profit]]/tbl_MTG_Set[[#This Row],[Collector Booster Cost]]</f>
        <v/>
      </c>
      <c r="BO240" s="10">
        <f>tbl_MTG_Set[[#This Row],[Collector Singles CardMarket Profit]]&gt;0</f>
        <v/>
      </c>
      <c r="BP2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1">
      <c r="A241" t="n">
        <v>239</v>
      </c>
      <c r="B241" t="inlineStr">
        <is>
          <t>Game Night: Free-for-All GN3</t>
        </is>
      </c>
      <c r="C241" t="n">
        <v>135</v>
      </c>
      <c r="D241" s="3" t="n">
        <v>44848</v>
      </c>
      <c r="F241" t="inlineStr">
        <is>
          <t>en es fr de it pt ja ko ru 汉语 漢語</t>
        </is>
      </c>
      <c r="G241" t="n">
        <v>424</v>
      </c>
      <c r="H241">
        <f>MONTH(NOW())+12*YEAR(NOW())-MONTH(tbl_MTG_Set[[#This Row],[Released On]])-12*YEAR(tbl_MTG_Set[[#This Row],[Released On]])</f>
        <v/>
      </c>
      <c r="I241">
        <f>_xlfn.XLOOKUP(tbl_MTG_Set[[#This Row],[Type Name]], tbl_MTG_Set_Type[Set Type], tbl_MTG_Set_Type[Index], "(Set Type not found)")</f>
        <v/>
      </c>
      <c r="J241">
        <f>_xlfn.XLOOKUP(tbl_MTG_Set[[#This Row],[Type Name]], tbl_MTG_Set_Type[Set Type], tbl_MTG_Set_Type[Buy Window Month Start], "(Set Type not found)")</f>
        <v/>
      </c>
      <c r="K241" s="3">
        <f>tbl_MTG_Set[[#This Row],[Released On]]+tbl_MTG_Set[[#This Row],[Buy Window Month Start]]*365.25/12</f>
        <v/>
      </c>
      <c r="L241">
        <f>_xlfn.XLOOKUP(tbl_MTG_Set[[#This Row],[Type Name]], tbl_MTG_Set_Type[Set Type], tbl_MTG_Set_Type[Buy Window Month End], "(Set Type not found)", 0, 1)</f>
        <v/>
      </c>
      <c r="M241" s="3">
        <f>tbl_MTG_Set[[#This Row],[Released On]]+tbl_MTG_Set[[#This Row],[Buy Window Month End]]*365.25/12</f>
        <v/>
      </c>
      <c r="N241" s="3">
        <f>AND(NOW()&gt;=tbl_MTG_Set[[#This Row],[Buy Window Start]], NOW()&lt;=tbl_MTG_Set[[#This Row],[Buy Window End]])</f>
        <v/>
      </c>
      <c r="O241">
        <f>_xlfn.XLOOKUP(tbl_MTG_Set[[#This Row],[Type Name]], tbl_MTG_Set_Type[Set Type], tbl_MTG_Set_Type[Heavy Printing Window Month Start], "(Set Type not found)", 0, 1)</f>
        <v/>
      </c>
      <c r="P241" s="3">
        <f>tbl_MTG_Set[[#This Row],[Released On]]+tbl_MTG_Set[[#This Row],[Heavy Printing Window Month Start]]*365.25/12</f>
        <v/>
      </c>
      <c r="Q241">
        <f>_xlfn.XLOOKUP(tbl_MTG_Set[[#This Row],[Type Name]], tbl_MTG_Set_Type[Set Type], tbl_MTG_Set_Type[Heavy Printing Window Month End], "(Set Type not found)", 0, 1)</f>
        <v/>
      </c>
      <c r="R241" s="3">
        <f>tbl_MTG_Set[[#This Row],[Released On]]+tbl_MTG_Set[[#This Row],[Heavy Printing Window Month End]]*365.25/12</f>
        <v/>
      </c>
      <c r="S241" s="3">
        <f>AND(NOW()&gt;=tbl_MTG_Set[[#This Row],[Heavy Printing Window Start]], NOW()&lt;=tbl_MTG_Set[[#This Row],[Heavy Printing Window End]])</f>
        <v/>
      </c>
      <c r="T241">
        <f>_xlfn.XLOOKUP(tbl_MTG_Set[[#This Row],[Type Name]], tbl_MTG_Set_Type[Set Type], tbl_MTG_Set_Type[Sell Window Month Start], "(Set Type not found)", 0, 1)</f>
        <v/>
      </c>
      <c r="U241" s="3">
        <f>tbl_MTG_Set[[#This Row],[Released On]]+tbl_MTG_Set[[#This Row],[Sell Window Month Start]]*365.25/12</f>
        <v/>
      </c>
      <c r="V241">
        <f>_xlfn.XLOOKUP(tbl_MTG_Set[[#This Row],[Type Name]], tbl_MTG_Set_Type[Set Type], tbl_MTG_Set_Type[Sell Window Month End], "(Set Type not found)", 0, 1)</f>
        <v/>
      </c>
      <c r="W241" s="3">
        <f>tbl_MTG_Set[[#This Row],[Released On]]+tbl_MTG_Set[[#This Row],[Sell Window Month End]]*365.25/12</f>
        <v/>
      </c>
      <c r="X241" s="3">
        <f>AND(NOW()&gt;=tbl_MTG_Set[[#This Row],[Sell Window Start]], NOW()&lt;=tbl_MTG_Set[[#This Row],[Sell Window End]])</f>
        <v/>
      </c>
      <c r="AG241" s="10" t="n"/>
      <c r="AH241" s="10" t="n"/>
      <c r="AM241" s="10">
        <f t="array" ref="AM2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1" s="10">
        <f t="array" ref="AN2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1" s="4">
        <f>_xlfn.XLOOKUP(tbl_MTG_Set[[#This Row],[Play Booster Box Product Id]], tbl_Product[Product Id], tbl_Product[Pack Size])</f>
        <v/>
      </c>
      <c r="AP241" s="10">
        <f>(tbl_MTG_Set[[#This Row],[Play Booster Box Cost]]+v_Item_Shipping_Cost_In)/tbl_MTG_Set[[#This Row],[Play Booster Box Size]]</f>
        <v/>
      </c>
      <c r="AQ241" s="10">
        <f t="array" ref="AQ2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1" s="10" t="n"/>
      <c r="AS241" s="10" t="n"/>
      <c r="AT241" s="17">
        <f>tbl_MTG_Set[[#This Row],[Play Booster CardMarket Profit]]/tbl_MTG_Set[[#This Row],[Play Booster Cost]]</f>
        <v/>
      </c>
      <c r="AU241" s="10">
        <f>_xlfn.XLOOKUP(tbl_MTG_Set[[#This Row],[Collector Booster Box Product Id]], tbl_Product[Product Id], tbl_Product[Min Cost])</f>
        <v/>
      </c>
      <c r="AV241" s="10">
        <f>_xlfn.XLOOKUP(tbl_MTG_Set[[#This Row],[Collector Booster Box Product Id]], tbl_Product[Product Id], tbl_Product[Best Source])</f>
        <v/>
      </c>
      <c r="AW241" s="4">
        <f>_xlfn.XLOOKUP(tbl_MTG_Set[[#This Row],[Collector Booster Box Product Id]], tbl_Product[Product Id], tbl_Product[Pack Size])</f>
        <v/>
      </c>
      <c r="AX241" s="10">
        <f>(tbl_MTG_Set[[#This Row],[Collector Booster Box Cost]] + v_Item_Shipping_Cost_In) / tbl_MTG_Set[[#This Row],[Collector Booster Box Size]]</f>
        <v/>
      </c>
      <c r="AY241" s="10">
        <f t="array" ref="AY2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1" s="10" t="n"/>
      <c r="BA2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1" s="17">
        <f>tbl_MTG_Set[[#This Row],[Collector Booster CardMarket Profit]]/tbl_MTG_Set[[#This Row],[Collector Booster Cost]]</f>
        <v/>
      </c>
      <c r="BC241" s="10" t="n"/>
      <c r="BF241" s="10">
        <f>tbl_MTG_Set[[#This Row],[Play Booster Sell Price CardMarket]]*tbl_MTG_Set[[#This Row],[Play Booster Expected Market Value]]/tbl_MTG_Set[[#This Row],[Play Boost Sealed Market Value]]</f>
        <v/>
      </c>
      <c r="BG2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1" s="10">
        <f>tbl_MTG_Set[[#This Row],[Play Singles CardMarket Profit]]/tbl_MTG_Set[[#This Row],[Play Booster Cost]]</f>
        <v/>
      </c>
      <c r="BI241" s="10">
        <f>tbl_MTG_Set[[#This Row],[Play Singles CardMarket Profit]]&gt;0</f>
        <v/>
      </c>
      <c r="BJ241" s="10" t="n"/>
      <c r="BK241" s="10" t="n"/>
      <c r="BL241" s="10">
        <f>tbl_MTG_Set[[#This Row],[Collector Booster Sell Price CardMarket]]*tbl_MTG_Set[[#This Row],[Collector Booster Expected Market Value]]/tbl_MTG_Set[[#This Row],[Collector Boost Sealed Market Value]]</f>
        <v/>
      </c>
      <c r="BM2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1" s="10">
        <f>tbl_MTG_Set[[#This Row],[Collector Singles CardMarket Profit]]/tbl_MTG_Set[[#This Row],[Collector Booster Cost]]</f>
        <v/>
      </c>
      <c r="BO241" s="10">
        <f>tbl_MTG_Set[[#This Row],[Collector Singles CardMarket Profit]]&gt;0</f>
        <v/>
      </c>
      <c r="BP2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2">
      <c r="A242" t="n">
        <v>240</v>
      </c>
      <c r="B242" t="inlineStr">
        <is>
          <t>Game Night: Free-for-All Tokens TGN3</t>
        </is>
      </c>
      <c r="C242" t="n">
        <v>10</v>
      </c>
      <c r="D242" s="3" t="n">
        <v>44848</v>
      </c>
      <c r="F242" t="inlineStr">
        <is>
          <t>en es fr de it pt ja ko ru 汉语 漢語</t>
        </is>
      </c>
      <c r="G242" t="n">
        <v>426</v>
      </c>
      <c r="H242">
        <f>MONTH(NOW())+12*YEAR(NOW())-MONTH(tbl_MTG_Set[[#This Row],[Released On]])-12*YEAR(tbl_MTG_Set[[#This Row],[Released On]])</f>
        <v/>
      </c>
      <c r="I242">
        <f>_xlfn.XLOOKUP(tbl_MTG_Set[[#This Row],[Type Name]], tbl_MTG_Set_Type[Set Type], tbl_MTG_Set_Type[Index], "(Set Type not found)")</f>
        <v/>
      </c>
      <c r="J242">
        <f>_xlfn.XLOOKUP(tbl_MTG_Set[[#This Row],[Type Name]], tbl_MTG_Set_Type[Set Type], tbl_MTG_Set_Type[Buy Window Month Start], "(Set Type not found)")</f>
        <v/>
      </c>
      <c r="K242" s="3">
        <f>tbl_MTG_Set[[#This Row],[Released On]]+tbl_MTG_Set[[#This Row],[Buy Window Month Start]]*365.25/12</f>
        <v/>
      </c>
      <c r="L242">
        <f>_xlfn.XLOOKUP(tbl_MTG_Set[[#This Row],[Type Name]], tbl_MTG_Set_Type[Set Type], tbl_MTG_Set_Type[Buy Window Month End], "(Set Type not found)", 0, 1)</f>
        <v/>
      </c>
      <c r="M242" s="3">
        <f>tbl_MTG_Set[[#This Row],[Released On]]+tbl_MTG_Set[[#This Row],[Buy Window Month End]]*365.25/12</f>
        <v/>
      </c>
      <c r="N242" s="3">
        <f>AND(NOW()&gt;=tbl_MTG_Set[[#This Row],[Buy Window Start]], NOW()&lt;=tbl_MTG_Set[[#This Row],[Buy Window End]])</f>
        <v/>
      </c>
      <c r="O242">
        <f>_xlfn.XLOOKUP(tbl_MTG_Set[[#This Row],[Type Name]], tbl_MTG_Set_Type[Set Type], tbl_MTG_Set_Type[Heavy Printing Window Month Start], "(Set Type not found)", 0, 1)</f>
        <v/>
      </c>
      <c r="P242" s="3">
        <f>tbl_MTG_Set[[#This Row],[Released On]]+tbl_MTG_Set[[#This Row],[Heavy Printing Window Month Start]]*365.25/12</f>
        <v/>
      </c>
      <c r="Q242">
        <f>_xlfn.XLOOKUP(tbl_MTG_Set[[#This Row],[Type Name]], tbl_MTG_Set_Type[Set Type], tbl_MTG_Set_Type[Heavy Printing Window Month End], "(Set Type not found)", 0, 1)</f>
        <v/>
      </c>
      <c r="R242" s="3">
        <f>tbl_MTG_Set[[#This Row],[Released On]]+tbl_MTG_Set[[#This Row],[Heavy Printing Window Month End]]*365.25/12</f>
        <v/>
      </c>
      <c r="S242" s="3">
        <f>AND(NOW()&gt;=tbl_MTG_Set[[#This Row],[Heavy Printing Window Start]], NOW()&lt;=tbl_MTG_Set[[#This Row],[Heavy Printing Window End]])</f>
        <v/>
      </c>
      <c r="T242">
        <f>_xlfn.XLOOKUP(tbl_MTG_Set[[#This Row],[Type Name]], tbl_MTG_Set_Type[Set Type], tbl_MTG_Set_Type[Sell Window Month Start], "(Set Type not found)", 0, 1)</f>
        <v/>
      </c>
      <c r="U242" s="3">
        <f>tbl_MTG_Set[[#This Row],[Released On]]+tbl_MTG_Set[[#This Row],[Sell Window Month Start]]*365.25/12</f>
        <v/>
      </c>
      <c r="V242">
        <f>_xlfn.XLOOKUP(tbl_MTG_Set[[#This Row],[Type Name]], tbl_MTG_Set_Type[Set Type], tbl_MTG_Set_Type[Sell Window Month End], "(Set Type not found)", 0, 1)</f>
        <v/>
      </c>
      <c r="W242" s="3">
        <f>tbl_MTG_Set[[#This Row],[Released On]]+tbl_MTG_Set[[#This Row],[Sell Window Month End]]*365.25/12</f>
        <v/>
      </c>
      <c r="X242" s="3">
        <f>AND(NOW()&gt;=tbl_MTG_Set[[#This Row],[Sell Window Start]], NOW()&lt;=tbl_MTG_Set[[#This Row],[Sell Window End]])</f>
        <v/>
      </c>
      <c r="AG242" s="10" t="n"/>
      <c r="AH242" s="10" t="n"/>
      <c r="AM242" s="10">
        <f t="array" ref="AM2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2" s="10">
        <f t="array" ref="AN2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2" s="4">
        <f>_xlfn.XLOOKUP(tbl_MTG_Set[[#This Row],[Play Booster Box Product Id]], tbl_Product[Product Id], tbl_Product[Pack Size])</f>
        <v/>
      </c>
      <c r="AP242" s="10">
        <f>(tbl_MTG_Set[[#This Row],[Play Booster Box Cost]]+v_Item_Shipping_Cost_In)/tbl_MTG_Set[[#This Row],[Play Booster Box Size]]</f>
        <v/>
      </c>
      <c r="AQ242" s="10">
        <f t="array" ref="AQ2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2" s="10" t="n"/>
      <c r="AS242" s="10" t="n"/>
      <c r="AT242" s="17">
        <f>tbl_MTG_Set[[#This Row],[Play Booster CardMarket Profit]]/tbl_MTG_Set[[#This Row],[Play Booster Cost]]</f>
        <v/>
      </c>
      <c r="AU242" s="10">
        <f>_xlfn.XLOOKUP(tbl_MTG_Set[[#This Row],[Collector Booster Box Product Id]], tbl_Product[Product Id], tbl_Product[Min Cost])</f>
        <v/>
      </c>
      <c r="AV242" s="10">
        <f>_xlfn.XLOOKUP(tbl_MTG_Set[[#This Row],[Collector Booster Box Product Id]], tbl_Product[Product Id], tbl_Product[Best Source])</f>
        <v/>
      </c>
      <c r="AW242" s="4">
        <f>_xlfn.XLOOKUP(tbl_MTG_Set[[#This Row],[Collector Booster Box Product Id]], tbl_Product[Product Id], tbl_Product[Pack Size])</f>
        <v/>
      </c>
      <c r="AX242" s="10">
        <f>(tbl_MTG_Set[[#This Row],[Collector Booster Box Cost]] + v_Item_Shipping_Cost_In) / tbl_MTG_Set[[#This Row],[Collector Booster Box Size]]</f>
        <v/>
      </c>
      <c r="AY242" s="10">
        <f t="array" ref="AY2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2" s="10" t="n"/>
      <c r="BA2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2" s="17">
        <f>tbl_MTG_Set[[#This Row],[Collector Booster CardMarket Profit]]/tbl_MTG_Set[[#This Row],[Collector Booster Cost]]</f>
        <v/>
      </c>
      <c r="BC242" s="10" t="n"/>
      <c r="BF242" s="10">
        <f>tbl_MTG_Set[[#This Row],[Play Booster Sell Price CardMarket]]*tbl_MTG_Set[[#This Row],[Play Booster Expected Market Value]]/tbl_MTG_Set[[#This Row],[Play Boost Sealed Market Value]]</f>
        <v/>
      </c>
      <c r="BG2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2" s="10">
        <f>tbl_MTG_Set[[#This Row],[Play Singles CardMarket Profit]]/tbl_MTG_Set[[#This Row],[Play Booster Cost]]</f>
        <v/>
      </c>
      <c r="BI242" s="10">
        <f>tbl_MTG_Set[[#This Row],[Play Singles CardMarket Profit]]&gt;0</f>
        <v/>
      </c>
      <c r="BJ242" s="10" t="n"/>
      <c r="BK242" s="10" t="n"/>
      <c r="BL242" s="10">
        <f>tbl_MTG_Set[[#This Row],[Collector Booster Sell Price CardMarket]]*tbl_MTG_Set[[#This Row],[Collector Booster Expected Market Value]]/tbl_MTG_Set[[#This Row],[Collector Boost Sealed Market Value]]</f>
        <v/>
      </c>
      <c r="BM2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2" s="10">
        <f>tbl_MTG_Set[[#This Row],[Collector Singles CardMarket Profit]]/tbl_MTG_Set[[#This Row],[Collector Booster Cost]]</f>
        <v/>
      </c>
      <c r="BO242" s="10">
        <f>tbl_MTG_Set[[#This Row],[Collector Singles CardMarket Profit]]&gt;0</f>
        <v/>
      </c>
      <c r="BP2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3">
      <c r="A243" t="n">
        <v>241</v>
      </c>
      <c r="B243" t="inlineStr">
        <is>
          <t>Unfinity UNF</t>
        </is>
      </c>
      <c r="C243" t="n">
        <v>639</v>
      </c>
      <c r="D243" s="3" t="n">
        <v>44841</v>
      </c>
      <c r="F243" t="inlineStr">
        <is>
          <t>en es fr de it pt ja ko ru 汉语 漢語</t>
        </is>
      </c>
      <c r="G243" t="n">
        <v>428</v>
      </c>
      <c r="H243">
        <f>MONTH(NOW())+12*YEAR(NOW())-MONTH(tbl_MTG_Set[[#This Row],[Released On]])-12*YEAR(tbl_MTG_Set[[#This Row],[Released On]])</f>
        <v/>
      </c>
      <c r="I243">
        <f>_xlfn.XLOOKUP(tbl_MTG_Set[[#This Row],[Type Name]], tbl_MTG_Set_Type[Set Type], tbl_MTG_Set_Type[Index], "(Set Type not found)")</f>
        <v/>
      </c>
      <c r="J243">
        <f>_xlfn.XLOOKUP(tbl_MTG_Set[[#This Row],[Type Name]], tbl_MTG_Set_Type[Set Type], tbl_MTG_Set_Type[Buy Window Month Start], "(Set Type not found)")</f>
        <v/>
      </c>
      <c r="K243" s="3">
        <f>tbl_MTG_Set[[#This Row],[Released On]]+tbl_MTG_Set[[#This Row],[Buy Window Month Start]]*365.25/12</f>
        <v/>
      </c>
      <c r="L243">
        <f>_xlfn.XLOOKUP(tbl_MTG_Set[[#This Row],[Type Name]], tbl_MTG_Set_Type[Set Type], tbl_MTG_Set_Type[Buy Window Month End], "(Set Type not found)", 0, 1)</f>
        <v/>
      </c>
      <c r="M243" s="3">
        <f>tbl_MTG_Set[[#This Row],[Released On]]+tbl_MTG_Set[[#This Row],[Buy Window Month End]]*365.25/12</f>
        <v/>
      </c>
      <c r="N243" s="3">
        <f>AND(NOW()&gt;=tbl_MTG_Set[[#This Row],[Buy Window Start]], NOW()&lt;=tbl_MTG_Set[[#This Row],[Buy Window End]])</f>
        <v/>
      </c>
      <c r="O243">
        <f>_xlfn.XLOOKUP(tbl_MTG_Set[[#This Row],[Type Name]], tbl_MTG_Set_Type[Set Type], tbl_MTG_Set_Type[Heavy Printing Window Month Start], "(Set Type not found)", 0, 1)</f>
        <v/>
      </c>
      <c r="P243" s="3">
        <f>tbl_MTG_Set[[#This Row],[Released On]]+tbl_MTG_Set[[#This Row],[Heavy Printing Window Month Start]]*365.25/12</f>
        <v/>
      </c>
      <c r="Q243">
        <f>_xlfn.XLOOKUP(tbl_MTG_Set[[#This Row],[Type Name]], tbl_MTG_Set_Type[Set Type], tbl_MTG_Set_Type[Heavy Printing Window Month End], "(Set Type not found)", 0, 1)</f>
        <v/>
      </c>
      <c r="R243" s="3">
        <f>tbl_MTG_Set[[#This Row],[Released On]]+tbl_MTG_Set[[#This Row],[Heavy Printing Window Month End]]*365.25/12</f>
        <v/>
      </c>
      <c r="S243" s="3">
        <f>AND(NOW()&gt;=tbl_MTG_Set[[#This Row],[Heavy Printing Window Start]], NOW()&lt;=tbl_MTG_Set[[#This Row],[Heavy Printing Window End]])</f>
        <v/>
      </c>
      <c r="T243">
        <f>_xlfn.XLOOKUP(tbl_MTG_Set[[#This Row],[Type Name]], tbl_MTG_Set_Type[Set Type], tbl_MTG_Set_Type[Sell Window Month Start], "(Set Type not found)", 0, 1)</f>
        <v/>
      </c>
      <c r="U243" s="3">
        <f>tbl_MTG_Set[[#This Row],[Released On]]+tbl_MTG_Set[[#This Row],[Sell Window Month Start]]*365.25/12</f>
        <v/>
      </c>
      <c r="V243">
        <f>_xlfn.XLOOKUP(tbl_MTG_Set[[#This Row],[Type Name]], tbl_MTG_Set_Type[Set Type], tbl_MTG_Set_Type[Sell Window Month End], "(Set Type not found)", 0, 1)</f>
        <v/>
      </c>
      <c r="W243" s="3">
        <f>tbl_MTG_Set[[#This Row],[Released On]]+tbl_MTG_Set[[#This Row],[Sell Window Month End]]*365.25/12</f>
        <v/>
      </c>
      <c r="X243" s="3">
        <f>AND(NOW()&gt;=tbl_MTG_Set[[#This Row],[Sell Window Start]], NOW()&lt;=tbl_MTG_Set[[#This Row],[Sell Window End]])</f>
        <v/>
      </c>
      <c r="AG243" s="10" t="n"/>
      <c r="AH243" s="10" t="n"/>
      <c r="AM243" s="10">
        <f t="array" ref="AM2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3" s="10">
        <f t="array" ref="AN2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3" s="4">
        <f>_xlfn.XLOOKUP(tbl_MTG_Set[[#This Row],[Play Booster Box Product Id]], tbl_Product[Product Id], tbl_Product[Pack Size])</f>
        <v/>
      </c>
      <c r="AP243" s="10">
        <f>(tbl_MTG_Set[[#This Row],[Play Booster Box Cost]]+v_Item_Shipping_Cost_In)/tbl_MTG_Set[[#This Row],[Play Booster Box Size]]</f>
        <v/>
      </c>
      <c r="AQ243" s="10">
        <f t="array" ref="AQ2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3" s="10" t="n"/>
      <c r="AS243" s="10" t="n"/>
      <c r="AT243" s="17">
        <f>tbl_MTG_Set[[#This Row],[Play Booster CardMarket Profit]]/tbl_MTG_Set[[#This Row],[Play Booster Cost]]</f>
        <v/>
      </c>
      <c r="AU243" s="10">
        <f>_xlfn.XLOOKUP(tbl_MTG_Set[[#This Row],[Collector Booster Box Product Id]], tbl_Product[Product Id], tbl_Product[Min Cost])</f>
        <v/>
      </c>
      <c r="AV243" s="10">
        <f>_xlfn.XLOOKUP(tbl_MTG_Set[[#This Row],[Collector Booster Box Product Id]], tbl_Product[Product Id], tbl_Product[Best Source])</f>
        <v/>
      </c>
      <c r="AW243" s="4">
        <f>_xlfn.XLOOKUP(tbl_MTG_Set[[#This Row],[Collector Booster Box Product Id]], tbl_Product[Product Id], tbl_Product[Pack Size])</f>
        <v/>
      </c>
      <c r="AX243" s="10">
        <f>(tbl_MTG_Set[[#This Row],[Collector Booster Box Cost]] + v_Item_Shipping_Cost_In) / tbl_MTG_Set[[#This Row],[Collector Booster Box Size]]</f>
        <v/>
      </c>
      <c r="AY243" s="10">
        <f t="array" ref="AY2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3" s="10" t="n"/>
      <c r="BA2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3" s="17">
        <f>tbl_MTG_Set[[#This Row],[Collector Booster CardMarket Profit]]/tbl_MTG_Set[[#This Row],[Collector Booster Cost]]</f>
        <v/>
      </c>
      <c r="BC243" s="10" t="n"/>
      <c r="BF243" s="10">
        <f>tbl_MTG_Set[[#This Row],[Play Booster Sell Price CardMarket]]*tbl_MTG_Set[[#This Row],[Play Booster Expected Market Value]]/tbl_MTG_Set[[#This Row],[Play Boost Sealed Market Value]]</f>
        <v/>
      </c>
      <c r="BG2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3" s="10">
        <f>tbl_MTG_Set[[#This Row],[Play Singles CardMarket Profit]]/tbl_MTG_Set[[#This Row],[Play Booster Cost]]</f>
        <v/>
      </c>
      <c r="BI243" s="10">
        <f>tbl_MTG_Set[[#This Row],[Play Singles CardMarket Profit]]&gt;0</f>
        <v/>
      </c>
      <c r="BJ243" s="10" t="n"/>
      <c r="BK243" s="10" t="n"/>
      <c r="BL243" s="10">
        <f>tbl_MTG_Set[[#This Row],[Collector Booster Sell Price CardMarket]]*tbl_MTG_Set[[#This Row],[Collector Booster Expected Market Value]]/tbl_MTG_Set[[#This Row],[Collector Boost Sealed Market Value]]</f>
        <v/>
      </c>
      <c r="BM2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3" s="10">
        <f>tbl_MTG_Set[[#This Row],[Collector Singles CardMarket Profit]]/tbl_MTG_Set[[#This Row],[Collector Booster Cost]]</f>
        <v/>
      </c>
      <c r="BO243" s="10">
        <f>tbl_MTG_Set[[#This Row],[Collector Singles CardMarket Profit]]&gt;0</f>
        <v/>
      </c>
      <c r="BP2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4">
      <c r="A244" t="n">
        <v>242</v>
      </c>
      <c r="B244" t="inlineStr">
        <is>
          <t>Unfinity Tokens TUNF</t>
        </is>
      </c>
      <c r="C244" t="n">
        <v>14</v>
      </c>
      <c r="D244" s="3" t="n">
        <v>44841</v>
      </c>
      <c r="F244" t="inlineStr">
        <is>
          <t>en es fr de it pt ja ko ru 汉语 漢語</t>
        </is>
      </c>
      <c r="G244" t="n">
        <v>430</v>
      </c>
      <c r="H244">
        <f>MONTH(NOW())+12*YEAR(NOW())-MONTH(tbl_MTG_Set[[#This Row],[Released On]])-12*YEAR(tbl_MTG_Set[[#This Row],[Released On]])</f>
        <v/>
      </c>
      <c r="I244">
        <f>_xlfn.XLOOKUP(tbl_MTG_Set[[#This Row],[Type Name]], tbl_MTG_Set_Type[Set Type], tbl_MTG_Set_Type[Index], "(Set Type not found)")</f>
        <v/>
      </c>
      <c r="J244">
        <f>_xlfn.XLOOKUP(tbl_MTG_Set[[#This Row],[Type Name]], tbl_MTG_Set_Type[Set Type], tbl_MTG_Set_Type[Buy Window Month Start], "(Set Type not found)")</f>
        <v/>
      </c>
      <c r="K244" s="3">
        <f>tbl_MTG_Set[[#This Row],[Released On]]+tbl_MTG_Set[[#This Row],[Buy Window Month Start]]*365.25/12</f>
        <v/>
      </c>
      <c r="L244">
        <f>_xlfn.XLOOKUP(tbl_MTG_Set[[#This Row],[Type Name]], tbl_MTG_Set_Type[Set Type], tbl_MTG_Set_Type[Buy Window Month End], "(Set Type not found)", 0, 1)</f>
        <v/>
      </c>
      <c r="M244" s="3">
        <f>tbl_MTG_Set[[#This Row],[Released On]]+tbl_MTG_Set[[#This Row],[Buy Window Month End]]*365.25/12</f>
        <v/>
      </c>
      <c r="N244" s="3">
        <f>AND(NOW()&gt;=tbl_MTG_Set[[#This Row],[Buy Window Start]], NOW()&lt;=tbl_MTG_Set[[#This Row],[Buy Window End]])</f>
        <v/>
      </c>
      <c r="O244">
        <f>_xlfn.XLOOKUP(tbl_MTG_Set[[#This Row],[Type Name]], tbl_MTG_Set_Type[Set Type], tbl_MTG_Set_Type[Heavy Printing Window Month Start], "(Set Type not found)", 0, 1)</f>
        <v/>
      </c>
      <c r="P244" s="3">
        <f>tbl_MTG_Set[[#This Row],[Released On]]+tbl_MTG_Set[[#This Row],[Heavy Printing Window Month Start]]*365.25/12</f>
        <v/>
      </c>
      <c r="Q244">
        <f>_xlfn.XLOOKUP(tbl_MTG_Set[[#This Row],[Type Name]], tbl_MTG_Set_Type[Set Type], tbl_MTG_Set_Type[Heavy Printing Window Month End], "(Set Type not found)", 0, 1)</f>
        <v/>
      </c>
      <c r="R244" s="3">
        <f>tbl_MTG_Set[[#This Row],[Released On]]+tbl_MTG_Set[[#This Row],[Heavy Printing Window Month End]]*365.25/12</f>
        <v/>
      </c>
      <c r="S244" s="3">
        <f>AND(NOW()&gt;=tbl_MTG_Set[[#This Row],[Heavy Printing Window Start]], NOW()&lt;=tbl_MTG_Set[[#This Row],[Heavy Printing Window End]])</f>
        <v/>
      </c>
      <c r="T244">
        <f>_xlfn.XLOOKUP(tbl_MTG_Set[[#This Row],[Type Name]], tbl_MTG_Set_Type[Set Type], tbl_MTG_Set_Type[Sell Window Month Start], "(Set Type not found)", 0, 1)</f>
        <v/>
      </c>
      <c r="U244" s="3">
        <f>tbl_MTG_Set[[#This Row],[Released On]]+tbl_MTG_Set[[#This Row],[Sell Window Month Start]]*365.25/12</f>
        <v/>
      </c>
      <c r="V244">
        <f>_xlfn.XLOOKUP(tbl_MTG_Set[[#This Row],[Type Name]], tbl_MTG_Set_Type[Set Type], tbl_MTG_Set_Type[Sell Window Month End], "(Set Type not found)", 0, 1)</f>
        <v/>
      </c>
      <c r="W244" s="3">
        <f>tbl_MTG_Set[[#This Row],[Released On]]+tbl_MTG_Set[[#This Row],[Sell Window Month End]]*365.25/12</f>
        <v/>
      </c>
      <c r="X244" s="3">
        <f>AND(NOW()&gt;=tbl_MTG_Set[[#This Row],[Sell Window Start]], NOW()&lt;=tbl_MTG_Set[[#This Row],[Sell Window End]])</f>
        <v/>
      </c>
      <c r="AG244" s="10" t="n"/>
      <c r="AH244" s="10" t="n"/>
      <c r="AM244" s="10">
        <f t="array" ref="AM2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4" s="10">
        <f t="array" ref="AN2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4" s="4">
        <f>_xlfn.XLOOKUP(tbl_MTG_Set[[#This Row],[Play Booster Box Product Id]], tbl_Product[Product Id], tbl_Product[Pack Size])</f>
        <v/>
      </c>
      <c r="AP244" s="10">
        <f>(tbl_MTG_Set[[#This Row],[Play Booster Box Cost]]+v_Item_Shipping_Cost_In)/tbl_MTG_Set[[#This Row],[Play Booster Box Size]]</f>
        <v/>
      </c>
      <c r="AQ244" s="10">
        <f t="array" ref="AQ2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4" s="10" t="n"/>
      <c r="AS244" s="10" t="n"/>
      <c r="AT244" s="17">
        <f>tbl_MTG_Set[[#This Row],[Play Booster CardMarket Profit]]/tbl_MTG_Set[[#This Row],[Play Booster Cost]]</f>
        <v/>
      </c>
      <c r="AU244" s="10">
        <f>_xlfn.XLOOKUP(tbl_MTG_Set[[#This Row],[Collector Booster Box Product Id]], tbl_Product[Product Id], tbl_Product[Min Cost])</f>
        <v/>
      </c>
      <c r="AV244" s="10">
        <f>_xlfn.XLOOKUP(tbl_MTG_Set[[#This Row],[Collector Booster Box Product Id]], tbl_Product[Product Id], tbl_Product[Best Source])</f>
        <v/>
      </c>
      <c r="AW244" s="4">
        <f>_xlfn.XLOOKUP(tbl_MTG_Set[[#This Row],[Collector Booster Box Product Id]], tbl_Product[Product Id], tbl_Product[Pack Size])</f>
        <v/>
      </c>
      <c r="AX244" s="10">
        <f>(tbl_MTG_Set[[#This Row],[Collector Booster Box Cost]] + v_Item_Shipping_Cost_In) / tbl_MTG_Set[[#This Row],[Collector Booster Box Size]]</f>
        <v/>
      </c>
      <c r="AY244" s="10">
        <f t="array" ref="AY2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4" s="10" t="n"/>
      <c r="BA2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4" s="17">
        <f>tbl_MTG_Set[[#This Row],[Collector Booster CardMarket Profit]]/tbl_MTG_Set[[#This Row],[Collector Booster Cost]]</f>
        <v/>
      </c>
      <c r="BC244" s="10" t="n"/>
      <c r="BF244" s="10">
        <f>tbl_MTG_Set[[#This Row],[Play Booster Sell Price CardMarket]]*tbl_MTG_Set[[#This Row],[Play Booster Expected Market Value]]/tbl_MTG_Set[[#This Row],[Play Boost Sealed Market Value]]</f>
        <v/>
      </c>
      <c r="BG2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4" s="10">
        <f>tbl_MTG_Set[[#This Row],[Play Singles CardMarket Profit]]/tbl_MTG_Set[[#This Row],[Play Booster Cost]]</f>
        <v/>
      </c>
      <c r="BI244" s="10">
        <f>tbl_MTG_Set[[#This Row],[Play Singles CardMarket Profit]]&gt;0</f>
        <v/>
      </c>
      <c r="BJ244" s="10" t="n"/>
      <c r="BK244" s="10" t="n"/>
      <c r="BL244" s="10">
        <f>tbl_MTG_Set[[#This Row],[Collector Booster Sell Price CardMarket]]*tbl_MTG_Set[[#This Row],[Collector Booster Expected Market Value]]/tbl_MTG_Set[[#This Row],[Collector Boost Sealed Market Value]]</f>
        <v/>
      </c>
      <c r="BM2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4" s="10">
        <f>tbl_MTG_Set[[#This Row],[Collector Singles CardMarket Profit]]/tbl_MTG_Set[[#This Row],[Collector Booster Cost]]</f>
        <v/>
      </c>
      <c r="BO244" s="10">
        <f>tbl_MTG_Set[[#This Row],[Collector Singles CardMarket Profit]]&gt;0</f>
        <v/>
      </c>
      <c r="BP2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5">
      <c r="A245" t="n">
        <v>243</v>
      </c>
      <c r="B245" t="inlineStr">
        <is>
          <t>Unfinity Sticker Sheets SUNF</t>
        </is>
      </c>
      <c r="C245" t="n">
        <v>48</v>
      </c>
      <c r="D245" s="3" t="n">
        <v>44841</v>
      </c>
      <c r="F245" t="inlineStr">
        <is>
          <t>en es fr de it pt ja ko ru 汉语 漢語</t>
        </is>
      </c>
      <c r="G245" t="n">
        <v>432</v>
      </c>
      <c r="H245">
        <f>MONTH(NOW())+12*YEAR(NOW())-MONTH(tbl_MTG_Set[[#This Row],[Released On]])-12*YEAR(tbl_MTG_Set[[#This Row],[Released On]])</f>
        <v/>
      </c>
      <c r="I245">
        <f>_xlfn.XLOOKUP(tbl_MTG_Set[[#This Row],[Type Name]], tbl_MTG_Set_Type[Set Type], tbl_MTG_Set_Type[Index], "(Set Type not found)")</f>
        <v/>
      </c>
      <c r="J245">
        <f>_xlfn.XLOOKUP(tbl_MTG_Set[[#This Row],[Type Name]], tbl_MTG_Set_Type[Set Type], tbl_MTG_Set_Type[Buy Window Month Start], "(Set Type not found)")</f>
        <v/>
      </c>
      <c r="K245" s="3">
        <f>tbl_MTG_Set[[#This Row],[Released On]]+tbl_MTG_Set[[#This Row],[Buy Window Month Start]]*365.25/12</f>
        <v/>
      </c>
      <c r="L245">
        <f>_xlfn.XLOOKUP(tbl_MTG_Set[[#This Row],[Type Name]], tbl_MTG_Set_Type[Set Type], tbl_MTG_Set_Type[Buy Window Month End], "(Set Type not found)", 0, 1)</f>
        <v/>
      </c>
      <c r="M245" s="3">
        <f>tbl_MTG_Set[[#This Row],[Released On]]+tbl_MTG_Set[[#This Row],[Buy Window Month End]]*365.25/12</f>
        <v/>
      </c>
      <c r="N245" s="3">
        <f>AND(NOW()&gt;=tbl_MTG_Set[[#This Row],[Buy Window Start]], NOW()&lt;=tbl_MTG_Set[[#This Row],[Buy Window End]])</f>
        <v/>
      </c>
      <c r="O245">
        <f>_xlfn.XLOOKUP(tbl_MTG_Set[[#This Row],[Type Name]], tbl_MTG_Set_Type[Set Type], tbl_MTG_Set_Type[Heavy Printing Window Month Start], "(Set Type not found)", 0, 1)</f>
        <v/>
      </c>
      <c r="P245" s="3">
        <f>tbl_MTG_Set[[#This Row],[Released On]]+tbl_MTG_Set[[#This Row],[Heavy Printing Window Month Start]]*365.25/12</f>
        <v/>
      </c>
      <c r="Q245">
        <f>_xlfn.XLOOKUP(tbl_MTG_Set[[#This Row],[Type Name]], tbl_MTG_Set_Type[Set Type], tbl_MTG_Set_Type[Heavy Printing Window Month End], "(Set Type not found)", 0, 1)</f>
        <v/>
      </c>
      <c r="R245" s="3">
        <f>tbl_MTG_Set[[#This Row],[Released On]]+tbl_MTG_Set[[#This Row],[Heavy Printing Window Month End]]*365.25/12</f>
        <v/>
      </c>
      <c r="S245" s="3">
        <f>AND(NOW()&gt;=tbl_MTG_Set[[#This Row],[Heavy Printing Window Start]], NOW()&lt;=tbl_MTG_Set[[#This Row],[Heavy Printing Window End]])</f>
        <v/>
      </c>
      <c r="T245">
        <f>_xlfn.XLOOKUP(tbl_MTG_Set[[#This Row],[Type Name]], tbl_MTG_Set_Type[Set Type], tbl_MTG_Set_Type[Sell Window Month Start], "(Set Type not found)", 0, 1)</f>
        <v/>
      </c>
      <c r="U245" s="3">
        <f>tbl_MTG_Set[[#This Row],[Released On]]+tbl_MTG_Set[[#This Row],[Sell Window Month Start]]*365.25/12</f>
        <v/>
      </c>
      <c r="V245">
        <f>_xlfn.XLOOKUP(tbl_MTG_Set[[#This Row],[Type Name]], tbl_MTG_Set_Type[Set Type], tbl_MTG_Set_Type[Sell Window Month End], "(Set Type not found)", 0, 1)</f>
        <v/>
      </c>
      <c r="W245" s="3">
        <f>tbl_MTG_Set[[#This Row],[Released On]]+tbl_MTG_Set[[#This Row],[Sell Window Month End]]*365.25/12</f>
        <v/>
      </c>
      <c r="X245" s="3">
        <f>AND(NOW()&gt;=tbl_MTG_Set[[#This Row],[Sell Window Start]], NOW()&lt;=tbl_MTG_Set[[#This Row],[Sell Window End]])</f>
        <v/>
      </c>
      <c r="AG245" s="10" t="n"/>
      <c r="AH245" s="10" t="n"/>
      <c r="AM245" s="10">
        <f t="array" ref="AM2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5" s="10">
        <f t="array" ref="AN2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5" s="4">
        <f>_xlfn.XLOOKUP(tbl_MTG_Set[[#This Row],[Play Booster Box Product Id]], tbl_Product[Product Id], tbl_Product[Pack Size])</f>
        <v/>
      </c>
      <c r="AP245" s="10">
        <f>(tbl_MTG_Set[[#This Row],[Play Booster Box Cost]]+v_Item_Shipping_Cost_In)/tbl_MTG_Set[[#This Row],[Play Booster Box Size]]</f>
        <v/>
      </c>
      <c r="AQ245" s="10">
        <f t="array" ref="AQ2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5" s="10" t="n"/>
      <c r="AS245" s="10" t="n"/>
      <c r="AT245" s="17">
        <f>tbl_MTG_Set[[#This Row],[Play Booster CardMarket Profit]]/tbl_MTG_Set[[#This Row],[Play Booster Cost]]</f>
        <v/>
      </c>
      <c r="AU245" s="10">
        <f>_xlfn.XLOOKUP(tbl_MTG_Set[[#This Row],[Collector Booster Box Product Id]], tbl_Product[Product Id], tbl_Product[Min Cost])</f>
        <v/>
      </c>
      <c r="AV245" s="10">
        <f>_xlfn.XLOOKUP(tbl_MTG_Set[[#This Row],[Collector Booster Box Product Id]], tbl_Product[Product Id], tbl_Product[Best Source])</f>
        <v/>
      </c>
      <c r="AW245" s="4">
        <f>_xlfn.XLOOKUP(tbl_MTG_Set[[#This Row],[Collector Booster Box Product Id]], tbl_Product[Product Id], tbl_Product[Pack Size])</f>
        <v/>
      </c>
      <c r="AX245" s="10">
        <f>(tbl_MTG_Set[[#This Row],[Collector Booster Box Cost]] + v_Item_Shipping_Cost_In) / tbl_MTG_Set[[#This Row],[Collector Booster Box Size]]</f>
        <v/>
      </c>
      <c r="AY245" s="10">
        <f t="array" ref="AY2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5" s="10" t="n"/>
      <c r="BA2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5" s="17">
        <f>tbl_MTG_Set[[#This Row],[Collector Booster CardMarket Profit]]/tbl_MTG_Set[[#This Row],[Collector Booster Cost]]</f>
        <v/>
      </c>
      <c r="BC245" s="10" t="n"/>
      <c r="BF245" s="10">
        <f>tbl_MTG_Set[[#This Row],[Play Booster Sell Price CardMarket]]*tbl_MTG_Set[[#This Row],[Play Booster Expected Market Value]]/tbl_MTG_Set[[#This Row],[Play Boost Sealed Market Value]]</f>
        <v/>
      </c>
      <c r="BG2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5" s="10">
        <f>tbl_MTG_Set[[#This Row],[Play Singles CardMarket Profit]]/tbl_MTG_Set[[#This Row],[Play Booster Cost]]</f>
        <v/>
      </c>
      <c r="BI245" s="10">
        <f>tbl_MTG_Set[[#This Row],[Play Singles CardMarket Profit]]&gt;0</f>
        <v/>
      </c>
      <c r="BJ245" s="10" t="n"/>
      <c r="BK245" s="10" t="n"/>
      <c r="BL245" s="10">
        <f>tbl_MTG_Set[[#This Row],[Collector Booster Sell Price CardMarket]]*tbl_MTG_Set[[#This Row],[Collector Booster Expected Market Value]]/tbl_MTG_Set[[#This Row],[Collector Boost Sealed Market Value]]</f>
        <v/>
      </c>
      <c r="BM2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5" s="10">
        <f>tbl_MTG_Set[[#This Row],[Collector Singles CardMarket Profit]]/tbl_MTG_Set[[#This Row],[Collector Booster Cost]]</f>
        <v/>
      </c>
      <c r="BO245" s="10">
        <f>tbl_MTG_Set[[#This Row],[Collector Singles CardMarket Profit]]&gt;0</f>
        <v/>
      </c>
      <c r="BP2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6">
      <c r="A246" t="n">
        <v>244</v>
      </c>
      <c r="B246" t="inlineStr">
        <is>
          <t>Warhammer 40,000 Commander 40K</t>
        </is>
      </c>
      <c r="C246" t="n">
        <v>617</v>
      </c>
      <c r="D246" s="3" t="n">
        <v>44841</v>
      </c>
      <c r="E246" t="inlineStr">
        <is>
          <t>Universes Beyond</t>
        </is>
      </c>
      <c r="F246" t="inlineStr">
        <is>
          <t>en es fr de it pt ja ko ru 汉语 漢語</t>
        </is>
      </c>
      <c r="G246" t="n">
        <v>434</v>
      </c>
      <c r="H246">
        <f>MONTH(NOW())+12*YEAR(NOW())-MONTH(tbl_MTG_Set[[#This Row],[Released On]])-12*YEAR(tbl_MTG_Set[[#This Row],[Released On]])</f>
        <v/>
      </c>
      <c r="I246">
        <f>_xlfn.XLOOKUP(tbl_MTG_Set[[#This Row],[Type Name]], tbl_MTG_Set_Type[Set Type], tbl_MTG_Set_Type[Index], "(Set Type not found)")</f>
        <v/>
      </c>
      <c r="J246">
        <f>_xlfn.XLOOKUP(tbl_MTG_Set[[#This Row],[Type Name]], tbl_MTG_Set_Type[Set Type], tbl_MTG_Set_Type[Buy Window Month Start], "(Set Type not found)")</f>
        <v/>
      </c>
      <c r="K246" s="3">
        <f>tbl_MTG_Set[[#This Row],[Released On]]+tbl_MTG_Set[[#This Row],[Buy Window Month Start]]*365.25/12</f>
        <v/>
      </c>
      <c r="L246">
        <f>_xlfn.XLOOKUP(tbl_MTG_Set[[#This Row],[Type Name]], tbl_MTG_Set_Type[Set Type], tbl_MTG_Set_Type[Buy Window Month End], "(Set Type not found)", 0, 1)</f>
        <v/>
      </c>
      <c r="M246" s="3">
        <f>tbl_MTG_Set[[#This Row],[Released On]]+tbl_MTG_Set[[#This Row],[Buy Window Month End]]*365.25/12</f>
        <v/>
      </c>
      <c r="N246" s="3">
        <f>AND(NOW()&gt;=tbl_MTG_Set[[#This Row],[Buy Window Start]], NOW()&lt;=tbl_MTG_Set[[#This Row],[Buy Window End]])</f>
        <v/>
      </c>
      <c r="O246">
        <f>_xlfn.XLOOKUP(tbl_MTG_Set[[#This Row],[Type Name]], tbl_MTG_Set_Type[Set Type], tbl_MTG_Set_Type[Heavy Printing Window Month Start], "(Set Type not found)", 0, 1)</f>
        <v/>
      </c>
      <c r="P246" s="3">
        <f>tbl_MTG_Set[[#This Row],[Released On]]+tbl_MTG_Set[[#This Row],[Heavy Printing Window Month Start]]*365.25/12</f>
        <v/>
      </c>
      <c r="Q246">
        <f>_xlfn.XLOOKUP(tbl_MTG_Set[[#This Row],[Type Name]], tbl_MTG_Set_Type[Set Type], tbl_MTG_Set_Type[Heavy Printing Window Month End], "(Set Type not found)", 0, 1)</f>
        <v/>
      </c>
      <c r="R246" s="3">
        <f>tbl_MTG_Set[[#This Row],[Released On]]+tbl_MTG_Set[[#This Row],[Heavy Printing Window Month End]]*365.25/12</f>
        <v/>
      </c>
      <c r="S246" s="3">
        <f>AND(NOW()&gt;=tbl_MTG_Set[[#This Row],[Heavy Printing Window Start]], NOW()&lt;=tbl_MTG_Set[[#This Row],[Heavy Printing Window End]])</f>
        <v/>
      </c>
      <c r="T246">
        <f>_xlfn.XLOOKUP(tbl_MTG_Set[[#This Row],[Type Name]], tbl_MTG_Set_Type[Set Type], tbl_MTG_Set_Type[Sell Window Month Start], "(Set Type not found)", 0, 1)</f>
        <v/>
      </c>
      <c r="U246" s="3">
        <f>tbl_MTG_Set[[#This Row],[Released On]]+tbl_MTG_Set[[#This Row],[Sell Window Month Start]]*365.25/12</f>
        <v/>
      </c>
      <c r="V246">
        <f>_xlfn.XLOOKUP(tbl_MTG_Set[[#This Row],[Type Name]], tbl_MTG_Set_Type[Set Type], tbl_MTG_Set_Type[Sell Window Month End], "(Set Type not found)", 0, 1)</f>
        <v/>
      </c>
      <c r="W246" s="3">
        <f>tbl_MTG_Set[[#This Row],[Released On]]+tbl_MTG_Set[[#This Row],[Sell Window Month End]]*365.25/12</f>
        <v/>
      </c>
      <c r="X246" s="3">
        <f>AND(NOW()&gt;=tbl_MTG_Set[[#This Row],[Sell Window Start]], NOW()&lt;=tbl_MTG_Set[[#This Row],[Sell Window End]])</f>
        <v/>
      </c>
      <c r="AG246" s="10" t="n"/>
      <c r="AH246" s="10" t="n"/>
      <c r="AM246" s="10">
        <f t="array" ref="AM2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6" s="10">
        <f t="array" ref="AN2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6" s="4">
        <f>_xlfn.XLOOKUP(tbl_MTG_Set[[#This Row],[Play Booster Box Product Id]], tbl_Product[Product Id], tbl_Product[Pack Size])</f>
        <v/>
      </c>
      <c r="AP246" s="10">
        <f>(tbl_MTG_Set[[#This Row],[Play Booster Box Cost]]+v_Item_Shipping_Cost_In)/tbl_MTG_Set[[#This Row],[Play Booster Box Size]]</f>
        <v/>
      </c>
      <c r="AQ246" s="10">
        <f t="array" ref="AQ2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6" s="10" t="n"/>
      <c r="AS246" s="10" t="n"/>
      <c r="AT246" s="17">
        <f>tbl_MTG_Set[[#This Row],[Play Booster CardMarket Profit]]/tbl_MTG_Set[[#This Row],[Play Booster Cost]]</f>
        <v/>
      </c>
      <c r="AU246" s="10">
        <f>_xlfn.XLOOKUP(tbl_MTG_Set[[#This Row],[Collector Booster Box Product Id]], tbl_Product[Product Id], tbl_Product[Min Cost])</f>
        <v/>
      </c>
      <c r="AV246" s="10">
        <f>_xlfn.XLOOKUP(tbl_MTG_Set[[#This Row],[Collector Booster Box Product Id]], tbl_Product[Product Id], tbl_Product[Best Source])</f>
        <v/>
      </c>
      <c r="AW246" s="4">
        <f>_xlfn.XLOOKUP(tbl_MTG_Set[[#This Row],[Collector Booster Box Product Id]], tbl_Product[Product Id], tbl_Product[Pack Size])</f>
        <v/>
      </c>
      <c r="AX246" s="10">
        <f>(tbl_MTG_Set[[#This Row],[Collector Booster Box Cost]] + v_Item_Shipping_Cost_In) / tbl_MTG_Set[[#This Row],[Collector Booster Box Size]]</f>
        <v/>
      </c>
      <c r="AY246" s="10">
        <f t="array" ref="AY2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6" s="10" t="n"/>
      <c r="BA2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6" s="17">
        <f>tbl_MTG_Set[[#This Row],[Collector Booster CardMarket Profit]]/tbl_MTG_Set[[#This Row],[Collector Booster Cost]]</f>
        <v/>
      </c>
      <c r="BC246" s="10" t="n"/>
      <c r="BF246" s="10">
        <f>tbl_MTG_Set[[#This Row],[Play Booster Sell Price CardMarket]]*tbl_MTG_Set[[#This Row],[Play Booster Expected Market Value]]/tbl_MTG_Set[[#This Row],[Play Boost Sealed Market Value]]</f>
        <v/>
      </c>
      <c r="BG2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6" s="10">
        <f>tbl_MTG_Set[[#This Row],[Play Singles CardMarket Profit]]/tbl_MTG_Set[[#This Row],[Play Booster Cost]]</f>
        <v/>
      </c>
      <c r="BI246" s="10">
        <f>tbl_MTG_Set[[#This Row],[Play Singles CardMarket Profit]]&gt;0</f>
        <v/>
      </c>
      <c r="BJ246" s="10" t="n"/>
      <c r="BK246" s="10" t="n"/>
      <c r="BL246" s="10">
        <f>tbl_MTG_Set[[#This Row],[Collector Booster Sell Price CardMarket]]*tbl_MTG_Set[[#This Row],[Collector Booster Expected Market Value]]/tbl_MTG_Set[[#This Row],[Collector Boost Sealed Market Value]]</f>
        <v/>
      </c>
      <c r="BM2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6" s="10">
        <f>tbl_MTG_Set[[#This Row],[Collector Singles CardMarket Profit]]/tbl_MTG_Set[[#This Row],[Collector Booster Cost]]</f>
        <v/>
      </c>
      <c r="BO246" s="10">
        <f>tbl_MTG_Set[[#This Row],[Collector Singles CardMarket Profit]]&gt;0</f>
        <v/>
      </c>
      <c r="BP2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7">
      <c r="A247" t="n">
        <v>245</v>
      </c>
      <c r="B247" t="inlineStr">
        <is>
          <t>Warhammer 40,000 Tokens T40K</t>
        </is>
      </c>
      <c r="C247" t="n">
        <v>31</v>
      </c>
      <c r="D247" s="3" t="n">
        <v>44841</v>
      </c>
      <c r="E247" t="inlineStr">
        <is>
          <t>Universes Beyond</t>
        </is>
      </c>
      <c r="F247" t="inlineStr">
        <is>
          <t>en es fr de it pt ja ko ru 汉语 漢語</t>
        </is>
      </c>
      <c r="G247" t="n">
        <v>436</v>
      </c>
      <c r="H247">
        <f>MONTH(NOW())+12*YEAR(NOW())-MONTH(tbl_MTG_Set[[#This Row],[Released On]])-12*YEAR(tbl_MTG_Set[[#This Row],[Released On]])</f>
        <v/>
      </c>
      <c r="I247">
        <f>_xlfn.XLOOKUP(tbl_MTG_Set[[#This Row],[Type Name]], tbl_MTG_Set_Type[Set Type], tbl_MTG_Set_Type[Index], "(Set Type not found)")</f>
        <v/>
      </c>
      <c r="J247">
        <f>_xlfn.XLOOKUP(tbl_MTG_Set[[#This Row],[Type Name]], tbl_MTG_Set_Type[Set Type], tbl_MTG_Set_Type[Buy Window Month Start], "(Set Type not found)")</f>
        <v/>
      </c>
      <c r="K247" s="3">
        <f>tbl_MTG_Set[[#This Row],[Released On]]+tbl_MTG_Set[[#This Row],[Buy Window Month Start]]*365.25/12</f>
        <v/>
      </c>
      <c r="L247">
        <f>_xlfn.XLOOKUP(tbl_MTG_Set[[#This Row],[Type Name]], tbl_MTG_Set_Type[Set Type], tbl_MTG_Set_Type[Buy Window Month End], "(Set Type not found)", 0, 1)</f>
        <v/>
      </c>
      <c r="M247" s="3">
        <f>tbl_MTG_Set[[#This Row],[Released On]]+tbl_MTG_Set[[#This Row],[Buy Window Month End]]*365.25/12</f>
        <v/>
      </c>
      <c r="N247" s="3">
        <f>AND(NOW()&gt;=tbl_MTG_Set[[#This Row],[Buy Window Start]], NOW()&lt;=tbl_MTG_Set[[#This Row],[Buy Window End]])</f>
        <v/>
      </c>
      <c r="O247">
        <f>_xlfn.XLOOKUP(tbl_MTG_Set[[#This Row],[Type Name]], tbl_MTG_Set_Type[Set Type], tbl_MTG_Set_Type[Heavy Printing Window Month Start], "(Set Type not found)", 0, 1)</f>
        <v/>
      </c>
      <c r="P247" s="3">
        <f>tbl_MTG_Set[[#This Row],[Released On]]+tbl_MTG_Set[[#This Row],[Heavy Printing Window Month Start]]*365.25/12</f>
        <v/>
      </c>
      <c r="Q247">
        <f>_xlfn.XLOOKUP(tbl_MTG_Set[[#This Row],[Type Name]], tbl_MTG_Set_Type[Set Type], tbl_MTG_Set_Type[Heavy Printing Window Month End], "(Set Type not found)", 0, 1)</f>
        <v/>
      </c>
      <c r="R247" s="3">
        <f>tbl_MTG_Set[[#This Row],[Released On]]+tbl_MTG_Set[[#This Row],[Heavy Printing Window Month End]]*365.25/12</f>
        <v/>
      </c>
      <c r="S247" s="3">
        <f>AND(NOW()&gt;=tbl_MTG_Set[[#This Row],[Heavy Printing Window Start]], NOW()&lt;=tbl_MTG_Set[[#This Row],[Heavy Printing Window End]])</f>
        <v/>
      </c>
      <c r="T247">
        <f>_xlfn.XLOOKUP(tbl_MTG_Set[[#This Row],[Type Name]], tbl_MTG_Set_Type[Set Type], tbl_MTG_Set_Type[Sell Window Month Start], "(Set Type not found)", 0, 1)</f>
        <v/>
      </c>
      <c r="U247" s="3">
        <f>tbl_MTG_Set[[#This Row],[Released On]]+tbl_MTG_Set[[#This Row],[Sell Window Month Start]]*365.25/12</f>
        <v/>
      </c>
      <c r="V247">
        <f>_xlfn.XLOOKUP(tbl_MTG_Set[[#This Row],[Type Name]], tbl_MTG_Set_Type[Set Type], tbl_MTG_Set_Type[Sell Window Month End], "(Set Type not found)", 0, 1)</f>
        <v/>
      </c>
      <c r="W247" s="3">
        <f>tbl_MTG_Set[[#This Row],[Released On]]+tbl_MTG_Set[[#This Row],[Sell Window Month End]]*365.25/12</f>
        <v/>
      </c>
      <c r="X247" s="3">
        <f>AND(NOW()&gt;=tbl_MTG_Set[[#This Row],[Sell Window Start]], NOW()&lt;=tbl_MTG_Set[[#This Row],[Sell Window End]])</f>
        <v/>
      </c>
      <c r="AG247" s="10" t="n"/>
      <c r="AH247" s="10" t="n"/>
      <c r="AM247" s="10">
        <f t="array" ref="AM2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7" s="10">
        <f t="array" ref="AN2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7" s="4">
        <f>_xlfn.XLOOKUP(tbl_MTG_Set[[#This Row],[Play Booster Box Product Id]], tbl_Product[Product Id], tbl_Product[Pack Size])</f>
        <v/>
      </c>
      <c r="AP247" s="10">
        <f>(tbl_MTG_Set[[#This Row],[Play Booster Box Cost]]+v_Item_Shipping_Cost_In)/tbl_MTG_Set[[#This Row],[Play Booster Box Size]]</f>
        <v/>
      </c>
      <c r="AQ247" s="10">
        <f t="array" ref="AQ2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7" s="10" t="n"/>
      <c r="AS247" s="10" t="n"/>
      <c r="AT247" s="17">
        <f>tbl_MTG_Set[[#This Row],[Play Booster CardMarket Profit]]/tbl_MTG_Set[[#This Row],[Play Booster Cost]]</f>
        <v/>
      </c>
      <c r="AU247" s="10">
        <f>_xlfn.XLOOKUP(tbl_MTG_Set[[#This Row],[Collector Booster Box Product Id]], tbl_Product[Product Id], tbl_Product[Min Cost])</f>
        <v/>
      </c>
      <c r="AV247" s="10">
        <f>_xlfn.XLOOKUP(tbl_MTG_Set[[#This Row],[Collector Booster Box Product Id]], tbl_Product[Product Id], tbl_Product[Best Source])</f>
        <v/>
      </c>
      <c r="AW247" s="4">
        <f>_xlfn.XLOOKUP(tbl_MTG_Set[[#This Row],[Collector Booster Box Product Id]], tbl_Product[Product Id], tbl_Product[Pack Size])</f>
        <v/>
      </c>
      <c r="AX247" s="10">
        <f>(tbl_MTG_Set[[#This Row],[Collector Booster Box Cost]] + v_Item_Shipping_Cost_In) / tbl_MTG_Set[[#This Row],[Collector Booster Box Size]]</f>
        <v/>
      </c>
      <c r="AY247" s="10">
        <f t="array" ref="AY2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7" s="10" t="n"/>
      <c r="BA2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7" s="17">
        <f>tbl_MTG_Set[[#This Row],[Collector Booster CardMarket Profit]]/tbl_MTG_Set[[#This Row],[Collector Booster Cost]]</f>
        <v/>
      </c>
      <c r="BC247" s="10" t="n"/>
      <c r="BF247" s="10">
        <f>tbl_MTG_Set[[#This Row],[Play Booster Sell Price CardMarket]]*tbl_MTG_Set[[#This Row],[Play Booster Expected Market Value]]/tbl_MTG_Set[[#This Row],[Play Boost Sealed Market Value]]</f>
        <v/>
      </c>
      <c r="BG2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7" s="10">
        <f>tbl_MTG_Set[[#This Row],[Play Singles CardMarket Profit]]/tbl_MTG_Set[[#This Row],[Play Booster Cost]]</f>
        <v/>
      </c>
      <c r="BI247" s="10">
        <f>tbl_MTG_Set[[#This Row],[Play Singles CardMarket Profit]]&gt;0</f>
        <v/>
      </c>
      <c r="BJ247" s="10" t="n"/>
      <c r="BK247" s="10" t="n"/>
      <c r="BL247" s="10">
        <f>tbl_MTG_Set[[#This Row],[Collector Booster Sell Price CardMarket]]*tbl_MTG_Set[[#This Row],[Collector Booster Expected Market Value]]/tbl_MTG_Set[[#This Row],[Collector Boost Sealed Market Value]]</f>
        <v/>
      </c>
      <c r="BM2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7" s="10">
        <f>tbl_MTG_Set[[#This Row],[Collector Singles CardMarket Profit]]/tbl_MTG_Set[[#This Row],[Collector Booster Cost]]</f>
        <v/>
      </c>
      <c r="BO247" s="10">
        <f>tbl_MTG_Set[[#This Row],[Collector Singles CardMarket Profit]]&gt;0</f>
        <v/>
      </c>
      <c r="BP2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8">
      <c r="A248" t="n">
        <v>246</v>
      </c>
      <c r="B248" t="inlineStr">
        <is>
          <t>Regional Championship Qualifiers 2022 PRCQ</t>
        </is>
      </c>
      <c r="C248" t="n">
        <v>3</v>
      </c>
      <c r="D248" s="3" t="n">
        <v>44835</v>
      </c>
      <c r="F248" t="inlineStr">
        <is>
          <t>en es fr de it pt ja ko ru 汉语 漢語</t>
        </is>
      </c>
      <c r="G248" t="n">
        <v>438</v>
      </c>
      <c r="H248">
        <f>MONTH(NOW())+12*YEAR(NOW())-MONTH(tbl_MTG_Set[[#This Row],[Released On]])-12*YEAR(tbl_MTG_Set[[#This Row],[Released On]])</f>
        <v/>
      </c>
      <c r="I248">
        <f>_xlfn.XLOOKUP(tbl_MTG_Set[[#This Row],[Type Name]], tbl_MTG_Set_Type[Set Type], tbl_MTG_Set_Type[Index], "(Set Type not found)")</f>
        <v/>
      </c>
      <c r="J248">
        <f>_xlfn.XLOOKUP(tbl_MTG_Set[[#This Row],[Type Name]], tbl_MTG_Set_Type[Set Type], tbl_MTG_Set_Type[Buy Window Month Start], "(Set Type not found)")</f>
        <v/>
      </c>
      <c r="K248" s="3">
        <f>tbl_MTG_Set[[#This Row],[Released On]]+tbl_MTG_Set[[#This Row],[Buy Window Month Start]]*365.25/12</f>
        <v/>
      </c>
      <c r="L248">
        <f>_xlfn.XLOOKUP(tbl_MTG_Set[[#This Row],[Type Name]], tbl_MTG_Set_Type[Set Type], tbl_MTG_Set_Type[Buy Window Month End], "(Set Type not found)", 0, 1)</f>
        <v/>
      </c>
      <c r="M248" s="3">
        <f>tbl_MTG_Set[[#This Row],[Released On]]+tbl_MTG_Set[[#This Row],[Buy Window Month End]]*365.25/12</f>
        <v/>
      </c>
      <c r="N248" s="3">
        <f>AND(NOW()&gt;=tbl_MTG_Set[[#This Row],[Buy Window Start]], NOW()&lt;=tbl_MTG_Set[[#This Row],[Buy Window End]])</f>
        <v/>
      </c>
      <c r="O248">
        <f>_xlfn.XLOOKUP(tbl_MTG_Set[[#This Row],[Type Name]], tbl_MTG_Set_Type[Set Type], tbl_MTG_Set_Type[Heavy Printing Window Month Start], "(Set Type not found)", 0, 1)</f>
        <v/>
      </c>
      <c r="P248" s="3">
        <f>tbl_MTG_Set[[#This Row],[Released On]]+tbl_MTG_Set[[#This Row],[Heavy Printing Window Month Start]]*365.25/12</f>
        <v/>
      </c>
      <c r="Q248">
        <f>_xlfn.XLOOKUP(tbl_MTG_Set[[#This Row],[Type Name]], tbl_MTG_Set_Type[Set Type], tbl_MTG_Set_Type[Heavy Printing Window Month End], "(Set Type not found)", 0, 1)</f>
        <v/>
      </c>
      <c r="R248" s="3">
        <f>tbl_MTG_Set[[#This Row],[Released On]]+tbl_MTG_Set[[#This Row],[Heavy Printing Window Month End]]*365.25/12</f>
        <v/>
      </c>
      <c r="S248" s="3">
        <f>AND(NOW()&gt;=tbl_MTG_Set[[#This Row],[Heavy Printing Window Start]], NOW()&lt;=tbl_MTG_Set[[#This Row],[Heavy Printing Window End]])</f>
        <v/>
      </c>
      <c r="T248">
        <f>_xlfn.XLOOKUP(tbl_MTG_Set[[#This Row],[Type Name]], tbl_MTG_Set_Type[Set Type], tbl_MTG_Set_Type[Sell Window Month Start], "(Set Type not found)", 0, 1)</f>
        <v/>
      </c>
      <c r="U248" s="3">
        <f>tbl_MTG_Set[[#This Row],[Released On]]+tbl_MTG_Set[[#This Row],[Sell Window Month Start]]*365.25/12</f>
        <v/>
      </c>
      <c r="V248">
        <f>_xlfn.XLOOKUP(tbl_MTG_Set[[#This Row],[Type Name]], tbl_MTG_Set_Type[Set Type], tbl_MTG_Set_Type[Sell Window Month End], "(Set Type not found)", 0, 1)</f>
        <v/>
      </c>
      <c r="W248" s="3">
        <f>tbl_MTG_Set[[#This Row],[Released On]]+tbl_MTG_Set[[#This Row],[Sell Window Month End]]*365.25/12</f>
        <v/>
      </c>
      <c r="X248" s="3">
        <f>AND(NOW()&gt;=tbl_MTG_Set[[#This Row],[Sell Window Start]], NOW()&lt;=tbl_MTG_Set[[#This Row],[Sell Window End]])</f>
        <v/>
      </c>
      <c r="AG248" s="10" t="n"/>
      <c r="AH248" s="10" t="n"/>
      <c r="AM248" s="10">
        <f t="array" ref="AM2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8" s="10">
        <f t="array" ref="AN2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8" s="4">
        <f>_xlfn.XLOOKUP(tbl_MTG_Set[[#This Row],[Play Booster Box Product Id]], tbl_Product[Product Id], tbl_Product[Pack Size])</f>
        <v/>
      </c>
      <c r="AP248" s="10">
        <f>(tbl_MTG_Set[[#This Row],[Play Booster Box Cost]]+v_Item_Shipping_Cost_In)/tbl_MTG_Set[[#This Row],[Play Booster Box Size]]</f>
        <v/>
      </c>
      <c r="AQ248" s="10">
        <f t="array" ref="AQ2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8" s="10" t="n"/>
      <c r="AS248" s="10" t="n"/>
      <c r="AT248" s="17">
        <f>tbl_MTG_Set[[#This Row],[Play Booster CardMarket Profit]]/tbl_MTG_Set[[#This Row],[Play Booster Cost]]</f>
        <v/>
      </c>
      <c r="AU248" s="10">
        <f>_xlfn.XLOOKUP(tbl_MTG_Set[[#This Row],[Collector Booster Box Product Id]], tbl_Product[Product Id], tbl_Product[Min Cost])</f>
        <v/>
      </c>
      <c r="AV248" s="10">
        <f>_xlfn.XLOOKUP(tbl_MTG_Set[[#This Row],[Collector Booster Box Product Id]], tbl_Product[Product Id], tbl_Product[Best Source])</f>
        <v/>
      </c>
      <c r="AW248" s="4">
        <f>_xlfn.XLOOKUP(tbl_MTG_Set[[#This Row],[Collector Booster Box Product Id]], tbl_Product[Product Id], tbl_Product[Pack Size])</f>
        <v/>
      </c>
      <c r="AX248" s="10">
        <f>(tbl_MTG_Set[[#This Row],[Collector Booster Box Cost]] + v_Item_Shipping_Cost_In) / tbl_MTG_Set[[#This Row],[Collector Booster Box Size]]</f>
        <v/>
      </c>
      <c r="AY248" s="10">
        <f t="array" ref="AY2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8" s="10" t="n"/>
      <c r="BA2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8" s="17">
        <f>tbl_MTG_Set[[#This Row],[Collector Booster CardMarket Profit]]/tbl_MTG_Set[[#This Row],[Collector Booster Cost]]</f>
        <v/>
      </c>
      <c r="BC248" s="10" t="n"/>
      <c r="BF248" s="10">
        <f>tbl_MTG_Set[[#This Row],[Play Booster Sell Price CardMarket]]*tbl_MTG_Set[[#This Row],[Play Booster Expected Market Value]]/tbl_MTG_Set[[#This Row],[Play Boost Sealed Market Value]]</f>
        <v/>
      </c>
      <c r="BG2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8" s="10">
        <f>tbl_MTG_Set[[#This Row],[Play Singles CardMarket Profit]]/tbl_MTG_Set[[#This Row],[Play Booster Cost]]</f>
        <v/>
      </c>
      <c r="BI248" s="10">
        <f>tbl_MTG_Set[[#This Row],[Play Singles CardMarket Profit]]&gt;0</f>
        <v/>
      </c>
      <c r="BJ248" s="10" t="n"/>
      <c r="BK248" s="10" t="n"/>
      <c r="BL248" s="10">
        <f>tbl_MTG_Set[[#This Row],[Collector Booster Sell Price CardMarket]]*tbl_MTG_Set[[#This Row],[Collector Booster Expected Market Value]]/tbl_MTG_Set[[#This Row],[Collector Boost Sealed Market Value]]</f>
        <v/>
      </c>
      <c r="BM2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8" s="10">
        <f>tbl_MTG_Set[[#This Row],[Collector Singles CardMarket Profit]]/tbl_MTG_Set[[#This Row],[Collector Booster Cost]]</f>
        <v/>
      </c>
      <c r="BO248" s="10">
        <f>tbl_MTG_Set[[#This Row],[Collector Singles CardMarket Profit]]&gt;0</f>
        <v/>
      </c>
      <c r="BP2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9">
      <c r="A249" t="n">
        <v>247</v>
      </c>
      <c r="B249" t="inlineStr">
        <is>
          <t>Dominaria United DMU</t>
        </is>
      </c>
      <c r="C249" t="n">
        <v>453</v>
      </c>
      <c r="D249" s="3" t="n">
        <v>44813</v>
      </c>
      <c r="E249" t="inlineStr">
        <is>
          <t>Standard Expansion</t>
        </is>
      </c>
      <c r="F249" t="inlineStr">
        <is>
          <t>en es fr de it pt ja ko ru 汉语 漢語</t>
        </is>
      </c>
      <c r="G249" t="n">
        <v>440</v>
      </c>
      <c r="H249">
        <f>MONTH(NOW())+12*YEAR(NOW())-MONTH(tbl_MTG_Set[[#This Row],[Released On]])-12*YEAR(tbl_MTG_Set[[#This Row],[Released On]])</f>
        <v/>
      </c>
      <c r="I249">
        <f>_xlfn.XLOOKUP(tbl_MTG_Set[[#This Row],[Type Name]], tbl_MTG_Set_Type[Set Type], tbl_MTG_Set_Type[Index], "(Set Type not found)")</f>
        <v/>
      </c>
      <c r="J249">
        <f>_xlfn.XLOOKUP(tbl_MTG_Set[[#This Row],[Type Name]], tbl_MTG_Set_Type[Set Type], tbl_MTG_Set_Type[Buy Window Month Start], "(Set Type not found)")</f>
        <v/>
      </c>
      <c r="K249" s="3">
        <f>tbl_MTG_Set[[#This Row],[Released On]]+tbl_MTG_Set[[#This Row],[Buy Window Month Start]]*365.25/12</f>
        <v/>
      </c>
      <c r="L249">
        <f>_xlfn.XLOOKUP(tbl_MTG_Set[[#This Row],[Type Name]], tbl_MTG_Set_Type[Set Type], tbl_MTG_Set_Type[Buy Window Month End], "(Set Type not found)", 0, 1)</f>
        <v/>
      </c>
      <c r="M249" s="3">
        <f>tbl_MTG_Set[[#This Row],[Released On]]+tbl_MTG_Set[[#This Row],[Buy Window Month End]]*365.25/12</f>
        <v/>
      </c>
      <c r="N249" s="3">
        <f>AND(NOW()&gt;=tbl_MTG_Set[[#This Row],[Buy Window Start]], NOW()&lt;=tbl_MTG_Set[[#This Row],[Buy Window End]])</f>
        <v/>
      </c>
      <c r="O249">
        <f>_xlfn.XLOOKUP(tbl_MTG_Set[[#This Row],[Type Name]], tbl_MTG_Set_Type[Set Type], tbl_MTG_Set_Type[Heavy Printing Window Month Start], "(Set Type not found)", 0, 1)</f>
        <v/>
      </c>
      <c r="P249" s="3">
        <f>tbl_MTG_Set[[#This Row],[Released On]]+tbl_MTG_Set[[#This Row],[Heavy Printing Window Month Start]]*365.25/12</f>
        <v/>
      </c>
      <c r="Q249">
        <f>_xlfn.XLOOKUP(tbl_MTG_Set[[#This Row],[Type Name]], tbl_MTG_Set_Type[Set Type], tbl_MTG_Set_Type[Heavy Printing Window Month End], "(Set Type not found)", 0, 1)</f>
        <v/>
      </c>
      <c r="R249" s="3">
        <f>tbl_MTG_Set[[#This Row],[Released On]]+tbl_MTG_Set[[#This Row],[Heavy Printing Window Month End]]*365.25/12</f>
        <v/>
      </c>
      <c r="S249" s="3">
        <f>AND(NOW()&gt;=tbl_MTG_Set[[#This Row],[Heavy Printing Window Start]], NOW()&lt;=tbl_MTG_Set[[#This Row],[Heavy Printing Window End]])</f>
        <v/>
      </c>
      <c r="T249">
        <f>_xlfn.XLOOKUP(tbl_MTG_Set[[#This Row],[Type Name]], tbl_MTG_Set_Type[Set Type], tbl_MTG_Set_Type[Sell Window Month Start], "(Set Type not found)", 0, 1)</f>
        <v/>
      </c>
      <c r="U249" s="3">
        <f>tbl_MTG_Set[[#This Row],[Released On]]+tbl_MTG_Set[[#This Row],[Sell Window Month Start]]*365.25/12</f>
        <v/>
      </c>
      <c r="V249">
        <f>_xlfn.XLOOKUP(tbl_MTG_Set[[#This Row],[Type Name]], tbl_MTG_Set_Type[Set Type], tbl_MTG_Set_Type[Sell Window Month End], "(Set Type not found)", 0, 1)</f>
        <v/>
      </c>
      <c r="W249" s="3">
        <f>tbl_MTG_Set[[#This Row],[Released On]]+tbl_MTG_Set[[#This Row],[Sell Window Month End]]*365.25/12</f>
        <v/>
      </c>
      <c r="X249" s="3">
        <f>AND(NOW()&gt;=tbl_MTG_Set[[#This Row],[Sell Window Start]], NOW()&lt;=tbl_MTG_Set[[#This Row],[Sell Window End]])</f>
        <v/>
      </c>
      <c r="Y249" s="10" t="n">
        <v>150</v>
      </c>
      <c r="Z249" s="10" t="n">
        <v>115</v>
      </c>
      <c r="AD249" s="10">
        <f>(Y249+96/20)/30</f>
        <v/>
      </c>
      <c r="AE249" s="10">
        <f>(Z249+96/20)/30</f>
        <v/>
      </c>
      <c r="AG249" s="10" t="n"/>
      <c r="AH249" s="10" t="n"/>
      <c r="AI249" s="4" t="n">
        <v>76</v>
      </c>
      <c r="AJ249" s="4" t="n">
        <v>31</v>
      </c>
      <c r="AK249" s="4" t="n">
        <v>94</v>
      </c>
      <c r="AL249" s="4" t="n">
        <v>93</v>
      </c>
      <c r="AM249" s="10">
        <f t="array" ref="AM2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9" s="10">
        <f t="array" ref="AN2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9" s="4">
        <f>_xlfn.XLOOKUP(tbl_MTG_Set[[#This Row],[Play Booster Box Product Id]], tbl_Product[Product Id], tbl_Product[Pack Size])</f>
        <v/>
      </c>
      <c r="AP249" s="10">
        <f>(tbl_MTG_Set[[#This Row],[Play Booster Box Cost]]+v_Item_Shipping_Cost_In)/tbl_MTG_Set[[#This Row],[Play Booster Box Size]]</f>
        <v/>
      </c>
      <c r="AQ249" s="10">
        <f t="array" ref="AQ2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49" s="10" t="n">
        <v>4</v>
      </c>
      <c r="AS24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49" s="17">
        <f>tbl_MTG_Set[[#This Row],[Play Booster CardMarket Profit]]/tbl_MTG_Set[[#This Row],[Play Booster Cost]]</f>
        <v/>
      </c>
      <c r="AU249" s="10">
        <f>_xlfn.XLOOKUP(tbl_MTG_Set[[#This Row],[Collector Booster Box Product Id]], tbl_Product[Product Id], tbl_Product[Min Cost])</f>
        <v/>
      </c>
      <c r="AV249" s="10">
        <f>_xlfn.XLOOKUP(tbl_MTG_Set[[#This Row],[Collector Booster Box Product Id]], tbl_Product[Product Id], tbl_Product[Best Source])</f>
        <v/>
      </c>
      <c r="AW249" s="4">
        <f>_xlfn.XLOOKUP(tbl_MTG_Set[[#This Row],[Collector Booster Box Product Id]], tbl_Product[Product Id], tbl_Product[Pack Size])</f>
        <v/>
      </c>
      <c r="AX249" s="10">
        <f>(tbl_MTG_Set[[#This Row],[Collector Booster Box Cost]] + v_Item_Shipping_Cost_In) / tbl_MTG_Set[[#This Row],[Collector Booster Box Size]]</f>
        <v/>
      </c>
      <c r="AY249" s="10">
        <f t="array" ref="AY2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49" s="10" t="n"/>
      <c r="BA2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9" s="17">
        <f>tbl_MTG_Set[[#This Row],[Collector Booster CardMarket Profit]]/tbl_MTG_Set[[#This Row],[Collector Booster Cost]]</f>
        <v/>
      </c>
      <c r="BC249" s="10" t="n"/>
      <c r="BF249" s="10">
        <f>tbl_MTG_Set[[#This Row],[Play Booster Sell Price CardMarket]]*tbl_MTG_Set[[#This Row],[Play Booster Expected Market Value]]/tbl_MTG_Set[[#This Row],[Play Boost Sealed Market Value]]</f>
        <v/>
      </c>
      <c r="BG2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9" s="17">
        <f>tbl_MTG_Set[[#This Row],[Play Singles CardMarket Profit]]/tbl_MTG_Set[[#This Row],[Play Booster Cost]]</f>
        <v/>
      </c>
      <c r="BI249" s="10">
        <f>tbl_MTG_Set[[#This Row],[Play Singles CardMarket Profit]]&gt;0</f>
        <v/>
      </c>
      <c r="BJ249" s="10" t="n"/>
      <c r="BK249" s="10" t="n"/>
      <c r="BL249" s="10">
        <f>tbl_MTG_Set[[#This Row],[Collector Booster Sell Price CardMarket]]*tbl_MTG_Set[[#This Row],[Collector Booster Expected Market Value]]/tbl_MTG_Set[[#This Row],[Collector Boost Sealed Market Value]]</f>
        <v/>
      </c>
      <c r="BM2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9" s="17">
        <f>tbl_MTG_Set[[#This Row],[Collector Singles CardMarket Profit]]/tbl_MTG_Set[[#This Row],[Collector Booster Cost]]</f>
        <v/>
      </c>
      <c r="BO249" s="10">
        <f>tbl_MTG_Set[[#This Row],[Collector Singles CardMarket Profit]]&gt;0</f>
        <v/>
      </c>
      <c r="BP2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9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0">
      <c r="A250" t="n">
        <v>248</v>
      </c>
      <c r="B250" t="inlineStr">
        <is>
          <t>Dominaria United Promos PDMU</t>
        </is>
      </c>
      <c r="C250" t="n">
        <v>161</v>
      </c>
      <c r="D250" s="3" t="n">
        <v>44813</v>
      </c>
      <c r="E250" t="inlineStr">
        <is>
          <t>Standard Expansion</t>
        </is>
      </c>
      <c r="F250" t="inlineStr">
        <is>
          <t>en es fr de it pt ja ko ru 汉语 漢語</t>
        </is>
      </c>
      <c r="G250" t="n">
        <v>442</v>
      </c>
      <c r="H250">
        <f>MONTH(NOW())+12*YEAR(NOW())-MONTH(tbl_MTG_Set[[#This Row],[Released On]])-12*YEAR(tbl_MTG_Set[[#This Row],[Released On]])</f>
        <v/>
      </c>
      <c r="I250">
        <f>_xlfn.XLOOKUP(tbl_MTG_Set[[#This Row],[Type Name]], tbl_MTG_Set_Type[Set Type], tbl_MTG_Set_Type[Index], "(Set Type not found)")</f>
        <v/>
      </c>
      <c r="J250">
        <f>_xlfn.XLOOKUP(tbl_MTG_Set[[#This Row],[Type Name]], tbl_MTG_Set_Type[Set Type], tbl_MTG_Set_Type[Buy Window Month Start], "(Set Type not found)")</f>
        <v/>
      </c>
      <c r="K250" s="3">
        <f>tbl_MTG_Set[[#This Row],[Released On]]+tbl_MTG_Set[[#This Row],[Buy Window Month Start]]*365.25/12</f>
        <v/>
      </c>
      <c r="L250">
        <f>_xlfn.XLOOKUP(tbl_MTG_Set[[#This Row],[Type Name]], tbl_MTG_Set_Type[Set Type], tbl_MTG_Set_Type[Buy Window Month End], "(Set Type not found)", 0, 1)</f>
        <v/>
      </c>
      <c r="M250" s="3">
        <f>tbl_MTG_Set[[#This Row],[Released On]]+tbl_MTG_Set[[#This Row],[Buy Window Month End]]*365.25/12</f>
        <v/>
      </c>
      <c r="N250" s="3">
        <f>AND(NOW()&gt;=tbl_MTG_Set[[#This Row],[Buy Window Start]], NOW()&lt;=tbl_MTG_Set[[#This Row],[Buy Window End]])</f>
        <v/>
      </c>
      <c r="O250">
        <f>_xlfn.XLOOKUP(tbl_MTG_Set[[#This Row],[Type Name]], tbl_MTG_Set_Type[Set Type], tbl_MTG_Set_Type[Heavy Printing Window Month Start], "(Set Type not found)", 0, 1)</f>
        <v/>
      </c>
      <c r="P250" s="3">
        <f>tbl_MTG_Set[[#This Row],[Released On]]+tbl_MTG_Set[[#This Row],[Heavy Printing Window Month Start]]*365.25/12</f>
        <v/>
      </c>
      <c r="Q250">
        <f>_xlfn.XLOOKUP(tbl_MTG_Set[[#This Row],[Type Name]], tbl_MTG_Set_Type[Set Type], tbl_MTG_Set_Type[Heavy Printing Window Month End], "(Set Type not found)", 0, 1)</f>
        <v/>
      </c>
      <c r="R250" s="3">
        <f>tbl_MTG_Set[[#This Row],[Released On]]+tbl_MTG_Set[[#This Row],[Heavy Printing Window Month End]]*365.25/12</f>
        <v/>
      </c>
      <c r="S250" s="3">
        <f>AND(NOW()&gt;=tbl_MTG_Set[[#This Row],[Heavy Printing Window Start]], NOW()&lt;=tbl_MTG_Set[[#This Row],[Heavy Printing Window End]])</f>
        <v/>
      </c>
      <c r="T250">
        <f>_xlfn.XLOOKUP(tbl_MTG_Set[[#This Row],[Type Name]], tbl_MTG_Set_Type[Set Type], tbl_MTG_Set_Type[Sell Window Month Start], "(Set Type not found)", 0, 1)</f>
        <v/>
      </c>
      <c r="U250" s="3">
        <f>tbl_MTG_Set[[#This Row],[Released On]]+tbl_MTG_Set[[#This Row],[Sell Window Month Start]]*365.25/12</f>
        <v/>
      </c>
      <c r="V250">
        <f>_xlfn.XLOOKUP(tbl_MTG_Set[[#This Row],[Type Name]], tbl_MTG_Set_Type[Set Type], tbl_MTG_Set_Type[Sell Window Month End], "(Set Type not found)", 0, 1)</f>
        <v/>
      </c>
      <c r="W250" s="3">
        <f>tbl_MTG_Set[[#This Row],[Released On]]+tbl_MTG_Set[[#This Row],[Sell Window Month End]]*365.25/12</f>
        <v/>
      </c>
      <c r="X250" s="3">
        <f>AND(NOW()&gt;=tbl_MTG_Set[[#This Row],[Sell Window Start]], NOW()&lt;=tbl_MTG_Set[[#This Row],[Sell Window End]])</f>
        <v/>
      </c>
      <c r="AG250" s="10" t="n"/>
      <c r="AH250" s="10" t="n"/>
      <c r="AM250" s="10">
        <f t="array" ref="AM2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0" s="10">
        <f t="array" ref="AN2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0" s="4">
        <f>_xlfn.XLOOKUP(tbl_MTG_Set[[#This Row],[Play Booster Box Product Id]], tbl_Product[Product Id], tbl_Product[Pack Size])</f>
        <v/>
      </c>
      <c r="AP250" s="10">
        <f>(tbl_MTG_Set[[#This Row],[Play Booster Box Cost]]+v_Item_Shipping_Cost_In)/tbl_MTG_Set[[#This Row],[Play Booster Box Size]]</f>
        <v/>
      </c>
      <c r="AQ250" s="10">
        <f t="array" ref="AQ2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0" s="10" t="n"/>
      <c r="AS250" s="10" t="n"/>
      <c r="AT250" s="17">
        <f>tbl_MTG_Set[[#This Row],[Play Booster CardMarket Profit]]/tbl_MTG_Set[[#This Row],[Play Booster Cost]]</f>
        <v/>
      </c>
      <c r="AU250" s="10">
        <f>_xlfn.XLOOKUP(tbl_MTG_Set[[#This Row],[Collector Booster Box Product Id]], tbl_Product[Product Id], tbl_Product[Min Cost])</f>
        <v/>
      </c>
      <c r="AV250" s="10">
        <f>_xlfn.XLOOKUP(tbl_MTG_Set[[#This Row],[Collector Booster Box Product Id]], tbl_Product[Product Id], tbl_Product[Best Source])</f>
        <v/>
      </c>
      <c r="AW250" s="4">
        <f>_xlfn.XLOOKUP(tbl_MTG_Set[[#This Row],[Collector Booster Box Product Id]], tbl_Product[Product Id], tbl_Product[Pack Size])</f>
        <v/>
      </c>
      <c r="AX250" s="10">
        <f>(tbl_MTG_Set[[#This Row],[Collector Booster Box Cost]] + v_Item_Shipping_Cost_In) / tbl_MTG_Set[[#This Row],[Collector Booster Box Size]]</f>
        <v/>
      </c>
      <c r="AY250" s="10">
        <f t="array" ref="AY2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0" s="10" t="n"/>
      <c r="BA2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0" s="17">
        <f>tbl_MTG_Set[[#This Row],[Collector Booster CardMarket Profit]]/tbl_MTG_Set[[#This Row],[Collector Booster Cost]]</f>
        <v/>
      </c>
      <c r="BC250" s="10" t="n"/>
      <c r="BF250" s="10">
        <f>tbl_MTG_Set[[#This Row],[Play Booster Sell Price CardMarket]]*tbl_MTG_Set[[#This Row],[Play Booster Expected Market Value]]/tbl_MTG_Set[[#This Row],[Play Boost Sealed Market Value]]</f>
        <v/>
      </c>
      <c r="BG2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0" s="10">
        <f>tbl_MTG_Set[[#This Row],[Play Singles CardMarket Profit]]/tbl_MTG_Set[[#This Row],[Play Booster Cost]]</f>
        <v/>
      </c>
      <c r="BI250" s="10">
        <f>tbl_MTG_Set[[#This Row],[Play Singles CardMarket Profit]]&gt;0</f>
        <v/>
      </c>
      <c r="BJ250" s="10" t="n"/>
      <c r="BK250" s="10" t="n"/>
      <c r="BL250" s="10">
        <f>tbl_MTG_Set[[#This Row],[Collector Booster Sell Price CardMarket]]*tbl_MTG_Set[[#This Row],[Collector Booster Expected Market Value]]/tbl_MTG_Set[[#This Row],[Collector Boost Sealed Market Value]]</f>
        <v/>
      </c>
      <c r="BM2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0" s="10">
        <f>tbl_MTG_Set[[#This Row],[Collector Singles CardMarket Profit]]/tbl_MTG_Set[[#This Row],[Collector Booster Cost]]</f>
        <v/>
      </c>
      <c r="BO250" s="10">
        <f>tbl_MTG_Set[[#This Row],[Collector Singles CardMarket Profit]]&gt;0</f>
        <v/>
      </c>
      <c r="BP2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1">
      <c r="A251" t="n">
        <v>249</v>
      </c>
      <c r="B251" t="inlineStr">
        <is>
          <t>Dominaria United Tokens TDMU</t>
        </is>
      </c>
      <c r="C251" t="n">
        <v>26</v>
      </c>
      <c r="D251" s="3" t="n">
        <v>44813</v>
      </c>
      <c r="E251" t="inlineStr">
        <is>
          <t>Standard Expansion</t>
        </is>
      </c>
      <c r="F251" t="inlineStr">
        <is>
          <t>en es fr de it pt ja ko ru 汉语 漢語</t>
        </is>
      </c>
      <c r="G251" t="n">
        <v>444</v>
      </c>
      <c r="H251">
        <f>MONTH(NOW())+12*YEAR(NOW())-MONTH(tbl_MTG_Set[[#This Row],[Released On]])-12*YEAR(tbl_MTG_Set[[#This Row],[Released On]])</f>
        <v/>
      </c>
      <c r="I251">
        <f>_xlfn.XLOOKUP(tbl_MTG_Set[[#This Row],[Type Name]], tbl_MTG_Set_Type[Set Type], tbl_MTG_Set_Type[Index], "(Set Type not found)")</f>
        <v/>
      </c>
      <c r="J251">
        <f>_xlfn.XLOOKUP(tbl_MTG_Set[[#This Row],[Type Name]], tbl_MTG_Set_Type[Set Type], tbl_MTG_Set_Type[Buy Window Month Start], "(Set Type not found)")</f>
        <v/>
      </c>
      <c r="K251" s="3">
        <f>tbl_MTG_Set[[#This Row],[Released On]]+tbl_MTG_Set[[#This Row],[Buy Window Month Start]]*365.25/12</f>
        <v/>
      </c>
      <c r="L251">
        <f>_xlfn.XLOOKUP(tbl_MTG_Set[[#This Row],[Type Name]], tbl_MTG_Set_Type[Set Type], tbl_MTG_Set_Type[Buy Window Month End], "(Set Type not found)", 0, 1)</f>
        <v/>
      </c>
      <c r="M251" s="3">
        <f>tbl_MTG_Set[[#This Row],[Released On]]+tbl_MTG_Set[[#This Row],[Buy Window Month End]]*365.25/12</f>
        <v/>
      </c>
      <c r="N251" s="3">
        <f>AND(NOW()&gt;=tbl_MTG_Set[[#This Row],[Buy Window Start]], NOW()&lt;=tbl_MTG_Set[[#This Row],[Buy Window End]])</f>
        <v/>
      </c>
      <c r="O251">
        <f>_xlfn.XLOOKUP(tbl_MTG_Set[[#This Row],[Type Name]], tbl_MTG_Set_Type[Set Type], tbl_MTG_Set_Type[Heavy Printing Window Month Start], "(Set Type not found)", 0, 1)</f>
        <v/>
      </c>
      <c r="P251" s="3">
        <f>tbl_MTG_Set[[#This Row],[Released On]]+tbl_MTG_Set[[#This Row],[Heavy Printing Window Month Start]]*365.25/12</f>
        <v/>
      </c>
      <c r="Q251">
        <f>_xlfn.XLOOKUP(tbl_MTG_Set[[#This Row],[Type Name]], tbl_MTG_Set_Type[Set Type], tbl_MTG_Set_Type[Heavy Printing Window Month End], "(Set Type not found)", 0, 1)</f>
        <v/>
      </c>
      <c r="R251" s="3">
        <f>tbl_MTG_Set[[#This Row],[Released On]]+tbl_MTG_Set[[#This Row],[Heavy Printing Window Month End]]*365.25/12</f>
        <v/>
      </c>
      <c r="S251" s="3">
        <f>AND(NOW()&gt;=tbl_MTG_Set[[#This Row],[Heavy Printing Window Start]], NOW()&lt;=tbl_MTG_Set[[#This Row],[Heavy Printing Window End]])</f>
        <v/>
      </c>
      <c r="T251">
        <f>_xlfn.XLOOKUP(tbl_MTG_Set[[#This Row],[Type Name]], tbl_MTG_Set_Type[Set Type], tbl_MTG_Set_Type[Sell Window Month Start], "(Set Type not found)", 0, 1)</f>
        <v/>
      </c>
      <c r="U251" s="3">
        <f>tbl_MTG_Set[[#This Row],[Released On]]+tbl_MTG_Set[[#This Row],[Sell Window Month Start]]*365.25/12</f>
        <v/>
      </c>
      <c r="V251">
        <f>_xlfn.XLOOKUP(tbl_MTG_Set[[#This Row],[Type Name]], tbl_MTG_Set_Type[Set Type], tbl_MTG_Set_Type[Sell Window Month End], "(Set Type not found)", 0, 1)</f>
        <v/>
      </c>
      <c r="W251" s="3">
        <f>tbl_MTG_Set[[#This Row],[Released On]]+tbl_MTG_Set[[#This Row],[Sell Window Month End]]*365.25/12</f>
        <v/>
      </c>
      <c r="X251" s="3">
        <f>AND(NOW()&gt;=tbl_MTG_Set[[#This Row],[Sell Window Start]], NOW()&lt;=tbl_MTG_Set[[#This Row],[Sell Window End]])</f>
        <v/>
      </c>
      <c r="AG251" s="10" t="n"/>
      <c r="AH251" s="10" t="n"/>
      <c r="AM251" s="10">
        <f t="array" ref="AM2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1" s="10">
        <f t="array" ref="AN2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1" s="4">
        <f>_xlfn.XLOOKUP(tbl_MTG_Set[[#This Row],[Play Booster Box Product Id]], tbl_Product[Product Id], tbl_Product[Pack Size])</f>
        <v/>
      </c>
      <c r="AP251" s="10">
        <f>(tbl_MTG_Set[[#This Row],[Play Booster Box Cost]]+v_Item_Shipping_Cost_In)/tbl_MTG_Set[[#This Row],[Play Booster Box Size]]</f>
        <v/>
      </c>
      <c r="AQ251" s="10">
        <f t="array" ref="AQ2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1" s="10" t="n"/>
      <c r="AS251" s="10" t="n"/>
      <c r="AT251" s="17">
        <f>tbl_MTG_Set[[#This Row],[Play Booster CardMarket Profit]]/tbl_MTG_Set[[#This Row],[Play Booster Cost]]</f>
        <v/>
      </c>
      <c r="AU251" s="10">
        <f>_xlfn.XLOOKUP(tbl_MTG_Set[[#This Row],[Collector Booster Box Product Id]], tbl_Product[Product Id], tbl_Product[Min Cost])</f>
        <v/>
      </c>
      <c r="AV251" s="10">
        <f>_xlfn.XLOOKUP(tbl_MTG_Set[[#This Row],[Collector Booster Box Product Id]], tbl_Product[Product Id], tbl_Product[Best Source])</f>
        <v/>
      </c>
      <c r="AW251" s="4">
        <f>_xlfn.XLOOKUP(tbl_MTG_Set[[#This Row],[Collector Booster Box Product Id]], tbl_Product[Product Id], tbl_Product[Pack Size])</f>
        <v/>
      </c>
      <c r="AX251" s="10">
        <f>(tbl_MTG_Set[[#This Row],[Collector Booster Box Cost]] + v_Item_Shipping_Cost_In) / tbl_MTG_Set[[#This Row],[Collector Booster Box Size]]</f>
        <v/>
      </c>
      <c r="AY251" s="10">
        <f t="array" ref="AY2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1" s="10" t="n"/>
      <c r="BA2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1" s="17">
        <f>tbl_MTG_Set[[#This Row],[Collector Booster CardMarket Profit]]/tbl_MTG_Set[[#This Row],[Collector Booster Cost]]</f>
        <v/>
      </c>
      <c r="BC251" s="10" t="n"/>
      <c r="BF251" s="10">
        <f>tbl_MTG_Set[[#This Row],[Play Booster Sell Price CardMarket]]*tbl_MTG_Set[[#This Row],[Play Booster Expected Market Value]]/tbl_MTG_Set[[#This Row],[Play Boost Sealed Market Value]]</f>
        <v/>
      </c>
      <c r="BG2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1" s="10">
        <f>tbl_MTG_Set[[#This Row],[Play Singles CardMarket Profit]]/tbl_MTG_Set[[#This Row],[Play Booster Cost]]</f>
        <v/>
      </c>
      <c r="BI251" s="10">
        <f>tbl_MTG_Set[[#This Row],[Play Singles CardMarket Profit]]&gt;0</f>
        <v/>
      </c>
      <c r="BJ251" s="10" t="n"/>
      <c r="BK251" s="10" t="n"/>
      <c r="BL251" s="10">
        <f>tbl_MTG_Set[[#This Row],[Collector Booster Sell Price CardMarket]]*tbl_MTG_Set[[#This Row],[Collector Booster Expected Market Value]]/tbl_MTG_Set[[#This Row],[Collector Boost Sealed Market Value]]</f>
        <v/>
      </c>
      <c r="BM2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1" s="10">
        <f>tbl_MTG_Set[[#This Row],[Collector Singles CardMarket Profit]]/tbl_MTG_Set[[#This Row],[Collector Booster Cost]]</f>
        <v/>
      </c>
      <c r="BO251" s="10">
        <f>tbl_MTG_Set[[#This Row],[Collector Singles CardMarket Profit]]&gt;0</f>
        <v/>
      </c>
      <c r="BP2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2">
      <c r="A252" t="n">
        <v>250</v>
      </c>
      <c r="B252" t="inlineStr">
        <is>
          <t>Alchemy: Dominaria YDMU</t>
        </is>
      </c>
      <c r="C252" t="n">
        <v>39</v>
      </c>
      <c r="D252" s="3" t="n">
        <v>44839</v>
      </c>
      <c r="F252" t="inlineStr">
        <is>
          <t>en es fr de it pt ja ko ru 汉语 漢語</t>
        </is>
      </c>
      <c r="G252" t="n">
        <v>446</v>
      </c>
      <c r="H252">
        <f>MONTH(NOW())+12*YEAR(NOW())-MONTH(tbl_MTG_Set[[#This Row],[Released On]])-12*YEAR(tbl_MTG_Set[[#This Row],[Released On]])</f>
        <v/>
      </c>
      <c r="I252">
        <f>_xlfn.XLOOKUP(tbl_MTG_Set[[#This Row],[Type Name]], tbl_MTG_Set_Type[Set Type], tbl_MTG_Set_Type[Index], "(Set Type not found)")</f>
        <v/>
      </c>
      <c r="J252">
        <f>_xlfn.XLOOKUP(tbl_MTG_Set[[#This Row],[Type Name]], tbl_MTG_Set_Type[Set Type], tbl_MTG_Set_Type[Buy Window Month Start], "(Set Type not found)")</f>
        <v/>
      </c>
      <c r="K252" s="3">
        <f>tbl_MTG_Set[[#This Row],[Released On]]+tbl_MTG_Set[[#This Row],[Buy Window Month Start]]*365.25/12</f>
        <v/>
      </c>
      <c r="L252">
        <f>_xlfn.XLOOKUP(tbl_MTG_Set[[#This Row],[Type Name]], tbl_MTG_Set_Type[Set Type], tbl_MTG_Set_Type[Buy Window Month End], "(Set Type not found)", 0, 1)</f>
        <v/>
      </c>
      <c r="M252" s="3">
        <f>tbl_MTG_Set[[#This Row],[Released On]]+tbl_MTG_Set[[#This Row],[Buy Window Month End]]*365.25/12</f>
        <v/>
      </c>
      <c r="N252" s="3">
        <f>AND(NOW()&gt;=tbl_MTG_Set[[#This Row],[Buy Window Start]], NOW()&lt;=tbl_MTG_Set[[#This Row],[Buy Window End]])</f>
        <v/>
      </c>
      <c r="O252">
        <f>_xlfn.XLOOKUP(tbl_MTG_Set[[#This Row],[Type Name]], tbl_MTG_Set_Type[Set Type], tbl_MTG_Set_Type[Heavy Printing Window Month Start], "(Set Type not found)", 0, 1)</f>
        <v/>
      </c>
      <c r="P252" s="3">
        <f>tbl_MTG_Set[[#This Row],[Released On]]+tbl_MTG_Set[[#This Row],[Heavy Printing Window Month Start]]*365.25/12</f>
        <v/>
      </c>
      <c r="Q252">
        <f>_xlfn.XLOOKUP(tbl_MTG_Set[[#This Row],[Type Name]], tbl_MTG_Set_Type[Set Type], tbl_MTG_Set_Type[Heavy Printing Window Month End], "(Set Type not found)", 0, 1)</f>
        <v/>
      </c>
      <c r="R252" s="3">
        <f>tbl_MTG_Set[[#This Row],[Released On]]+tbl_MTG_Set[[#This Row],[Heavy Printing Window Month End]]*365.25/12</f>
        <v/>
      </c>
      <c r="S252" s="3">
        <f>AND(NOW()&gt;=tbl_MTG_Set[[#This Row],[Heavy Printing Window Start]], NOW()&lt;=tbl_MTG_Set[[#This Row],[Heavy Printing Window End]])</f>
        <v/>
      </c>
      <c r="T252">
        <f>_xlfn.XLOOKUP(tbl_MTG_Set[[#This Row],[Type Name]], tbl_MTG_Set_Type[Set Type], tbl_MTG_Set_Type[Sell Window Month Start], "(Set Type not found)", 0, 1)</f>
        <v/>
      </c>
      <c r="U252" s="3">
        <f>tbl_MTG_Set[[#This Row],[Released On]]+tbl_MTG_Set[[#This Row],[Sell Window Month Start]]*365.25/12</f>
        <v/>
      </c>
      <c r="V252">
        <f>_xlfn.XLOOKUP(tbl_MTG_Set[[#This Row],[Type Name]], tbl_MTG_Set_Type[Set Type], tbl_MTG_Set_Type[Sell Window Month End], "(Set Type not found)", 0, 1)</f>
        <v/>
      </c>
      <c r="W252" s="3">
        <f>tbl_MTG_Set[[#This Row],[Released On]]+tbl_MTG_Set[[#This Row],[Sell Window Month End]]*365.25/12</f>
        <v/>
      </c>
      <c r="X252" s="3">
        <f>AND(NOW()&gt;=tbl_MTG_Set[[#This Row],[Sell Window Start]], NOW()&lt;=tbl_MTG_Set[[#This Row],[Sell Window End]])</f>
        <v/>
      </c>
      <c r="AG252" s="10" t="n"/>
      <c r="AH252" s="10" t="n"/>
      <c r="AM252" s="10">
        <f t="array" ref="AM2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2" s="10">
        <f t="array" ref="AN2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2" s="4">
        <f>_xlfn.XLOOKUP(tbl_MTG_Set[[#This Row],[Play Booster Box Product Id]], tbl_Product[Product Id], tbl_Product[Pack Size])</f>
        <v/>
      </c>
      <c r="AP252" s="10">
        <f>(tbl_MTG_Set[[#This Row],[Play Booster Box Cost]]+v_Item_Shipping_Cost_In)/tbl_MTG_Set[[#This Row],[Play Booster Box Size]]</f>
        <v/>
      </c>
      <c r="AQ252" s="10">
        <f t="array" ref="AQ2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2" s="10" t="n"/>
      <c r="AS252" s="10" t="n"/>
      <c r="AT252" s="17">
        <f>tbl_MTG_Set[[#This Row],[Play Booster CardMarket Profit]]/tbl_MTG_Set[[#This Row],[Play Booster Cost]]</f>
        <v/>
      </c>
      <c r="AU252" s="10">
        <f>_xlfn.XLOOKUP(tbl_MTG_Set[[#This Row],[Collector Booster Box Product Id]], tbl_Product[Product Id], tbl_Product[Min Cost])</f>
        <v/>
      </c>
      <c r="AV252" s="10">
        <f>_xlfn.XLOOKUP(tbl_MTG_Set[[#This Row],[Collector Booster Box Product Id]], tbl_Product[Product Id], tbl_Product[Best Source])</f>
        <v/>
      </c>
      <c r="AW252" s="4">
        <f>_xlfn.XLOOKUP(tbl_MTG_Set[[#This Row],[Collector Booster Box Product Id]], tbl_Product[Product Id], tbl_Product[Pack Size])</f>
        <v/>
      </c>
      <c r="AX252" s="10">
        <f>(tbl_MTG_Set[[#This Row],[Collector Booster Box Cost]] + v_Item_Shipping_Cost_In) / tbl_MTG_Set[[#This Row],[Collector Booster Box Size]]</f>
        <v/>
      </c>
      <c r="AY252" s="10">
        <f t="array" ref="AY2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2" s="10" t="n"/>
      <c r="BA2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2" s="17">
        <f>tbl_MTG_Set[[#This Row],[Collector Booster CardMarket Profit]]/tbl_MTG_Set[[#This Row],[Collector Booster Cost]]</f>
        <v/>
      </c>
      <c r="BC252" s="10" t="n"/>
      <c r="BF252" s="10">
        <f>tbl_MTG_Set[[#This Row],[Play Booster Sell Price CardMarket]]*tbl_MTG_Set[[#This Row],[Play Booster Expected Market Value]]/tbl_MTG_Set[[#This Row],[Play Boost Sealed Market Value]]</f>
        <v/>
      </c>
      <c r="BG2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2" s="10">
        <f>tbl_MTG_Set[[#This Row],[Play Singles CardMarket Profit]]/tbl_MTG_Set[[#This Row],[Play Booster Cost]]</f>
        <v/>
      </c>
      <c r="BI252" s="10">
        <f>tbl_MTG_Set[[#This Row],[Play Singles CardMarket Profit]]&gt;0</f>
        <v/>
      </c>
      <c r="BJ252" s="10" t="n"/>
      <c r="BK252" s="10" t="n"/>
      <c r="BL252" s="10">
        <f>tbl_MTG_Set[[#This Row],[Collector Booster Sell Price CardMarket]]*tbl_MTG_Set[[#This Row],[Collector Booster Expected Market Value]]/tbl_MTG_Set[[#This Row],[Collector Boost Sealed Market Value]]</f>
        <v/>
      </c>
      <c r="BM2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2" s="10">
        <f>tbl_MTG_Set[[#This Row],[Collector Singles CardMarket Profit]]/tbl_MTG_Set[[#This Row],[Collector Booster Cost]]</f>
        <v/>
      </c>
      <c r="BO252" s="10">
        <f>tbl_MTG_Set[[#This Row],[Collector Singles CardMarket Profit]]&gt;0</f>
        <v/>
      </c>
      <c r="BP2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3">
      <c r="A253" t="n">
        <v>251</v>
      </c>
      <c r="B253" t="inlineStr">
        <is>
          <t>Dominaria United Southeast Asia Tokens PTDMU</t>
        </is>
      </c>
      <c r="C253" t="n">
        <v>3</v>
      </c>
      <c r="D253" s="3" t="n">
        <v>44813</v>
      </c>
      <c r="E253" t="inlineStr">
        <is>
          <t>Standard Expansion</t>
        </is>
      </c>
      <c r="F253" t="inlineStr">
        <is>
          <t>en es fr de it pt ja ko ru 汉语 漢語</t>
        </is>
      </c>
      <c r="G253" t="n">
        <v>448</v>
      </c>
      <c r="H253">
        <f>MONTH(NOW())+12*YEAR(NOW())-MONTH(tbl_MTG_Set[[#This Row],[Released On]])-12*YEAR(tbl_MTG_Set[[#This Row],[Released On]])</f>
        <v/>
      </c>
      <c r="I253">
        <f>_xlfn.XLOOKUP(tbl_MTG_Set[[#This Row],[Type Name]], tbl_MTG_Set_Type[Set Type], tbl_MTG_Set_Type[Index], "(Set Type not found)")</f>
        <v/>
      </c>
      <c r="J253">
        <f>_xlfn.XLOOKUP(tbl_MTG_Set[[#This Row],[Type Name]], tbl_MTG_Set_Type[Set Type], tbl_MTG_Set_Type[Buy Window Month Start], "(Set Type not found)")</f>
        <v/>
      </c>
      <c r="K253" s="3">
        <f>tbl_MTG_Set[[#This Row],[Released On]]+tbl_MTG_Set[[#This Row],[Buy Window Month Start]]*365.25/12</f>
        <v/>
      </c>
      <c r="L253">
        <f>_xlfn.XLOOKUP(tbl_MTG_Set[[#This Row],[Type Name]], tbl_MTG_Set_Type[Set Type], tbl_MTG_Set_Type[Buy Window Month End], "(Set Type not found)", 0, 1)</f>
        <v/>
      </c>
      <c r="M253" s="3">
        <f>tbl_MTG_Set[[#This Row],[Released On]]+tbl_MTG_Set[[#This Row],[Buy Window Month End]]*365.25/12</f>
        <v/>
      </c>
      <c r="N253" s="3">
        <f>AND(NOW()&gt;=tbl_MTG_Set[[#This Row],[Buy Window Start]], NOW()&lt;=tbl_MTG_Set[[#This Row],[Buy Window End]])</f>
        <v/>
      </c>
      <c r="O253">
        <f>_xlfn.XLOOKUP(tbl_MTG_Set[[#This Row],[Type Name]], tbl_MTG_Set_Type[Set Type], tbl_MTG_Set_Type[Heavy Printing Window Month Start], "(Set Type not found)", 0, 1)</f>
        <v/>
      </c>
      <c r="P253" s="3">
        <f>tbl_MTG_Set[[#This Row],[Released On]]+tbl_MTG_Set[[#This Row],[Heavy Printing Window Month Start]]*365.25/12</f>
        <v/>
      </c>
      <c r="Q253">
        <f>_xlfn.XLOOKUP(tbl_MTG_Set[[#This Row],[Type Name]], tbl_MTG_Set_Type[Set Type], tbl_MTG_Set_Type[Heavy Printing Window Month End], "(Set Type not found)", 0, 1)</f>
        <v/>
      </c>
      <c r="R253" s="3">
        <f>tbl_MTG_Set[[#This Row],[Released On]]+tbl_MTG_Set[[#This Row],[Heavy Printing Window Month End]]*365.25/12</f>
        <v/>
      </c>
      <c r="S253" s="3">
        <f>AND(NOW()&gt;=tbl_MTG_Set[[#This Row],[Heavy Printing Window Start]], NOW()&lt;=tbl_MTG_Set[[#This Row],[Heavy Printing Window End]])</f>
        <v/>
      </c>
      <c r="T253">
        <f>_xlfn.XLOOKUP(tbl_MTG_Set[[#This Row],[Type Name]], tbl_MTG_Set_Type[Set Type], tbl_MTG_Set_Type[Sell Window Month Start], "(Set Type not found)", 0, 1)</f>
        <v/>
      </c>
      <c r="U253" s="3">
        <f>tbl_MTG_Set[[#This Row],[Released On]]+tbl_MTG_Set[[#This Row],[Sell Window Month Start]]*365.25/12</f>
        <v/>
      </c>
      <c r="V253">
        <f>_xlfn.XLOOKUP(tbl_MTG_Set[[#This Row],[Type Name]], tbl_MTG_Set_Type[Set Type], tbl_MTG_Set_Type[Sell Window Month End], "(Set Type not found)", 0, 1)</f>
        <v/>
      </c>
      <c r="W253" s="3">
        <f>tbl_MTG_Set[[#This Row],[Released On]]+tbl_MTG_Set[[#This Row],[Sell Window Month End]]*365.25/12</f>
        <v/>
      </c>
      <c r="X253" s="3">
        <f>AND(NOW()&gt;=tbl_MTG_Set[[#This Row],[Sell Window Start]], NOW()&lt;=tbl_MTG_Set[[#This Row],[Sell Window End]])</f>
        <v/>
      </c>
      <c r="AG253" s="10" t="n"/>
      <c r="AH253" s="10" t="n"/>
      <c r="AM253" s="10">
        <f t="array" ref="AM2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3" s="10">
        <f t="array" ref="AN2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3" s="4">
        <f>_xlfn.XLOOKUP(tbl_MTG_Set[[#This Row],[Play Booster Box Product Id]], tbl_Product[Product Id], tbl_Product[Pack Size])</f>
        <v/>
      </c>
      <c r="AP253" s="10">
        <f>(tbl_MTG_Set[[#This Row],[Play Booster Box Cost]]+v_Item_Shipping_Cost_In)/tbl_MTG_Set[[#This Row],[Play Booster Box Size]]</f>
        <v/>
      </c>
      <c r="AQ253" s="10">
        <f t="array" ref="AQ2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3" s="10" t="n"/>
      <c r="AS253" s="10" t="n"/>
      <c r="AT253" s="17">
        <f>tbl_MTG_Set[[#This Row],[Play Booster CardMarket Profit]]/tbl_MTG_Set[[#This Row],[Play Booster Cost]]</f>
        <v/>
      </c>
      <c r="AU253" s="10">
        <f>_xlfn.XLOOKUP(tbl_MTG_Set[[#This Row],[Collector Booster Box Product Id]], tbl_Product[Product Id], tbl_Product[Min Cost])</f>
        <v/>
      </c>
      <c r="AV253" s="10">
        <f>_xlfn.XLOOKUP(tbl_MTG_Set[[#This Row],[Collector Booster Box Product Id]], tbl_Product[Product Id], tbl_Product[Best Source])</f>
        <v/>
      </c>
      <c r="AW253" s="4">
        <f>_xlfn.XLOOKUP(tbl_MTG_Set[[#This Row],[Collector Booster Box Product Id]], tbl_Product[Product Id], tbl_Product[Pack Size])</f>
        <v/>
      </c>
      <c r="AX253" s="10">
        <f>(tbl_MTG_Set[[#This Row],[Collector Booster Box Cost]] + v_Item_Shipping_Cost_In) / tbl_MTG_Set[[#This Row],[Collector Booster Box Size]]</f>
        <v/>
      </c>
      <c r="AY253" s="10">
        <f t="array" ref="AY2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3" s="10" t="n"/>
      <c r="BA2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3" s="17">
        <f>tbl_MTG_Set[[#This Row],[Collector Booster CardMarket Profit]]/tbl_MTG_Set[[#This Row],[Collector Booster Cost]]</f>
        <v/>
      </c>
      <c r="BC253" s="10" t="n"/>
      <c r="BF253" s="10">
        <f>tbl_MTG_Set[[#This Row],[Play Booster Sell Price CardMarket]]*tbl_MTG_Set[[#This Row],[Play Booster Expected Market Value]]/tbl_MTG_Set[[#This Row],[Play Boost Sealed Market Value]]</f>
        <v/>
      </c>
      <c r="BG2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3" s="10">
        <f>tbl_MTG_Set[[#This Row],[Play Singles CardMarket Profit]]/tbl_MTG_Set[[#This Row],[Play Booster Cost]]</f>
        <v/>
      </c>
      <c r="BI253" s="10">
        <f>tbl_MTG_Set[[#This Row],[Play Singles CardMarket Profit]]&gt;0</f>
        <v/>
      </c>
      <c r="BJ253" s="10" t="n"/>
      <c r="BK253" s="10" t="n"/>
      <c r="BL253" s="10">
        <f>tbl_MTG_Set[[#This Row],[Collector Booster Sell Price CardMarket]]*tbl_MTG_Set[[#This Row],[Collector Booster Expected Market Value]]/tbl_MTG_Set[[#This Row],[Collector Boost Sealed Market Value]]</f>
        <v/>
      </c>
      <c r="BM2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3" s="10">
        <f>tbl_MTG_Set[[#This Row],[Collector Singles CardMarket Profit]]/tbl_MTG_Set[[#This Row],[Collector Booster Cost]]</f>
        <v/>
      </c>
      <c r="BO253" s="10">
        <f>tbl_MTG_Set[[#This Row],[Collector Singles CardMarket Profit]]&gt;0</f>
        <v/>
      </c>
      <c r="BP2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4">
      <c r="A254" t="n">
        <v>252</v>
      </c>
      <c r="B254" t="inlineStr">
        <is>
          <t>Dominaria United Jumpstart Front Cards FDMU</t>
        </is>
      </c>
      <c r="C254" t="n">
        <v>10</v>
      </c>
      <c r="D254" s="3" t="n">
        <v>44813</v>
      </c>
      <c r="E254" t="inlineStr">
        <is>
          <t>Standard Expansion</t>
        </is>
      </c>
      <c r="F254" t="inlineStr">
        <is>
          <t>en es fr de it pt ja ko ru 汉语 漢語</t>
        </is>
      </c>
      <c r="G254" t="n">
        <v>450</v>
      </c>
      <c r="H254">
        <f>MONTH(NOW())+12*YEAR(NOW())-MONTH(tbl_MTG_Set[[#This Row],[Released On]])-12*YEAR(tbl_MTG_Set[[#This Row],[Released On]])</f>
        <v/>
      </c>
      <c r="I254">
        <f>_xlfn.XLOOKUP(tbl_MTG_Set[[#This Row],[Type Name]], tbl_MTG_Set_Type[Set Type], tbl_MTG_Set_Type[Index], "(Set Type not found)")</f>
        <v/>
      </c>
      <c r="J254">
        <f>_xlfn.XLOOKUP(tbl_MTG_Set[[#This Row],[Type Name]], tbl_MTG_Set_Type[Set Type], tbl_MTG_Set_Type[Buy Window Month Start], "(Set Type not found)")</f>
        <v/>
      </c>
      <c r="K254" s="3">
        <f>tbl_MTG_Set[[#This Row],[Released On]]+tbl_MTG_Set[[#This Row],[Buy Window Month Start]]*365.25/12</f>
        <v/>
      </c>
      <c r="L254">
        <f>_xlfn.XLOOKUP(tbl_MTG_Set[[#This Row],[Type Name]], tbl_MTG_Set_Type[Set Type], tbl_MTG_Set_Type[Buy Window Month End], "(Set Type not found)", 0, 1)</f>
        <v/>
      </c>
      <c r="M254" s="3">
        <f>tbl_MTG_Set[[#This Row],[Released On]]+tbl_MTG_Set[[#This Row],[Buy Window Month End]]*365.25/12</f>
        <v/>
      </c>
      <c r="N254" s="3">
        <f>AND(NOW()&gt;=tbl_MTG_Set[[#This Row],[Buy Window Start]], NOW()&lt;=tbl_MTG_Set[[#This Row],[Buy Window End]])</f>
        <v/>
      </c>
      <c r="O254">
        <f>_xlfn.XLOOKUP(tbl_MTG_Set[[#This Row],[Type Name]], tbl_MTG_Set_Type[Set Type], tbl_MTG_Set_Type[Heavy Printing Window Month Start], "(Set Type not found)", 0, 1)</f>
        <v/>
      </c>
      <c r="P254" s="3">
        <f>tbl_MTG_Set[[#This Row],[Released On]]+tbl_MTG_Set[[#This Row],[Heavy Printing Window Month Start]]*365.25/12</f>
        <v/>
      </c>
      <c r="Q254">
        <f>_xlfn.XLOOKUP(tbl_MTG_Set[[#This Row],[Type Name]], tbl_MTG_Set_Type[Set Type], tbl_MTG_Set_Type[Heavy Printing Window Month End], "(Set Type not found)", 0, 1)</f>
        <v/>
      </c>
      <c r="R254" s="3">
        <f>tbl_MTG_Set[[#This Row],[Released On]]+tbl_MTG_Set[[#This Row],[Heavy Printing Window Month End]]*365.25/12</f>
        <v/>
      </c>
      <c r="S254" s="3">
        <f>AND(NOW()&gt;=tbl_MTG_Set[[#This Row],[Heavy Printing Window Start]], NOW()&lt;=tbl_MTG_Set[[#This Row],[Heavy Printing Window End]])</f>
        <v/>
      </c>
      <c r="T254">
        <f>_xlfn.XLOOKUP(tbl_MTG_Set[[#This Row],[Type Name]], tbl_MTG_Set_Type[Set Type], tbl_MTG_Set_Type[Sell Window Month Start], "(Set Type not found)", 0, 1)</f>
        <v/>
      </c>
      <c r="U254" s="3">
        <f>tbl_MTG_Set[[#This Row],[Released On]]+tbl_MTG_Set[[#This Row],[Sell Window Month Start]]*365.25/12</f>
        <v/>
      </c>
      <c r="V254">
        <f>_xlfn.XLOOKUP(tbl_MTG_Set[[#This Row],[Type Name]], tbl_MTG_Set_Type[Set Type], tbl_MTG_Set_Type[Sell Window Month End], "(Set Type not found)", 0, 1)</f>
        <v/>
      </c>
      <c r="W254" s="3">
        <f>tbl_MTG_Set[[#This Row],[Released On]]+tbl_MTG_Set[[#This Row],[Sell Window Month End]]*365.25/12</f>
        <v/>
      </c>
      <c r="X254" s="3">
        <f>AND(NOW()&gt;=tbl_MTG_Set[[#This Row],[Sell Window Start]], NOW()&lt;=tbl_MTG_Set[[#This Row],[Sell Window End]])</f>
        <v/>
      </c>
      <c r="AG254" s="10" t="n"/>
      <c r="AH254" s="10" t="n"/>
      <c r="AM254" s="10">
        <f t="array" ref="AM2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4" s="10">
        <f t="array" ref="AN2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4" s="4">
        <f>_xlfn.XLOOKUP(tbl_MTG_Set[[#This Row],[Play Booster Box Product Id]], tbl_Product[Product Id], tbl_Product[Pack Size])</f>
        <v/>
      </c>
      <c r="AP254" s="10">
        <f>(tbl_MTG_Set[[#This Row],[Play Booster Box Cost]]+v_Item_Shipping_Cost_In)/tbl_MTG_Set[[#This Row],[Play Booster Box Size]]</f>
        <v/>
      </c>
      <c r="AQ254" s="10">
        <f t="array" ref="AQ2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4" s="10" t="n"/>
      <c r="AS254" s="10" t="n"/>
      <c r="AT254" s="17">
        <f>tbl_MTG_Set[[#This Row],[Play Booster CardMarket Profit]]/tbl_MTG_Set[[#This Row],[Play Booster Cost]]</f>
        <v/>
      </c>
      <c r="AU254" s="10">
        <f>_xlfn.XLOOKUP(tbl_MTG_Set[[#This Row],[Collector Booster Box Product Id]], tbl_Product[Product Id], tbl_Product[Min Cost])</f>
        <v/>
      </c>
      <c r="AV254" s="10">
        <f>_xlfn.XLOOKUP(tbl_MTG_Set[[#This Row],[Collector Booster Box Product Id]], tbl_Product[Product Id], tbl_Product[Best Source])</f>
        <v/>
      </c>
      <c r="AW254" s="4">
        <f>_xlfn.XLOOKUP(tbl_MTG_Set[[#This Row],[Collector Booster Box Product Id]], tbl_Product[Product Id], tbl_Product[Pack Size])</f>
        <v/>
      </c>
      <c r="AX254" s="10">
        <f>(tbl_MTG_Set[[#This Row],[Collector Booster Box Cost]] + v_Item_Shipping_Cost_In) / tbl_MTG_Set[[#This Row],[Collector Booster Box Size]]</f>
        <v/>
      </c>
      <c r="AY254" s="10">
        <f t="array" ref="AY2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4" s="10" t="n"/>
      <c r="BA2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4" s="17">
        <f>tbl_MTG_Set[[#This Row],[Collector Booster CardMarket Profit]]/tbl_MTG_Set[[#This Row],[Collector Booster Cost]]</f>
        <v/>
      </c>
      <c r="BC254" s="10" t="n"/>
      <c r="BF254" s="10">
        <f>tbl_MTG_Set[[#This Row],[Play Booster Sell Price CardMarket]]*tbl_MTG_Set[[#This Row],[Play Booster Expected Market Value]]/tbl_MTG_Set[[#This Row],[Play Boost Sealed Market Value]]</f>
        <v/>
      </c>
      <c r="BG2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4" s="10">
        <f>tbl_MTG_Set[[#This Row],[Play Singles CardMarket Profit]]/tbl_MTG_Set[[#This Row],[Play Booster Cost]]</f>
        <v/>
      </c>
      <c r="BI254" s="10">
        <f>tbl_MTG_Set[[#This Row],[Play Singles CardMarket Profit]]&gt;0</f>
        <v/>
      </c>
      <c r="BJ254" s="10" t="n"/>
      <c r="BK254" s="10" t="n"/>
      <c r="BL254" s="10">
        <f>tbl_MTG_Set[[#This Row],[Collector Booster Sell Price CardMarket]]*tbl_MTG_Set[[#This Row],[Collector Booster Expected Market Value]]/tbl_MTG_Set[[#This Row],[Collector Boost Sealed Market Value]]</f>
        <v/>
      </c>
      <c r="BM2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4" s="10">
        <f>tbl_MTG_Set[[#This Row],[Collector Singles CardMarket Profit]]/tbl_MTG_Set[[#This Row],[Collector Booster Cost]]</f>
        <v/>
      </c>
      <c r="BO254" s="10">
        <f>tbl_MTG_Set[[#This Row],[Collector Singles CardMarket Profit]]&gt;0</f>
        <v/>
      </c>
      <c r="BP2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5">
      <c r="A255" t="n">
        <v>253</v>
      </c>
      <c r="B255" t="inlineStr">
        <is>
          <t>DMU Japanese Promo Tokens WDMU</t>
        </is>
      </c>
      <c r="C255" t="n">
        <v>5</v>
      </c>
      <c r="D255" s="3" t="n">
        <v>44813</v>
      </c>
      <c r="E255" t="inlineStr">
        <is>
          <t>Standard Expansion</t>
        </is>
      </c>
      <c r="F255" t="inlineStr">
        <is>
          <t>en es fr de it pt ja ko ru 汉语 漢語</t>
        </is>
      </c>
      <c r="G255" t="n">
        <v>452</v>
      </c>
      <c r="H255">
        <f>MONTH(NOW())+12*YEAR(NOW())-MONTH(tbl_MTG_Set[[#This Row],[Released On]])-12*YEAR(tbl_MTG_Set[[#This Row],[Released On]])</f>
        <v/>
      </c>
      <c r="I255">
        <f>_xlfn.XLOOKUP(tbl_MTG_Set[[#This Row],[Type Name]], tbl_MTG_Set_Type[Set Type], tbl_MTG_Set_Type[Index], "(Set Type not found)")</f>
        <v/>
      </c>
      <c r="J255">
        <f>_xlfn.XLOOKUP(tbl_MTG_Set[[#This Row],[Type Name]], tbl_MTG_Set_Type[Set Type], tbl_MTG_Set_Type[Buy Window Month Start], "(Set Type not found)")</f>
        <v/>
      </c>
      <c r="K255" s="3">
        <f>tbl_MTG_Set[[#This Row],[Released On]]+tbl_MTG_Set[[#This Row],[Buy Window Month Start]]*365.25/12</f>
        <v/>
      </c>
      <c r="L255">
        <f>_xlfn.XLOOKUP(tbl_MTG_Set[[#This Row],[Type Name]], tbl_MTG_Set_Type[Set Type], tbl_MTG_Set_Type[Buy Window Month End], "(Set Type not found)", 0, 1)</f>
        <v/>
      </c>
      <c r="M255" s="3">
        <f>tbl_MTG_Set[[#This Row],[Released On]]+tbl_MTG_Set[[#This Row],[Buy Window Month End]]*365.25/12</f>
        <v/>
      </c>
      <c r="N255" s="3">
        <f>AND(NOW()&gt;=tbl_MTG_Set[[#This Row],[Buy Window Start]], NOW()&lt;=tbl_MTG_Set[[#This Row],[Buy Window End]])</f>
        <v/>
      </c>
      <c r="O255">
        <f>_xlfn.XLOOKUP(tbl_MTG_Set[[#This Row],[Type Name]], tbl_MTG_Set_Type[Set Type], tbl_MTG_Set_Type[Heavy Printing Window Month Start], "(Set Type not found)", 0, 1)</f>
        <v/>
      </c>
      <c r="P255" s="3">
        <f>tbl_MTG_Set[[#This Row],[Released On]]+tbl_MTG_Set[[#This Row],[Heavy Printing Window Month Start]]*365.25/12</f>
        <v/>
      </c>
      <c r="Q255">
        <f>_xlfn.XLOOKUP(tbl_MTG_Set[[#This Row],[Type Name]], tbl_MTG_Set_Type[Set Type], tbl_MTG_Set_Type[Heavy Printing Window Month End], "(Set Type not found)", 0, 1)</f>
        <v/>
      </c>
      <c r="R255" s="3">
        <f>tbl_MTG_Set[[#This Row],[Released On]]+tbl_MTG_Set[[#This Row],[Heavy Printing Window Month End]]*365.25/12</f>
        <v/>
      </c>
      <c r="S255" s="3">
        <f>AND(NOW()&gt;=tbl_MTG_Set[[#This Row],[Heavy Printing Window Start]], NOW()&lt;=tbl_MTG_Set[[#This Row],[Heavy Printing Window End]])</f>
        <v/>
      </c>
      <c r="T255">
        <f>_xlfn.XLOOKUP(tbl_MTG_Set[[#This Row],[Type Name]], tbl_MTG_Set_Type[Set Type], tbl_MTG_Set_Type[Sell Window Month Start], "(Set Type not found)", 0, 1)</f>
        <v/>
      </c>
      <c r="U255" s="3">
        <f>tbl_MTG_Set[[#This Row],[Released On]]+tbl_MTG_Set[[#This Row],[Sell Window Month Start]]*365.25/12</f>
        <v/>
      </c>
      <c r="V255">
        <f>_xlfn.XLOOKUP(tbl_MTG_Set[[#This Row],[Type Name]], tbl_MTG_Set_Type[Set Type], tbl_MTG_Set_Type[Sell Window Month End], "(Set Type not found)", 0, 1)</f>
        <v/>
      </c>
      <c r="W255" s="3">
        <f>tbl_MTG_Set[[#This Row],[Released On]]+tbl_MTG_Set[[#This Row],[Sell Window Month End]]*365.25/12</f>
        <v/>
      </c>
      <c r="X255" s="3">
        <f>AND(NOW()&gt;=tbl_MTG_Set[[#This Row],[Sell Window Start]], NOW()&lt;=tbl_MTG_Set[[#This Row],[Sell Window End]])</f>
        <v/>
      </c>
      <c r="AG255" s="10" t="n"/>
      <c r="AH255" s="10" t="n"/>
      <c r="AM255" s="10">
        <f t="array" ref="AM2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5" s="10">
        <f t="array" ref="AN2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5" s="4">
        <f>_xlfn.XLOOKUP(tbl_MTG_Set[[#This Row],[Play Booster Box Product Id]], tbl_Product[Product Id], tbl_Product[Pack Size])</f>
        <v/>
      </c>
      <c r="AP255" s="10">
        <f>(tbl_MTG_Set[[#This Row],[Play Booster Box Cost]]+v_Item_Shipping_Cost_In)/tbl_MTG_Set[[#This Row],[Play Booster Box Size]]</f>
        <v/>
      </c>
      <c r="AQ255" s="10">
        <f t="array" ref="AQ2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5" s="10" t="n"/>
      <c r="AS255" s="10" t="n"/>
      <c r="AT255" s="17">
        <f>tbl_MTG_Set[[#This Row],[Play Booster CardMarket Profit]]/tbl_MTG_Set[[#This Row],[Play Booster Cost]]</f>
        <v/>
      </c>
      <c r="AU255" s="10">
        <f>_xlfn.XLOOKUP(tbl_MTG_Set[[#This Row],[Collector Booster Box Product Id]], tbl_Product[Product Id], tbl_Product[Min Cost])</f>
        <v/>
      </c>
      <c r="AV255" s="10">
        <f>_xlfn.XLOOKUP(tbl_MTG_Set[[#This Row],[Collector Booster Box Product Id]], tbl_Product[Product Id], tbl_Product[Best Source])</f>
        <v/>
      </c>
      <c r="AW255" s="4">
        <f>_xlfn.XLOOKUP(tbl_MTG_Set[[#This Row],[Collector Booster Box Product Id]], tbl_Product[Product Id], tbl_Product[Pack Size])</f>
        <v/>
      </c>
      <c r="AX255" s="10">
        <f>(tbl_MTG_Set[[#This Row],[Collector Booster Box Cost]] + v_Item_Shipping_Cost_In) / tbl_MTG_Set[[#This Row],[Collector Booster Box Size]]</f>
        <v/>
      </c>
      <c r="AY255" s="10">
        <f t="array" ref="AY2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5" s="10" t="n"/>
      <c r="BA2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5" s="17">
        <f>tbl_MTG_Set[[#This Row],[Collector Booster CardMarket Profit]]/tbl_MTG_Set[[#This Row],[Collector Booster Cost]]</f>
        <v/>
      </c>
      <c r="BC255" s="10" t="n"/>
      <c r="BF255" s="10">
        <f>tbl_MTG_Set[[#This Row],[Play Booster Sell Price CardMarket]]*tbl_MTG_Set[[#This Row],[Play Booster Expected Market Value]]/tbl_MTG_Set[[#This Row],[Play Boost Sealed Market Value]]</f>
        <v/>
      </c>
      <c r="BG2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5" s="10">
        <f>tbl_MTG_Set[[#This Row],[Play Singles CardMarket Profit]]/tbl_MTG_Set[[#This Row],[Play Booster Cost]]</f>
        <v/>
      </c>
      <c r="BI255" s="10">
        <f>tbl_MTG_Set[[#This Row],[Play Singles CardMarket Profit]]&gt;0</f>
        <v/>
      </c>
      <c r="BJ255" s="10" t="n"/>
      <c r="BK255" s="10" t="n"/>
      <c r="BL255" s="10">
        <f>tbl_MTG_Set[[#This Row],[Collector Booster Sell Price CardMarket]]*tbl_MTG_Set[[#This Row],[Collector Booster Expected Market Value]]/tbl_MTG_Set[[#This Row],[Collector Boost Sealed Market Value]]</f>
        <v/>
      </c>
      <c r="BM2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5" s="10">
        <f>tbl_MTG_Set[[#This Row],[Collector Singles CardMarket Profit]]/tbl_MTG_Set[[#This Row],[Collector Booster Cost]]</f>
        <v/>
      </c>
      <c r="BO255" s="10">
        <f>tbl_MTG_Set[[#This Row],[Collector Singles CardMarket Profit]]&gt;0</f>
        <v/>
      </c>
      <c r="BP2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6">
      <c r="A256" t="n">
        <v>254</v>
      </c>
      <c r="B256" t="inlineStr">
        <is>
          <t>Dominaria United Art Series ADMU</t>
        </is>
      </c>
      <c r="C256" t="n">
        <v>81</v>
      </c>
      <c r="D256" s="3" t="n">
        <v>44813</v>
      </c>
      <c r="E256" t="inlineStr">
        <is>
          <t>Standard Expansion</t>
        </is>
      </c>
      <c r="F256" t="inlineStr">
        <is>
          <t>en es fr de it pt ja ko ru 汉语 漢語</t>
        </is>
      </c>
      <c r="G256" t="n">
        <v>454</v>
      </c>
      <c r="H256">
        <f>MONTH(NOW())+12*YEAR(NOW())-MONTH(tbl_MTG_Set[[#This Row],[Released On]])-12*YEAR(tbl_MTG_Set[[#This Row],[Released On]])</f>
        <v/>
      </c>
      <c r="I256">
        <f>_xlfn.XLOOKUP(tbl_MTG_Set[[#This Row],[Type Name]], tbl_MTG_Set_Type[Set Type], tbl_MTG_Set_Type[Index], "(Set Type not found)")</f>
        <v/>
      </c>
      <c r="J256">
        <f>_xlfn.XLOOKUP(tbl_MTG_Set[[#This Row],[Type Name]], tbl_MTG_Set_Type[Set Type], tbl_MTG_Set_Type[Buy Window Month Start], "(Set Type not found)")</f>
        <v/>
      </c>
      <c r="K256" s="3">
        <f>tbl_MTG_Set[[#This Row],[Released On]]+tbl_MTG_Set[[#This Row],[Buy Window Month Start]]*365.25/12</f>
        <v/>
      </c>
      <c r="L256">
        <f>_xlfn.XLOOKUP(tbl_MTG_Set[[#This Row],[Type Name]], tbl_MTG_Set_Type[Set Type], tbl_MTG_Set_Type[Buy Window Month End], "(Set Type not found)", 0, 1)</f>
        <v/>
      </c>
      <c r="M256" s="3">
        <f>tbl_MTG_Set[[#This Row],[Released On]]+tbl_MTG_Set[[#This Row],[Buy Window Month End]]*365.25/12</f>
        <v/>
      </c>
      <c r="N256" s="3">
        <f>AND(NOW()&gt;=tbl_MTG_Set[[#This Row],[Buy Window Start]], NOW()&lt;=tbl_MTG_Set[[#This Row],[Buy Window End]])</f>
        <v/>
      </c>
      <c r="O256">
        <f>_xlfn.XLOOKUP(tbl_MTG_Set[[#This Row],[Type Name]], tbl_MTG_Set_Type[Set Type], tbl_MTG_Set_Type[Heavy Printing Window Month Start], "(Set Type not found)", 0, 1)</f>
        <v/>
      </c>
      <c r="P256" s="3">
        <f>tbl_MTG_Set[[#This Row],[Released On]]+tbl_MTG_Set[[#This Row],[Heavy Printing Window Month Start]]*365.25/12</f>
        <v/>
      </c>
      <c r="Q256">
        <f>_xlfn.XLOOKUP(tbl_MTG_Set[[#This Row],[Type Name]], tbl_MTG_Set_Type[Set Type], tbl_MTG_Set_Type[Heavy Printing Window Month End], "(Set Type not found)", 0, 1)</f>
        <v/>
      </c>
      <c r="R256" s="3">
        <f>tbl_MTG_Set[[#This Row],[Released On]]+tbl_MTG_Set[[#This Row],[Heavy Printing Window Month End]]*365.25/12</f>
        <v/>
      </c>
      <c r="S256" s="3">
        <f>AND(NOW()&gt;=tbl_MTG_Set[[#This Row],[Heavy Printing Window Start]], NOW()&lt;=tbl_MTG_Set[[#This Row],[Heavy Printing Window End]])</f>
        <v/>
      </c>
      <c r="T256">
        <f>_xlfn.XLOOKUP(tbl_MTG_Set[[#This Row],[Type Name]], tbl_MTG_Set_Type[Set Type], tbl_MTG_Set_Type[Sell Window Month Start], "(Set Type not found)", 0, 1)</f>
        <v/>
      </c>
      <c r="U256" s="3">
        <f>tbl_MTG_Set[[#This Row],[Released On]]+tbl_MTG_Set[[#This Row],[Sell Window Month Start]]*365.25/12</f>
        <v/>
      </c>
      <c r="V256">
        <f>_xlfn.XLOOKUP(tbl_MTG_Set[[#This Row],[Type Name]], tbl_MTG_Set_Type[Set Type], tbl_MTG_Set_Type[Sell Window Month End], "(Set Type not found)", 0, 1)</f>
        <v/>
      </c>
      <c r="W256" s="3">
        <f>tbl_MTG_Set[[#This Row],[Released On]]+tbl_MTG_Set[[#This Row],[Sell Window Month End]]*365.25/12</f>
        <v/>
      </c>
      <c r="X256" s="3">
        <f>AND(NOW()&gt;=tbl_MTG_Set[[#This Row],[Sell Window Start]], NOW()&lt;=tbl_MTG_Set[[#This Row],[Sell Window End]])</f>
        <v/>
      </c>
      <c r="AG256" s="10" t="n"/>
      <c r="AH256" s="10" t="n"/>
      <c r="AM256" s="10">
        <f t="array" ref="AM2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6" s="10">
        <f t="array" ref="AN2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6" s="4">
        <f>_xlfn.XLOOKUP(tbl_MTG_Set[[#This Row],[Play Booster Box Product Id]], tbl_Product[Product Id], tbl_Product[Pack Size])</f>
        <v/>
      </c>
      <c r="AP256" s="10">
        <f>(tbl_MTG_Set[[#This Row],[Play Booster Box Cost]]+v_Item_Shipping_Cost_In)/tbl_MTG_Set[[#This Row],[Play Booster Box Size]]</f>
        <v/>
      </c>
      <c r="AQ256" s="10">
        <f t="array" ref="AQ2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6" s="10" t="n"/>
      <c r="AS256" s="10" t="n"/>
      <c r="AT256" s="17">
        <f>tbl_MTG_Set[[#This Row],[Play Booster CardMarket Profit]]/tbl_MTG_Set[[#This Row],[Play Booster Cost]]</f>
        <v/>
      </c>
      <c r="AU256" s="10">
        <f>_xlfn.XLOOKUP(tbl_MTG_Set[[#This Row],[Collector Booster Box Product Id]], tbl_Product[Product Id], tbl_Product[Min Cost])</f>
        <v/>
      </c>
      <c r="AV256" s="10">
        <f>_xlfn.XLOOKUP(tbl_MTG_Set[[#This Row],[Collector Booster Box Product Id]], tbl_Product[Product Id], tbl_Product[Best Source])</f>
        <v/>
      </c>
      <c r="AW256" s="4">
        <f>_xlfn.XLOOKUP(tbl_MTG_Set[[#This Row],[Collector Booster Box Product Id]], tbl_Product[Product Id], tbl_Product[Pack Size])</f>
        <v/>
      </c>
      <c r="AX256" s="10">
        <f>(tbl_MTG_Set[[#This Row],[Collector Booster Box Cost]] + v_Item_Shipping_Cost_In) / tbl_MTG_Set[[#This Row],[Collector Booster Box Size]]</f>
        <v/>
      </c>
      <c r="AY256" s="10">
        <f t="array" ref="AY2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6" s="10" t="n"/>
      <c r="BA2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6" s="17">
        <f>tbl_MTG_Set[[#This Row],[Collector Booster CardMarket Profit]]/tbl_MTG_Set[[#This Row],[Collector Booster Cost]]</f>
        <v/>
      </c>
      <c r="BC256" s="10" t="n"/>
      <c r="BF256" s="10">
        <f>tbl_MTG_Set[[#This Row],[Play Booster Sell Price CardMarket]]*tbl_MTG_Set[[#This Row],[Play Booster Expected Market Value]]/tbl_MTG_Set[[#This Row],[Play Boost Sealed Market Value]]</f>
        <v/>
      </c>
      <c r="BG2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6" s="10">
        <f>tbl_MTG_Set[[#This Row],[Play Singles CardMarket Profit]]/tbl_MTG_Set[[#This Row],[Play Booster Cost]]</f>
        <v/>
      </c>
      <c r="BI256" s="10">
        <f>tbl_MTG_Set[[#This Row],[Play Singles CardMarket Profit]]&gt;0</f>
        <v/>
      </c>
      <c r="BJ256" s="10" t="n"/>
      <c r="BK256" s="10" t="n"/>
      <c r="BL256" s="10">
        <f>tbl_MTG_Set[[#This Row],[Collector Booster Sell Price CardMarket]]*tbl_MTG_Set[[#This Row],[Collector Booster Expected Market Value]]/tbl_MTG_Set[[#This Row],[Collector Boost Sealed Market Value]]</f>
        <v/>
      </c>
      <c r="BM2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6" s="10">
        <f>tbl_MTG_Set[[#This Row],[Collector Singles CardMarket Profit]]/tbl_MTG_Set[[#This Row],[Collector Booster Cost]]</f>
        <v/>
      </c>
      <c r="BO256" s="10">
        <f>tbl_MTG_Set[[#This Row],[Collector Singles CardMarket Profit]]&gt;0</f>
        <v/>
      </c>
      <c r="BP2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7">
      <c r="A257" t="n">
        <v>255</v>
      </c>
      <c r="B257" t="inlineStr">
        <is>
          <t>Dominaria United Commander DMC</t>
        </is>
      </c>
      <c r="C257" t="n">
        <v>240</v>
      </c>
      <c r="D257" s="3" t="n">
        <v>44813</v>
      </c>
      <c r="E257" t="inlineStr">
        <is>
          <t>Standard Expansion</t>
        </is>
      </c>
      <c r="F257" t="inlineStr">
        <is>
          <t>en es fr de it pt ja ko ru 汉语 漢語</t>
        </is>
      </c>
      <c r="G257" t="n">
        <v>456</v>
      </c>
      <c r="H257">
        <f>MONTH(NOW())+12*YEAR(NOW())-MONTH(tbl_MTG_Set[[#This Row],[Released On]])-12*YEAR(tbl_MTG_Set[[#This Row],[Released On]])</f>
        <v/>
      </c>
      <c r="I257">
        <f>_xlfn.XLOOKUP(tbl_MTG_Set[[#This Row],[Type Name]], tbl_MTG_Set_Type[Set Type], tbl_MTG_Set_Type[Index], "(Set Type not found)")</f>
        <v/>
      </c>
      <c r="J257">
        <f>_xlfn.XLOOKUP(tbl_MTG_Set[[#This Row],[Type Name]], tbl_MTG_Set_Type[Set Type], tbl_MTG_Set_Type[Buy Window Month Start], "(Set Type not found)")</f>
        <v/>
      </c>
      <c r="K257" s="3">
        <f>tbl_MTG_Set[[#This Row],[Released On]]+tbl_MTG_Set[[#This Row],[Buy Window Month Start]]*365.25/12</f>
        <v/>
      </c>
      <c r="L257">
        <f>_xlfn.XLOOKUP(tbl_MTG_Set[[#This Row],[Type Name]], tbl_MTG_Set_Type[Set Type], tbl_MTG_Set_Type[Buy Window Month End], "(Set Type not found)", 0, 1)</f>
        <v/>
      </c>
      <c r="M257" s="3">
        <f>tbl_MTG_Set[[#This Row],[Released On]]+tbl_MTG_Set[[#This Row],[Buy Window Month End]]*365.25/12</f>
        <v/>
      </c>
      <c r="N257" s="3">
        <f>AND(NOW()&gt;=tbl_MTG_Set[[#This Row],[Buy Window Start]], NOW()&lt;=tbl_MTG_Set[[#This Row],[Buy Window End]])</f>
        <v/>
      </c>
      <c r="O257">
        <f>_xlfn.XLOOKUP(tbl_MTG_Set[[#This Row],[Type Name]], tbl_MTG_Set_Type[Set Type], tbl_MTG_Set_Type[Heavy Printing Window Month Start], "(Set Type not found)", 0, 1)</f>
        <v/>
      </c>
      <c r="P257" s="3">
        <f>tbl_MTG_Set[[#This Row],[Released On]]+tbl_MTG_Set[[#This Row],[Heavy Printing Window Month Start]]*365.25/12</f>
        <v/>
      </c>
      <c r="Q257">
        <f>_xlfn.XLOOKUP(tbl_MTG_Set[[#This Row],[Type Name]], tbl_MTG_Set_Type[Set Type], tbl_MTG_Set_Type[Heavy Printing Window Month End], "(Set Type not found)", 0, 1)</f>
        <v/>
      </c>
      <c r="R257" s="3">
        <f>tbl_MTG_Set[[#This Row],[Released On]]+tbl_MTG_Set[[#This Row],[Heavy Printing Window Month End]]*365.25/12</f>
        <v/>
      </c>
      <c r="S257" s="3">
        <f>AND(NOW()&gt;=tbl_MTG_Set[[#This Row],[Heavy Printing Window Start]], NOW()&lt;=tbl_MTG_Set[[#This Row],[Heavy Printing Window End]])</f>
        <v/>
      </c>
      <c r="T257">
        <f>_xlfn.XLOOKUP(tbl_MTG_Set[[#This Row],[Type Name]], tbl_MTG_Set_Type[Set Type], tbl_MTG_Set_Type[Sell Window Month Start], "(Set Type not found)", 0, 1)</f>
        <v/>
      </c>
      <c r="U257" s="3">
        <f>tbl_MTG_Set[[#This Row],[Released On]]+tbl_MTG_Set[[#This Row],[Sell Window Month Start]]*365.25/12</f>
        <v/>
      </c>
      <c r="V257">
        <f>_xlfn.XLOOKUP(tbl_MTG_Set[[#This Row],[Type Name]], tbl_MTG_Set_Type[Set Type], tbl_MTG_Set_Type[Sell Window Month End], "(Set Type not found)", 0, 1)</f>
        <v/>
      </c>
      <c r="W257" s="3">
        <f>tbl_MTG_Set[[#This Row],[Released On]]+tbl_MTG_Set[[#This Row],[Sell Window Month End]]*365.25/12</f>
        <v/>
      </c>
      <c r="X257" s="3">
        <f>AND(NOW()&gt;=tbl_MTG_Set[[#This Row],[Sell Window Start]], NOW()&lt;=tbl_MTG_Set[[#This Row],[Sell Window End]])</f>
        <v/>
      </c>
      <c r="AG257" s="10" t="n"/>
      <c r="AH257" s="10" t="n"/>
      <c r="AM257" s="10">
        <f t="array" ref="AM2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7" s="10">
        <f t="array" ref="AN2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7" s="4">
        <f>_xlfn.XLOOKUP(tbl_MTG_Set[[#This Row],[Play Booster Box Product Id]], tbl_Product[Product Id], tbl_Product[Pack Size])</f>
        <v/>
      </c>
      <c r="AP257" s="10">
        <f>(tbl_MTG_Set[[#This Row],[Play Booster Box Cost]]+v_Item_Shipping_Cost_In)/tbl_MTG_Set[[#This Row],[Play Booster Box Size]]</f>
        <v/>
      </c>
      <c r="AQ257" s="10">
        <f t="array" ref="AQ2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7" s="10" t="n"/>
      <c r="AS257" s="10" t="n"/>
      <c r="AT257" s="17">
        <f>tbl_MTG_Set[[#This Row],[Play Booster CardMarket Profit]]/tbl_MTG_Set[[#This Row],[Play Booster Cost]]</f>
        <v/>
      </c>
      <c r="AU257" s="10">
        <f>_xlfn.XLOOKUP(tbl_MTG_Set[[#This Row],[Collector Booster Box Product Id]], tbl_Product[Product Id], tbl_Product[Min Cost])</f>
        <v/>
      </c>
      <c r="AV257" s="10">
        <f>_xlfn.XLOOKUP(tbl_MTG_Set[[#This Row],[Collector Booster Box Product Id]], tbl_Product[Product Id], tbl_Product[Best Source])</f>
        <v/>
      </c>
      <c r="AW257" s="4">
        <f>_xlfn.XLOOKUP(tbl_MTG_Set[[#This Row],[Collector Booster Box Product Id]], tbl_Product[Product Id], tbl_Product[Pack Size])</f>
        <v/>
      </c>
      <c r="AX257" s="10">
        <f>(tbl_MTG_Set[[#This Row],[Collector Booster Box Cost]] + v_Item_Shipping_Cost_In) / tbl_MTG_Set[[#This Row],[Collector Booster Box Size]]</f>
        <v/>
      </c>
      <c r="AY257" s="10">
        <f t="array" ref="AY2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7" s="10" t="n"/>
      <c r="BA2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7" s="17">
        <f>tbl_MTG_Set[[#This Row],[Collector Booster CardMarket Profit]]/tbl_MTG_Set[[#This Row],[Collector Booster Cost]]</f>
        <v/>
      </c>
      <c r="BC257" s="10" t="n"/>
      <c r="BF257" s="10">
        <f>tbl_MTG_Set[[#This Row],[Play Booster Sell Price CardMarket]]*tbl_MTG_Set[[#This Row],[Play Booster Expected Market Value]]/tbl_MTG_Set[[#This Row],[Play Boost Sealed Market Value]]</f>
        <v/>
      </c>
      <c r="BG2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7" s="10">
        <f>tbl_MTG_Set[[#This Row],[Play Singles CardMarket Profit]]/tbl_MTG_Set[[#This Row],[Play Booster Cost]]</f>
        <v/>
      </c>
      <c r="BI257" s="10">
        <f>tbl_MTG_Set[[#This Row],[Play Singles CardMarket Profit]]&gt;0</f>
        <v/>
      </c>
      <c r="BJ257" s="10" t="n"/>
      <c r="BK257" s="10" t="n"/>
      <c r="BL257" s="10">
        <f>tbl_MTG_Set[[#This Row],[Collector Booster Sell Price CardMarket]]*tbl_MTG_Set[[#This Row],[Collector Booster Expected Market Value]]/tbl_MTG_Set[[#This Row],[Collector Boost Sealed Market Value]]</f>
        <v/>
      </c>
      <c r="BM2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7" s="10">
        <f>tbl_MTG_Set[[#This Row],[Collector Singles CardMarket Profit]]/tbl_MTG_Set[[#This Row],[Collector Booster Cost]]</f>
        <v/>
      </c>
      <c r="BO257" s="10">
        <f>tbl_MTG_Set[[#This Row],[Collector Singles CardMarket Profit]]&gt;0</f>
        <v/>
      </c>
      <c r="BP2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8">
      <c r="A258" t="n">
        <v>256</v>
      </c>
      <c r="B258" t="inlineStr">
        <is>
          <t>Dominaria United Commander Tokens TDMC</t>
        </is>
      </c>
      <c r="C258" t="n">
        <v>12</v>
      </c>
      <c r="D258" s="3" t="n">
        <v>44813</v>
      </c>
      <c r="E258" t="inlineStr">
        <is>
          <t>Standard Expansion</t>
        </is>
      </c>
      <c r="F258" t="inlineStr">
        <is>
          <t>en es fr de it pt ja ko ru 汉语 漢語</t>
        </is>
      </c>
      <c r="G258" t="n">
        <v>458</v>
      </c>
      <c r="H258">
        <f>MONTH(NOW())+12*YEAR(NOW())-MONTH(tbl_MTG_Set[[#This Row],[Released On]])-12*YEAR(tbl_MTG_Set[[#This Row],[Released On]])</f>
        <v/>
      </c>
      <c r="I258">
        <f>_xlfn.XLOOKUP(tbl_MTG_Set[[#This Row],[Type Name]], tbl_MTG_Set_Type[Set Type], tbl_MTG_Set_Type[Index], "(Set Type not found)")</f>
        <v/>
      </c>
      <c r="J258">
        <f>_xlfn.XLOOKUP(tbl_MTG_Set[[#This Row],[Type Name]], tbl_MTG_Set_Type[Set Type], tbl_MTG_Set_Type[Buy Window Month Start], "(Set Type not found)")</f>
        <v/>
      </c>
      <c r="K258" s="3">
        <f>tbl_MTG_Set[[#This Row],[Released On]]+tbl_MTG_Set[[#This Row],[Buy Window Month Start]]*365.25/12</f>
        <v/>
      </c>
      <c r="L258">
        <f>_xlfn.XLOOKUP(tbl_MTG_Set[[#This Row],[Type Name]], tbl_MTG_Set_Type[Set Type], tbl_MTG_Set_Type[Buy Window Month End], "(Set Type not found)", 0, 1)</f>
        <v/>
      </c>
      <c r="M258" s="3">
        <f>tbl_MTG_Set[[#This Row],[Released On]]+tbl_MTG_Set[[#This Row],[Buy Window Month End]]*365.25/12</f>
        <v/>
      </c>
      <c r="N258" s="3">
        <f>AND(NOW()&gt;=tbl_MTG_Set[[#This Row],[Buy Window Start]], NOW()&lt;=tbl_MTG_Set[[#This Row],[Buy Window End]])</f>
        <v/>
      </c>
      <c r="O258">
        <f>_xlfn.XLOOKUP(tbl_MTG_Set[[#This Row],[Type Name]], tbl_MTG_Set_Type[Set Type], tbl_MTG_Set_Type[Heavy Printing Window Month Start], "(Set Type not found)", 0, 1)</f>
        <v/>
      </c>
      <c r="P258" s="3">
        <f>tbl_MTG_Set[[#This Row],[Released On]]+tbl_MTG_Set[[#This Row],[Heavy Printing Window Month Start]]*365.25/12</f>
        <v/>
      </c>
      <c r="Q258">
        <f>_xlfn.XLOOKUP(tbl_MTG_Set[[#This Row],[Type Name]], tbl_MTG_Set_Type[Set Type], tbl_MTG_Set_Type[Heavy Printing Window Month End], "(Set Type not found)", 0, 1)</f>
        <v/>
      </c>
      <c r="R258" s="3">
        <f>tbl_MTG_Set[[#This Row],[Released On]]+tbl_MTG_Set[[#This Row],[Heavy Printing Window Month End]]*365.25/12</f>
        <v/>
      </c>
      <c r="S258" s="3">
        <f>AND(NOW()&gt;=tbl_MTG_Set[[#This Row],[Heavy Printing Window Start]], NOW()&lt;=tbl_MTG_Set[[#This Row],[Heavy Printing Window End]])</f>
        <v/>
      </c>
      <c r="T258">
        <f>_xlfn.XLOOKUP(tbl_MTG_Set[[#This Row],[Type Name]], tbl_MTG_Set_Type[Set Type], tbl_MTG_Set_Type[Sell Window Month Start], "(Set Type not found)", 0, 1)</f>
        <v/>
      </c>
      <c r="U258" s="3">
        <f>tbl_MTG_Set[[#This Row],[Released On]]+tbl_MTG_Set[[#This Row],[Sell Window Month Start]]*365.25/12</f>
        <v/>
      </c>
      <c r="V258">
        <f>_xlfn.XLOOKUP(tbl_MTG_Set[[#This Row],[Type Name]], tbl_MTG_Set_Type[Set Type], tbl_MTG_Set_Type[Sell Window Month End], "(Set Type not found)", 0, 1)</f>
        <v/>
      </c>
      <c r="W258" s="3">
        <f>tbl_MTG_Set[[#This Row],[Released On]]+tbl_MTG_Set[[#This Row],[Sell Window Month End]]*365.25/12</f>
        <v/>
      </c>
      <c r="X258" s="3">
        <f>AND(NOW()&gt;=tbl_MTG_Set[[#This Row],[Sell Window Start]], NOW()&lt;=tbl_MTG_Set[[#This Row],[Sell Window End]])</f>
        <v/>
      </c>
      <c r="AG258" s="10" t="n"/>
      <c r="AH258" s="10" t="n"/>
      <c r="AM258" s="10">
        <f t="array" ref="AM2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8" s="10">
        <f t="array" ref="AN2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8" s="4">
        <f>_xlfn.XLOOKUP(tbl_MTG_Set[[#This Row],[Play Booster Box Product Id]], tbl_Product[Product Id], tbl_Product[Pack Size])</f>
        <v/>
      </c>
      <c r="AP258" s="10">
        <f>(tbl_MTG_Set[[#This Row],[Play Booster Box Cost]]+v_Item_Shipping_Cost_In)/tbl_MTG_Set[[#This Row],[Play Booster Box Size]]</f>
        <v/>
      </c>
      <c r="AQ258" s="10">
        <f t="array" ref="AQ2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8" s="10" t="n"/>
      <c r="AS258" s="10" t="n"/>
      <c r="AT258" s="17">
        <f>tbl_MTG_Set[[#This Row],[Play Booster CardMarket Profit]]/tbl_MTG_Set[[#This Row],[Play Booster Cost]]</f>
        <v/>
      </c>
      <c r="AU258" s="10">
        <f>_xlfn.XLOOKUP(tbl_MTG_Set[[#This Row],[Collector Booster Box Product Id]], tbl_Product[Product Id], tbl_Product[Min Cost])</f>
        <v/>
      </c>
      <c r="AV258" s="10">
        <f>_xlfn.XLOOKUP(tbl_MTG_Set[[#This Row],[Collector Booster Box Product Id]], tbl_Product[Product Id], tbl_Product[Best Source])</f>
        <v/>
      </c>
      <c r="AW258" s="4">
        <f>_xlfn.XLOOKUP(tbl_MTG_Set[[#This Row],[Collector Booster Box Product Id]], tbl_Product[Product Id], tbl_Product[Pack Size])</f>
        <v/>
      </c>
      <c r="AX258" s="10">
        <f>(tbl_MTG_Set[[#This Row],[Collector Booster Box Cost]] + v_Item_Shipping_Cost_In) / tbl_MTG_Set[[#This Row],[Collector Booster Box Size]]</f>
        <v/>
      </c>
      <c r="AY258" s="10">
        <f t="array" ref="AY2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8" s="10" t="n"/>
      <c r="BA2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8" s="17">
        <f>tbl_MTG_Set[[#This Row],[Collector Booster CardMarket Profit]]/tbl_MTG_Set[[#This Row],[Collector Booster Cost]]</f>
        <v/>
      </c>
      <c r="BC258" s="10" t="n"/>
      <c r="BF258" s="10">
        <f>tbl_MTG_Set[[#This Row],[Play Booster Sell Price CardMarket]]*tbl_MTG_Set[[#This Row],[Play Booster Expected Market Value]]/tbl_MTG_Set[[#This Row],[Play Boost Sealed Market Value]]</f>
        <v/>
      </c>
      <c r="BG2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8" s="10">
        <f>tbl_MTG_Set[[#This Row],[Play Singles CardMarket Profit]]/tbl_MTG_Set[[#This Row],[Play Booster Cost]]</f>
        <v/>
      </c>
      <c r="BI258" s="10">
        <f>tbl_MTG_Set[[#This Row],[Play Singles CardMarket Profit]]&gt;0</f>
        <v/>
      </c>
      <c r="BJ258" s="10" t="n"/>
      <c r="BK258" s="10" t="n"/>
      <c r="BL258" s="10">
        <f>tbl_MTG_Set[[#This Row],[Collector Booster Sell Price CardMarket]]*tbl_MTG_Set[[#This Row],[Collector Booster Expected Market Value]]/tbl_MTG_Set[[#This Row],[Collector Boost Sealed Market Value]]</f>
        <v/>
      </c>
      <c r="BM2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8" s="10">
        <f>tbl_MTG_Set[[#This Row],[Collector Singles CardMarket Profit]]/tbl_MTG_Set[[#This Row],[Collector Booster Cost]]</f>
        <v/>
      </c>
      <c r="BO258" s="10">
        <f>tbl_MTG_Set[[#This Row],[Collector Singles CardMarket Profit]]&gt;0</f>
        <v/>
      </c>
      <c r="BP2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9">
      <c r="A259" t="n">
        <v>257</v>
      </c>
      <c r="B259" t="inlineStr">
        <is>
          <t>Dominaria United Minigames MDMU</t>
        </is>
      </c>
      <c r="C259" t="n">
        <v>3</v>
      </c>
      <c r="D259" s="3" t="n">
        <v>44813</v>
      </c>
      <c r="E259" t="inlineStr">
        <is>
          <t>Standard Expansion</t>
        </is>
      </c>
      <c r="F259" t="inlineStr">
        <is>
          <t>en es fr de it pt ja ko ru 汉语 漢語</t>
        </is>
      </c>
      <c r="G259" t="n">
        <v>460</v>
      </c>
      <c r="H259">
        <f>MONTH(NOW())+12*YEAR(NOW())-MONTH(tbl_MTG_Set[[#This Row],[Released On]])-12*YEAR(tbl_MTG_Set[[#This Row],[Released On]])</f>
        <v/>
      </c>
      <c r="I259">
        <f>_xlfn.XLOOKUP(tbl_MTG_Set[[#This Row],[Type Name]], tbl_MTG_Set_Type[Set Type], tbl_MTG_Set_Type[Index], "(Set Type not found)")</f>
        <v/>
      </c>
      <c r="J259">
        <f>_xlfn.XLOOKUP(tbl_MTG_Set[[#This Row],[Type Name]], tbl_MTG_Set_Type[Set Type], tbl_MTG_Set_Type[Buy Window Month Start], "(Set Type not found)")</f>
        <v/>
      </c>
      <c r="K259" s="3">
        <f>tbl_MTG_Set[[#This Row],[Released On]]+tbl_MTG_Set[[#This Row],[Buy Window Month Start]]*365.25/12</f>
        <v/>
      </c>
      <c r="L259">
        <f>_xlfn.XLOOKUP(tbl_MTG_Set[[#This Row],[Type Name]], tbl_MTG_Set_Type[Set Type], tbl_MTG_Set_Type[Buy Window Month End], "(Set Type not found)", 0, 1)</f>
        <v/>
      </c>
      <c r="M259" s="3">
        <f>tbl_MTG_Set[[#This Row],[Released On]]+tbl_MTG_Set[[#This Row],[Buy Window Month End]]*365.25/12</f>
        <v/>
      </c>
      <c r="N259" s="3">
        <f>AND(NOW()&gt;=tbl_MTG_Set[[#This Row],[Buy Window Start]], NOW()&lt;=tbl_MTG_Set[[#This Row],[Buy Window End]])</f>
        <v/>
      </c>
      <c r="O259">
        <f>_xlfn.XLOOKUP(tbl_MTG_Set[[#This Row],[Type Name]], tbl_MTG_Set_Type[Set Type], tbl_MTG_Set_Type[Heavy Printing Window Month Start], "(Set Type not found)", 0, 1)</f>
        <v/>
      </c>
      <c r="P259" s="3">
        <f>tbl_MTG_Set[[#This Row],[Released On]]+tbl_MTG_Set[[#This Row],[Heavy Printing Window Month Start]]*365.25/12</f>
        <v/>
      </c>
      <c r="Q259">
        <f>_xlfn.XLOOKUP(tbl_MTG_Set[[#This Row],[Type Name]], tbl_MTG_Set_Type[Set Type], tbl_MTG_Set_Type[Heavy Printing Window Month End], "(Set Type not found)", 0, 1)</f>
        <v/>
      </c>
      <c r="R259" s="3">
        <f>tbl_MTG_Set[[#This Row],[Released On]]+tbl_MTG_Set[[#This Row],[Heavy Printing Window Month End]]*365.25/12</f>
        <v/>
      </c>
      <c r="S259" s="3">
        <f>AND(NOW()&gt;=tbl_MTG_Set[[#This Row],[Heavy Printing Window Start]], NOW()&lt;=tbl_MTG_Set[[#This Row],[Heavy Printing Window End]])</f>
        <v/>
      </c>
      <c r="T259">
        <f>_xlfn.XLOOKUP(tbl_MTG_Set[[#This Row],[Type Name]], tbl_MTG_Set_Type[Set Type], tbl_MTG_Set_Type[Sell Window Month Start], "(Set Type not found)", 0, 1)</f>
        <v/>
      </c>
      <c r="U259" s="3">
        <f>tbl_MTG_Set[[#This Row],[Released On]]+tbl_MTG_Set[[#This Row],[Sell Window Month Start]]*365.25/12</f>
        <v/>
      </c>
      <c r="V259">
        <f>_xlfn.XLOOKUP(tbl_MTG_Set[[#This Row],[Type Name]], tbl_MTG_Set_Type[Set Type], tbl_MTG_Set_Type[Sell Window Month End], "(Set Type not found)", 0, 1)</f>
        <v/>
      </c>
      <c r="W259" s="3">
        <f>tbl_MTG_Set[[#This Row],[Released On]]+tbl_MTG_Set[[#This Row],[Sell Window Month End]]*365.25/12</f>
        <v/>
      </c>
      <c r="X259" s="3">
        <f>AND(NOW()&gt;=tbl_MTG_Set[[#This Row],[Sell Window Start]], NOW()&lt;=tbl_MTG_Set[[#This Row],[Sell Window End]])</f>
        <v/>
      </c>
      <c r="AG259" s="10" t="n"/>
      <c r="AH259" s="10" t="n"/>
      <c r="AM259" s="10">
        <f t="array" ref="AM2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9" s="10">
        <f t="array" ref="AN2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9" s="4">
        <f>_xlfn.XLOOKUP(tbl_MTG_Set[[#This Row],[Play Booster Box Product Id]], tbl_Product[Product Id], tbl_Product[Pack Size])</f>
        <v/>
      </c>
      <c r="AP259" s="10">
        <f>(tbl_MTG_Set[[#This Row],[Play Booster Box Cost]]+v_Item_Shipping_Cost_In)/tbl_MTG_Set[[#This Row],[Play Booster Box Size]]</f>
        <v/>
      </c>
      <c r="AQ259" s="10">
        <f t="array" ref="AQ2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59" s="10" t="n"/>
      <c r="AS259" s="10" t="n"/>
      <c r="AT259" s="17">
        <f>tbl_MTG_Set[[#This Row],[Play Booster CardMarket Profit]]/tbl_MTG_Set[[#This Row],[Play Booster Cost]]</f>
        <v/>
      </c>
      <c r="AU259" s="10">
        <f>_xlfn.XLOOKUP(tbl_MTG_Set[[#This Row],[Collector Booster Box Product Id]], tbl_Product[Product Id], tbl_Product[Min Cost])</f>
        <v/>
      </c>
      <c r="AV259" s="10">
        <f>_xlfn.XLOOKUP(tbl_MTG_Set[[#This Row],[Collector Booster Box Product Id]], tbl_Product[Product Id], tbl_Product[Best Source])</f>
        <v/>
      </c>
      <c r="AW259" s="4">
        <f>_xlfn.XLOOKUP(tbl_MTG_Set[[#This Row],[Collector Booster Box Product Id]], tbl_Product[Product Id], tbl_Product[Pack Size])</f>
        <v/>
      </c>
      <c r="AX259" s="10">
        <f>(tbl_MTG_Set[[#This Row],[Collector Booster Box Cost]] + v_Item_Shipping_Cost_In) / tbl_MTG_Set[[#This Row],[Collector Booster Box Size]]</f>
        <v/>
      </c>
      <c r="AY259" s="10">
        <f t="array" ref="AY2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59" s="10" t="n"/>
      <c r="BA2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9" s="17">
        <f>tbl_MTG_Set[[#This Row],[Collector Booster CardMarket Profit]]/tbl_MTG_Set[[#This Row],[Collector Booster Cost]]</f>
        <v/>
      </c>
      <c r="BC259" s="10" t="n"/>
      <c r="BF259" s="10">
        <f>tbl_MTG_Set[[#This Row],[Play Booster Sell Price CardMarket]]*tbl_MTG_Set[[#This Row],[Play Booster Expected Market Value]]/tbl_MTG_Set[[#This Row],[Play Boost Sealed Market Value]]</f>
        <v/>
      </c>
      <c r="BG2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9" s="10">
        <f>tbl_MTG_Set[[#This Row],[Play Singles CardMarket Profit]]/tbl_MTG_Set[[#This Row],[Play Booster Cost]]</f>
        <v/>
      </c>
      <c r="BI259" s="10">
        <f>tbl_MTG_Set[[#This Row],[Play Singles CardMarket Profit]]&gt;0</f>
        <v/>
      </c>
      <c r="BJ259" s="10" t="n"/>
      <c r="BK259" s="10" t="n"/>
      <c r="BL259" s="10">
        <f>tbl_MTG_Set[[#This Row],[Collector Booster Sell Price CardMarket]]*tbl_MTG_Set[[#This Row],[Collector Booster Expected Market Value]]/tbl_MTG_Set[[#This Row],[Collector Boost Sealed Market Value]]</f>
        <v/>
      </c>
      <c r="BM2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9" s="10">
        <f>tbl_MTG_Set[[#This Row],[Collector Singles CardMarket Profit]]/tbl_MTG_Set[[#This Row],[Collector Booster Cost]]</f>
        <v/>
      </c>
      <c r="BO259" s="10">
        <f>tbl_MTG_Set[[#This Row],[Collector Singles CardMarket Profit]]&gt;0</f>
        <v/>
      </c>
      <c r="BP2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0">
      <c r="A260" t="n">
        <v>258</v>
      </c>
      <c r="B260" t="inlineStr">
        <is>
          <t>Summer Vacation Promos 2022 PSVC</t>
        </is>
      </c>
      <c r="C260" t="n">
        <v>3</v>
      </c>
      <c r="D260" s="3" t="n">
        <v>44774</v>
      </c>
      <c r="F260" t="inlineStr">
        <is>
          <t>en es fr de it pt ja ko ru 汉语 漢語</t>
        </is>
      </c>
      <c r="G260" t="n">
        <v>462</v>
      </c>
      <c r="H260">
        <f>MONTH(NOW())+12*YEAR(NOW())-MONTH(tbl_MTG_Set[[#This Row],[Released On]])-12*YEAR(tbl_MTG_Set[[#This Row],[Released On]])</f>
        <v/>
      </c>
      <c r="I260">
        <f>_xlfn.XLOOKUP(tbl_MTG_Set[[#This Row],[Type Name]], tbl_MTG_Set_Type[Set Type], tbl_MTG_Set_Type[Index], "(Set Type not found)")</f>
        <v/>
      </c>
      <c r="J260">
        <f>_xlfn.XLOOKUP(tbl_MTG_Set[[#This Row],[Type Name]], tbl_MTG_Set_Type[Set Type], tbl_MTG_Set_Type[Buy Window Month Start], "(Set Type not found)")</f>
        <v/>
      </c>
      <c r="K260" s="3">
        <f>tbl_MTG_Set[[#This Row],[Released On]]+tbl_MTG_Set[[#This Row],[Buy Window Month Start]]*365.25/12</f>
        <v/>
      </c>
      <c r="L260">
        <f>_xlfn.XLOOKUP(tbl_MTG_Set[[#This Row],[Type Name]], tbl_MTG_Set_Type[Set Type], tbl_MTG_Set_Type[Buy Window Month End], "(Set Type not found)", 0, 1)</f>
        <v/>
      </c>
      <c r="M260" s="3">
        <f>tbl_MTG_Set[[#This Row],[Released On]]+tbl_MTG_Set[[#This Row],[Buy Window Month End]]*365.25/12</f>
        <v/>
      </c>
      <c r="N260" s="3">
        <f>AND(NOW()&gt;=tbl_MTG_Set[[#This Row],[Buy Window Start]], NOW()&lt;=tbl_MTG_Set[[#This Row],[Buy Window End]])</f>
        <v/>
      </c>
      <c r="O260">
        <f>_xlfn.XLOOKUP(tbl_MTG_Set[[#This Row],[Type Name]], tbl_MTG_Set_Type[Set Type], tbl_MTG_Set_Type[Heavy Printing Window Month Start], "(Set Type not found)", 0, 1)</f>
        <v/>
      </c>
      <c r="P260" s="3">
        <f>tbl_MTG_Set[[#This Row],[Released On]]+tbl_MTG_Set[[#This Row],[Heavy Printing Window Month Start]]*365.25/12</f>
        <v/>
      </c>
      <c r="Q260">
        <f>_xlfn.XLOOKUP(tbl_MTG_Set[[#This Row],[Type Name]], tbl_MTG_Set_Type[Set Type], tbl_MTG_Set_Type[Heavy Printing Window Month End], "(Set Type not found)", 0, 1)</f>
        <v/>
      </c>
      <c r="R260" s="3">
        <f>tbl_MTG_Set[[#This Row],[Released On]]+tbl_MTG_Set[[#This Row],[Heavy Printing Window Month End]]*365.25/12</f>
        <v/>
      </c>
      <c r="S260" s="3">
        <f>AND(NOW()&gt;=tbl_MTG_Set[[#This Row],[Heavy Printing Window Start]], NOW()&lt;=tbl_MTG_Set[[#This Row],[Heavy Printing Window End]])</f>
        <v/>
      </c>
      <c r="T260">
        <f>_xlfn.XLOOKUP(tbl_MTG_Set[[#This Row],[Type Name]], tbl_MTG_Set_Type[Set Type], tbl_MTG_Set_Type[Sell Window Month Start], "(Set Type not found)", 0, 1)</f>
        <v/>
      </c>
      <c r="U260" s="3">
        <f>tbl_MTG_Set[[#This Row],[Released On]]+tbl_MTG_Set[[#This Row],[Sell Window Month Start]]*365.25/12</f>
        <v/>
      </c>
      <c r="V260">
        <f>_xlfn.XLOOKUP(tbl_MTG_Set[[#This Row],[Type Name]], tbl_MTG_Set_Type[Set Type], tbl_MTG_Set_Type[Sell Window Month End], "(Set Type not found)", 0, 1)</f>
        <v/>
      </c>
      <c r="W260" s="3">
        <f>tbl_MTG_Set[[#This Row],[Released On]]+tbl_MTG_Set[[#This Row],[Sell Window Month End]]*365.25/12</f>
        <v/>
      </c>
      <c r="X260" s="3">
        <f>AND(NOW()&gt;=tbl_MTG_Set[[#This Row],[Sell Window Start]], NOW()&lt;=tbl_MTG_Set[[#This Row],[Sell Window End]])</f>
        <v/>
      </c>
      <c r="AG260" s="10" t="n"/>
      <c r="AH260" s="10" t="n"/>
      <c r="AM260" s="10">
        <f t="array" ref="AM2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0" s="10">
        <f t="array" ref="AN2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0" s="4">
        <f>_xlfn.XLOOKUP(tbl_MTG_Set[[#This Row],[Play Booster Box Product Id]], tbl_Product[Product Id], tbl_Product[Pack Size])</f>
        <v/>
      </c>
      <c r="AP260" s="10">
        <f>(tbl_MTG_Set[[#This Row],[Play Booster Box Cost]]+v_Item_Shipping_Cost_In)/tbl_MTG_Set[[#This Row],[Play Booster Box Size]]</f>
        <v/>
      </c>
      <c r="AQ260" s="10">
        <f t="array" ref="AQ2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0" s="10" t="n"/>
      <c r="AS260" s="10" t="n"/>
      <c r="AT260" s="17">
        <f>tbl_MTG_Set[[#This Row],[Play Booster CardMarket Profit]]/tbl_MTG_Set[[#This Row],[Play Booster Cost]]</f>
        <v/>
      </c>
      <c r="AU260" s="10">
        <f>_xlfn.XLOOKUP(tbl_MTG_Set[[#This Row],[Collector Booster Box Product Id]], tbl_Product[Product Id], tbl_Product[Min Cost])</f>
        <v/>
      </c>
      <c r="AV260" s="10">
        <f>_xlfn.XLOOKUP(tbl_MTG_Set[[#This Row],[Collector Booster Box Product Id]], tbl_Product[Product Id], tbl_Product[Best Source])</f>
        <v/>
      </c>
      <c r="AW260" s="4">
        <f>_xlfn.XLOOKUP(tbl_MTG_Set[[#This Row],[Collector Booster Box Product Id]], tbl_Product[Product Id], tbl_Product[Pack Size])</f>
        <v/>
      </c>
      <c r="AX260" s="10">
        <f>(tbl_MTG_Set[[#This Row],[Collector Booster Box Cost]] + v_Item_Shipping_Cost_In) / tbl_MTG_Set[[#This Row],[Collector Booster Box Size]]</f>
        <v/>
      </c>
      <c r="AY260" s="10">
        <f t="array" ref="AY2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0" s="10" t="n"/>
      <c r="BA2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0" s="17">
        <f>tbl_MTG_Set[[#This Row],[Collector Booster CardMarket Profit]]/tbl_MTG_Set[[#This Row],[Collector Booster Cost]]</f>
        <v/>
      </c>
      <c r="BC260" s="10" t="n"/>
      <c r="BF260" s="10">
        <f>tbl_MTG_Set[[#This Row],[Play Booster Sell Price CardMarket]]*tbl_MTG_Set[[#This Row],[Play Booster Expected Market Value]]/tbl_MTG_Set[[#This Row],[Play Boost Sealed Market Value]]</f>
        <v/>
      </c>
      <c r="BG2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0" s="10">
        <f>tbl_MTG_Set[[#This Row],[Play Singles CardMarket Profit]]/tbl_MTG_Set[[#This Row],[Play Booster Cost]]</f>
        <v/>
      </c>
      <c r="BI260" s="10">
        <f>tbl_MTG_Set[[#This Row],[Play Singles CardMarket Profit]]&gt;0</f>
        <v/>
      </c>
      <c r="BJ260" s="10" t="n"/>
      <c r="BK260" s="10" t="n"/>
      <c r="BL260" s="10">
        <f>tbl_MTG_Set[[#This Row],[Collector Booster Sell Price CardMarket]]*tbl_MTG_Set[[#This Row],[Collector Booster Expected Market Value]]/tbl_MTG_Set[[#This Row],[Collector Boost Sealed Market Value]]</f>
        <v/>
      </c>
      <c r="BM2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0" s="10">
        <f>tbl_MTG_Set[[#This Row],[Collector Singles CardMarket Profit]]/tbl_MTG_Set[[#This Row],[Collector Booster Cost]]</f>
        <v/>
      </c>
      <c r="BO260" s="10">
        <f>tbl_MTG_Set[[#This Row],[Collector Singles CardMarket Profit]]&gt;0</f>
        <v/>
      </c>
      <c r="BP2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1">
      <c r="A261" t="n">
        <v>259</v>
      </c>
      <c r="B261" t="inlineStr">
        <is>
          <t>2021 Heroes of the Realm PH21</t>
        </is>
      </c>
      <c r="C261" t="n">
        <v>4</v>
      </c>
      <c r="D261" s="3" t="n">
        <v>44774</v>
      </c>
      <c r="F261" t="inlineStr">
        <is>
          <t>en es fr de it pt ja ko ru 汉语 漢語</t>
        </is>
      </c>
      <c r="G261" t="n">
        <v>464</v>
      </c>
      <c r="H261">
        <f>MONTH(NOW())+12*YEAR(NOW())-MONTH(tbl_MTG_Set[[#This Row],[Released On]])-12*YEAR(tbl_MTG_Set[[#This Row],[Released On]])</f>
        <v/>
      </c>
      <c r="I261">
        <f>_xlfn.XLOOKUP(tbl_MTG_Set[[#This Row],[Type Name]], tbl_MTG_Set_Type[Set Type], tbl_MTG_Set_Type[Index], "(Set Type not found)")</f>
        <v/>
      </c>
      <c r="J261">
        <f>_xlfn.XLOOKUP(tbl_MTG_Set[[#This Row],[Type Name]], tbl_MTG_Set_Type[Set Type], tbl_MTG_Set_Type[Buy Window Month Start], "(Set Type not found)")</f>
        <v/>
      </c>
      <c r="K261" s="3">
        <f>tbl_MTG_Set[[#This Row],[Released On]]+tbl_MTG_Set[[#This Row],[Buy Window Month Start]]*365.25/12</f>
        <v/>
      </c>
      <c r="L261">
        <f>_xlfn.XLOOKUP(tbl_MTG_Set[[#This Row],[Type Name]], tbl_MTG_Set_Type[Set Type], tbl_MTG_Set_Type[Buy Window Month End], "(Set Type not found)", 0, 1)</f>
        <v/>
      </c>
      <c r="M261" s="3">
        <f>tbl_MTG_Set[[#This Row],[Released On]]+tbl_MTG_Set[[#This Row],[Buy Window Month End]]*365.25/12</f>
        <v/>
      </c>
      <c r="N261" s="3">
        <f>AND(NOW()&gt;=tbl_MTG_Set[[#This Row],[Buy Window Start]], NOW()&lt;=tbl_MTG_Set[[#This Row],[Buy Window End]])</f>
        <v/>
      </c>
      <c r="O261">
        <f>_xlfn.XLOOKUP(tbl_MTG_Set[[#This Row],[Type Name]], tbl_MTG_Set_Type[Set Type], tbl_MTG_Set_Type[Heavy Printing Window Month Start], "(Set Type not found)", 0, 1)</f>
        <v/>
      </c>
      <c r="P261" s="3">
        <f>tbl_MTG_Set[[#This Row],[Released On]]+tbl_MTG_Set[[#This Row],[Heavy Printing Window Month Start]]*365.25/12</f>
        <v/>
      </c>
      <c r="Q261">
        <f>_xlfn.XLOOKUP(tbl_MTG_Set[[#This Row],[Type Name]], tbl_MTG_Set_Type[Set Type], tbl_MTG_Set_Type[Heavy Printing Window Month End], "(Set Type not found)", 0, 1)</f>
        <v/>
      </c>
      <c r="R261" s="3">
        <f>tbl_MTG_Set[[#This Row],[Released On]]+tbl_MTG_Set[[#This Row],[Heavy Printing Window Month End]]*365.25/12</f>
        <v/>
      </c>
      <c r="S261" s="3">
        <f>AND(NOW()&gt;=tbl_MTG_Set[[#This Row],[Heavy Printing Window Start]], NOW()&lt;=tbl_MTG_Set[[#This Row],[Heavy Printing Window End]])</f>
        <v/>
      </c>
      <c r="T261">
        <f>_xlfn.XLOOKUP(tbl_MTG_Set[[#This Row],[Type Name]], tbl_MTG_Set_Type[Set Type], tbl_MTG_Set_Type[Sell Window Month Start], "(Set Type not found)", 0, 1)</f>
        <v/>
      </c>
      <c r="U261" s="3">
        <f>tbl_MTG_Set[[#This Row],[Released On]]+tbl_MTG_Set[[#This Row],[Sell Window Month Start]]*365.25/12</f>
        <v/>
      </c>
      <c r="V261">
        <f>_xlfn.XLOOKUP(tbl_MTG_Set[[#This Row],[Type Name]], tbl_MTG_Set_Type[Set Type], tbl_MTG_Set_Type[Sell Window Month End], "(Set Type not found)", 0, 1)</f>
        <v/>
      </c>
      <c r="W261" s="3">
        <f>tbl_MTG_Set[[#This Row],[Released On]]+tbl_MTG_Set[[#This Row],[Sell Window Month End]]*365.25/12</f>
        <v/>
      </c>
      <c r="X261" s="3">
        <f>AND(NOW()&gt;=tbl_MTG_Set[[#This Row],[Sell Window Start]], NOW()&lt;=tbl_MTG_Set[[#This Row],[Sell Window End]])</f>
        <v/>
      </c>
      <c r="AG261" s="10" t="n"/>
      <c r="AH261" s="10" t="n"/>
      <c r="AM261" s="10">
        <f t="array" ref="AM2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1" s="10">
        <f t="array" ref="AN2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1" s="4">
        <f>_xlfn.XLOOKUP(tbl_MTG_Set[[#This Row],[Play Booster Box Product Id]], tbl_Product[Product Id], tbl_Product[Pack Size])</f>
        <v/>
      </c>
      <c r="AP261" s="10">
        <f>(tbl_MTG_Set[[#This Row],[Play Booster Box Cost]]+v_Item_Shipping_Cost_In)/tbl_MTG_Set[[#This Row],[Play Booster Box Size]]</f>
        <v/>
      </c>
      <c r="AQ261" s="10">
        <f t="array" ref="AQ2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1" s="10" t="n"/>
      <c r="AS261" s="10" t="n"/>
      <c r="AT261" s="17">
        <f>tbl_MTG_Set[[#This Row],[Play Booster CardMarket Profit]]/tbl_MTG_Set[[#This Row],[Play Booster Cost]]</f>
        <v/>
      </c>
      <c r="AU261" s="10">
        <f>_xlfn.XLOOKUP(tbl_MTG_Set[[#This Row],[Collector Booster Box Product Id]], tbl_Product[Product Id], tbl_Product[Min Cost])</f>
        <v/>
      </c>
      <c r="AV261" s="10">
        <f>_xlfn.XLOOKUP(tbl_MTG_Set[[#This Row],[Collector Booster Box Product Id]], tbl_Product[Product Id], tbl_Product[Best Source])</f>
        <v/>
      </c>
      <c r="AW261" s="4">
        <f>_xlfn.XLOOKUP(tbl_MTG_Set[[#This Row],[Collector Booster Box Product Id]], tbl_Product[Product Id], tbl_Product[Pack Size])</f>
        <v/>
      </c>
      <c r="AX261" s="10">
        <f>(tbl_MTG_Set[[#This Row],[Collector Booster Box Cost]] + v_Item_Shipping_Cost_In) / tbl_MTG_Set[[#This Row],[Collector Booster Box Size]]</f>
        <v/>
      </c>
      <c r="AY261" s="10">
        <f t="array" ref="AY2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1" s="10" t="n"/>
      <c r="BA2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1" s="17">
        <f>tbl_MTG_Set[[#This Row],[Collector Booster CardMarket Profit]]/tbl_MTG_Set[[#This Row],[Collector Booster Cost]]</f>
        <v/>
      </c>
      <c r="BC261" s="10" t="n"/>
      <c r="BF261" s="10">
        <f>tbl_MTG_Set[[#This Row],[Play Booster Sell Price CardMarket]]*tbl_MTG_Set[[#This Row],[Play Booster Expected Market Value]]/tbl_MTG_Set[[#This Row],[Play Boost Sealed Market Value]]</f>
        <v/>
      </c>
      <c r="BG2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1" s="10">
        <f>tbl_MTG_Set[[#This Row],[Play Singles CardMarket Profit]]/tbl_MTG_Set[[#This Row],[Play Booster Cost]]</f>
        <v/>
      </c>
      <c r="BI261" s="10">
        <f>tbl_MTG_Set[[#This Row],[Play Singles CardMarket Profit]]&gt;0</f>
        <v/>
      </c>
      <c r="BJ261" s="10" t="n"/>
      <c r="BK261" s="10" t="n"/>
      <c r="BL261" s="10">
        <f>tbl_MTG_Set[[#This Row],[Collector Booster Sell Price CardMarket]]*tbl_MTG_Set[[#This Row],[Collector Booster Expected Market Value]]/tbl_MTG_Set[[#This Row],[Collector Boost Sealed Market Value]]</f>
        <v/>
      </c>
      <c r="BM2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1" s="10">
        <f>tbl_MTG_Set[[#This Row],[Collector Singles CardMarket Profit]]/tbl_MTG_Set[[#This Row],[Collector Booster Cost]]</f>
        <v/>
      </c>
      <c r="BO261" s="10">
        <f>tbl_MTG_Set[[#This Row],[Collector Singles CardMarket Profit]]&gt;0</f>
        <v/>
      </c>
      <c r="BP2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2">
      <c r="A262" t="n">
        <v>260</v>
      </c>
      <c r="B262" t="inlineStr">
        <is>
          <t>Explorer Anthology 1 EA1</t>
        </is>
      </c>
      <c r="C262" t="n">
        <v>20</v>
      </c>
      <c r="D262" s="3" t="n">
        <v>44770</v>
      </c>
      <c r="F262" t="inlineStr">
        <is>
          <t>en es fr de it pt ja ko ru 汉语 漢語</t>
        </is>
      </c>
      <c r="G262" t="n">
        <v>466</v>
      </c>
      <c r="H262">
        <f>MONTH(NOW())+12*YEAR(NOW())-MONTH(tbl_MTG_Set[[#This Row],[Released On]])-12*YEAR(tbl_MTG_Set[[#This Row],[Released On]])</f>
        <v/>
      </c>
      <c r="I262">
        <f>_xlfn.XLOOKUP(tbl_MTG_Set[[#This Row],[Type Name]], tbl_MTG_Set_Type[Set Type], tbl_MTG_Set_Type[Index], "(Set Type not found)")</f>
        <v/>
      </c>
      <c r="J262">
        <f>_xlfn.XLOOKUP(tbl_MTG_Set[[#This Row],[Type Name]], tbl_MTG_Set_Type[Set Type], tbl_MTG_Set_Type[Buy Window Month Start], "(Set Type not found)")</f>
        <v/>
      </c>
      <c r="K262" s="3">
        <f>tbl_MTG_Set[[#This Row],[Released On]]+tbl_MTG_Set[[#This Row],[Buy Window Month Start]]*365.25/12</f>
        <v/>
      </c>
      <c r="L262">
        <f>_xlfn.XLOOKUP(tbl_MTG_Set[[#This Row],[Type Name]], tbl_MTG_Set_Type[Set Type], tbl_MTG_Set_Type[Buy Window Month End], "(Set Type not found)", 0, 1)</f>
        <v/>
      </c>
      <c r="M262" s="3">
        <f>tbl_MTG_Set[[#This Row],[Released On]]+tbl_MTG_Set[[#This Row],[Buy Window Month End]]*365.25/12</f>
        <v/>
      </c>
      <c r="N262" s="3">
        <f>AND(NOW()&gt;=tbl_MTG_Set[[#This Row],[Buy Window Start]], NOW()&lt;=tbl_MTG_Set[[#This Row],[Buy Window End]])</f>
        <v/>
      </c>
      <c r="O262">
        <f>_xlfn.XLOOKUP(tbl_MTG_Set[[#This Row],[Type Name]], tbl_MTG_Set_Type[Set Type], tbl_MTG_Set_Type[Heavy Printing Window Month Start], "(Set Type not found)", 0, 1)</f>
        <v/>
      </c>
      <c r="P262" s="3">
        <f>tbl_MTG_Set[[#This Row],[Released On]]+tbl_MTG_Set[[#This Row],[Heavy Printing Window Month Start]]*365.25/12</f>
        <v/>
      </c>
      <c r="Q262">
        <f>_xlfn.XLOOKUP(tbl_MTG_Set[[#This Row],[Type Name]], tbl_MTG_Set_Type[Set Type], tbl_MTG_Set_Type[Heavy Printing Window Month End], "(Set Type not found)", 0, 1)</f>
        <v/>
      </c>
      <c r="R262" s="3">
        <f>tbl_MTG_Set[[#This Row],[Released On]]+tbl_MTG_Set[[#This Row],[Heavy Printing Window Month End]]*365.25/12</f>
        <v/>
      </c>
      <c r="S262" s="3">
        <f>AND(NOW()&gt;=tbl_MTG_Set[[#This Row],[Heavy Printing Window Start]], NOW()&lt;=tbl_MTG_Set[[#This Row],[Heavy Printing Window End]])</f>
        <v/>
      </c>
      <c r="T262">
        <f>_xlfn.XLOOKUP(tbl_MTG_Set[[#This Row],[Type Name]], tbl_MTG_Set_Type[Set Type], tbl_MTG_Set_Type[Sell Window Month Start], "(Set Type not found)", 0, 1)</f>
        <v/>
      </c>
      <c r="U262" s="3">
        <f>tbl_MTG_Set[[#This Row],[Released On]]+tbl_MTG_Set[[#This Row],[Sell Window Month Start]]*365.25/12</f>
        <v/>
      </c>
      <c r="V262">
        <f>_xlfn.XLOOKUP(tbl_MTG_Set[[#This Row],[Type Name]], tbl_MTG_Set_Type[Set Type], tbl_MTG_Set_Type[Sell Window Month End], "(Set Type not found)", 0, 1)</f>
        <v/>
      </c>
      <c r="W262" s="3">
        <f>tbl_MTG_Set[[#This Row],[Released On]]+tbl_MTG_Set[[#This Row],[Sell Window Month End]]*365.25/12</f>
        <v/>
      </c>
      <c r="X262" s="3">
        <f>AND(NOW()&gt;=tbl_MTG_Set[[#This Row],[Sell Window Start]], NOW()&lt;=tbl_MTG_Set[[#This Row],[Sell Window End]])</f>
        <v/>
      </c>
      <c r="AG262" s="10" t="n"/>
      <c r="AH262" s="10" t="n"/>
      <c r="AM262" s="10">
        <f t="array" ref="AM2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2" s="10">
        <f t="array" ref="AN2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2" s="4">
        <f>_xlfn.XLOOKUP(tbl_MTG_Set[[#This Row],[Play Booster Box Product Id]], tbl_Product[Product Id], tbl_Product[Pack Size])</f>
        <v/>
      </c>
      <c r="AP262" s="10">
        <f>(tbl_MTG_Set[[#This Row],[Play Booster Box Cost]]+v_Item_Shipping_Cost_In)/tbl_MTG_Set[[#This Row],[Play Booster Box Size]]</f>
        <v/>
      </c>
      <c r="AQ262" s="10">
        <f t="array" ref="AQ2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2" s="10" t="n"/>
      <c r="AS262" s="10" t="n"/>
      <c r="AT262" s="17">
        <f>tbl_MTG_Set[[#This Row],[Play Booster CardMarket Profit]]/tbl_MTG_Set[[#This Row],[Play Booster Cost]]</f>
        <v/>
      </c>
      <c r="AU262" s="10">
        <f>_xlfn.XLOOKUP(tbl_MTG_Set[[#This Row],[Collector Booster Box Product Id]], tbl_Product[Product Id], tbl_Product[Min Cost])</f>
        <v/>
      </c>
      <c r="AV262" s="10">
        <f>_xlfn.XLOOKUP(tbl_MTG_Set[[#This Row],[Collector Booster Box Product Id]], tbl_Product[Product Id], tbl_Product[Best Source])</f>
        <v/>
      </c>
      <c r="AW262" s="4">
        <f>_xlfn.XLOOKUP(tbl_MTG_Set[[#This Row],[Collector Booster Box Product Id]], tbl_Product[Product Id], tbl_Product[Pack Size])</f>
        <v/>
      </c>
      <c r="AX262" s="10">
        <f>(tbl_MTG_Set[[#This Row],[Collector Booster Box Cost]] + v_Item_Shipping_Cost_In) / tbl_MTG_Set[[#This Row],[Collector Booster Box Size]]</f>
        <v/>
      </c>
      <c r="AY262" s="10">
        <f t="array" ref="AY2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2" s="10" t="n"/>
      <c r="BA2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2" s="17">
        <f>tbl_MTG_Set[[#This Row],[Collector Booster CardMarket Profit]]/tbl_MTG_Set[[#This Row],[Collector Booster Cost]]</f>
        <v/>
      </c>
      <c r="BC262" s="10" t="n"/>
      <c r="BF262" s="10">
        <f>tbl_MTG_Set[[#This Row],[Play Booster Sell Price CardMarket]]*tbl_MTG_Set[[#This Row],[Play Booster Expected Market Value]]/tbl_MTG_Set[[#This Row],[Play Boost Sealed Market Value]]</f>
        <v/>
      </c>
      <c r="BG2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2" s="10">
        <f>tbl_MTG_Set[[#This Row],[Play Singles CardMarket Profit]]/tbl_MTG_Set[[#This Row],[Play Booster Cost]]</f>
        <v/>
      </c>
      <c r="BI262" s="10">
        <f>tbl_MTG_Set[[#This Row],[Play Singles CardMarket Profit]]&gt;0</f>
        <v/>
      </c>
      <c r="BJ262" s="10" t="n"/>
      <c r="BK262" s="10" t="n"/>
      <c r="BL262" s="10">
        <f>tbl_MTG_Set[[#This Row],[Collector Booster Sell Price CardMarket]]*tbl_MTG_Set[[#This Row],[Collector Booster Expected Market Value]]/tbl_MTG_Set[[#This Row],[Collector Boost Sealed Market Value]]</f>
        <v/>
      </c>
      <c r="BM2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2" s="10">
        <f>tbl_MTG_Set[[#This Row],[Collector Singles CardMarket Profit]]/tbl_MTG_Set[[#This Row],[Collector Booster Cost]]</f>
        <v/>
      </c>
      <c r="BO262" s="10">
        <f>tbl_MTG_Set[[#This Row],[Collector Singles CardMarket Profit]]&gt;0</f>
        <v/>
      </c>
      <c r="BP2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3">
      <c r="A263" t="n">
        <v>261</v>
      </c>
      <c r="B263" t="inlineStr">
        <is>
          <t>Historic Anthology 6 HA6</t>
        </is>
      </c>
      <c r="C263" t="n">
        <v>20</v>
      </c>
      <c r="D263" s="3" t="n">
        <v>44770</v>
      </c>
      <c r="F263" t="inlineStr">
        <is>
          <t>en es fr de it pt ja ko ru 汉语 漢語</t>
        </is>
      </c>
      <c r="G263" t="n">
        <v>468</v>
      </c>
      <c r="H263">
        <f>MONTH(NOW())+12*YEAR(NOW())-MONTH(tbl_MTG_Set[[#This Row],[Released On]])-12*YEAR(tbl_MTG_Set[[#This Row],[Released On]])</f>
        <v/>
      </c>
      <c r="I263">
        <f>_xlfn.XLOOKUP(tbl_MTG_Set[[#This Row],[Type Name]], tbl_MTG_Set_Type[Set Type], tbl_MTG_Set_Type[Index], "(Set Type not found)")</f>
        <v/>
      </c>
      <c r="J263">
        <f>_xlfn.XLOOKUP(tbl_MTG_Set[[#This Row],[Type Name]], tbl_MTG_Set_Type[Set Type], tbl_MTG_Set_Type[Buy Window Month Start], "(Set Type not found)")</f>
        <v/>
      </c>
      <c r="K263" s="3">
        <f>tbl_MTG_Set[[#This Row],[Released On]]+tbl_MTG_Set[[#This Row],[Buy Window Month Start]]*365.25/12</f>
        <v/>
      </c>
      <c r="L263">
        <f>_xlfn.XLOOKUP(tbl_MTG_Set[[#This Row],[Type Name]], tbl_MTG_Set_Type[Set Type], tbl_MTG_Set_Type[Buy Window Month End], "(Set Type not found)", 0, 1)</f>
        <v/>
      </c>
      <c r="M263" s="3">
        <f>tbl_MTG_Set[[#This Row],[Released On]]+tbl_MTG_Set[[#This Row],[Buy Window Month End]]*365.25/12</f>
        <v/>
      </c>
      <c r="N263" s="3">
        <f>AND(NOW()&gt;=tbl_MTG_Set[[#This Row],[Buy Window Start]], NOW()&lt;=tbl_MTG_Set[[#This Row],[Buy Window End]])</f>
        <v/>
      </c>
      <c r="O263">
        <f>_xlfn.XLOOKUP(tbl_MTG_Set[[#This Row],[Type Name]], tbl_MTG_Set_Type[Set Type], tbl_MTG_Set_Type[Heavy Printing Window Month Start], "(Set Type not found)", 0, 1)</f>
        <v/>
      </c>
      <c r="P263" s="3">
        <f>tbl_MTG_Set[[#This Row],[Released On]]+tbl_MTG_Set[[#This Row],[Heavy Printing Window Month Start]]*365.25/12</f>
        <v/>
      </c>
      <c r="Q263">
        <f>_xlfn.XLOOKUP(tbl_MTG_Set[[#This Row],[Type Name]], tbl_MTG_Set_Type[Set Type], tbl_MTG_Set_Type[Heavy Printing Window Month End], "(Set Type not found)", 0, 1)</f>
        <v/>
      </c>
      <c r="R263" s="3">
        <f>tbl_MTG_Set[[#This Row],[Released On]]+tbl_MTG_Set[[#This Row],[Heavy Printing Window Month End]]*365.25/12</f>
        <v/>
      </c>
      <c r="S263" s="3">
        <f>AND(NOW()&gt;=tbl_MTG_Set[[#This Row],[Heavy Printing Window Start]], NOW()&lt;=tbl_MTG_Set[[#This Row],[Heavy Printing Window End]])</f>
        <v/>
      </c>
      <c r="T263">
        <f>_xlfn.XLOOKUP(tbl_MTG_Set[[#This Row],[Type Name]], tbl_MTG_Set_Type[Set Type], tbl_MTG_Set_Type[Sell Window Month Start], "(Set Type not found)", 0, 1)</f>
        <v/>
      </c>
      <c r="U263" s="3">
        <f>tbl_MTG_Set[[#This Row],[Released On]]+tbl_MTG_Set[[#This Row],[Sell Window Month Start]]*365.25/12</f>
        <v/>
      </c>
      <c r="V263">
        <f>_xlfn.XLOOKUP(tbl_MTG_Set[[#This Row],[Type Name]], tbl_MTG_Set_Type[Set Type], tbl_MTG_Set_Type[Sell Window Month End], "(Set Type not found)", 0, 1)</f>
        <v/>
      </c>
      <c r="W263" s="3">
        <f>tbl_MTG_Set[[#This Row],[Released On]]+tbl_MTG_Set[[#This Row],[Sell Window Month End]]*365.25/12</f>
        <v/>
      </c>
      <c r="X263" s="3">
        <f>AND(NOW()&gt;=tbl_MTG_Set[[#This Row],[Sell Window Start]], NOW()&lt;=tbl_MTG_Set[[#This Row],[Sell Window End]])</f>
        <v/>
      </c>
      <c r="AG263" s="10" t="n"/>
      <c r="AH263" s="10" t="n"/>
      <c r="AM263" s="10">
        <f t="array" ref="AM2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3" s="10">
        <f t="array" ref="AN2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3" s="4">
        <f>_xlfn.XLOOKUP(tbl_MTG_Set[[#This Row],[Play Booster Box Product Id]], tbl_Product[Product Id], tbl_Product[Pack Size])</f>
        <v/>
      </c>
      <c r="AP263" s="10">
        <f>(tbl_MTG_Set[[#This Row],[Play Booster Box Cost]]+v_Item_Shipping_Cost_In)/tbl_MTG_Set[[#This Row],[Play Booster Box Size]]</f>
        <v/>
      </c>
      <c r="AQ263" s="10">
        <f t="array" ref="AQ2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3" s="10" t="n"/>
      <c r="AS263" s="10" t="n"/>
      <c r="AT263" s="17">
        <f>tbl_MTG_Set[[#This Row],[Play Booster CardMarket Profit]]/tbl_MTG_Set[[#This Row],[Play Booster Cost]]</f>
        <v/>
      </c>
      <c r="AU263" s="10">
        <f>_xlfn.XLOOKUP(tbl_MTG_Set[[#This Row],[Collector Booster Box Product Id]], tbl_Product[Product Id], tbl_Product[Min Cost])</f>
        <v/>
      </c>
      <c r="AV263" s="10">
        <f>_xlfn.XLOOKUP(tbl_MTG_Set[[#This Row],[Collector Booster Box Product Id]], tbl_Product[Product Id], tbl_Product[Best Source])</f>
        <v/>
      </c>
      <c r="AW263" s="4">
        <f>_xlfn.XLOOKUP(tbl_MTG_Set[[#This Row],[Collector Booster Box Product Id]], tbl_Product[Product Id], tbl_Product[Pack Size])</f>
        <v/>
      </c>
      <c r="AX263" s="10">
        <f>(tbl_MTG_Set[[#This Row],[Collector Booster Box Cost]] + v_Item_Shipping_Cost_In) / tbl_MTG_Set[[#This Row],[Collector Booster Box Size]]</f>
        <v/>
      </c>
      <c r="AY263" s="10">
        <f t="array" ref="AY2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3" s="10" t="n"/>
      <c r="BA2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3" s="17">
        <f>tbl_MTG_Set[[#This Row],[Collector Booster CardMarket Profit]]/tbl_MTG_Set[[#This Row],[Collector Booster Cost]]</f>
        <v/>
      </c>
      <c r="BC263" s="10" t="n"/>
      <c r="BF263" s="10">
        <f>tbl_MTG_Set[[#This Row],[Play Booster Sell Price CardMarket]]*tbl_MTG_Set[[#This Row],[Play Booster Expected Market Value]]/tbl_MTG_Set[[#This Row],[Play Boost Sealed Market Value]]</f>
        <v/>
      </c>
      <c r="BG2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3" s="10">
        <f>tbl_MTG_Set[[#This Row],[Play Singles CardMarket Profit]]/tbl_MTG_Set[[#This Row],[Play Booster Cost]]</f>
        <v/>
      </c>
      <c r="BI263" s="10">
        <f>tbl_MTG_Set[[#This Row],[Play Singles CardMarket Profit]]&gt;0</f>
        <v/>
      </c>
      <c r="BJ263" s="10" t="n"/>
      <c r="BK263" s="10" t="n"/>
      <c r="BL263" s="10">
        <f>tbl_MTG_Set[[#This Row],[Collector Booster Sell Price CardMarket]]*tbl_MTG_Set[[#This Row],[Collector Booster Expected Market Value]]/tbl_MTG_Set[[#This Row],[Collector Boost Sealed Market Value]]</f>
        <v/>
      </c>
      <c r="BM2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3" s="10">
        <f>tbl_MTG_Set[[#This Row],[Collector Singles CardMarket Profit]]/tbl_MTG_Set[[#This Row],[Collector Booster Cost]]</f>
        <v/>
      </c>
      <c r="BO263" s="10">
        <f>tbl_MTG_Set[[#This Row],[Collector Singles CardMarket Profit]]&gt;0</f>
        <v/>
      </c>
      <c r="BP2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4">
      <c r="A264" t="n">
        <v>262</v>
      </c>
      <c r="B264" t="inlineStr">
        <is>
          <t>Store Championships SCH</t>
        </is>
      </c>
      <c r="C264" t="n">
        <v>44</v>
      </c>
      <c r="D264" s="3" t="n">
        <v>44751</v>
      </c>
      <c r="F264" t="inlineStr">
        <is>
          <t>en es fr de it pt ja ko ru 汉语 漢語</t>
        </is>
      </c>
      <c r="G264" t="n">
        <v>470</v>
      </c>
      <c r="H264">
        <f>MONTH(NOW())+12*YEAR(NOW())-MONTH(tbl_MTG_Set[[#This Row],[Released On]])-12*YEAR(tbl_MTG_Set[[#This Row],[Released On]])</f>
        <v/>
      </c>
      <c r="I264">
        <f>_xlfn.XLOOKUP(tbl_MTG_Set[[#This Row],[Type Name]], tbl_MTG_Set_Type[Set Type], tbl_MTG_Set_Type[Index], "(Set Type not found)")</f>
        <v/>
      </c>
      <c r="J264">
        <f>_xlfn.XLOOKUP(tbl_MTG_Set[[#This Row],[Type Name]], tbl_MTG_Set_Type[Set Type], tbl_MTG_Set_Type[Buy Window Month Start], "(Set Type not found)")</f>
        <v/>
      </c>
      <c r="K264" s="3">
        <f>tbl_MTG_Set[[#This Row],[Released On]]+tbl_MTG_Set[[#This Row],[Buy Window Month Start]]*365.25/12</f>
        <v/>
      </c>
      <c r="L264">
        <f>_xlfn.XLOOKUP(tbl_MTG_Set[[#This Row],[Type Name]], tbl_MTG_Set_Type[Set Type], tbl_MTG_Set_Type[Buy Window Month End], "(Set Type not found)", 0, 1)</f>
        <v/>
      </c>
      <c r="M264" s="3">
        <f>tbl_MTG_Set[[#This Row],[Released On]]+tbl_MTG_Set[[#This Row],[Buy Window Month End]]*365.25/12</f>
        <v/>
      </c>
      <c r="N264" s="3">
        <f>AND(NOW()&gt;=tbl_MTG_Set[[#This Row],[Buy Window Start]], NOW()&lt;=tbl_MTG_Set[[#This Row],[Buy Window End]])</f>
        <v/>
      </c>
      <c r="O264">
        <f>_xlfn.XLOOKUP(tbl_MTG_Set[[#This Row],[Type Name]], tbl_MTG_Set_Type[Set Type], tbl_MTG_Set_Type[Heavy Printing Window Month Start], "(Set Type not found)", 0, 1)</f>
        <v/>
      </c>
      <c r="P264" s="3">
        <f>tbl_MTG_Set[[#This Row],[Released On]]+tbl_MTG_Set[[#This Row],[Heavy Printing Window Month Start]]*365.25/12</f>
        <v/>
      </c>
      <c r="Q264">
        <f>_xlfn.XLOOKUP(tbl_MTG_Set[[#This Row],[Type Name]], tbl_MTG_Set_Type[Set Type], tbl_MTG_Set_Type[Heavy Printing Window Month End], "(Set Type not found)", 0, 1)</f>
        <v/>
      </c>
      <c r="R264" s="3">
        <f>tbl_MTG_Set[[#This Row],[Released On]]+tbl_MTG_Set[[#This Row],[Heavy Printing Window Month End]]*365.25/12</f>
        <v/>
      </c>
      <c r="S264" s="3">
        <f>AND(NOW()&gt;=tbl_MTG_Set[[#This Row],[Heavy Printing Window Start]], NOW()&lt;=tbl_MTG_Set[[#This Row],[Heavy Printing Window End]])</f>
        <v/>
      </c>
      <c r="T264">
        <f>_xlfn.XLOOKUP(tbl_MTG_Set[[#This Row],[Type Name]], tbl_MTG_Set_Type[Set Type], tbl_MTG_Set_Type[Sell Window Month Start], "(Set Type not found)", 0, 1)</f>
        <v/>
      </c>
      <c r="U264" s="3">
        <f>tbl_MTG_Set[[#This Row],[Released On]]+tbl_MTG_Set[[#This Row],[Sell Window Month Start]]*365.25/12</f>
        <v/>
      </c>
      <c r="V264">
        <f>_xlfn.XLOOKUP(tbl_MTG_Set[[#This Row],[Type Name]], tbl_MTG_Set_Type[Set Type], tbl_MTG_Set_Type[Sell Window Month End], "(Set Type not found)", 0, 1)</f>
        <v/>
      </c>
      <c r="W264" s="3">
        <f>tbl_MTG_Set[[#This Row],[Released On]]+tbl_MTG_Set[[#This Row],[Sell Window Month End]]*365.25/12</f>
        <v/>
      </c>
      <c r="X264" s="3">
        <f>AND(NOW()&gt;=tbl_MTG_Set[[#This Row],[Sell Window Start]], NOW()&lt;=tbl_MTG_Set[[#This Row],[Sell Window End]])</f>
        <v/>
      </c>
      <c r="AG264" s="10" t="n"/>
      <c r="AH264" s="10" t="n"/>
      <c r="AM264" s="10">
        <f t="array" ref="AM2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4" s="10">
        <f t="array" ref="AN2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4" s="4">
        <f>_xlfn.XLOOKUP(tbl_MTG_Set[[#This Row],[Play Booster Box Product Id]], tbl_Product[Product Id], tbl_Product[Pack Size])</f>
        <v/>
      </c>
      <c r="AP264" s="10">
        <f>(tbl_MTG_Set[[#This Row],[Play Booster Box Cost]]+v_Item_Shipping_Cost_In)/tbl_MTG_Set[[#This Row],[Play Booster Box Size]]</f>
        <v/>
      </c>
      <c r="AQ264" s="10">
        <f t="array" ref="AQ2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4" s="10" t="n"/>
      <c r="AS264" s="10" t="n"/>
      <c r="AT264" s="17">
        <f>tbl_MTG_Set[[#This Row],[Play Booster CardMarket Profit]]/tbl_MTG_Set[[#This Row],[Play Booster Cost]]</f>
        <v/>
      </c>
      <c r="AU264" s="10">
        <f>_xlfn.XLOOKUP(tbl_MTG_Set[[#This Row],[Collector Booster Box Product Id]], tbl_Product[Product Id], tbl_Product[Min Cost])</f>
        <v/>
      </c>
      <c r="AV264" s="10">
        <f>_xlfn.XLOOKUP(tbl_MTG_Set[[#This Row],[Collector Booster Box Product Id]], tbl_Product[Product Id], tbl_Product[Best Source])</f>
        <v/>
      </c>
      <c r="AW264" s="4">
        <f>_xlfn.XLOOKUP(tbl_MTG_Set[[#This Row],[Collector Booster Box Product Id]], tbl_Product[Product Id], tbl_Product[Pack Size])</f>
        <v/>
      </c>
      <c r="AX264" s="10">
        <f>(tbl_MTG_Set[[#This Row],[Collector Booster Box Cost]] + v_Item_Shipping_Cost_In) / tbl_MTG_Set[[#This Row],[Collector Booster Box Size]]</f>
        <v/>
      </c>
      <c r="AY264" s="10">
        <f t="array" ref="AY2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4" s="10" t="n"/>
      <c r="BA2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4" s="17">
        <f>tbl_MTG_Set[[#This Row],[Collector Booster CardMarket Profit]]/tbl_MTG_Set[[#This Row],[Collector Booster Cost]]</f>
        <v/>
      </c>
      <c r="BC264" s="10" t="n"/>
      <c r="BF264" s="10">
        <f>tbl_MTG_Set[[#This Row],[Play Booster Sell Price CardMarket]]*tbl_MTG_Set[[#This Row],[Play Booster Expected Market Value]]/tbl_MTG_Set[[#This Row],[Play Boost Sealed Market Value]]</f>
        <v/>
      </c>
      <c r="BG2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4" s="10">
        <f>tbl_MTG_Set[[#This Row],[Play Singles CardMarket Profit]]/tbl_MTG_Set[[#This Row],[Play Booster Cost]]</f>
        <v/>
      </c>
      <c r="BI264" s="10">
        <f>tbl_MTG_Set[[#This Row],[Play Singles CardMarket Profit]]&gt;0</f>
        <v/>
      </c>
      <c r="BJ264" s="10" t="n"/>
      <c r="BK264" s="10" t="n"/>
      <c r="BL264" s="10">
        <f>tbl_MTG_Set[[#This Row],[Collector Booster Sell Price CardMarket]]*tbl_MTG_Set[[#This Row],[Collector Booster Expected Market Value]]/tbl_MTG_Set[[#This Row],[Collector Boost Sealed Market Value]]</f>
        <v/>
      </c>
      <c r="BM2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4" s="10">
        <f>tbl_MTG_Set[[#This Row],[Collector Singles CardMarket Profit]]/tbl_MTG_Set[[#This Row],[Collector Booster Cost]]</f>
        <v/>
      </c>
      <c r="BO264" s="10">
        <f>tbl_MTG_Set[[#This Row],[Collector Singles CardMarket Profit]]&gt;0</f>
        <v/>
      </c>
      <c r="BP2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5">
      <c r="A265" t="n">
        <v>263</v>
      </c>
      <c r="B265" t="inlineStr">
        <is>
          <t>Double Masters 2022 2X2</t>
        </is>
      </c>
      <c r="C265" t="n">
        <v>579</v>
      </c>
      <c r="D265" s="3" t="n">
        <v>44750</v>
      </c>
      <c r="F265" t="inlineStr">
        <is>
          <t>en es fr de it pt ja ko ru 汉语 漢語</t>
        </is>
      </c>
      <c r="G265" t="n">
        <v>472</v>
      </c>
      <c r="H265">
        <f>MONTH(NOW())+12*YEAR(NOW())-MONTH(tbl_MTG_Set[[#This Row],[Released On]])-12*YEAR(tbl_MTG_Set[[#This Row],[Released On]])</f>
        <v/>
      </c>
      <c r="I265">
        <f>_xlfn.XLOOKUP(tbl_MTG_Set[[#This Row],[Type Name]], tbl_MTG_Set_Type[Set Type], tbl_MTG_Set_Type[Index], "(Set Type not found)")</f>
        <v/>
      </c>
      <c r="J265">
        <f>_xlfn.XLOOKUP(tbl_MTG_Set[[#This Row],[Type Name]], tbl_MTG_Set_Type[Set Type], tbl_MTG_Set_Type[Buy Window Month Start], "(Set Type not found)")</f>
        <v/>
      </c>
      <c r="K265" s="3">
        <f>tbl_MTG_Set[[#This Row],[Released On]]+tbl_MTG_Set[[#This Row],[Buy Window Month Start]]*365.25/12</f>
        <v/>
      </c>
      <c r="L265">
        <f>_xlfn.XLOOKUP(tbl_MTG_Set[[#This Row],[Type Name]], tbl_MTG_Set_Type[Set Type], tbl_MTG_Set_Type[Buy Window Month End], "(Set Type not found)", 0, 1)</f>
        <v/>
      </c>
      <c r="M265" s="3">
        <f>tbl_MTG_Set[[#This Row],[Released On]]+tbl_MTG_Set[[#This Row],[Buy Window Month End]]*365.25/12</f>
        <v/>
      </c>
      <c r="N265" s="3">
        <f>AND(NOW()&gt;=tbl_MTG_Set[[#This Row],[Buy Window Start]], NOW()&lt;=tbl_MTG_Set[[#This Row],[Buy Window End]])</f>
        <v/>
      </c>
      <c r="O265">
        <f>_xlfn.XLOOKUP(tbl_MTG_Set[[#This Row],[Type Name]], tbl_MTG_Set_Type[Set Type], tbl_MTG_Set_Type[Heavy Printing Window Month Start], "(Set Type not found)", 0, 1)</f>
        <v/>
      </c>
      <c r="P265" s="3">
        <f>tbl_MTG_Set[[#This Row],[Released On]]+tbl_MTG_Set[[#This Row],[Heavy Printing Window Month Start]]*365.25/12</f>
        <v/>
      </c>
      <c r="Q265">
        <f>_xlfn.XLOOKUP(tbl_MTG_Set[[#This Row],[Type Name]], tbl_MTG_Set_Type[Set Type], tbl_MTG_Set_Type[Heavy Printing Window Month End], "(Set Type not found)", 0, 1)</f>
        <v/>
      </c>
      <c r="R265" s="3">
        <f>tbl_MTG_Set[[#This Row],[Released On]]+tbl_MTG_Set[[#This Row],[Heavy Printing Window Month End]]*365.25/12</f>
        <v/>
      </c>
      <c r="S265" s="3">
        <f>AND(NOW()&gt;=tbl_MTG_Set[[#This Row],[Heavy Printing Window Start]], NOW()&lt;=tbl_MTG_Set[[#This Row],[Heavy Printing Window End]])</f>
        <v/>
      </c>
      <c r="T265">
        <f>_xlfn.XLOOKUP(tbl_MTG_Set[[#This Row],[Type Name]], tbl_MTG_Set_Type[Set Type], tbl_MTG_Set_Type[Sell Window Month Start], "(Set Type not found)", 0, 1)</f>
        <v/>
      </c>
      <c r="U265" s="3">
        <f>tbl_MTG_Set[[#This Row],[Released On]]+tbl_MTG_Set[[#This Row],[Sell Window Month Start]]*365.25/12</f>
        <v/>
      </c>
      <c r="V265">
        <f>_xlfn.XLOOKUP(tbl_MTG_Set[[#This Row],[Type Name]], tbl_MTG_Set_Type[Set Type], tbl_MTG_Set_Type[Sell Window Month End], "(Set Type not found)", 0, 1)</f>
        <v/>
      </c>
      <c r="W265" s="3">
        <f>tbl_MTG_Set[[#This Row],[Released On]]+tbl_MTG_Set[[#This Row],[Sell Window Month End]]*365.25/12</f>
        <v/>
      </c>
      <c r="X265" s="3">
        <f>AND(NOW()&gt;=tbl_MTG_Set[[#This Row],[Sell Window Start]], NOW()&lt;=tbl_MTG_Set[[#This Row],[Sell Window End]])</f>
        <v/>
      </c>
      <c r="AG265" s="10" t="n"/>
      <c r="AH265" s="10" t="n"/>
      <c r="AM265" s="10">
        <f t="array" ref="AM2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5" s="10">
        <f t="array" ref="AN2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5" s="4">
        <f>_xlfn.XLOOKUP(tbl_MTG_Set[[#This Row],[Play Booster Box Product Id]], tbl_Product[Product Id], tbl_Product[Pack Size])</f>
        <v/>
      </c>
      <c r="AP265" s="10">
        <f>(tbl_MTG_Set[[#This Row],[Play Booster Box Cost]]+v_Item_Shipping_Cost_In)/tbl_MTG_Set[[#This Row],[Play Booster Box Size]]</f>
        <v/>
      </c>
      <c r="AQ265" s="10">
        <f t="array" ref="AQ2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5" s="10" t="n"/>
      <c r="AS265" s="10" t="n"/>
      <c r="AT265" s="17">
        <f>tbl_MTG_Set[[#This Row],[Play Booster CardMarket Profit]]/tbl_MTG_Set[[#This Row],[Play Booster Cost]]</f>
        <v/>
      </c>
      <c r="AU265" s="10">
        <f>_xlfn.XLOOKUP(tbl_MTG_Set[[#This Row],[Collector Booster Box Product Id]], tbl_Product[Product Id], tbl_Product[Min Cost])</f>
        <v/>
      </c>
      <c r="AV265" s="10">
        <f>_xlfn.XLOOKUP(tbl_MTG_Set[[#This Row],[Collector Booster Box Product Id]], tbl_Product[Product Id], tbl_Product[Best Source])</f>
        <v/>
      </c>
      <c r="AW265" s="4">
        <f>_xlfn.XLOOKUP(tbl_MTG_Set[[#This Row],[Collector Booster Box Product Id]], tbl_Product[Product Id], tbl_Product[Pack Size])</f>
        <v/>
      </c>
      <c r="AX265" s="10">
        <f>(tbl_MTG_Set[[#This Row],[Collector Booster Box Cost]] + v_Item_Shipping_Cost_In) / tbl_MTG_Set[[#This Row],[Collector Booster Box Size]]</f>
        <v/>
      </c>
      <c r="AY265" s="10">
        <f t="array" ref="AY2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5" s="10" t="n"/>
      <c r="BA2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5" s="17">
        <f>tbl_MTG_Set[[#This Row],[Collector Booster CardMarket Profit]]/tbl_MTG_Set[[#This Row],[Collector Booster Cost]]</f>
        <v/>
      </c>
      <c r="BC265" s="10" t="n"/>
      <c r="BF265" s="10">
        <f>tbl_MTG_Set[[#This Row],[Play Booster Sell Price CardMarket]]*tbl_MTG_Set[[#This Row],[Play Booster Expected Market Value]]/tbl_MTG_Set[[#This Row],[Play Boost Sealed Market Value]]</f>
        <v/>
      </c>
      <c r="BG2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5" s="10">
        <f>tbl_MTG_Set[[#This Row],[Play Singles CardMarket Profit]]/tbl_MTG_Set[[#This Row],[Play Booster Cost]]</f>
        <v/>
      </c>
      <c r="BI265" s="10">
        <f>tbl_MTG_Set[[#This Row],[Play Singles CardMarket Profit]]&gt;0</f>
        <v/>
      </c>
      <c r="BJ265" s="10" t="n"/>
      <c r="BK265" s="10" t="n"/>
      <c r="BL265" s="10">
        <f>tbl_MTG_Set[[#This Row],[Collector Booster Sell Price CardMarket]]*tbl_MTG_Set[[#This Row],[Collector Booster Expected Market Value]]/tbl_MTG_Set[[#This Row],[Collector Boost Sealed Market Value]]</f>
        <v/>
      </c>
      <c r="BM2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5" s="10">
        <f>tbl_MTG_Set[[#This Row],[Collector Singles CardMarket Profit]]/tbl_MTG_Set[[#This Row],[Collector Booster Cost]]</f>
        <v/>
      </c>
      <c r="BO265" s="10">
        <f>tbl_MTG_Set[[#This Row],[Collector Singles CardMarket Profit]]&gt;0</f>
        <v/>
      </c>
      <c r="BP2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6">
      <c r="A266" t="n">
        <v>264</v>
      </c>
      <c r="B266" t="inlineStr">
        <is>
          <t>Double Masters 2022 Tokens T2X2</t>
        </is>
      </c>
      <c r="C266" t="n">
        <v>24</v>
      </c>
      <c r="D266" s="3" t="n">
        <v>44750</v>
      </c>
      <c r="F266" t="inlineStr">
        <is>
          <t>en es fr de it pt ja ko ru 汉语 漢語</t>
        </is>
      </c>
      <c r="G266" t="n">
        <v>474</v>
      </c>
      <c r="H266">
        <f>MONTH(NOW())+12*YEAR(NOW())-MONTH(tbl_MTG_Set[[#This Row],[Released On]])-12*YEAR(tbl_MTG_Set[[#This Row],[Released On]])</f>
        <v/>
      </c>
      <c r="I266">
        <f>_xlfn.XLOOKUP(tbl_MTG_Set[[#This Row],[Type Name]], tbl_MTG_Set_Type[Set Type], tbl_MTG_Set_Type[Index], "(Set Type not found)")</f>
        <v/>
      </c>
      <c r="J266">
        <f>_xlfn.XLOOKUP(tbl_MTG_Set[[#This Row],[Type Name]], tbl_MTG_Set_Type[Set Type], tbl_MTG_Set_Type[Buy Window Month Start], "(Set Type not found)")</f>
        <v/>
      </c>
      <c r="K266" s="3">
        <f>tbl_MTG_Set[[#This Row],[Released On]]+tbl_MTG_Set[[#This Row],[Buy Window Month Start]]*365.25/12</f>
        <v/>
      </c>
      <c r="L266">
        <f>_xlfn.XLOOKUP(tbl_MTG_Set[[#This Row],[Type Name]], tbl_MTG_Set_Type[Set Type], tbl_MTG_Set_Type[Buy Window Month End], "(Set Type not found)", 0, 1)</f>
        <v/>
      </c>
      <c r="M266" s="3">
        <f>tbl_MTG_Set[[#This Row],[Released On]]+tbl_MTG_Set[[#This Row],[Buy Window Month End]]*365.25/12</f>
        <v/>
      </c>
      <c r="N266" s="3">
        <f>AND(NOW()&gt;=tbl_MTG_Set[[#This Row],[Buy Window Start]], NOW()&lt;=tbl_MTG_Set[[#This Row],[Buy Window End]])</f>
        <v/>
      </c>
      <c r="O266">
        <f>_xlfn.XLOOKUP(tbl_MTG_Set[[#This Row],[Type Name]], tbl_MTG_Set_Type[Set Type], tbl_MTG_Set_Type[Heavy Printing Window Month Start], "(Set Type not found)", 0, 1)</f>
        <v/>
      </c>
      <c r="P266" s="3">
        <f>tbl_MTG_Set[[#This Row],[Released On]]+tbl_MTG_Set[[#This Row],[Heavy Printing Window Month Start]]*365.25/12</f>
        <v/>
      </c>
      <c r="Q266">
        <f>_xlfn.XLOOKUP(tbl_MTG_Set[[#This Row],[Type Name]], tbl_MTG_Set_Type[Set Type], tbl_MTG_Set_Type[Heavy Printing Window Month End], "(Set Type not found)", 0, 1)</f>
        <v/>
      </c>
      <c r="R266" s="3">
        <f>tbl_MTG_Set[[#This Row],[Released On]]+tbl_MTG_Set[[#This Row],[Heavy Printing Window Month End]]*365.25/12</f>
        <v/>
      </c>
      <c r="S266" s="3">
        <f>AND(NOW()&gt;=tbl_MTG_Set[[#This Row],[Heavy Printing Window Start]], NOW()&lt;=tbl_MTG_Set[[#This Row],[Heavy Printing Window End]])</f>
        <v/>
      </c>
      <c r="T266">
        <f>_xlfn.XLOOKUP(tbl_MTG_Set[[#This Row],[Type Name]], tbl_MTG_Set_Type[Set Type], tbl_MTG_Set_Type[Sell Window Month Start], "(Set Type not found)", 0, 1)</f>
        <v/>
      </c>
      <c r="U266" s="3">
        <f>tbl_MTG_Set[[#This Row],[Released On]]+tbl_MTG_Set[[#This Row],[Sell Window Month Start]]*365.25/12</f>
        <v/>
      </c>
      <c r="V266">
        <f>_xlfn.XLOOKUP(tbl_MTG_Set[[#This Row],[Type Name]], tbl_MTG_Set_Type[Set Type], tbl_MTG_Set_Type[Sell Window Month End], "(Set Type not found)", 0, 1)</f>
        <v/>
      </c>
      <c r="W266" s="3">
        <f>tbl_MTG_Set[[#This Row],[Released On]]+tbl_MTG_Set[[#This Row],[Sell Window Month End]]*365.25/12</f>
        <v/>
      </c>
      <c r="X266" s="3">
        <f>AND(NOW()&gt;=tbl_MTG_Set[[#This Row],[Sell Window Start]], NOW()&lt;=tbl_MTG_Set[[#This Row],[Sell Window End]])</f>
        <v/>
      </c>
      <c r="AG266" s="10" t="n"/>
      <c r="AH266" s="10" t="n"/>
      <c r="AM266" s="10">
        <f t="array" ref="AM2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6" s="10">
        <f t="array" ref="AN2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6" s="4">
        <f>_xlfn.XLOOKUP(tbl_MTG_Set[[#This Row],[Play Booster Box Product Id]], tbl_Product[Product Id], tbl_Product[Pack Size])</f>
        <v/>
      </c>
      <c r="AP266" s="10">
        <f>(tbl_MTG_Set[[#This Row],[Play Booster Box Cost]]+v_Item_Shipping_Cost_In)/tbl_MTG_Set[[#This Row],[Play Booster Box Size]]</f>
        <v/>
      </c>
      <c r="AQ266" s="10">
        <f t="array" ref="AQ2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6" s="10" t="n"/>
      <c r="AS266" s="10" t="n"/>
      <c r="AT266" s="17">
        <f>tbl_MTG_Set[[#This Row],[Play Booster CardMarket Profit]]/tbl_MTG_Set[[#This Row],[Play Booster Cost]]</f>
        <v/>
      </c>
      <c r="AU266" s="10">
        <f>_xlfn.XLOOKUP(tbl_MTG_Set[[#This Row],[Collector Booster Box Product Id]], tbl_Product[Product Id], tbl_Product[Min Cost])</f>
        <v/>
      </c>
      <c r="AV266" s="10">
        <f>_xlfn.XLOOKUP(tbl_MTG_Set[[#This Row],[Collector Booster Box Product Id]], tbl_Product[Product Id], tbl_Product[Best Source])</f>
        <v/>
      </c>
      <c r="AW266" s="4">
        <f>_xlfn.XLOOKUP(tbl_MTG_Set[[#This Row],[Collector Booster Box Product Id]], tbl_Product[Product Id], tbl_Product[Pack Size])</f>
        <v/>
      </c>
      <c r="AX266" s="10">
        <f>(tbl_MTG_Set[[#This Row],[Collector Booster Box Cost]] + v_Item_Shipping_Cost_In) / tbl_MTG_Set[[#This Row],[Collector Booster Box Size]]</f>
        <v/>
      </c>
      <c r="AY266" s="10">
        <f t="array" ref="AY2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6" s="10" t="n"/>
      <c r="BA2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6" s="17">
        <f>tbl_MTG_Set[[#This Row],[Collector Booster CardMarket Profit]]/tbl_MTG_Set[[#This Row],[Collector Booster Cost]]</f>
        <v/>
      </c>
      <c r="BC266" s="10" t="n"/>
      <c r="BF266" s="10">
        <f>tbl_MTG_Set[[#This Row],[Play Booster Sell Price CardMarket]]*tbl_MTG_Set[[#This Row],[Play Booster Expected Market Value]]/tbl_MTG_Set[[#This Row],[Play Boost Sealed Market Value]]</f>
        <v/>
      </c>
      <c r="BG2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6" s="10">
        <f>tbl_MTG_Set[[#This Row],[Play Singles CardMarket Profit]]/tbl_MTG_Set[[#This Row],[Play Booster Cost]]</f>
        <v/>
      </c>
      <c r="BI266" s="10">
        <f>tbl_MTG_Set[[#This Row],[Play Singles CardMarket Profit]]&gt;0</f>
        <v/>
      </c>
      <c r="BJ266" s="10" t="n"/>
      <c r="BK266" s="10" t="n"/>
      <c r="BL266" s="10">
        <f>tbl_MTG_Set[[#This Row],[Collector Booster Sell Price CardMarket]]*tbl_MTG_Set[[#This Row],[Collector Booster Expected Market Value]]/tbl_MTG_Set[[#This Row],[Collector Boost Sealed Market Value]]</f>
        <v/>
      </c>
      <c r="BM2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6" s="10">
        <f>tbl_MTG_Set[[#This Row],[Collector Singles CardMarket Profit]]/tbl_MTG_Set[[#This Row],[Collector Booster Cost]]</f>
        <v/>
      </c>
      <c r="BO266" s="10">
        <f>tbl_MTG_Set[[#This Row],[Collector Singles CardMarket Profit]]&gt;0</f>
        <v/>
      </c>
      <c r="BP2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7">
      <c r="A267" t="n">
        <v>265</v>
      </c>
      <c r="B267" t="inlineStr">
        <is>
          <t>Alchemy Horizons: Baldur's Gate HBG</t>
        </is>
      </c>
      <c r="C267" t="n">
        <v>436</v>
      </c>
      <c r="D267" s="3" t="n">
        <v>44749</v>
      </c>
      <c r="F267" t="inlineStr">
        <is>
          <t>en es fr de it pt ja ko ru 汉语 漢語</t>
        </is>
      </c>
      <c r="G267" t="n">
        <v>476</v>
      </c>
      <c r="H267">
        <f>MONTH(NOW())+12*YEAR(NOW())-MONTH(tbl_MTG_Set[[#This Row],[Released On]])-12*YEAR(tbl_MTG_Set[[#This Row],[Released On]])</f>
        <v/>
      </c>
      <c r="I267">
        <f>_xlfn.XLOOKUP(tbl_MTG_Set[[#This Row],[Type Name]], tbl_MTG_Set_Type[Set Type], tbl_MTG_Set_Type[Index], "(Set Type not found)")</f>
        <v/>
      </c>
      <c r="J267">
        <f>_xlfn.XLOOKUP(tbl_MTG_Set[[#This Row],[Type Name]], tbl_MTG_Set_Type[Set Type], tbl_MTG_Set_Type[Buy Window Month Start], "(Set Type not found)")</f>
        <v/>
      </c>
      <c r="K267" s="3">
        <f>tbl_MTG_Set[[#This Row],[Released On]]+tbl_MTG_Set[[#This Row],[Buy Window Month Start]]*365.25/12</f>
        <v/>
      </c>
      <c r="L267">
        <f>_xlfn.XLOOKUP(tbl_MTG_Set[[#This Row],[Type Name]], tbl_MTG_Set_Type[Set Type], tbl_MTG_Set_Type[Buy Window Month End], "(Set Type not found)", 0, 1)</f>
        <v/>
      </c>
      <c r="M267" s="3">
        <f>tbl_MTG_Set[[#This Row],[Released On]]+tbl_MTG_Set[[#This Row],[Buy Window Month End]]*365.25/12</f>
        <v/>
      </c>
      <c r="N267" s="3">
        <f>AND(NOW()&gt;=tbl_MTG_Set[[#This Row],[Buy Window Start]], NOW()&lt;=tbl_MTG_Set[[#This Row],[Buy Window End]])</f>
        <v/>
      </c>
      <c r="O267">
        <f>_xlfn.XLOOKUP(tbl_MTG_Set[[#This Row],[Type Name]], tbl_MTG_Set_Type[Set Type], tbl_MTG_Set_Type[Heavy Printing Window Month Start], "(Set Type not found)", 0, 1)</f>
        <v/>
      </c>
      <c r="P267" s="3">
        <f>tbl_MTG_Set[[#This Row],[Released On]]+tbl_MTG_Set[[#This Row],[Heavy Printing Window Month Start]]*365.25/12</f>
        <v/>
      </c>
      <c r="Q267">
        <f>_xlfn.XLOOKUP(tbl_MTG_Set[[#This Row],[Type Name]], tbl_MTG_Set_Type[Set Type], tbl_MTG_Set_Type[Heavy Printing Window Month End], "(Set Type not found)", 0, 1)</f>
        <v/>
      </c>
      <c r="R267" s="3">
        <f>tbl_MTG_Set[[#This Row],[Released On]]+tbl_MTG_Set[[#This Row],[Heavy Printing Window Month End]]*365.25/12</f>
        <v/>
      </c>
      <c r="S267" s="3">
        <f>AND(NOW()&gt;=tbl_MTG_Set[[#This Row],[Heavy Printing Window Start]], NOW()&lt;=tbl_MTG_Set[[#This Row],[Heavy Printing Window End]])</f>
        <v/>
      </c>
      <c r="T267">
        <f>_xlfn.XLOOKUP(tbl_MTG_Set[[#This Row],[Type Name]], tbl_MTG_Set_Type[Set Type], tbl_MTG_Set_Type[Sell Window Month Start], "(Set Type not found)", 0, 1)</f>
        <v/>
      </c>
      <c r="U267" s="3">
        <f>tbl_MTG_Set[[#This Row],[Released On]]+tbl_MTG_Set[[#This Row],[Sell Window Month Start]]*365.25/12</f>
        <v/>
      </c>
      <c r="V267">
        <f>_xlfn.XLOOKUP(tbl_MTG_Set[[#This Row],[Type Name]], tbl_MTG_Set_Type[Set Type], tbl_MTG_Set_Type[Sell Window Month End], "(Set Type not found)", 0, 1)</f>
        <v/>
      </c>
      <c r="W267" s="3">
        <f>tbl_MTG_Set[[#This Row],[Released On]]+tbl_MTG_Set[[#This Row],[Sell Window Month End]]*365.25/12</f>
        <v/>
      </c>
      <c r="X267" s="3">
        <f>AND(NOW()&gt;=tbl_MTG_Set[[#This Row],[Sell Window Start]], NOW()&lt;=tbl_MTG_Set[[#This Row],[Sell Window End]])</f>
        <v/>
      </c>
      <c r="AG267" s="10" t="n"/>
      <c r="AH267" s="10" t="n"/>
      <c r="AM267" s="10">
        <f t="array" ref="AM2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7" s="10">
        <f t="array" ref="AN2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7" s="4">
        <f>_xlfn.XLOOKUP(tbl_MTG_Set[[#This Row],[Play Booster Box Product Id]], tbl_Product[Product Id], tbl_Product[Pack Size])</f>
        <v/>
      </c>
      <c r="AP267" s="10">
        <f>(tbl_MTG_Set[[#This Row],[Play Booster Box Cost]]+v_Item_Shipping_Cost_In)/tbl_MTG_Set[[#This Row],[Play Booster Box Size]]</f>
        <v/>
      </c>
      <c r="AQ267" s="10">
        <f t="array" ref="AQ2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7" s="10" t="n"/>
      <c r="AS267" s="10" t="n"/>
      <c r="AT267" s="17">
        <f>tbl_MTG_Set[[#This Row],[Play Booster CardMarket Profit]]/tbl_MTG_Set[[#This Row],[Play Booster Cost]]</f>
        <v/>
      </c>
      <c r="AU267" s="10">
        <f>_xlfn.XLOOKUP(tbl_MTG_Set[[#This Row],[Collector Booster Box Product Id]], tbl_Product[Product Id], tbl_Product[Min Cost])</f>
        <v/>
      </c>
      <c r="AV267" s="10">
        <f>_xlfn.XLOOKUP(tbl_MTG_Set[[#This Row],[Collector Booster Box Product Id]], tbl_Product[Product Id], tbl_Product[Best Source])</f>
        <v/>
      </c>
      <c r="AW267" s="4">
        <f>_xlfn.XLOOKUP(tbl_MTG_Set[[#This Row],[Collector Booster Box Product Id]], tbl_Product[Product Id], tbl_Product[Pack Size])</f>
        <v/>
      </c>
      <c r="AX267" s="10">
        <f>(tbl_MTG_Set[[#This Row],[Collector Booster Box Cost]] + v_Item_Shipping_Cost_In) / tbl_MTG_Set[[#This Row],[Collector Booster Box Size]]</f>
        <v/>
      </c>
      <c r="AY267" s="10">
        <f t="array" ref="AY2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7" s="10" t="n"/>
      <c r="BA2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7" s="17">
        <f>tbl_MTG_Set[[#This Row],[Collector Booster CardMarket Profit]]/tbl_MTG_Set[[#This Row],[Collector Booster Cost]]</f>
        <v/>
      </c>
      <c r="BC267" s="10" t="n"/>
      <c r="BF267" s="10">
        <f>tbl_MTG_Set[[#This Row],[Play Booster Sell Price CardMarket]]*tbl_MTG_Set[[#This Row],[Play Booster Expected Market Value]]/tbl_MTG_Set[[#This Row],[Play Boost Sealed Market Value]]</f>
        <v/>
      </c>
      <c r="BG2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7" s="10">
        <f>tbl_MTG_Set[[#This Row],[Play Singles CardMarket Profit]]/tbl_MTG_Set[[#This Row],[Play Booster Cost]]</f>
        <v/>
      </c>
      <c r="BI267" s="10">
        <f>tbl_MTG_Set[[#This Row],[Play Singles CardMarket Profit]]&gt;0</f>
        <v/>
      </c>
      <c r="BJ267" s="10" t="n"/>
      <c r="BK267" s="10" t="n"/>
      <c r="BL267" s="10">
        <f>tbl_MTG_Set[[#This Row],[Collector Booster Sell Price CardMarket]]*tbl_MTG_Set[[#This Row],[Collector Booster Expected Market Value]]/tbl_MTG_Set[[#This Row],[Collector Boost Sealed Market Value]]</f>
        <v/>
      </c>
      <c r="BM2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7" s="10">
        <f>tbl_MTG_Set[[#This Row],[Collector Singles CardMarket Profit]]/tbl_MTG_Set[[#This Row],[Collector Booster Cost]]</f>
        <v/>
      </c>
      <c r="BO267" s="10">
        <f>tbl_MTG_Set[[#This Row],[Collector Singles CardMarket Profit]]&gt;0</f>
        <v/>
      </c>
      <c r="BP2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8">
      <c r="A268" t="n">
        <v>266</v>
      </c>
      <c r="B268" t="inlineStr">
        <is>
          <t>Love Your LGS 2022 PLG22</t>
        </is>
      </c>
      <c r="C268" t="n">
        <v>2</v>
      </c>
      <c r="D268" s="3" t="n">
        <v>44743</v>
      </c>
      <c r="F268" t="inlineStr">
        <is>
          <t>en es fr de it pt ja ko ru 汉语 漢語</t>
        </is>
      </c>
      <c r="G268" t="n">
        <v>478</v>
      </c>
      <c r="H268">
        <f>MONTH(NOW())+12*YEAR(NOW())-MONTH(tbl_MTG_Set[[#This Row],[Released On]])-12*YEAR(tbl_MTG_Set[[#This Row],[Released On]])</f>
        <v/>
      </c>
      <c r="I268">
        <f>_xlfn.XLOOKUP(tbl_MTG_Set[[#This Row],[Type Name]], tbl_MTG_Set_Type[Set Type], tbl_MTG_Set_Type[Index], "(Set Type not found)")</f>
        <v/>
      </c>
      <c r="J268">
        <f>_xlfn.XLOOKUP(tbl_MTG_Set[[#This Row],[Type Name]], tbl_MTG_Set_Type[Set Type], tbl_MTG_Set_Type[Buy Window Month Start], "(Set Type not found)")</f>
        <v/>
      </c>
      <c r="K268" s="3">
        <f>tbl_MTG_Set[[#This Row],[Released On]]+tbl_MTG_Set[[#This Row],[Buy Window Month Start]]*365.25/12</f>
        <v/>
      </c>
      <c r="L268">
        <f>_xlfn.XLOOKUP(tbl_MTG_Set[[#This Row],[Type Name]], tbl_MTG_Set_Type[Set Type], tbl_MTG_Set_Type[Buy Window Month End], "(Set Type not found)", 0, 1)</f>
        <v/>
      </c>
      <c r="M268" s="3">
        <f>tbl_MTG_Set[[#This Row],[Released On]]+tbl_MTG_Set[[#This Row],[Buy Window Month End]]*365.25/12</f>
        <v/>
      </c>
      <c r="N268" s="3">
        <f>AND(NOW()&gt;=tbl_MTG_Set[[#This Row],[Buy Window Start]], NOW()&lt;=tbl_MTG_Set[[#This Row],[Buy Window End]])</f>
        <v/>
      </c>
      <c r="O268">
        <f>_xlfn.XLOOKUP(tbl_MTG_Set[[#This Row],[Type Name]], tbl_MTG_Set_Type[Set Type], tbl_MTG_Set_Type[Heavy Printing Window Month Start], "(Set Type not found)", 0, 1)</f>
        <v/>
      </c>
      <c r="P268" s="3">
        <f>tbl_MTG_Set[[#This Row],[Released On]]+tbl_MTG_Set[[#This Row],[Heavy Printing Window Month Start]]*365.25/12</f>
        <v/>
      </c>
      <c r="Q268">
        <f>_xlfn.XLOOKUP(tbl_MTG_Set[[#This Row],[Type Name]], tbl_MTG_Set_Type[Set Type], tbl_MTG_Set_Type[Heavy Printing Window Month End], "(Set Type not found)", 0, 1)</f>
        <v/>
      </c>
      <c r="R268" s="3">
        <f>tbl_MTG_Set[[#This Row],[Released On]]+tbl_MTG_Set[[#This Row],[Heavy Printing Window Month End]]*365.25/12</f>
        <v/>
      </c>
      <c r="S268" s="3">
        <f>AND(NOW()&gt;=tbl_MTG_Set[[#This Row],[Heavy Printing Window Start]], NOW()&lt;=tbl_MTG_Set[[#This Row],[Heavy Printing Window End]])</f>
        <v/>
      </c>
      <c r="T268">
        <f>_xlfn.XLOOKUP(tbl_MTG_Set[[#This Row],[Type Name]], tbl_MTG_Set_Type[Set Type], tbl_MTG_Set_Type[Sell Window Month Start], "(Set Type not found)", 0, 1)</f>
        <v/>
      </c>
      <c r="U268" s="3">
        <f>tbl_MTG_Set[[#This Row],[Released On]]+tbl_MTG_Set[[#This Row],[Sell Window Month Start]]*365.25/12</f>
        <v/>
      </c>
      <c r="V268">
        <f>_xlfn.XLOOKUP(tbl_MTG_Set[[#This Row],[Type Name]], tbl_MTG_Set_Type[Set Type], tbl_MTG_Set_Type[Sell Window Month End], "(Set Type not found)", 0, 1)</f>
        <v/>
      </c>
      <c r="W268" s="3">
        <f>tbl_MTG_Set[[#This Row],[Released On]]+tbl_MTG_Set[[#This Row],[Sell Window Month End]]*365.25/12</f>
        <v/>
      </c>
      <c r="X268" s="3">
        <f>AND(NOW()&gt;=tbl_MTG_Set[[#This Row],[Sell Window Start]], NOW()&lt;=tbl_MTG_Set[[#This Row],[Sell Window End]])</f>
        <v/>
      </c>
      <c r="AG268" s="10" t="n"/>
      <c r="AH268" s="10" t="n"/>
      <c r="AM268" s="10">
        <f t="array" ref="AM2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8" s="10">
        <f t="array" ref="AN2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8" s="4">
        <f>_xlfn.XLOOKUP(tbl_MTG_Set[[#This Row],[Play Booster Box Product Id]], tbl_Product[Product Id], tbl_Product[Pack Size])</f>
        <v/>
      </c>
      <c r="AP268" s="10">
        <f>(tbl_MTG_Set[[#This Row],[Play Booster Box Cost]]+v_Item_Shipping_Cost_In)/tbl_MTG_Set[[#This Row],[Play Booster Box Size]]</f>
        <v/>
      </c>
      <c r="AQ268" s="10">
        <f t="array" ref="AQ2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8" s="10" t="n"/>
      <c r="AS268" s="10" t="n"/>
      <c r="AT268" s="17">
        <f>tbl_MTG_Set[[#This Row],[Play Booster CardMarket Profit]]/tbl_MTG_Set[[#This Row],[Play Booster Cost]]</f>
        <v/>
      </c>
      <c r="AU268" s="10">
        <f>_xlfn.XLOOKUP(tbl_MTG_Set[[#This Row],[Collector Booster Box Product Id]], tbl_Product[Product Id], tbl_Product[Min Cost])</f>
        <v/>
      </c>
      <c r="AV268" s="10">
        <f>_xlfn.XLOOKUP(tbl_MTG_Set[[#This Row],[Collector Booster Box Product Id]], tbl_Product[Product Id], tbl_Product[Best Source])</f>
        <v/>
      </c>
      <c r="AW268" s="4">
        <f>_xlfn.XLOOKUP(tbl_MTG_Set[[#This Row],[Collector Booster Box Product Id]], tbl_Product[Product Id], tbl_Product[Pack Size])</f>
        <v/>
      </c>
      <c r="AX268" s="10">
        <f>(tbl_MTG_Set[[#This Row],[Collector Booster Box Cost]] + v_Item_Shipping_Cost_In) / tbl_MTG_Set[[#This Row],[Collector Booster Box Size]]</f>
        <v/>
      </c>
      <c r="AY268" s="10">
        <f t="array" ref="AY2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8" s="10" t="n"/>
      <c r="BA2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8" s="17">
        <f>tbl_MTG_Set[[#This Row],[Collector Booster CardMarket Profit]]/tbl_MTG_Set[[#This Row],[Collector Booster Cost]]</f>
        <v/>
      </c>
      <c r="BC268" s="10" t="n"/>
      <c r="BF268" s="10">
        <f>tbl_MTG_Set[[#This Row],[Play Booster Sell Price CardMarket]]*tbl_MTG_Set[[#This Row],[Play Booster Expected Market Value]]/tbl_MTG_Set[[#This Row],[Play Boost Sealed Market Value]]</f>
        <v/>
      </c>
      <c r="BG2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8" s="10">
        <f>tbl_MTG_Set[[#This Row],[Play Singles CardMarket Profit]]/tbl_MTG_Set[[#This Row],[Play Booster Cost]]</f>
        <v/>
      </c>
      <c r="BI268" s="10">
        <f>tbl_MTG_Set[[#This Row],[Play Singles CardMarket Profit]]&gt;0</f>
        <v/>
      </c>
      <c r="BJ268" s="10" t="n"/>
      <c r="BK268" s="10" t="n"/>
      <c r="BL268" s="10">
        <f>tbl_MTG_Set[[#This Row],[Collector Booster Sell Price CardMarket]]*tbl_MTG_Set[[#This Row],[Collector Booster Expected Market Value]]/tbl_MTG_Set[[#This Row],[Collector Boost Sealed Market Value]]</f>
        <v/>
      </c>
      <c r="BM2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8" s="10">
        <f>tbl_MTG_Set[[#This Row],[Collector Singles CardMarket Profit]]/tbl_MTG_Set[[#This Row],[Collector Booster Cost]]</f>
        <v/>
      </c>
      <c r="BO268" s="10">
        <f>tbl_MTG_Set[[#This Row],[Collector Singles CardMarket Profit]]&gt;0</f>
        <v/>
      </c>
      <c r="BP2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9">
      <c r="A269" t="n">
        <v>267</v>
      </c>
      <c r="B269" t="inlineStr">
        <is>
          <t>Commander Legends: Battle for Baldur's Gate CLB</t>
        </is>
      </c>
      <c r="C269" t="n">
        <v>936</v>
      </c>
      <c r="D269" s="3" t="n">
        <v>44722</v>
      </c>
      <c r="F269" t="inlineStr">
        <is>
          <t>en es fr de it pt ja ko ru 汉语 漢語</t>
        </is>
      </c>
      <c r="G269" t="n">
        <v>480</v>
      </c>
      <c r="H269">
        <f>MONTH(NOW())+12*YEAR(NOW())-MONTH(tbl_MTG_Set[[#This Row],[Released On]])-12*YEAR(tbl_MTG_Set[[#This Row],[Released On]])</f>
        <v/>
      </c>
      <c r="I269">
        <f>_xlfn.XLOOKUP(tbl_MTG_Set[[#This Row],[Type Name]], tbl_MTG_Set_Type[Set Type], tbl_MTG_Set_Type[Index], "(Set Type not found)")</f>
        <v/>
      </c>
      <c r="J269">
        <f>_xlfn.XLOOKUP(tbl_MTG_Set[[#This Row],[Type Name]], tbl_MTG_Set_Type[Set Type], tbl_MTG_Set_Type[Buy Window Month Start], "(Set Type not found)")</f>
        <v/>
      </c>
      <c r="K269" s="3">
        <f>tbl_MTG_Set[[#This Row],[Released On]]+tbl_MTG_Set[[#This Row],[Buy Window Month Start]]*365.25/12</f>
        <v/>
      </c>
      <c r="L269">
        <f>_xlfn.XLOOKUP(tbl_MTG_Set[[#This Row],[Type Name]], tbl_MTG_Set_Type[Set Type], tbl_MTG_Set_Type[Buy Window Month End], "(Set Type not found)", 0, 1)</f>
        <v/>
      </c>
      <c r="M269" s="3">
        <f>tbl_MTG_Set[[#This Row],[Released On]]+tbl_MTG_Set[[#This Row],[Buy Window Month End]]*365.25/12</f>
        <v/>
      </c>
      <c r="N269" s="3">
        <f>AND(NOW()&gt;=tbl_MTG_Set[[#This Row],[Buy Window Start]], NOW()&lt;=tbl_MTG_Set[[#This Row],[Buy Window End]])</f>
        <v/>
      </c>
      <c r="O269">
        <f>_xlfn.XLOOKUP(tbl_MTG_Set[[#This Row],[Type Name]], tbl_MTG_Set_Type[Set Type], tbl_MTG_Set_Type[Heavy Printing Window Month Start], "(Set Type not found)", 0, 1)</f>
        <v/>
      </c>
      <c r="P269" s="3">
        <f>tbl_MTG_Set[[#This Row],[Released On]]+tbl_MTG_Set[[#This Row],[Heavy Printing Window Month Start]]*365.25/12</f>
        <v/>
      </c>
      <c r="Q269">
        <f>_xlfn.XLOOKUP(tbl_MTG_Set[[#This Row],[Type Name]], tbl_MTG_Set_Type[Set Type], tbl_MTG_Set_Type[Heavy Printing Window Month End], "(Set Type not found)", 0, 1)</f>
        <v/>
      </c>
      <c r="R269" s="3">
        <f>tbl_MTG_Set[[#This Row],[Released On]]+tbl_MTG_Set[[#This Row],[Heavy Printing Window Month End]]*365.25/12</f>
        <v/>
      </c>
      <c r="S269" s="3">
        <f>AND(NOW()&gt;=tbl_MTG_Set[[#This Row],[Heavy Printing Window Start]], NOW()&lt;=tbl_MTG_Set[[#This Row],[Heavy Printing Window End]])</f>
        <v/>
      </c>
      <c r="T269">
        <f>_xlfn.XLOOKUP(tbl_MTG_Set[[#This Row],[Type Name]], tbl_MTG_Set_Type[Set Type], tbl_MTG_Set_Type[Sell Window Month Start], "(Set Type not found)", 0, 1)</f>
        <v/>
      </c>
      <c r="U269" s="3">
        <f>tbl_MTG_Set[[#This Row],[Released On]]+tbl_MTG_Set[[#This Row],[Sell Window Month Start]]*365.25/12</f>
        <v/>
      </c>
      <c r="V269">
        <f>_xlfn.XLOOKUP(tbl_MTG_Set[[#This Row],[Type Name]], tbl_MTG_Set_Type[Set Type], tbl_MTG_Set_Type[Sell Window Month End], "(Set Type not found)", 0, 1)</f>
        <v/>
      </c>
      <c r="W269" s="3">
        <f>tbl_MTG_Set[[#This Row],[Released On]]+tbl_MTG_Set[[#This Row],[Sell Window Month End]]*365.25/12</f>
        <v/>
      </c>
      <c r="X269" s="3">
        <f>AND(NOW()&gt;=tbl_MTG_Set[[#This Row],[Sell Window Start]], NOW()&lt;=tbl_MTG_Set[[#This Row],[Sell Window End]])</f>
        <v/>
      </c>
      <c r="AG269" s="10" t="n"/>
      <c r="AH269" s="10" t="n"/>
      <c r="AM269" s="10">
        <f t="array" ref="AM2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9" s="10">
        <f t="array" ref="AN2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9" s="4">
        <f>_xlfn.XLOOKUP(tbl_MTG_Set[[#This Row],[Play Booster Box Product Id]], tbl_Product[Product Id], tbl_Product[Pack Size])</f>
        <v/>
      </c>
      <c r="AP269" s="10">
        <f>(tbl_MTG_Set[[#This Row],[Play Booster Box Cost]]+v_Item_Shipping_Cost_In)/tbl_MTG_Set[[#This Row],[Play Booster Box Size]]</f>
        <v/>
      </c>
      <c r="AQ269" s="10">
        <f t="array" ref="AQ2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69" s="10" t="n"/>
      <c r="AS269" s="10" t="n"/>
      <c r="AT269" s="17">
        <f>tbl_MTG_Set[[#This Row],[Play Booster CardMarket Profit]]/tbl_MTG_Set[[#This Row],[Play Booster Cost]]</f>
        <v/>
      </c>
      <c r="AU269" s="10">
        <f>_xlfn.XLOOKUP(tbl_MTG_Set[[#This Row],[Collector Booster Box Product Id]], tbl_Product[Product Id], tbl_Product[Min Cost])</f>
        <v/>
      </c>
      <c r="AV269" s="10">
        <f>_xlfn.XLOOKUP(tbl_MTG_Set[[#This Row],[Collector Booster Box Product Id]], tbl_Product[Product Id], tbl_Product[Best Source])</f>
        <v/>
      </c>
      <c r="AW269" s="4">
        <f>_xlfn.XLOOKUP(tbl_MTG_Set[[#This Row],[Collector Booster Box Product Id]], tbl_Product[Product Id], tbl_Product[Pack Size])</f>
        <v/>
      </c>
      <c r="AX269" s="10">
        <f>(tbl_MTG_Set[[#This Row],[Collector Booster Box Cost]] + v_Item_Shipping_Cost_In) / tbl_MTG_Set[[#This Row],[Collector Booster Box Size]]</f>
        <v/>
      </c>
      <c r="AY269" s="10">
        <f t="array" ref="AY2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69" s="10" t="n"/>
      <c r="BA2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9" s="17">
        <f>tbl_MTG_Set[[#This Row],[Collector Booster CardMarket Profit]]/tbl_MTG_Set[[#This Row],[Collector Booster Cost]]</f>
        <v/>
      </c>
      <c r="BC269" s="10" t="n"/>
      <c r="BF269" s="10">
        <f>tbl_MTG_Set[[#This Row],[Play Booster Sell Price CardMarket]]*tbl_MTG_Set[[#This Row],[Play Booster Expected Market Value]]/tbl_MTG_Set[[#This Row],[Play Boost Sealed Market Value]]</f>
        <v/>
      </c>
      <c r="BG2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9" s="10">
        <f>tbl_MTG_Set[[#This Row],[Play Singles CardMarket Profit]]/tbl_MTG_Set[[#This Row],[Play Booster Cost]]</f>
        <v/>
      </c>
      <c r="BI269" s="10">
        <f>tbl_MTG_Set[[#This Row],[Play Singles CardMarket Profit]]&gt;0</f>
        <v/>
      </c>
      <c r="BJ269" s="10" t="n"/>
      <c r="BK269" s="10" t="n"/>
      <c r="BL269" s="10">
        <f>tbl_MTG_Set[[#This Row],[Collector Booster Sell Price CardMarket]]*tbl_MTG_Set[[#This Row],[Collector Booster Expected Market Value]]/tbl_MTG_Set[[#This Row],[Collector Boost Sealed Market Value]]</f>
        <v/>
      </c>
      <c r="BM2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9" s="10">
        <f>tbl_MTG_Set[[#This Row],[Collector Singles CardMarket Profit]]/tbl_MTG_Set[[#This Row],[Collector Booster Cost]]</f>
        <v/>
      </c>
      <c r="BO269" s="10">
        <f>tbl_MTG_Set[[#This Row],[Collector Singles CardMarket Profit]]&gt;0</f>
        <v/>
      </c>
      <c r="BP2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0">
      <c r="A270" t="n">
        <v>268</v>
      </c>
      <c r="B270" t="inlineStr">
        <is>
          <t>Battle for Baldur's Gate Promos PCLB</t>
        </is>
      </c>
      <c r="C270" t="n">
        <v>104</v>
      </c>
      <c r="D270" s="3" t="n">
        <v>44722</v>
      </c>
      <c r="F270" t="inlineStr">
        <is>
          <t>en es fr de it pt ja ko ru 汉语 漢語</t>
        </is>
      </c>
      <c r="G270" t="n">
        <v>482</v>
      </c>
      <c r="H270">
        <f>MONTH(NOW())+12*YEAR(NOW())-MONTH(tbl_MTG_Set[[#This Row],[Released On]])-12*YEAR(tbl_MTG_Set[[#This Row],[Released On]])</f>
        <v/>
      </c>
      <c r="I270">
        <f>_xlfn.XLOOKUP(tbl_MTG_Set[[#This Row],[Type Name]], tbl_MTG_Set_Type[Set Type], tbl_MTG_Set_Type[Index], "(Set Type not found)")</f>
        <v/>
      </c>
      <c r="J270">
        <f>_xlfn.XLOOKUP(tbl_MTG_Set[[#This Row],[Type Name]], tbl_MTG_Set_Type[Set Type], tbl_MTG_Set_Type[Buy Window Month Start], "(Set Type not found)")</f>
        <v/>
      </c>
      <c r="K270" s="3">
        <f>tbl_MTG_Set[[#This Row],[Released On]]+tbl_MTG_Set[[#This Row],[Buy Window Month Start]]*365.25/12</f>
        <v/>
      </c>
      <c r="L270">
        <f>_xlfn.XLOOKUP(tbl_MTG_Set[[#This Row],[Type Name]], tbl_MTG_Set_Type[Set Type], tbl_MTG_Set_Type[Buy Window Month End], "(Set Type not found)", 0, 1)</f>
        <v/>
      </c>
      <c r="M270" s="3">
        <f>tbl_MTG_Set[[#This Row],[Released On]]+tbl_MTG_Set[[#This Row],[Buy Window Month End]]*365.25/12</f>
        <v/>
      </c>
      <c r="N270" s="3">
        <f>AND(NOW()&gt;=tbl_MTG_Set[[#This Row],[Buy Window Start]], NOW()&lt;=tbl_MTG_Set[[#This Row],[Buy Window End]])</f>
        <v/>
      </c>
      <c r="O270">
        <f>_xlfn.XLOOKUP(tbl_MTG_Set[[#This Row],[Type Name]], tbl_MTG_Set_Type[Set Type], tbl_MTG_Set_Type[Heavy Printing Window Month Start], "(Set Type not found)", 0, 1)</f>
        <v/>
      </c>
      <c r="P270" s="3">
        <f>tbl_MTG_Set[[#This Row],[Released On]]+tbl_MTG_Set[[#This Row],[Heavy Printing Window Month Start]]*365.25/12</f>
        <v/>
      </c>
      <c r="Q270">
        <f>_xlfn.XLOOKUP(tbl_MTG_Set[[#This Row],[Type Name]], tbl_MTG_Set_Type[Set Type], tbl_MTG_Set_Type[Heavy Printing Window Month End], "(Set Type not found)", 0, 1)</f>
        <v/>
      </c>
      <c r="R270" s="3">
        <f>tbl_MTG_Set[[#This Row],[Released On]]+tbl_MTG_Set[[#This Row],[Heavy Printing Window Month End]]*365.25/12</f>
        <v/>
      </c>
      <c r="S270" s="3">
        <f>AND(NOW()&gt;=tbl_MTG_Set[[#This Row],[Heavy Printing Window Start]], NOW()&lt;=tbl_MTG_Set[[#This Row],[Heavy Printing Window End]])</f>
        <v/>
      </c>
      <c r="T270">
        <f>_xlfn.XLOOKUP(tbl_MTG_Set[[#This Row],[Type Name]], tbl_MTG_Set_Type[Set Type], tbl_MTG_Set_Type[Sell Window Month Start], "(Set Type not found)", 0, 1)</f>
        <v/>
      </c>
      <c r="U270" s="3">
        <f>tbl_MTG_Set[[#This Row],[Released On]]+tbl_MTG_Set[[#This Row],[Sell Window Month Start]]*365.25/12</f>
        <v/>
      </c>
      <c r="V270">
        <f>_xlfn.XLOOKUP(tbl_MTG_Set[[#This Row],[Type Name]], tbl_MTG_Set_Type[Set Type], tbl_MTG_Set_Type[Sell Window Month End], "(Set Type not found)", 0, 1)</f>
        <v/>
      </c>
      <c r="W270" s="3">
        <f>tbl_MTG_Set[[#This Row],[Released On]]+tbl_MTG_Set[[#This Row],[Sell Window Month End]]*365.25/12</f>
        <v/>
      </c>
      <c r="X270" s="3">
        <f>AND(NOW()&gt;=tbl_MTG_Set[[#This Row],[Sell Window Start]], NOW()&lt;=tbl_MTG_Set[[#This Row],[Sell Window End]])</f>
        <v/>
      </c>
      <c r="AG270" s="10" t="n"/>
      <c r="AH270" s="10" t="n"/>
      <c r="AM270" s="10">
        <f t="array" ref="AM2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0" s="10">
        <f t="array" ref="AN2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0" s="4">
        <f>_xlfn.XLOOKUP(tbl_MTG_Set[[#This Row],[Play Booster Box Product Id]], tbl_Product[Product Id], tbl_Product[Pack Size])</f>
        <v/>
      </c>
      <c r="AP270" s="10">
        <f>(tbl_MTG_Set[[#This Row],[Play Booster Box Cost]]+v_Item_Shipping_Cost_In)/tbl_MTG_Set[[#This Row],[Play Booster Box Size]]</f>
        <v/>
      </c>
      <c r="AQ270" s="10">
        <f t="array" ref="AQ2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0" s="10" t="n"/>
      <c r="AS270" s="10" t="n"/>
      <c r="AT270" s="17">
        <f>tbl_MTG_Set[[#This Row],[Play Booster CardMarket Profit]]/tbl_MTG_Set[[#This Row],[Play Booster Cost]]</f>
        <v/>
      </c>
      <c r="AU270" s="10">
        <f>_xlfn.XLOOKUP(tbl_MTG_Set[[#This Row],[Collector Booster Box Product Id]], tbl_Product[Product Id], tbl_Product[Min Cost])</f>
        <v/>
      </c>
      <c r="AV270" s="10">
        <f>_xlfn.XLOOKUP(tbl_MTG_Set[[#This Row],[Collector Booster Box Product Id]], tbl_Product[Product Id], tbl_Product[Best Source])</f>
        <v/>
      </c>
      <c r="AW270" s="4">
        <f>_xlfn.XLOOKUP(tbl_MTG_Set[[#This Row],[Collector Booster Box Product Id]], tbl_Product[Product Id], tbl_Product[Pack Size])</f>
        <v/>
      </c>
      <c r="AX270" s="10">
        <f>(tbl_MTG_Set[[#This Row],[Collector Booster Box Cost]] + v_Item_Shipping_Cost_In) / tbl_MTG_Set[[#This Row],[Collector Booster Box Size]]</f>
        <v/>
      </c>
      <c r="AY270" s="10">
        <f t="array" ref="AY2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0" s="10" t="n"/>
      <c r="BA2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0" s="17">
        <f>tbl_MTG_Set[[#This Row],[Collector Booster CardMarket Profit]]/tbl_MTG_Set[[#This Row],[Collector Booster Cost]]</f>
        <v/>
      </c>
      <c r="BC270" s="10" t="n"/>
      <c r="BF270" s="10">
        <f>tbl_MTG_Set[[#This Row],[Play Booster Sell Price CardMarket]]*tbl_MTG_Set[[#This Row],[Play Booster Expected Market Value]]/tbl_MTG_Set[[#This Row],[Play Boost Sealed Market Value]]</f>
        <v/>
      </c>
      <c r="BG2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0" s="10">
        <f>tbl_MTG_Set[[#This Row],[Play Singles CardMarket Profit]]/tbl_MTG_Set[[#This Row],[Play Booster Cost]]</f>
        <v/>
      </c>
      <c r="BI270" s="10">
        <f>tbl_MTG_Set[[#This Row],[Play Singles CardMarket Profit]]&gt;0</f>
        <v/>
      </c>
      <c r="BJ270" s="10" t="n"/>
      <c r="BK270" s="10" t="n"/>
      <c r="BL270" s="10">
        <f>tbl_MTG_Set[[#This Row],[Collector Booster Sell Price CardMarket]]*tbl_MTG_Set[[#This Row],[Collector Booster Expected Market Value]]/tbl_MTG_Set[[#This Row],[Collector Boost Sealed Market Value]]</f>
        <v/>
      </c>
      <c r="BM2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0" s="10">
        <f>tbl_MTG_Set[[#This Row],[Collector Singles CardMarket Profit]]/tbl_MTG_Set[[#This Row],[Collector Booster Cost]]</f>
        <v/>
      </c>
      <c r="BO270" s="10">
        <f>tbl_MTG_Set[[#This Row],[Collector Singles CardMarket Profit]]&gt;0</f>
        <v/>
      </c>
      <c r="BP2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1">
      <c r="A271" t="n">
        <v>269</v>
      </c>
      <c r="B271" t="inlineStr">
        <is>
          <t>Battle for Baldur's Gate Tokens TCLB</t>
        </is>
      </c>
      <c r="C271" t="n">
        <v>51</v>
      </c>
      <c r="D271" s="3" t="n">
        <v>44722</v>
      </c>
      <c r="F271" t="inlineStr">
        <is>
          <t>en es fr de it pt ja ko ru 汉语 漢語</t>
        </is>
      </c>
      <c r="G271" t="n">
        <v>484</v>
      </c>
      <c r="H271">
        <f>MONTH(NOW())+12*YEAR(NOW())-MONTH(tbl_MTG_Set[[#This Row],[Released On]])-12*YEAR(tbl_MTG_Set[[#This Row],[Released On]])</f>
        <v/>
      </c>
      <c r="I271">
        <f>_xlfn.XLOOKUP(tbl_MTG_Set[[#This Row],[Type Name]], tbl_MTG_Set_Type[Set Type], tbl_MTG_Set_Type[Index], "(Set Type not found)")</f>
        <v/>
      </c>
      <c r="J271">
        <f>_xlfn.XLOOKUP(tbl_MTG_Set[[#This Row],[Type Name]], tbl_MTG_Set_Type[Set Type], tbl_MTG_Set_Type[Buy Window Month Start], "(Set Type not found)")</f>
        <v/>
      </c>
      <c r="K271" s="3">
        <f>tbl_MTG_Set[[#This Row],[Released On]]+tbl_MTG_Set[[#This Row],[Buy Window Month Start]]*365.25/12</f>
        <v/>
      </c>
      <c r="L271">
        <f>_xlfn.XLOOKUP(tbl_MTG_Set[[#This Row],[Type Name]], tbl_MTG_Set_Type[Set Type], tbl_MTG_Set_Type[Buy Window Month End], "(Set Type not found)", 0, 1)</f>
        <v/>
      </c>
      <c r="M271" s="3">
        <f>tbl_MTG_Set[[#This Row],[Released On]]+tbl_MTG_Set[[#This Row],[Buy Window Month End]]*365.25/12</f>
        <v/>
      </c>
      <c r="N271" s="3">
        <f>AND(NOW()&gt;=tbl_MTG_Set[[#This Row],[Buy Window Start]], NOW()&lt;=tbl_MTG_Set[[#This Row],[Buy Window End]])</f>
        <v/>
      </c>
      <c r="O271">
        <f>_xlfn.XLOOKUP(tbl_MTG_Set[[#This Row],[Type Name]], tbl_MTG_Set_Type[Set Type], tbl_MTG_Set_Type[Heavy Printing Window Month Start], "(Set Type not found)", 0, 1)</f>
        <v/>
      </c>
      <c r="P271" s="3">
        <f>tbl_MTG_Set[[#This Row],[Released On]]+tbl_MTG_Set[[#This Row],[Heavy Printing Window Month Start]]*365.25/12</f>
        <v/>
      </c>
      <c r="Q271">
        <f>_xlfn.XLOOKUP(tbl_MTG_Set[[#This Row],[Type Name]], tbl_MTG_Set_Type[Set Type], tbl_MTG_Set_Type[Heavy Printing Window Month End], "(Set Type not found)", 0, 1)</f>
        <v/>
      </c>
      <c r="R271" s="3">
        <f>tbl_MTG_Set[[#This Row],[Released On]]+tbl_MTG_Set[[#This Row],[Heavy Printing Window Month End]]*365.25/12</f>
        <v/>
      </c>
      <c r="S271" s="3">
        <f>AND(NOW()&gt;=tbl_MTG_Set[[#This Row],[Heavy Printing Window Start]], NOW()&lt;=tbl_MTG_Set[[#This Row],[Heavy Printing Window End]])</f>
        <v/>
      </c>
      <c r="T271">
        <f>_xlfn.XLOOKUP(tbl_MTG_Set[[#This Row],[Type Name]], tbl_MTG_Set_Type[Set Type], tbl_MTG_Set_Type[Sell Window Month Start], "(Set Type not found)", 0, 1)</f>
        <v/>
      </c>
      <c r="U271" s="3">
        <f>tbl_MTG_Set[[#This Row],[Released On]]+tbl_MTG_Set[[#This Row],[Sell Window Month Start]]*365.25/12</f>
        <v/>
      </c>
      <c r="V271">
        <f>_xlfn.XLOOKUP(tbl_MTG_Set[[#This Row],[Type Name]], tbl_MTG_Set_Type[Set Type], tbl_MTG_Set_Type[Sell Window Month End], "(Set Type not found)", 0, 1)</f>
        <v/>
      </c>
      <c r="W271" s="3">
        <f>tbl_MTG_Set[[#This Row],[Released On]]+tbl_MTG_Set[[#This Row],[Sell Window Month End]]*365.25/12</f>
        <v/>
      </c>
      <c r="X271" s="3">
        <f>AND(NOW()&gt;=tbl_MTG_Set[[#This Row],[Sell Window Start]], NOW()&lt;=tbl_MTG_Set[[#This Row],[Sell Window End]])</f>
        <v/>
      </c>
      <c r="AG271" s="10" t="n"/>
      <c r="AH271" s="10" t="n"/>
      <c r="AM271" s="10">
        <f t="array" ref="AM2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1" s="10">
        <f t="array" ref="AN2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1" s="4">
        <f>_xlfn.XLOOKUP(tbl_MTG_Set[[#This Row],[Play Booster Box Product Id]], tbl_Product[Product Id], tbl_Product[Pack Size])</f>
        <v/>
      </c>
      <c r="AP271" s="10">
        <f>(tbl_MTG_Set[[#This Row],[Play Booster Box Cost]]+v_Item_Shipping_Cost_In)/tbl_MTG_Set[[#This Row],[Play Booster Box Size]]</f>
        <v/>
      </c>
      <c r="AQ271" s="10">
        <f t="array" ref="AQ2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1" s="10" t="n"/>
      <c r="AS271" s="10" t="n"/>
      <c r="AT271" s="17">
        <f>tbl_MTG_Set[[#This Row],[Play Booster CardMarket Profit]]/tbl_MTG_Set[[#This Row],[Play Booster Cost]]</f>
        <v/>
      </c>
      <c r="AU271" s="10">
        <f>_xlfn.XLOOKUP(tbl_MTG_Set[[#This Row],[Collector Booster Box Product Id]], tbl_Product[Product Id], tbl_Product[Min Cost])</f>
        <v/>
      </c>
      <c r="AV271" s="10">
        <f>_xlfn.XLOOKUP(tbl_MTG_Set[[#This Row],[Collector Booster Box Product Id]], tbl_Product[Product Id], tbl_Product[Best Source])</f>
        <v/>
      </c>
      <c r="AW271" s="4">
        <f>_xlfn.XLOOKUP(tbl_MTG_Set[[#This Row],[Collector Booster Box Product Id]], tbl_Product[Product Id], tbl_Product[Pack Size])</f>
        <v/>
      </c>
      <c r="AX271" s="10">
        <f>(tbl_MTG_Set[[#This Row],[Collector Booster Box Cost]] + v_Item_Shipping_Cost_In) / tbl_MTG_Set[[#This Row],[Collector Booster Box Size]]</f>
        <v/>
      </c>
      <c r="AY271" s="10">
        <f t="array" ref="AY2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1" s="10" t="n"/>
      <c r="BA2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1" s="17">
        <f>tbl_MTG_Set[[#This Row],[Collector Booster CardMarket Profit]]/tbl_MTG_Set[[#This Row],[Collector Booster Cost]]</f>
        <v/>
      </c>
      <c r="BC271" s="10" t="n"/>
      <c r="BF271" s="10">
        <f>tbl_MTG_Set[[#This Row],[Play Booster Sell Price CardMarket]]*tbl_MTG_Set[[#This Row],[Play Booster Expected Market Value]]/tbl_MTG_Set[[#This Row],[Play Boost Sealed Market Value]]</f>
        <v/>
      </c>
      <c r="BG2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1" s="10">
        <f>tbl_MTG_Set[[#This Row],[Play Singles CardMarket Profit]]/tbl_MTG_Set[[#This Row],[Play Booster Cost]]</f>
        <v/>
      </c>
      <c r="BI271" s="10">
        <f>tbl_MTG_Set[[#This Row],[Play Singles CardMarket Profit]]&gt;0</f>
        <v/>
      </c>
      <c r="BJ271" s="10" t="n"/>
      <c r="BK271" s="10" t="n"/>
      <c r="BL271" s="10">
        <f>tbl_MTG_Set[[#This Row],[Collector Booster Sell Price CardMarket]]*tbl_MTG_Set[[#This Row],[Collector Booster Expected Market Value]]/tbl_MTG_Set[[#This Row],[Collector Boost Sealed Market Value]]</f>
        <v/>
      </c>
      <c r="BM2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1" s="10">
        <f>tbl_MTG_Set[[#This Row],[Collector Singles CardMarket Profit]]/tbl_MTG_Set[[#This Row],[Collector Booster Cost]]</f>
        <v/>
      </c>
      <c r="BO271" s="10">
        <f>tbl_MTG_Set[[#This Row],[Collector Singles CardMarket Profit]]&gt;0</f>
        <v/>
      </c>
      <c r="BP2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2">
      <c r="A272" t="n">
        <v>270</v>
      </c>
      <c r="B272" t="inlineStr">
        <is>
          <t>Commander Legends: Battle for Baldur's Gate Minigames MCLB</t>
        </is>
      </c>
      <c r="C272" t="n">
        <v>3</v>
      </c>
      <c r="D272" s="3" t="n">
        <v>44722</v>
      </c>
      <c r="F272" t="inlineStr">
        <is>
          <t>en es fr de it pt ja ko ru 汉语 漢語</t>
        </is>
      </c>
      <c r="G272" t="n">
        <v>486</v>
      </c>
      <c r="H272">
        <f>MONTH(NOW())+12*YEAR(NOW())-MONTH(tbl_MTG_Set[[#This Row],[Released On]])-12*YEAR(tbl_MTG_Set[[#This Row],[Released On]])</f>
        <v/>
      </c>
      <c r="I272">
        <f>_xlfn.XLOOKUP(tbl_MTG_Set[[#This Row],[Type Name]], tbl_MTG_Set_Type[Set Type], tbl_MTG_Set_Type[Index], "(Set Type not found)")</f>
        <v/>
      </c>
      <c r="J272">
        <f>_xlfn.XLOOKUP(tbl_MTG_Set[[#This Row],[Type Name]], tbl_MTG_Set_Type[Set Type], tbl_MTG_Set_Type[Buy Window Month Start], "(Set Type not found)")</f>
        <v/>
      </c>
      <c r="K272" s="3">
        <f>tbl_MTG_Set[[#This Row],[Released On]]+tbl_MTG_Set[[#This Row],[Buy Window Month Start]]*365.25/12</f>
        <v/>
      </c>
      <c r="L272">
        <f>_xlfn.XLOOKUP(tbl_MTG_Set[[#This Row],[Type Name]], tbl_MTG_Set_Type[Set Type], tbl_MTG_Set_Type[Buy Window Month End], "(Set Type not found)", 0, 1)</f>
        <v/>
      </c>
      <c r="M272" s="3">
        <f>tbl_MTG_Set[[#This Row],[Released On]]+tbl_MTG_Set[[#This Row],[Buy Window Month End]]*365.25/12</f>
        <v/>
      </c>
      <c r="N272" s="3">
        <f>AND(NOW()&gt;=tbl_MTG_Set[[#This Row],[Buy Window Start]], NOW()&lt;=tbl_MTG_Set[[#This Row],[Buy Window End]])</f>
        <v/>
      </c>
      <c r="O272">
        <f>_xlfn.XLOOKUP(tbl_MTG_Set[[#This Row],[Type Name]], tbl_MTG_Set_Type[Set Type], tbl_MTG_Set_Type[Heavy Printing Window Month Start], "(Set Type not found)", 0, 1)</f>
        <v/>
      </c>
      <c r="P272" s="3">
        <f>tbl_MTG_Set[[#This Row],[Released On]]+tbl_MTG_Set[[#This Row],[Heavy Printing Window Month Start]]*365.25/12</f>
        <v/>
      </c>
      <c r="Q272">
        <f>_xlfn.XLOOKUP(tbl_MTG_Set[[#This Row],[Type Name]], tbl_MTG_Set_Type[Set Type], tbl_MTG_Set_Type[Heavy Printing Window Month End], "(Set Type not found)", 0, 1)</f>
        <v/>
      </c>
      <c r="R272" s="3">
        <f>tbl_MTG_Set[[#This Row],[Released On]]+tbl_MTG_Set[[#This Row],[Heavy Printing Window Month End]]*365.25/12</f>
        <v/>
      </c>
      <c r="S272" s="3">
        <f>AND(NOW()&gt;=tbl_MTG_Set[[#This Row],[Heavy Printing Window Start]], NOW()&lt;=tbl_MTG_Set[[#This Row],[Heavy Printing Window End]])</f>
        <v/>
      </c>
      <c r="T272">
        <f>_xlfn.XLOOKUP(tbl_MTG_Set[[#This Row],[Type Name]], tbl_MTG_Set_Type[Set Type], tbl_MTG_Set_Type[Sell Window Month Start], "(Set Type not found)", 0, 1)</f>
        <v/>
      </c>
      <c r="U272" s="3">
        <f>tbl_MTG_Set[[#This Row],[Released On]]+tbl_MTG_Set[[#This Row],[Sell Window Month Start]]*365.25/12</f>
        <v/>
      </c>
      <c r="V272">
        <f>_xlfn.XLOOKUP(tbl_MTG_Set[[#This Row],[Type Name]], tbl_MTG_Set_Type[Set Type], tbl_MTG_Set_Type[Sell Window Month End], "(Set Type not found)", 0, 1)</f>
        <v/>
      </c>
      <c r="W272" s="3">
        <f>tbl_MTG_Set[[#This Row],[Released On]]+tbl_MTG_Set[[#This Row],[Sell Window Month End]]*365.25/12</f>
        <v/>
      </c>
      <c r="X272" s="3">
        <f>AND(NOW()&gt;=tbl_MTG_Set[[#This Row],[Sell Window Start]], NOW()&lt;=tbl_MTG_Set[[#This Row],[Sell Window End]])</f>
        <v/>
      </c>
      <c r="AG272" s="10" t="n"/>
      <c r="AH272" s="10" t="n"/>
      <c r="AM272" s="10">
        <f t="array" ref="AM2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2" s="10">
        <f t="array" ref="AN2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2" s="4">
        <f>_xlfn.XLOOKUP(tbl_MTG_Set[[#This Row],[Play Booster Box Product Id]], tbl_Product[Product Id], tbl_Product[Pack Size])</f>
        <v/>
      </c>
      <c r="AP272" s="10">
        <f>(tbl_MTG_Set[[#This Row],[Play Booster Box Cost]]+v_Item_Shipping_Cost_In)/tbl_MTG_Set[[#This Row],[Play Booster Box Size]]</f>
        <v/>
      </c>
      <c r="AQ272" s="10">
        <f t="array" ref="AQ2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2" s="10" t="n"/>
      <c r="AS272" s="10" t="n"/>
      <c r="AT272" s="17">
        <f>tbl_MTG_Set[[#This Row],[Play Booster CardMarket Profit]]/tbl_MTG_Set[[#This Row],[Play Booster Cost]]</f>
        <v/>
      </c>
      <c r="AU272" s="10">
        <f>_xlfn.XLOOKUP(tbl_MTG_Set[[#This Row],[Collector Booster Box Product Id]], tbl_Product[Product Id], tbl_Product[Min Cost])</f>
        <v/>
      </c>
      <c r="AV272" s="10">
        <f>_xlfn.XLOOKUP(tbl_MTG_Set[[#This Row],[Collector Booster Box Product Id]], tbl_Product[Product Id], tbl_Product[Best Source])</f>
        <v/>
      </c>
      <c r="AW272" s="4">
        <f>_xlfn.XLOOKUP(tbl_MTG_Set[[#This Row],[Collector Booster Box Product Id]], tbl_Product[Product Id], tbl_Product[Pack Size])</f>
        <v/>
      </c>
      <c r="AX272" s="10">
        <f>(tbl_MTG_Set[[#This Row],[Collector Booster Box Cost]] + v_Item_Shipping_Cost_In) / tbl_MTG_Set[[#This Row],[Collector Booster Box Size]]</f>
        <v/>
      </c>
      <c r="AY272" s="10">
        <f t="array" ref="AY2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2" s="10" t="n"/>
      <c r="BA2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2" s="17">
        <f>tbl_MTG_Set[[#This Row],[Collector Booster CardMarket Profit]]/tbl_MTG_Set[[#This Row],[Collector Booster Cost]]</f>
        <v/>
      </c>
      <c r="BC272" s="10" t="n"/>
      <c r="BF272" s="10">
        <f>tbl_MTG_Set[[#This Row],[Play Booster Sell Price CardMarket]]*tbl_MTG_Set[[#This Row],[Play Booster Expected Market Value]]/tbl_MTG_Set[[#This Row],[Play Boost Sealed Market Value]]</f>
        <v/>
      </c>
      <c r="BG2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2" s="10">
        <f>tbl_MTG_Set[[#This Row],[Play Singles CardMarket Profit]]/tbl_MTG_Set[[#This Row],[Play Booster Cost]]</f>
        <v/>
      </c>
      <c r="BI272" s="10">
        <f>tbl_MTG_Set[[#This Row],[Play Singles CardMarket Profit]]&gt;0</f>
        <v/>
      </c>
      <c r="BJ272" s="10" t="n"/>
      <c r="BK272" s="10" t="n"/>
      <c r="BL272" s="10">
        <f>tbl_MTG_Set[[#This Row],[Collector Booster Sell Price CardMarket]]*tbl_MTG_Set[[#This Row],[Collector Booster Expected Market Value]]/tbl_MTG_Set[[#This Row],[Collector Boost Sealed Market Value]]</f>
        <v/>
      </c>
      <c r="BM2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2" s="10">
        <f>tbl_MTG_Set[[#This Row],[Collector Singles CardMarket Profit]]/tbl_MTG_Set[[#This Row],[Collector Booster Cost]]</f>
        <v/>
      </c>
      <c r="BO272" s="10">
        <f>tbl_MTG_Set[[#This Row],[Collector Singles CardMarket Profit]]&gt;0</f>
        <v/>
      </c>
      <c r="BP2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3">
      <c r="A273" t="n">
        <v>271</v>
      </c>
      <c r="B273" t="inlineStr">
        <is>
          <t>Battle for Baldur's Gate Oversized Cards OCLB</t>
        </is>
      </c>
      <c r="C273" t="n">
        <v>1</v>
      </c>
      <c r="D273" s="3" t="n">
        <v>44722</v>
      </c>
      <c r="F273" t="inlineStr">
        <is>
          <t>en es fr de it pt ja ko ru 汉语 漢語</t>
        </is>
      </c>
      <c r="G273" t="n">
        <v>488</v>
      </c>
      <c r="H273">
        <f>MONTH(NOW())+12*YEAR(NOW())-MONTH(tbl_MTG_Set[[#This Row],[Released On]])-12*YEAR(tbl_MTG_Set[[#This Row],[Released On]])</f>
        <v/>
      </c>
      <c r="I273">
        <f>_xlfn.XLOOKUP(tbl_MTG_Set[[#This Row],[Type Name]], tbl_MTG_Set_Type[Set Type], tbl_MTG_Set_Type[Index], "(Set Type not found)")</f>
        <v/>
      </c>
      <c r="J273">
        <f>_xlfn.XLOOKUP(tbl_MTG_Set[[#This Row],[Type Name]], tbl_MTG_Set_Type[Set Type], tbl_MTG_Set_Type[Buy Window Month Start], "(Set Type not found)")</f>
        <v/>
      </c>
      <c r="K273" s="3">
        <f>tbl_MTG_Set[[#This Row],[Released On]]+tbl_MTG_Set[[#This Row],[Buy Window Month Start]]*365.25/12</f>
        <v/>
      </c>
      <c r="L273">
        <f>_xlfn.XLOOKUP(tbl_MTG_Set[[#This Row],[Type Name]], tbl_MTG_Set_Type[Set Type], tbl_MTG_Set_Type[Buy Window Month End], "(Set Type not found)", 0, 1)</f>
        <v/>
      </c>
      <c r="M273" s="3">
        <f>tbl_MTG_Set[[#This Row],[Released On]]+tbl_MTG_Set[[#This Row],[Buy Window Month End]]*365.25/12</f>
        <v/>
      </c>
      <c r="N273" s="3">
        <f>AND(NOW()&gt;=tbl_MTG_Set[[#This Row],[Buy Window Start]], NOW()&lt;=tbl_MTG_Set[[#This Row],[Buy Window End]])</f>
        <v/>
      </c>
      <c r="O273">
        <f>_xlfn.XLOOKUP(tbl_MTG_Set[[#This Row],[Type Name]], tbl_MTG_Set_Type[Set Type], tbl_MTG_Set_Type[Heavy Printing Window Month Start], "(Set Type not found)", 0, 1)</f>
        <v/>
      </c>
      <c r="P273" s="3">
        <f>tbl_MTG_Set[[#This Row],[Released On]]+tbl_MTG_Set[[#This Row],[Heavy Printing Window Month Start]]*365.25/12</f>
        <v/>
      </c>
      <c r="Q273">
        <f>_xlfn.XLOOKUP(tbl_MTG_Set[[#This Row],[Type Name]], tbl_MTG_Set_Type[Set Type], tbl_MTG_Set_Type[Heavy Printing Window Month End], "(Set Type not found)", 0, 1)</f>
        <v/>
      </c>
      <c r="R273" s="3">
        <f>tbl_MTG_Set[[#This Row],[Released On]]+tbl_MTG_Set[[#This Row],[Heavy Printing Window Month End]]*365.25/12</f>
        <v/>
      </c>
      <c r="S273" s="3">
        <f>AND(NOW()&gt;=tbl_MTG_Set[[#This Row],[Heavy Printing Window Start]], NOW()&lt;=tbl_MTG_Set[[#This Row],[Heavy Printing Window End]])</f>
        <v/>
      </c>
      <c r="T273">
        <f>_xlfn.XLOOKUP(tbl_MTG_Set[[#This Row],[Type Name]], tbl_MTG_Set_Type[Set Type], tbl_MTG_Set_Type[Sell Window Month Start], "(Set Type not found)", 0, 1)</f>
        <v/>
      </c>
      <c r="U273" s="3">
        <f>tbl_MTG_Set[[#This Row],[Released On]]+tbl_MTG_Set[[#This Row],[Sell Window Month Start]]*365.25/12</f>
        <v/>
      </c>
      <c r="V273">
        <f>_xlfn.XLOOKUP(tbl_MTG_Set[[#This Row],[Type Name]], tbl_MTG_Set_Type[Set Type], tbl_MTG_Set_Type[Sell Window Month End], "(Set Type not found)", 0, 1)</f>
        <v/>
      </c>
      <c r="W273" s="3">
        <f>tbl_MTG_Set[[#This Row],[Released On]]+tbl_MTG_Set[[#This Row],[Sell Window Month End]]*365.25/12</f>
        <v/>
      </c>
      <c r="X273" s="3">
        <f>AND(NOW()&gt;=tbl_MTG_Set[[#This Row],[Sell Window Start]], NOW()&lt;=tbl_MTG_Set[[#This Row],[Sell Window End]])</f>
        <v/>
      </c>
      <c r="AG273" s="10" t="n"/>
      <c r="AH273" s="10" t="n"/>
      <c r="AM273" s="10">
        <f t="array" ref="AM2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3" s="10">
        <f t="array" ref="AN2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3" s="4">
        <f>_xlfn.XLOOKUP(tbl_MTG_Set[[#This Row],[Play Booster Box Product Id]], tbl_Product[Product Id], tbl_Product[Pack Size])</f>
        <v/>
      </c>
      <c r="AP273" s="10">
        <f>(tbl_MTG_Set[[#This Row],[Play Booster Box Cost]]+v_Item_Shipping_Cost_In)/tbl_MTG_Set[[#This Row],[Play Booster Box Size]]</f>
        <v/>
      </c>
      <c r="AQ273" s="10">
        <f t="array" ref="AQ2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3" s="10" t="n"/>
      <c r="AS273" s="10" t="n"/>
      <c r="AT273" s="17">
        <f>tbl_MTG_Set[[#This Row],[Play Booster CardMarket Profit]]/tbl_MTG_Set[[#This Row],[Play Booster Cost]]</f>
        <v/>
      </c>
      <c r="AU273" s="10">
        <f>_xlfn.XLOOKUP(tbl_MTG_Set[[#This Row],[Collector Booster Box Product Id]], tbl_Product[Product Id], tbl_Product[Min Cost])</f>
        <v/>
      </c>
      <c r="AV273" s="10">
        <f>_xlfn.XLOOKUP(tbl_MTG_Set[[#This Row],[Collector Booster Box Product Id]], tbl_Product[Product Id], tbl_Product[Best Source])</f>
        <v/>
      </c>
      <c r="AW273" s="4">
        <f>_xlfn.XLOOKUP(tbl_MTG_Set[[#This Row],[Collector Booster Box Product Id]], tbl_Product[Product Id], tbl_Product[Pack Size])</f>
        <v/>
      </c>
      <c r="AX273" s="10">
        <f>(tbl_MTG_Set[[#This Row],[Collector Booster Box Cost]] + v_Item_Shipping_Cost_In) / tbl_MTG_Set[[#This Row],[Collector Booster Box Size]]</f>
        <v/>
      </c>
      <c r="AY273" s="10">
        <f t="array" ref="AY2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3" s="10" t="n"/>
      <c r="BA2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3" s="17">
        <f>tbl_MTG_Set[[#This Row],[Collector Booster CardMarket Profit]]/tbl_MTG_Set[[#This Row],[Collector Booster Cost]]</f>
        <v/>
      </c>
      <c r="BC273" s="10" t="n"/>
      <c r="BF273" s="10">
        <f>tbl_MTG_Set[[#This Row],[Play Booster Sell Price CardMarket]]*tbl_MTG_Set[[#This Row],[Play Booster Expected Market Value]]/tbl_MTG_Set[[#This Row],[Play Boost Sealed Market Value]]</f>
        <v/>
      </c>
      <c r="BG2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3" s="10">
        <f>tbl_MTG_Set[[#This Row],[Play Singles CardMarket Profit]]/tbl_MTG_Set[[#This Row],[Play Booster Cost]]</f>
        <v/>
      </c>
      <c r="BI273" s="10">
        <f>tbl_MTG_Set[[#This Row],[Play Singles CardMarket Profit]]&gt;0</f>
        <v/>
      </c>
      <c r="BJ273" s="10" t="n"/>
      <c r="BK273" s="10" t="n"/>
      <c r="BL273" s="10">
        <f>tbl_MTG_Set[[#This Row],[Collector Booster Sell Price CardMarket]]*tbl_MTG_Set[[#This Row],[Collector Booster Expected Market Value]]/tbl_MTG_Set[[#This Row],[Collector Boost Sealed Market Value]]</f>
        <v/>
      </c>
      <c r="BM2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3" s="10">
        <f>tbl_MTG_Set[[#This Row],[Collector Singles CardMarket Profit]]/tbl_MTG_Set[[#This Row],[Collector Booster Cost]]</f>
        <v/>
      </c>
      <c r="BO273" s="10">
        <f>tbl_MTG_Set[[#This Row],[Collector Singles CardMarket Profit]]&gt;0</f>
        <v/>
      </c>
      <c r="BP2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4">
      <c r="A274" t="n">
        <v>272</v>
      </c>
      <c r="B274" t="inlineStr">
        <is>
          <t>Battle for Baldur's Gate Art Series ACLB</t>
        </is>
      </c>
      <c r="C274" t="n">
        <v>81</v>
      </c>
      <c r="D274" s="3" t="n">
        <v>44722</v>
      </c>
      <c r="F274" t="inlineStr">
        <is>
          <t>en es fr de it pt ja ko ru 汉语 漢語</t>
        </is>
      </c>
      <c r="G274" t="n">
        <v>490</v>
      </c>
      <c r="H274">
        <f>MONTH(NOW())+12*YEAR(NOW())-MONTH(tbl_MTG_Set[[#This Row],[Released On]])-12*YEAR(tbl_MTG_Set[[#This Row],[Released On]])</f>
        <v/>
      </c>
      <c r="I274">
        <f>_xlfn.XLOOKUP(tbl_MTG_Set[[#This Row],[Type Name]], tbl_MTG_Set_Type[Set Type], tbl_MTG_Set_Type[Index], "(Set Type not found)")</f>
        <v/>
      </c>
      <c r="J274">
        <f>_xlfn.XLOOKUP(tbl_MTG_Set[[#This Row],[Type Name]], tbl_MTG_Set_Type[Set Type], tbl_MTG_Set_Type[Buy Window Month Start], "(Set Type not found)")</f>
        <v/>
      </c>
      <c r="K274" s="3">
        <f>tbl_MTG_Set[[#This Row],[Released On]]+tbl_MTG_Set[[#This Row],[Buy Window Month Start]]*365.25/12</f>
        <v/>
      </c>
      <c r="L274">
        <f>_xlfn.XLOOKUP(tbl_MTG_Set[[#This Row],[Type Name]], tbl_MTG_Set_Type[Set Type], tbl_MTG_Set_Type[Buy Window Month End], "(Set Type not found)", 0, 1)</f>
        <v/>
      </c>
      <c r="M274" s="3">
        <f>tbl_MTG_Set[[#This Row],[Released On]]+tbl_MTG_Set[[#This Row],[Buy Window Month End]]*365.25/12</f>
        <v/>
      </c>
      <c r="N274" s="3">
        <f>AND(NOW()&gt;=tbl_MTG_Set[[#This Row],[Buy Window Start]], NOW()&lt;=tbl_MTG_Set[[#This Row],[Buy Window End]])</f>
        <v/>
      </c>
      <c r="O274">
        <f>_xlfn.XLOOKUP(tbl_MTG_Set[[#This Row],[Type Name]], tbl_MTG_Set_Type[Set Type], tbl_MTG_Set_Type[Heavy Printing Window Month Start], "(Set Type not found)", 0, 1)</f>
        <v/>
      </c>
      <c r="P274" s="3">
        <f>tbl_MTG_Set[[#This Row],[Released On]]+tbl_MTG_Set[[#This Row],[Heavy Printing Window Month Start]]*365.25/12</f>
        <v/>
      </c>
      <c r="Q274">
        <f>_xlfn.XLOOKUP(tbl_MTG_Set[[#This Row],[Type Name]], tbl_MTG_Set_Type[Set Type], tbl_MTG_Set_Type[Heavy Printing Window Month End], "(Set Type not found)", 0, 1)</f>
        <v/>
      </c>
      <c r="R274" s="3">
        <f>tbl_MTG_Set[[#This Row],[Released On]]+tbl_MTG_Set[[#This Row],[Heavy Printing Window Month End]]*365.25/12</f>
        <v/>
      </c>
      <c r="S274" s="3">
        <f>AND(NOW()&gt;=tbl_MTG_Set[[#This Row],[Heavy Printing Window Start]], NOW()&lt;=tbl_MTG_Set[[#This Row],[Heavy Printing Window End]])</f>
        <v/>
      </c>
      <c r="T274">
        <f>_xlfn.XLOOKUP(tbl_MTG_Set[[#This Row],[Type Name]], tbl_MTG_Set_Type[Set Type], tbl_MTG_Set_Type[Sell Window Month Start], "(Set Type not found)", 0, 1)</f>
        <v/>
      </c>
      <c r="U274" s="3">
        <f>tbl_MTG_Set[[#This Row],[Released On]]+tbl_MTG_Set[[#This Row],[Sell Window Month Start]]*365.25/12</f>
        <v/>
      </c>
      <c r="V274">
        <f>_xlfn.XLOOKUP(tbl_MTG_Set[[#This Row],[Type Name]], tbl_MTG_Set_Type[Set Type], tbl_MTG_Set_Type[Sell Window Month End], "(Set Type not found)", 0, 1)</f>
        <v/>
      </c>
      <c r="W274" s="3">
        <f>tbl_MTG_Set[[#This Row],[Released On]]+tbl_MTG_Set[[#This Row],[Sell Window Month End]]*365.25/12</f>
        <v/>
      </c>
      <c r="X274" s="3">
        <f>AND(NOW()&gt;=tbl_MTG_Set[[#This Row],[Sell Window Start]], NOW()&lt;=tbl_MTG_Set[[#This Row],[Sell Window End]])</f>
        <v/>
      </c>
      <c r="AG274" s="10" t="n"/>
      <c r="AH274" s="10" t="n"/>
      <c r="AM274" s="10">
        <f t="array" ref="AM2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4" s="10">
        <f t="array" ref="AN2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4" s="4">
        <f>_xlfn.XLOOKUP(tbl_MTG_Set[[#This Row],[Play Booster Box Product Id]], tbl_Product[Product Id], tbl_Product[Pack Size])</f>
        <v/>
      </c>
      <c r="AP274" s="10">
        <f>(tbl_MTG_Set[[#This Row],[Play Booster Box Cost]]+v_Item_Shipping_Cost_In)/tbl_MTG_Set[[#This Row],[Play Booster Box Size]]</f>
        <v/>
      </c>
      <c r="AQ274" s="10">
        <f t="array" ref="AQ2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4" s="10" t="n"/>
      <c r="AS274" s="10" t="n"/>
      <c r="AT274" s="17">
        <f>tbl_MTG_Set[[#This Row],[Play Booster CardMarket Profit]]/tbl_MTG_Set[[#This Row],[Play Booster Cost]]</f>
        <v/>
      </c>
      <c r="AU274" s="10">
        <f>_xlfn.XLOOKUP(tbl_MTG_Set[[#This Row],[Collector Booster Box Product Id]], tbl_Product[Product Id], tbl_Product[Min Cost])</f>
        <v/>
      </c>
      <c r="AV274" s="10">
        <f>_xlfn.XLOOKUP(tbl_MTG_Set[[#This Row],[Collector Booster Box Product Id]], tbl_Product[Product Id], tbl_Product[Best Source])</f>
        <v/>
      </c>
      <c r="AW274" s="4">
        <f>_xlfn.XLOOKUP(tbl_MTG_Set[[#This Row],[Collector Booster Box Product Id]], tbl_Product[Product Id], tbl_Product[Pack Size])</f>
        <v/>
      </c>
      <c r="AX274" s="10">
        <f>(tbl_MTG_Set[[#This Row],[Collector Booster Box Cost]] + v_Item_Shipping_Cost_In) / tbl_MTG_Set[[#This Row],[Collector Booster Box Size]]</f>
        <v/>
      </c>
      <c r="AY274" s="10">
        <f t="array" ref="AY2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4" s="10" t="n"/>
      <c r="BA2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4" s="17">
        <f>tbl_MTG_Set[[#This Row],[Collector Booster CardMarket Profit]]/tbl_MTG_Set[[#This Row],[Collector Booster Cost]]</f>
        <v/>
      </c>
      <c r="BC274" s="10" t="n"/>
      <c r="BF274" s="10">
        <f>tbl_MTG_Set[[#This Row],[Play Booster Sell Price CardMarket]]*tbl_MTG_Set[[#This Row],[Play Booster Expected Market Value]]/tbl_MTG_Set[[#This Row],[Play Boost Sealed Market Value]]</f>
        <v/>
      </c>
      <c r="BG2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4" s="10">
        <f>tbl_MTG_Set[[#This Row],[Play Singles CardMarket Profit]]/tbl_MTG_Set[[#This Row],[Play Booster Cost]]</f>
        <v/>
      </c>
      <c r="BI274" s="10">
        <f>tbl_MTG_Set[[#This Row],[Play Singles CardMarket Profit]]&gt;0</f>
        <v/>
      </c>
      <c r="BJ274" s="10" t="n"/>
      <c r="BK274" s="10" t="n"/>
      <c r="BL274" s="10">
        <f>tbl_MTG_Set[[#This Row],[Collector Booster Sell Price CardMarket]]*tbl_MTG_Set[[#This Row],[Collector Booster Expected Market Value]]/tbl_MTG_Set[[#This Row],[Collector Boost Sealed Market Value]]</f>
        <v/>
      </c>
      <c r="BM2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4" s="10">
        <f>tbl_MTG_Set[[#This Row],[Collector Singles CardMarket Profit]]/tbl_MTG_Set[[#This Row],[Collector Booster Cost]]</f>
        <v/>
      </c>
      <c r="BO274" s="10">
        <f>tbl_MTG_Set[[#This Row],[Collector Singles CardMarket Profit]]&gt;0</f>
        <v/>
      </c>
      <c r="BP2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5">
      <c r="A275" t="n">
        <v>273</v>
      </c>
      <c r="B275" t="inlineStr">
        <is>
          <t>Streets of New Capenna SNC</t>
        </is>
      </c>
      <c r="C275" t="n">
        <v>513</v>
      </c>
      <c r="D275" s="3" t="n">
        <v>44680</v>
      </c>
      <c r="E275" t="inlineStr">
        <is>
          <t>Standard Expansion</t>
        </is>
      </c>
      <c r="F275" t="inlineStr">
        <is>
          <t>en es fr de it pt ja ko ru 汉语 漢語</t>
        </is>
      </c>
      <c r="G275" t="n">
        <v>492</v>
      </c>
      <c r="H275">
        <f>MONTH(NOW())+12*YEAR(NOW())-MONTH(tbl_MTG_Set[[#This Row],[Released On]])-12*YEAR(tbl_MTG_Set[[#This Row],[Released On]])</f>
        <v/>
      </c>
      <c r="I275">
        <f>_xlfn.XLOOKUP(tbl_MTG_Set[[#This Row],[Type Name]], tbl_MTG_Set_Type[Set Type], tbl_MTG_Set_Type[Index], "(Set Type not found)")</f>
        <v/>
      </c>
      <c r="J275">
        <f>_xlfn.XLOOKUP(tbl_MTG_Set[[#This Row],[Type Name]], tbl_MTG_Set_Type[Set Type], tbl_MTG_Set_Type[Buy Window Month Start], "(Set Type not found)")</f>
        <v/>
      </c>
      <c r="K275" s="3">
        <f>tbl_MTG_Set[[#This Row],[Released On]]+tbl_MTG_Set[[#This Row],[Buy Window Month Start]]*365.25/12</f>
        <v/>
      </c>
      <c r="L275">
        <f>_xlfn.XLOOKUP(tbl_MTG_Set[[#This Row],[Type Name]], tbl_MTG_Set_Type[Set Type], tbl_MTG_Set_Type[Buy Window Month End], "(Set Type not found)", 0, 1)</f>
        <v/>
      </c>
      <c r="M275" s="3">
        <f>tbl_MTG_Set[[#This Row],[Released On]]+tbl_MTG_Set[[#This Row],[Buy Window Month End]]*365.25/12</f>
        <v/>
      </c>
      <c r="N275" s="3">
        <f>AND(NOW()&gt;=tbl_MTG_Set[[#This Row],[Buy Window Start]], NOW()&lt;=tbl_MTG_Set[[#This Row],[Buy Window End]])</f>
        <v/>
      </c>
      <c r="O275">
        <f>_xlfn.XLOOKUP(tbl_MTG_Set[[#This Row],[Type Name]], tbl_MTG_Set_Type[Set Type], tbl_MTG_Set_Type[Heavy Printing Window Month Start], "(Set Type not found)", 0, 1)</f>
        <v/>
      </c>
      <c r="P275" s="3">
        <f>tbl_MTG_Set[[#This Row],[Released On]]+tbl_MTG_Set[[#This Row],[Heavy Printing Window Month Start]]*365.25/12</f>
        <v/>
      </c>
      <c r="Q275">
        <f>_xlfn.XLOOKUP(tbl_MTG_Set[[#This Row],[Type Name]], tbl_MTG_Set_Type[Set Type], tbl_MTG_Set_Type[Heavy Printing Window Month End], "(Set Type not found)", 0, 1)</f>
        <v/>
      </c>
      <c r="R275" s="3">
        <f>tbl_MTG_Set[[#This Row],[Released On]]+tbl_MTG_Set[[#This Row],[Heavy Printing Window Month End]]*365.25/12</f>
        <v/>
      </c>
      <c r="S275" s="3">
        <f>AND(NOW()&gt;=tbl_MTG_Set[[#This Row],[Heavy Printing Window Start]], NOW()&lt;=tbl_MTG_Set[[#This Row],[Heavy Printing Window End]])</f>
        <v/>
      </c>
      <c r="T275">
        <f>_xlfn.XLOOKUP(tbl_MTG_Set[[#This Row],[Type Name]], tbl_MTG_Set_Type[Set Type], tbl_MTG_Set_Type[Sell Window Month Start], "(Set Type not found)", 0, 1)</f>
        <v/>
      </c>
      <c r="U275" s="3">
        <f>tbl_MTG_Set[[#This Row],[Released On]]+tbl_MTG_Set[[#This Row],[Sell Window Month Start]]*365.25/12</f>
        <v/>
      </c>
      <c r="V275">
        <f>_xlfn.XLOOKUP(tbl_MTG_Set[[#This Row],[Type Name]], tbl_MTG_Set_Type[Set Type], tbl_MTG_Set_Type[Sell Window Month End], "(Set Type not found)", 0, 1)</f>
        <v/>
      </c>
      <c r="W275" s="3">
        <f>tbl_MTG_Set[[#This Row],[Released On]]+tbl_MTG_Set[[#This Row],[Sell Window Month End]]*365.25/12</f>
        <v/>
      </c>
      <c r="X275" s="3">
        <f>AND(NOW()&gt;=tbl_MTG_Set[[#This Row],[Sell Window Start]], NOW()&lt;=tbl_MTG_Set[[#This Row],[Sell Window End]])</f>
        <v/>
      </c>
      <c r="Y275" s="10" t="n">
        <v>117</v>
      </c>
      <c r="Z275" s="10" t="n">
        <v>95</v>
      </c>
      <c r="AD275" s="10">
        <f>(Y275+96/20)/30</f>
        <v/>
      </c>
      <c r="AE275" s="10">
        <f>(Z275+96/20)/30</f>
        <v/>
      </c>
      <c r="AG275" s="10" t="n"/>
      <c r="AH275" s="10" t="n"/>
      <c r="AI275" s="4" t="n">
        <v>75</v>
      </c>
      <c r="AJ275" s="4" t="n">
        <v>30</v>
      </c>
      <c r="AK275" s="4" t="n">
        <v>132</v>
      </c>
      <c r="AL275" s="4" t="n">
        <v>131</v>
      </c>
      <c r="AM275" s="10">
        <f t="array" ref="AM2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5" s="10">
        <f t="array" ref="AN2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5" s="4">
        <f>_xlfn.XLOOKUP(tbl_MTG_Set[[#This Row],[Play Booster Box Product Id]], tbl_Product[Product Id], tbl_Product[Pack Size])</f>
        <v/>
      </c>
      <c r="AP275" s="10">
        <f>(tbl_MTG_Set[[#This Row],[Play Booster Box Cost]]+v_Item_Shipping_Cost_In)/tbl_MTG_Set[[#This Row],[Play Booster Box Size]]</f>
        <v/>
      </c>
      <c r="AQ275" s="10">
        <f t="array" ref="AQ2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5" s="10" t="n">
        <v>4</v>
      </c>
      <c r="AS27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75" s="17">
        <f>tbl_MTG_Set[[#This Row],[Play Booster CardMarket Profit]]/tbl_MTG_Set[[#This Row],[Play Booster Cost]]</f>
        <v/>
      </c>
      <c r="AU275" s="10">
        <f>_xlfn.XLOOKUP(tbl_MTG_Set[[#This Row],[Collector Booster Box Product Id]], tbl_Product[Product Id], tbl_Product[Min Cost])</f>
        <v/>
      </c>
      <c r="AV275" s="10">
        <f>_xlfn.XLOOKUP(tbl_MTG_Set[[#This Row],[Collector Booster Box Product Id]], tbl_Product[Product Id], tbl_Product[Best Source])</f>
        <v/>
      </c>
      <c r="AW275" s="4">
        <f>_xlfn.XLOOKUP(tbl_MTG_Set[[#This Row],[Collector Booster Box Product Id]], tbl_Product[Product Id], tbl_Product[Pack Size])</f>
        <v/>
      </c>
      <c r="AX275" s="10">
        <f>(tbl_MTG_Set[[#This Row],[Collector Booster Box Cost]] + v_Item_Shipping_Cost_In) / tbl_MTG_Set[[#This Row],[Collector Booster Box Size]]</f>
        <v/>
      </c>
      <c r="AY275" s="10">
        <f t="array" ref="AY2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5" s="10" t="n"/>
      <c r="BA2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5" s="17">
        <f>tbl_MTG_Set[[#This Row],[Collector Booster CardMarket Profit]]/tbl_MTG_Set[[#This Row],[Collector Booster Cost]]</f>
        <v/>
      </c>
      <c r="BC275" s="10" t="n"/>
      <c r="BF275" s="10">
        <f>tbl_MTG_Set[[#This Row],[Play Booster Sell Price CardMarket]]*tbl_MTG_Set[[#This Row],[Play Booster Expected Market Value]]/tbl_MTG_Set[[#This Row],[Play Boost Sealed Market Value]]</f>
        <v/>
      </c>
      <c r="BG2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5" s="17">
        <f>tbl_MTG_Set[[#This Row],[Play Singles CardMarket Profit]]/tbl_MTG_Set[[#This Row],[Play Booster Cost]]</f>
        <v/>
      </c>
      <c r="BI275" s="10">
        <f>tbl_MTG_Set[[#This Row],[Play Singles CardMarket Profit]]&gt;0</f>
        <v/>
      </c>
      <c r="BJ275" s="10" t="n"/>
      <c r="BK275" s="10" t="n"/>
      <c r="BL275" s="10">
        <f>tbl_MTG_Set[[#This Row],[Collector Booster Sell Price CardMarket]]*tbl_MTG_Set[[#This Row],[Collector Booster Expected Market Value]]/tbl_MTG_Set[[#This Row],[Collector Boost Sealed Market Value]]</f>
        <v/>
      </c>
      <c r="BM2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5" s="17">
        <f>tbl_MTG_Set[[#This Row],[Collector Singles CardMarket Profit]]/tbl_MTG_Set[[#This Row],[Collector Booster Cost]]</f>
        <v/>
      </c>
      <c r="BO275" s="10">
        <f>tbl_MTG_Set[[#This Row],[Collector Singles CardMarket Profit]]&gt;0</f>
        <v/>
      </c>
      <c r="BP2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6">
      <c r="A276" t="n">
        <v>274</v>
      </c>
      <c r="B276" t="inlineStr">
        <is>
          <t>Streets of New Capenna Promos PSNC</t>
        </is>
      </c>
      <c r="C276" t="n">
        <v>161</v>
      </c>
      <c r="D276" s="3" t="n">
        <v>44680</v>
      </c>
      <c r="E276" t="inlineStr">
        <is>
          <t>Standard Expansion</t>
        </is>
      </c>
      <c r="F276" t="inlineStr">
        <is>
          <t>en es fr de it pt ja ko ru 汉语 漢語</t>
        </is>
      </c>
      <c r="G276" t="n">
        <v>494</v>
      </c>
      <c r="H276">
        <f>MONTH(NOW())+12*YEAR(NOW())-MONTH(tbl_MTG_Set[[#This Row],[Released On]])-12*YEAR(tbl_MTG_Set[[#This Row],[Released On]])</f>
        <v/>
      </c>
      <c r="I276">
        <f>_xlfn.XLOOKUP(tbl_MTG_Set[[#This Row],[Type Name]], tbl_MTG_Set_Type[Set Type], tbl_MTG_Set_Type[Index], "(Set Type not found)")</f>
        <v/>
      </c>
      <c r="J276">
        <f>_xlfn.XLOOKUP(tbl_MTG_Set[[#This Row],[Type Name]], tbl_MTG_Set_Type[Set Type], tbl_MTG_Set_Type[Buy Window Month Start], "(Set Type not found)")</f>
        <v/>
      </c>
      <c r="K276" s="3">
        <f>tbl_MTG_Set[[#This Row],[Released On]]+tbl_MTG_Set[[#This Row],[Buy Window Month Start]]*365.25/12</f>
        <v/>
      </c>
      <c r="L276">
        <f>_xlfn.XLOOKUP(tbl_MTG_Set[[#This Row],[Type Name]], tbl_MTG_Set_Type[Set Type], tbl_MTG_Set_Type[Buy Window Month End], "(Set Type not found)", 0, 1)</f>
        <v/>
      </c>
      <c r="M276" s="3">
        <f>tbl_MTG_Set[[#This Row],[Released On]]+tbl_MTG_Set[[#This Row],[Buy Window Month End]]*365.25/12</f>
        <v/>
      </c>
      <c r="N276" s="3">
        <f>AND(NOW()&gt;=tbl_MTG_Set[[#This Row],[Buy Window Start]], NOW()&lt;=tbl_MTG_Set[[#This Row],[Buy Window End]])</f>
        <v/>
      </c>
      <c r="O276">
        <f>_xlfn.XLOOKUP(tbl_MTG_Set[[#This Row],[Type Name]], tbl_MTG_Set_Type[Set Type], tbl_MTG_Set_Type[Heavy Printing Window Month Start], "(Set Type not found)", 0, 1)</f>
        <v/>
      </c>
      <c r="P276" s="3">
        <f>tbl_MTG_Set[[#This Row],[Released On]]+tbl_MTG_Set[[#This Row],[Heavy Printing Window Month Start]]*365.25/12</f>
        <v/>
      </c>
      <c r="Q276">
        <f>_xlfn.XLOOKUP(tbl_MTG_Set[[#This Row],[Type Name]], tbl_MTG_Set_Type[Set Type], tbl_MTG_Set_Type[Heavy Printing Window Month End], "(Set Type not found)", 0, 1)</f>
        <v/>
      </c>
      <c r="R276" s="3">
        <f>tbl_MTG_Set[[#This Row],[Released On]]+tbl_MTG_Set[[#This Row],[Heavy Printing Window Month End]]*365.25/12</f>
        <v/>
      </c>
      <c r="S276" s="3">
        <f>AND(NOW()&gt;=tbl_MTG_Set[[#This Row],[Heavy Printing Window Start]], NOW()&lt;=tbl_MTG_Set[[#This Row],[Heavy Printing Window End]])</f>
        <v/>
      </c>
      <c r="T276">
        <f>_xlfn.XLOOKUP(tbl_MTG_Set[[#This Row],[Type Name]], tbl_MTG_Set_Type[Set Type], tbl_MTG_Set_Type[Sell Window Month Start], "(Set Type not found)", 0, 1)</f>
        <v/>
      </c>
      <c r="U276" s="3">
        <f>tbl_MTG_Set[[#This Row],[Released On]]+tbl_MTG_Set[[#This Row],[Sell Window Month Start]]*365.25/12</f>
        <v/>
      </c>
      <c r="V276">
        <f>_xlfn.XLOOKUP(tbl_MTG_Set[[#This Row],[Type Name]], tbl_MTG_Set_Type[Set Type], tbl_MTG_Set_Type[Sell Window Month End], "(Set Type not found)", 0, 1)</f>
        <v/>
      </c>
      <c r="W276" s="3">
        <f>tbl_MTG_Set[[#This Row],[Released On]]+tbl_MTG_Set[[#This Row],[Sell Window Month End]]*365.25/12</f>
        <v/>
      </c>
      <c r="X276" s="3">
        <f>AND(NOW()&gt;=tbl_MTG_Set[[#This Row],[Sell Window Start]], NOW()&lt;=tbl_MTG_Set[[#This Row],[Sell Window End]])</f>
        <v/>
      </c>
      <c r="AG276" s="10" t="n"/>
      <c r="AH276" s="10" t="n"/>
      <c r="AM276" s="10">
        <f t="array" ref="AM2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6" s="10">
        <f t="array" ref="AN2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6" s="4">
        <f>_xlfn.XLOOKUP(tbl_MTG_Set[[#This Row],[Play Booster Box Product Id]], tbl_Product[Product Id], tbl_Product[Pack Size])</f>
        <v/>
      </c>
      <c r="AP276" s="10">
        <f>(tbl_MTG_Set[[#This Row],[Play Booster Box Cost]]+v_Item_Shipping_Cost_In)/tbl_MTG_Set[[#This Row],[Play Booster Box Size]]</f>
        <v/>
      </c>
      <c r="AQ276" s="10">
        <f t="array" ref="AQ2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6" s="10" t="n"/>
      <c r="AS276" s="10" t="n"/>
      <c r="AT276" s="17">
        <f>tbl_MTG_Set[[#This Row],[Play Booster CardMarket Profit]]/tbl_MTG_Set[[#This Row],[Play Booster Cost]]</f>
        <v/>
      </c>
      <c r="AU276" s="10">
        <f>_xlfn.XLOOKUP(tbl_MTG_Set[[#This Row],[Collector Booster Box Product Id]], tbl_Product[Product Id], tbl_Product[Min Cost])</f>
        <v/>
      </c>
      <c r="AV276" s="10">
        <f>_xlfn.XLOOKUP(tbl_MTG_Set[[#This Row],[Collector Booster Box Product Id]], tbl_Product[Product Id], tbl_Product[Best Source])</f>
        <v/>
      </c>
      <c r="AW276" s="4">
        <f>_xlfn.XLOOKUP(tbl_MTG_Set[[#This Row],[Collector Booster Box Product Id]], tbl_Product[Product Id], tbl_Product[Pack Size])</f>
        <v/>
      </c>
      <c r="AX276" s="10">
        <f>(tbl_MTG_Set[[#This Row],[Collector Booster Box Cost]] + v_Item_Shipping_Cost_In) / tbl_MTG_Set[[#This Row],[Collector Booster Box Size]]</f>
        <v/>
      </c>
      <c r="AY276" s="10">
        <f t="array" ref="AY2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6" s="10" t="n"/>
      <c r="BA2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6" s="17">
        <f>tbl_MTG_Set[[#This Row],[Collector Booster CardMarket Profit]]/tbl_MTG_Set[[#This Row],[Collector Booster Cost]]</f>
        <v/>
      </c>
      <c r="BC276" s="10" t="n"/>
      <c r="BF276" s="10">
        <f>tbl_MTG_Set[[#This Row],[Play Booster Sell Price CardMarket]]*tbl_MTG_Set[[#This Row],[Play Booster Expected Market Value]]/tbl_MTG_Set[[#This Row],[Play Boost Sealed Market Value]]</f>
        <v/>
      </c>
      <c r="BG2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6" s="10">
        <f>tbl_MTG_Set[[#This Row],[Play Singles CardMarket Profit]]/tbl_MTG_Set[[#This Row],[Play Booster Cost]]</f>
        <v/>
      </c>
      <c r="BI276" s="10">
        <f>tbl_MTG_Set[[#This Row],[Play Singles CardMarket Profit]]&gt;0</f>
        <v/>
      </c>
      <c r="BJ276" s="10" t="n"/>
      <c r="BK276" s="10" t="n"/>
      <c r="BL276" s="10">
        <f>tbl_MTG_Set[[#This Row],[Collector Booster Sell Price CardMarket]]*tbl_MTG_Set[[#This Row],[Collector Booster Expected Market Value]]/tbl_MTG_Set[[#This Row],[Collector Boost Sealed Market Value]]</f>
        <v/>
      </c>
      <c r="BM2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6" s="10">
        <f>tbl_MTG_Set[[#This Row],[Collector Singles CardMarket Profit]]/tbl_MTG_Set[[#This Row],[Collector Booster Cost]]</f>
        <v/>
      </c>
      <c r="BO276" s="10">
        <f>tbl_MTG_Set[[#This Row],[Collector Singles CardMarket Profit]]&gt;0</f>
        <v/>
      </c>
      <c r="BP2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7">
      <c r="A277" t="n">
        <v>275</v>
      </c>
      <c r="B277" t="inlineStr">
        <is>
          <t>Streets of New Capenna Southeast Asia Tokens PTSNC</t>
        </is>
      </c>
      <c r="C277" t="n">
        <v>6</v>
      </c>
      <c r="D277" s="3" t="n">
        <v>44681</v>
      </c>
      <c r="E277" t="inlineStr">
        <is>
          <t>Standard Expansion</t>
        </is>
      </c>
      <c r="F277" t="inlineStr">
        <is>
          <t>en es fr de it pt ja ko ru 汉语 漢語</t>
        </is>
      </c>
      <c r="G277" t="n">
        <v>496</v>
      </c>
      <c r="H277">
        <f>MONTH(NOW())+12*YEAR(NOW())-MONTH(tbl_MTG_Set[[#This Row],[Released On]])-12*YEAR(tbl_MTG_Set[[#This Row],[Released On]])</f>
        <v/>
      </c>
      <c r="I277">
        <f>_xlfn.XLOOKUP(tbl_MTG_Set[[#This Row],[Type Name]], tbl_MTG_Set_Type[Set Type], tbl_MTG_Set_Type[Index], "(Set Type not found)")</f>
        <v/>
      </c>
      <c r="J277">
        <f>_xlfn.XLOOKUP(tbl_MTG_Set[[#This Row],[Type Name]], tbl_MTG_Set_Type[Set Type], tbl_MTG_Set_Type[Buy Window Month Start], "(Set Type not found)")</f>
        <v/>
      </c>
      <c r="K277" s="3">
        <f>tbl_MTG_Set[[#This Row],[Released On]]+tbl_MTG_Set[[#This Row],[Buy Window Month Start]]*365.25/12</f>
        <v/>
      </c>
      <c r="L277">
        <f>_xlfn.XLOOKUP(tbl_MTG_Set[[#This Row],[Type Name]], tbl_MTG_Set_Type[Set Type], tbl_MTG_Set_Type[Buy Window Month End], "(Set Type not found)", 0, 1)</f>
        <v/>
      </c>
      <c r="M277" s="3">
        <f>tbl_MTG_Set[[#This Row],[Released On]]+tbl_MTG_Set[[#This Row],[Buy Window Month End]]*365.25/12</f>
        <v/>
      </c>
      <c r="N277" s="3">
        <f>AND(NOW()&gt;=tbl_MTG_Set[[#This Row],[Buy Window Start]], NOW()&lt;=tbl_MTG_Set[[#This Row],[Buy Window End]])</f>
        <v/>
      </c>
      <c r="O277">
        <f>_xlfn.XLOOKUP(tbl_MTG_Set[[#This Row],[Type Name]], tbl_MTG_Set_Type[Set Type], tbl_MTG_Set_Type[Heavy Printing Window Month Start], "(Set Type not found)", 0, 1)</f>
        <v/>
      </c>
      <c r="P277" s="3">
        <f>tbl_MTG_Set[[#This Row],[Released On]]+tbl_MTG_Set[[#This Row],[Heavy Printing Window Month Start]]*365.25/12</f>
        <v/>
      </c>
      <c r="Q277">
        <f>_xlfn.XLOOKUP(tbl_MTG_Set[[#This Row],[Type Name]], tbl_MTG_Set_Type[Set Type], tbl_MTG_Set_Type[Heavy Printing Window Month End], "(Set Type not found)", 0, 1)</f>
        <v/>
      </c>
      <c r="R277" s="3">
        <f>tbl_MTG_Set[[#This Row],[Released On]]+tbl_MTG_Set[[#This Row],[Heavy Printing Window Month End]]*365.25/12</f>
        <v/>
      </c>
      <c r="S277" s="3">
        <f>AND(NOW()&gt;=tbl_MTG_Set[[#This Row],[Heavy Printing Window Start]], NOW()&lt;=tbl_MTG_Set[[#This Row],[Heavy Printing Window End]])</f>
        <v/>
      </c>
      <c r="T277">
        <f>_xlfn.XLOOKUP(tbl_MTG_Set[[#This Row],[Type Name]], tbl_MTG_Set_Type[Set Type], tbl_MTG_Set_Type[Sell Window Month Start], "(Set Type not found)", 0, 1)</f>
        <v/>
      </c>
      <c r="U277" s="3">
        <f>tbl_MTG_Set[[#This Row],[Released On]]+tbl_MTG_Set[[#This Row],[Sell Window Month Start]]*365.25/12</f>
        <v/>
      </c>
      <c r="V277">
        <f>_xlfn.XLOOKUP(tbl_MTG_Set[[#This Row],[Type Name]], tbl_MTG_Set_Type[Set Type], tbl_MTG_Set_Type[Sell Window Month End], "(Set Type not found)", 0, 1)</f>
        <v/>
      </c>
      <c r="W277" s="3">
        <f>tbl_MTG_Set[[#This Row],[Released On]]+tbl_MTG_Set[[#This Row],[Sell Window Month End]]*365.25/12</f>
        <v/>
      </c>
      <c r="X277" s="3">
        <f>AND(NOW()&gt;=tbl_MTG_Set[[#This Row],[Sell Window Start]], NOW()&lt;=tbl_MTG_Set[[#This Row],[Sell Window End]])</f>
        <v/>
      </c>
      <c r="AG277" s="10" t="n"/>
      <c r="AH277" s="10" t="n"/>
      <c r="AM277" s="10">
        <f t="array" ref="AM2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7" s="10">
        <f t="array" ref="AN2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7" s="4">
        <f>_xlfn.XLOOKUP(tbl_MTG_Set[[#This Row],[Play Booster Box Product Id]], tbl_Product[Product Id], tbl_Product[Pack Size])</f>
        <v/>
      </c>
      <c r="AP277" s="10">
        <f>(tbl_MTG_Set[[#This Row],[Play Booster Box Cost]]+v_Item_Shipping_Cost_In)/tbl_MTG_Set[[#This Row],[Play Booster Box Size]]</f>
        <v/>
      </c>
      <c r="AQ277" s="10">
        <f t="array" ref="AQ2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7" s="10" t="n"/>
      <c r="AS277" s="10" t="n"/>
      <c r="AT277" s="17">
        <f>tbl_MTG_Set[[#This Row],[Play Booster CardMarket Profit]]/tbl_MTG_Set[[#This Row],[Play Booster Cost]]</f>
        <v/>
      </c>
      <c r="AU277" s="10">
        <f>_xlfn.XLOOKUP(tbl_MTG_Set[[#This Row],[Collector Booster Box Product Id]], tbl_Product[Product Id], tbl_Product[Min Cost])</f>
        <v/>
      </c>
      <c r="AV277" s="10">
        <f>_xlfn.XLOOKUP(tbl_MTG_Set[[#This Row],[Collector Booster Box Product Id]], tbl_Product[Product Id], tbl_Product[Best Source])</f>
        <v/>
      </c>
      <c r="AW277" s="4">
        <f>_xlfn.XLOOKUP(tbl_MTG_Set[[#This Row],[Collector Booster Box Product Id]], tbl_Product[Product Id], tbl_Product[Pack Size])</f>
        <v/>
      </c>
      <c r="AX277" s="10">
        <f>(tbl_MTG_Set[[#This Row],[Collector Booster Box Cost]] + v_Item_Shipping_Cost_In) / tbl_MTG_Set[[#This Row],[Collector Booster Box Size]]</f>
        <v/>
      </c>
      <c r="AY277" s="10">
        <f t="array" ref="AY2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7" s="10" t="n"/>
      <c r="BA2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7" s="17">
        <f>tbl_MTG_Set[[#This Row],[Collector Booster CardMarket Profit]]/tbl_MTG_Set[[#This Row],[Collector Booster Cost]]</f>
        <v/>
      </c>
      <c r="BC277" s="10" t="n"/>
      <c r="BF277" s="10">
        <f>tbl_MTG_Set[[#This Row],[Play Booster Sell Price CardMarket]]*tbl_MTG_Set[[#This Row],[Play Booster Expected Market Value]]/tbl_MTG_Set[[#This Row],[Play Boost Sealed Market Value]]</f>
        <v/>
      </c>
      <c r="BG2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7" s="10">
        <f>tbl_MTG_Set[[#This Row],[Play Singles CardMarket Profit]]/tbl_MTG_Set[[#This Row],[Play Booster Cost]]</f>
        <v/>
      </c>
      <c r="BI277" s="10">
        <f>tbl_MTG_Set[[#This Row],[Play Singles CardMarket Profit]]&gt;0</f>
        <v/>
      </c>
      <c r="BJ277" s="10" t="n"/>
      <c r="BK277" s="10" t="n"/>
      <c r="BL277" s="10">
        <f>tbl_MTG_Set[[#This Row],[Collector Booster Sell Price CardMarket]]*tbl_MTG_Set[[#This Row],[Collector Booster Expected Market Value]]/tbl_MTG_Set[[#This Row],[Collector Boost Sealed Market Value]]</f>
        <v/>
      </c>
      <c r="BM2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7" s="10">
        <f>tbl_MTG_Set[[#This Row],[Collector Singles CardMarket Profit]]/tbl_MTG_Set[[#This Row],[Collector Booster Cost]]</f>
        <v/>
      </c>
      <c r="BO277" s="10">
        <f>tbl_MTG_Set[[#This Row],[Collector Singles CardMarket Profit]]&gt;0</f>
        <v/>
      </c>
      <c r="BP2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8">
      <c r="A278" t="n">
        <v>276</v>
      </c>
      <c r="B278" t="inlineStr">
        <is>
          <t>Streets of New Capenna Tokens TSNC</t>
        </is>
      </c>
      <c r="C278" t="n">
        <v>19</v>
      </c>
      <c r="D278" s="3" t="n">
        <v>44680</v>
      </c>
      <c r="E278" t="inlineStr">
        <is>
          <t>Standard Expansion</t>
        </is>
      </c>
      <c r="F278" t="inlineStr">
        <is>
          <t>en es fr de it pt ja ko ru 汉语 漢語</t>
        </is>
      </c>
      <c r="G278" t="n">
        <v>498</v>
      </c>
      <c r="H278">
        <f>MONTH(NOW())+12*YEAR(NOW())-MONTH(tbl_MTG_Set[[#This Row],[Released On]])-12*YEAR(tbl_MTG_Set[[#This Row],[Released On]])</f>
        <v/>
      </c>
      <c r="I278">
        <f>_xlfn.XLOOKUP(tbl_MTG_Set[[#This Row],[Type Name]], tbl_MTG_Set_Type[Set Type], tbl_MTG_Set_Type[Index], "(Set Type not found)")</f>
        <v/>
      </c>
      <c r="J278">
        <f>_xlfn.XLOOKUP(tbl_MTG_Set[[#This Row],[Type Name]], tbl_MTG_Set_Type[Set Type], tbl_MTG_Set_Type[Buy Window Month Start], "(Set Type not found)")</f>
        <v/>
      </c>
      <c r="K278" s="3">
        <f>tbl_MTG_Set[[#This Row],[Released On]]+tbl_MTG_Set[[#This Row],[Buy Window Month Start]]*365.25/12</f>
        <v/>
      </c>
      <c r="L278">
        <f>_xlfn.XLOOKUP(tbl_MTG_Set[[#This Row],[Type Name]], tbl_MTG_Set_Type[Set Type], tbl_MTG_Set_Type[Buy Window Month End], "(Set Type not found)", 0, 1)</f>
        <v/>
      </c>
      <c r="M278" s="3">
        <f>tbl_MTG_Set[[#This Row],[Released On]]+tbl_MTG_Set[[#This Row],[Buy Window Month End]]*365.25/12</f>
        <v/>
      </c>
      <c r="N278" s="3">
        <f>AND(NOW()&gt;=tbl_MTG_Set[[#This Row],[Buy Window Start]], NOW()&lt;=tbl_MTG_Set[[#This Row],[Buy Window End]])</f>
        <v/>
      </c>
      <c r="O278">
        <f>_xlfn.XLOOKUP(tbl_MTG_Set[[#This Row],[Type Name]], tbl_MTG_Set_Type[Set Type], tbl_MTG_Set_Type[Heavy Printing Window Month Start], "(Set Type not found)", 0, 1)</f>
        <v/>
      </c>
      <c r="P278" s="3">
        <f>tbl_MTG_Set[[#This Row],[Released On]]+tbl_MTG_Set[[#This Row],[Heavy Printing Window Month Start]]*365.25/12</f>
        <v/>
      </c>
      <c r="Q278">
        <f>_xlfn.XLOOKUP(tbl_MTG_Set[[#This Row],[Type Name]], tbl_MTG_Set_Type[Set Type], tbl_MTG_Set_Type[Heavy Printing Window Month End], "(Set Type not found)", 0, 1)</f>
        <v/>
      </c>
      <c r="R278" s="3">
        <f>tbl_MTG_Set[[#This Row],[Released On]]+tbl_MTG_Set[[#This Row],[Heavy Printing Window Month End]]*365.25/12</f>
        <v/>
      </c>
      <c r="S278" s="3">
        <f>AND(NOW()&gt;=tbl_MTG_Set[[#This Row],[Heavy Printing Window Start]], NOW()&lt;=tbl_MTG_Set[[#This Row],[Heavy Printing Window End]])</f>
        <v/>
      </c>
      <c r="T278">
        <f>_xlfn.XLOOKUP(tbl_MTG_Set[[#This Row],[Type Name]], tbl_MTG_Set_Type[Set Type], tbl_MTG_Set_Type[Sell Window Month Start], "(Set Type not found)", 0, 1)</f>
        <v/>
      </c>
      <c r="U278" s="3">
        <f>tbl_MTG_Set[[#This Row],[Released On]]+tbl_MTG_Set[[#This Row],[Sell Window Month Start]]*365.25/12</f>
        <v/>
      </c>
      <c r="V278">
        <f>_xlfn.XLOOKUP(tbl_MTG_Set[[#This Row],[Type Name]], tbl_MTG_Set_Type[Set Type], tbl_MTG_Set_Type[Sell Window Month End], "(Set Type not found)", 0, 1)</f>
        <v/>
      </c>
      <c r="W278" s="3">
        <f>tbl_MTG_Set[[#This Row],[Released On]]+tbl_MTG_Set[[#This Row],[Sell Window Month End]]*365.25/12</f>
        <v/>
      </c>
      <c r="X278" s="3">
        <f>AND(NOW()&gt;=tbl_MTG_Set[[#This Row],[Sell Window Start]], NOW()&lt;=tbl_MTG_Set[[#This Row],[Sell Window End]])</f>
        <v/>
      </c>
      <c r="AG278" s="10" t="n"/>
      <c r="AH278" s="10" t="n"/>
      <c r="AM278" s="10">
        <f t="array" ref="AM2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8" s="10">
        <f t="array" ref="AN2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8" s="4">
        <f>_xlfn.XLOOKUP(tbl_MTG_Set[[#This Row],[Play Booster Box Product Id]], tbl_Product[Product Id], tbl_Product[Pack Size])</f>
        <v/>
      </c>
      <c r="AP278" s="10">
        <f>(tbl_MTG_Set[[#This Row],[Play Booster Box Cost]]+v_Item_Shipping_Cost_In)/tbl_MTG_Set[[#This Row],[Play Booster Box Size]]</f>
        <v/>
      </c>
      <c r="AQ278" s="10">
        <f t="array" ref="AQ2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8" s="10" t="n"/>
      <c r="AS278" s="10" t="n"/>
      <c r="AT278" s="17">
        <f>tbl_MTG_Set[[#This Row],[Play Booster CardMarket Profit]]/tbl_MTG_Set[[#This Row],[Play Booster Cost]]</f>
        <v/>
      </c>
      <c r="AU278" s="10">
        <f>_xlfn.XLOOKUP(tbl_MTG_Set[[#This Row],[Collector Booster Box Product Id]], tbl_Product[Product Id], tbl_Product[Min Cost])</f>
        <v/>
      </c>
      <c r="AV278" s="10">
        <f>_xlfn.XLOOKUP(tbl_MTG_Set[[#This Row],[Collector Booster Box Product Id]], tbl_Product[Product Id], tbl_Product[Best Source])</f>
        <v/>
      </c>
      <c r="AW278" s="4">
        <f>_xlfn.XLOOKUP(tbl_MTG_Set[[#This Row],[Collector Booster Box Product Id]], tbl_Product[Product Id], tbl_Product[Pack Size])</f>
        <v/>
      </c>
      <c r="AX278" s="10">
        <f>(tbl_MTG_Set[[#This Row],[Collector Booster Box Cost]] + v_Item_Shipping_Cost_In) / tbl_MTG_Set[[#This Row],[Collector Booster Box Size]]</f>
        <v/>
      </c>
      <c r="AY278" s="10">
        <f t="array" ref="AY2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8" s="10" t="n"/>
      <c r="BA2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8" s="17">
        <f>tbl_MTG_Set[[#This Row],[Collector Booster CardMarket Profit]]/tbl_MTG_Set[[#This Row],[Collector Booster Cost]]</f>
        <v/>
      </c>
      <c r="BC278" s="10" t="n"/>
      <c r="BF278" s="10">
        <f>tbl_MTG_Set[[#This Row],[Play Booster Sell Price CardMarket]]*tbl_MTG_Set[[#This Row],[Play Booster Expected Market Value]]/tbl_MTG_Set[[#This Row],[Play Boost Sealed Market Value]]</f>
        <v/>
      </c>
      <c r="BG2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8" s="10">
        <f>tbl_MTG_Set[[#This Row],[Play Singles CardMarket Profit]]/tbl_MTG_Set[[#This Row],[Play Booster Cost]]</f>
        <v/>
      </c>
      <c r="BI278" s="10">
        <f>tbl_MTG_Set[[#This Row],[Play Singles CardMarket Profit]]&gt;0</f>
        <v/>
      </c>
      <c r="BJ278" s="10" t="n"/>
      <c r="BK278" s="10" t="n"/>
      <c r="BL278" s="10">
        <f>tbl_MTG_Set[[#This Row],[Collector Booster Sell Price CardMarket]]*tbl_MTG_Set[[#This Row],[Collector Booster Expected Market Value]]/tbl_MTG_Set[[#This Row],[Collector Boost Sealed Market Value]]</f>
        <v/>
      </c>
      <c r="BM2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8" s="10">
        <f>tbl_MTG_Set[[#This Row],[Collector Singles CardMarket Profit]]/tbl_MTG_Set[[#This Row],[Collector Booster Cost]]</f>
        <v/>
      </c>
      <c r="BO278" s="10">
        <f>tbl_MTG_Set[[#This Row],[Collector Singles CardMarket Profit]]&gt;0</f>
        <v/>
      </c>
      <c r="BP2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9">
      <c r="A279" t="n">
        <v>277</v>
      </c>
      <c r="B279" t="inlineStr">
        <is>
          <t>Alchemy: New Capenna YSNC</t>
        </is>
      </c>
      <c r="C279" t="n">
        <v>30</v>
      </c>
      <c r="D279" s="3" t="n">
        <v>44714</v>
      </c>
      <c r="F279" t="inlineStr">
        <is>
          <t>en es fr de it pt ja ko ru 汉语 漢語</t>
        </is>
      </c>
      <c r="G279" t="n">
        <v>500</v>
      </c>
      <c r="H279">
        <f>MONTH(NOW())+12*YEAR(NOW())-MONTH(tbl_MTG_Set[[#This Row],[Released On]])-12*YEAR(tbl_MTG_Set[[#This Row],[Released On]])</f>
        <v/>
      </c>
      <c r="I279">
        <f>_xlfn.XLOOKUP(tbl_MTG_Set[[#This Row],[Type Name]], tbl_MTG_Set_Type[Set Type], tbl_MTG_Set_Type[Index], "(Set Type not found)")</f>
        <v/>
      </c>
      <c r="J279">
        <f>_xlfn.XLOOKUP(tbl_MTG_Set[[#This Row],[Type Name]], tbl_MTG_Set_Type[Set Type], tbl_MTG_Set_Type[Buy Window Month Start], "(Set Type not found)")</f>
        <v/>
      </c>
      <c r="K279" s="3">
        <f>tbl_MTG_Set[[#This Row],[Released On]]+tbl_MTG_Set[[#This Row],[Buy Window Month Start]]*365.25/12</f>
        <v/>
      </c>
      <c r="L279">
        <f>_xlfn.XLOOKUP(tbl_MTG_Set[[#This Row],[Type Name]], tbl_MTG_Set_Type[Set Type], tbl_MTG_Set_Type[Buy Window Month End], "(Set Type not found)", 0, 1)</f>
        <v/>
      </c>
      <c r="M279" s="3">
        <f>tbl_MTG_Set[[#This Row],[Released On]]+tbl_MTG_Set[[#This Row],[Buy Window Month End]]*365.25/12</f>
        <v/>
      </c>
      <c r="N279" s="3">
        <f>AND(NOW()&gt;=tbl_MTG_Set[[#This Row],[Buy Window Start]], NOW()&lt;=tbl_MTG_Set[[#This Row],[Buy Window End]])</f>
        <v/>
      </c>
      <c r="O279">
        <f>_xlfn.XLOOKUP(tbl_MTG_Set[[#This Row],[Type Name]], tbl_MTG_Set_Type[Set Type], tbl_MTG_Set_Type[Heavy Printing Window Month Start], "(Set Type not found)", 0, 1)</f>
        <v/>
      </c>
      <c r="P279" s="3">
        <f>tbl_MTG_Set[[#This Row],[Released On]]+tbl_MTG_Set[[#This Row],[Heavy Printing Window Month Start]]*365.25/12</f>
        <v/>
      </c>
      <c r="Q279">
        <f>_xlfn.XLOOKUP(tbl_MTG_Set[[#This Row],[Type Name]], tbl_MTG_Set_Type[Set Type], tbl_MTG_Set_Type[Heavy Printing Window Month End], "(Set Type not found)", 0, 1)</f>
        <v/>
      </c>
      <c r="R279" s="3">
        <f>tbl_MTG_Set[[#This Row],[Released On]]+tbl_MTG_Set[[#This Row],[Heavy Printing Window Month End]]*365.25/12</f>
        <v/>
      </c>
      <c r="S279" s="3">
        <f>AND(NOW()&gt;=tbl_MTG_Set[[#This Row],[Heavy Printing Window Start]], NOW()&lt;=tbl_MTG_Set[[#This Row],[Heavy Printing Window End]])</f>
        <v/>
      </c>
      <c r="T279">
        <f>_xlfn.XLOOKUP(tbl_MTG_Set[[#This Row],[Type Name]], tbl_MTG_Set_Type[Set Type], tbl_MTG_Set_Type[Sell Window Month Start], "(Set Type not found)", 0, 1)</f>
        <v/>
      </c>
      <c r="U279" s="3">
        <f>tbl_MTG_Set[[#This Row],[Released On]]+tbl_MTG_Set[[#This Row],[Sell Window Month Start]]*365.25/12</f>
        <v/>
      </c>
      <c r="V279">
        <f>_xlfn.XLOOKUP(tbl_MTG_Set[[#This Row],[Type Name]], tbl_MTG_Set_Type[Set Type], tbl_MTG_Set_Type[Sell Window Month End], "(Set Type not found)", 0, 1)</f>
        <v/>
      </c>
      <c r="W279" s="3">
        <f>tbl_MTG_Set[[#This Row],[Released On]]+tbl_MTG_Set[[#This Row],[Sell Window Month End]]*365.25/12</f>
        <v/>
      </c>
      <c r="X279" s="3">
        <f>AND(NOW()&gt;=tbl_MTG_Set[[#This Row],[Sell Window Start]], NOW()&lt;=tbl_MTG_Set[[#This Row],[Sell Window End]])</f>
        <v/>
      </c>
      <c r="AG279" s="10" t="n"/>
      <c r="AH279" s="10" t="n"/>
      <c r="AM279" s="10">
        <f t="array" ref="AM2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9" s="10">
        <f t="array" ref="AN2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9" s="4">
        <f>_xlfn.XLOOKUP(tbl_MTG_Set[[#This Row],[Play Booster Box Product Id]], tbl_Product[Product Id], tbl_Product[Pack Size])</f>
        <v/>
      </c>
      <c r="AP279" s="10">
        <f>(tbl_MTG_Set[[#This Row],[Play Booster Box Cost]]+v_Item_Shipping_Cost_In)/tbl_MTG_Set[[#This Row],[Play Booster Box Size]]</f>
        <v/>
      </c>
      <c r="AQ279" s="10">
        <f t="array" ref="AQ2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79" s="10" t="n"/>
      <c r="AS279" s="10" t="n"/>
      <c r="AT279" s="17">
        <f>tbl_MTG_Set[[#This Row],[Play Booster CardMarket Profit]]/tbl_MTG_Set[[#This Row],[Play Booster Cost]]</f>
        <v/>
      </c>
      <c r="AU279" s="10">
        <f>_xlfn.XLOOKUP(tbl_MTG_Set[[#This Row],[Collector Booster Box Product Id]], tbl_Product[Product Id], tbl_Product[Min Cost])</f>
        <v/>
      </c>
      <c r="AV279" s="10">
        <f>_xlfn.XLOOKUP(tbl_MTG_Set[[#This Row],[Collector Booster Box Product Id]], tbl_Product[Product Id], tbl_Product[Best Source])</f>
        <v/>
      </c>
      <c r="AW279" s="4">
        <f>_xlfn.XLOOKUP(tbl_MTG_Set[[#This Row],[Collector Booster Box Product Id]], tbl_Product[Product Id], tbl_Product[Pack Size])</f>
        <v/>
      </c>
      <c r="AX279" s="10">
        <f>(tbl_MTG_Set[[#This Row],[Collector Booster Box Cost]] + v_Item_Shipping_Cost_In) / tbl_MTG_Set[[#This Row],[Collector Booster Box Size]]</f>
        <v/>
      </c>
      <c r="AY279" s="10">
        <f t="array" ref="AY2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79" s="10" t="n"/>
      <c r="BA2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9" s="17">
        <f>tbl_MTG_Set[[#This Row],[Collector Booster CardMarket Profit]]/tbl_MTG_Set[[#This Row],[Collector Booster Cost]]</f>
        <v/>
      </c>
      <c r="BC279" s="10" t="n"/>
      <c r="BF279" s="10">
        <f>tbl_MTG_Set[[#This Row],[Play Booster Sell Price CardMarket]]*tbl_MTG_Set[[#This Row],[Play Booster Expected Market Value]]/tbl_MTG_Set[[#This Row],[Play Boost Sealed Market Value]]</f>
        <v/>
      </c>
      <c r="BG2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9" s="10">
        <f>tbl_MTG_Set[[#This Row],[Play Singles CardMarket Profit]]/tbl_MTG_Set[[#This Row],[Play Booster Cost]]</f>
        <v/>
      </c>
      <c r="BI279" s="10">
        <f>tbl_MTG_Set[[#This Row],[Play Singles CardMarket Profit]]&gt;0</f>
        <v/>
      </c>
      <c r="BJ279" s="10" t="n"/>
      <c r="BK279" s="10" t="n"/>
      <c r="BL279" s="10">
        <f>tbl_MTG_Set[[#This Row],[Collector Booster Sell Price CardMarket]]*tbl_MTG_Set[[#This Row],[Collector Booster Expected Market Value]]/tbl_MTG_Set[[#This Row],[Collector Boost Sealed Market Value]]</f>
        <v/>
      </c>
      <c r="BM2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9" s="10">
        <f>tbl_MTG_Set[[#This Row],[Collector Singles CardMarket Profit]]/tbl_MTG_Set[[#This Row],[Collector Booster Cost]]</f>
        <v/>
      </c>
      <c r="BO279" s="10">
        <f>tbl_MTG_Set[[#This Row],[Collector Singles CardMarket Profit]]&gt;0</f>
        <v/>
      </c>
      <c r="BP2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0">
      <c r="A280" t="n">
        <v>278</v>
      </c>
      <c r="B280" t="inlineStr">
        <is>
          <t>New Capenna Commander NCC</t>
        </is>
      </c>
      <c r="C280" t="n">
        <v>447</v>
      </c>
      <c r="D280" s="3" t="n">
        <v>44680</v>
      </c>
      <c r="F280" t="inlineStr">
        <is>
          <t>en es fr de it pt ja ko ru 汉语 漢語</t>
        </is>
      </c>
      <c r="G280" t="n">
        <v>502</v>
      </c>
      <c r="H280">
        <f>MONTH(NOW())+12*YEAR(NOW())-MONTH(tbl_MTG_Set[[#This Row],[Released On]])-12*YEAR(tbl_MTG_Set[[#This Row],[Released On]])</f>
        <v/>
      </c>
      <c r="I280">
        <f>_xlfn.XLOOKUP(tbl_MTG_Set[[#This Row],[Type Name]], tbl_MTG_Set_Type[Set Type], tbl_MTG_Set_Type[Index], "(Set Type not found)")</f>
        <v/>
      </c>
      <c r="J280">
        <f>_xlfn.XLOOKUP(tbl_MTG_Set[[#This Row],[Type Name]], tbl_MTG_Set_Type[Set Type], tbl_MTG_Set_Type[Buy Window Month Start], "(Set Type not found)")</f>
        <v/>
      </c>
      <c r="K280" s="3">
        <f>tbl_MTG_Set[[#This Row],[Released On]]+tbl_MTG_Set[[#This Row],[Buy Window Month Start]]*365.25/12</f>
        <v/>
      </c>
      <c r="L280">
        <f>_xlfn.XLOOKUP(tbl_MTG_Set[[#This Row],[Type Name]], tbl_MTG_Set_Type[Set Type], tbl_MTG_Set_Type[Buy Window Month End], "(Set Type not found)", 0, 1)</f>
        <v/>
      </c>
      <c r="M280" s="3">
        <f>tbl_MTG_Set[[#This Row],[Released On]]+tbl_MTG_Set[[#This Row],[Buy Window Month End]]*365.25/12</f>
        <v/>
      </c>
      <c r="N280" s="3">
        <f>AND(NOW()&gt;=tbl_MTG_Set[[#This Row],[Buy Window Start]], NOW()&lt;=tbl_MTG_Set[[#This Row],[Buy Window End]])</f>
        <v/>
      </c>
      <c r="O280">
        <f>_xlfn.XLOOKUP(tbl_MTG_Set[[#This Row],[Type Name]], tbl_MTG_Set_Type[Set Type], tbl_MTG_Set_Type[Heavy Printing Window Month Start], "(Set Type not found)", 0, 1)</f>
        <v/>
      </c>
      <c r="P280" s="3">
        <f>tbl_MTG_Set[[#This Row],[Released On]]+tbl_MTG_Set[[#This Row],[Heavy Printing Window Month Start]]*365.25/12</f>
        <v/>
      </c>
      <c r="Q280">
        <f>_xlfn.XLOOKUP(tbl_MTG_Set[[#This Row],[Type Name]], tbl_MTG_Set_Type[Set Type], tbl_MTG_Set_Type[Heavy Printing Window Month End], "(Set Type not found)", 0, 1)</f>
        <v/>
      </c>
      <c r="R280" s="3">
        <f>tbl_MTG_Set[[#This Row],[Released On]]+tbl_MTG_Set[[#This Row],[Heavy Printing Window Month End]]*365.25/12</f>
        <v/>
      </c>
      <c r="S280" s="3">
        <f>AND(NOW()&gt;=tbl_MTG_Set[[#This Row],[Heavy Printing Window Start]], NOW()&lt;=tbl_MTG_Set[[#This Row],[Heavy Printing Window End]])</f>
        <v/>
      </c>
      <c r="T280">
        <f>_xlfn.XLOOKUP(tbl_MTG_Set[[#This Row],[Type Name]], tbl_MTG_Set_Type[Set Type], tbl_MTG_Set_Type[Sell Window Month Start], "(Set Type not found)", 0, 1)</f>
        <v/>
      </c>
      <c r="U280" s="3">
        <f>tbl_MTG_Set[[#This Row],[Released On]]+tbl_MTG_Set[[#This Row],[Sell Window Month Start]]*365.25/12</f>
        <v/>
      </c>
      <c r="V280">
        <f>_xlfn.XLOOKUP(tbl_MTG_Set[[#This Row],[Type Name]], tbl_MTG_Set_Type[Set Type], tbl_MTG_Set_Type[Sell Window Month End], "(Set Type not found)", 0, 1)</f>
        <v/>
      </c>
      <c r="W280" s="3">
        <f>tbl_MTG_Set[[#This Row],[Released On]]+tbl_MTG_Set[[#This Row],[Sell Window Month End]]*365.25/12</f>
        <v/>
      </c>
      <c r="X280" s="3">
        <f>AND(NOW()&gt;=tbl_MTG_Set[[#This Row],[Sell Window Start]], NOW()&lt;=tbl_MTG_Set[[#This Row],[Sell Window End]])</f>
        <v/>
      </c>
      <c r="AG280" s="10" t="n"/>
      <c r="AH280" s="10" t="n"/>
      <c r="AM280" s="10">
        <f t="array" ref="AM2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0" s="10">
        <f t="array" ref="AN2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0" s="4">
        <f>_xlfn.XLOOKUP(tbl_MTG_Set[[#This Row],[Play Booster Box Product Id]], tbl_Product[Product Id], tbl_Product[Pack Size])</f>
        <v/>
      </c>
      <c r="AP280" s="10">
        <f>(tbl_MTG_Set[[#This Row],[Play Booster Box Cost]]+v_Item_Shipping_Cost_In)/tbl_MTG_Set[[#This Row],[Play Booster Box Size]]</f>
        <v/>
      </c>
      <c r="AQ280" s="10">
        <f t="array" ref="AQ2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S280" s="10" t="n"/>
      <c r="AT280" s="17">
        <f>tbl_MTG_Set[[#This Row],[Play Booster CardMarket Profit]]/tbl_MTG_Set[[#This Row],[Play Booster Cost]]</f>
        <v/>
      </c>
      <c r="AU280" s="10">
        <f>_xlfn.XLOOKUP(tbl_MTG_Set[[#This Row],[Collector Booster Box Product Id]], tbl_Product[Product Id], tbl_Product[Min Cost])</f>
        <v/>
      </c>
      <c r="AV280" s="10">
        <f>_xlfn.XLOOKUP(tbl_MTG_Set[[#This Row],[Collector Booster Box Product Id]], tbl_Product[Product Id], tbl_Product[Best Source])</f>
        <v/>
      </c>
      <c r="AW280" s="4">
        <f>_xlfn.XLOOKUP(tbl_MTG_Set[[#This Row],[Collector Booster Box Product Id]], tbl_Product[Product Id], tbl_Product[Pack Size])</f>
        <v/>
      </c>
      <c r="AX280" s="10">
        <f>(tbl_MTG_Set[[#This Row],[Collector Booster Box Cost]] + v_Item_Shipping_Cost_In) / tbl_MTG_Set[[#This Row],[Collector Booster Box Size]]</f>
        <v/>
      </c>
      <c r="AY280" s="10">
        <f t="array" ref="AY2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0" s="10" t="n"/>
      <c r="BA2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0" s="17">
        <f>tbl_MTG_Set[[#This Row],[Collector Booster CardMarket Profit]]/tbl_MTG_Set[[#This Row],[Collector Booster Cost]]</f>
        <v/>
      </c>
      <c r="BC280" s="10" t="n"/>
      <c r="BF280" s="10">
        <f>tbl_MTG_Set[[#This Row],[Play Booster Sell Price CardMarket]]*tbl_MTG_Set[[#This Row],[Play Booster Expected Market Value]]/tbl_MTG_Set[[#This Row],[Play Boost Sealed Market Value]]</f>
        <v/>
      </c>
      <c r="BG2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0" s="10">
        <f>tbl_MTG_Set[[#This Row],[Play Singles CardMarket Profit]]/tbl_MTG_Set[[#This Row],[Play Booster Cost]]</f>
        <v/>
      </c>
      <c r="BI280" s="10">
        <f>tbl_MTG_Set[[#This Row],[Play Singles CardMarket Profit]]&gt;0</f>
        <v/>
      </c>
      <c r="BJ280" s="10" t="n"/>
      <c r="BK280" s="10" t="n"/>
      <c r="BL280" s="10">
        <f>tbl_MTG_Set[[#This Row],[Collector Booster Sell Price CardMarket]]*tbl_MTG_Set[[#This Row],[Collector Booster Expected Market Value]]/tbl_MTG_Set[[#This Row],[Collector Boost Sealed Market Value]]</f>
        <v/>
      </c>
      <c r="BM2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0" s="10">
        <f>tbl_MTG_Set[[#This Row],[Collector Singles CardMarket Profit]]/tbl_MTG_Set[[#This Row],[Collector Booster Cost]]</f>
        <v/>
      </c>
      <c r="BO280" s="10">
        <f>tbl_MTG_Set[[#This Row],[Collector Singles CardMarket Profit]]&gt;0</f>
        <v/>
      </c>
      <c r="BP2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1">
      <c r="A281" t="n">
        <v>279</v>
      </c>
      <c r="B281" t="inlineStr">
        <is>
          <t>New Capenna Commander Promos PNCC</t>
        </is>
      </c>
      <c r="C281" t="n">
        <v>75</v>
      </c>
      <c r="D281" s="3" t="n">
        <v>44680</v>
      </c>
      <c r="F281" t="inlineStr">
        <is>
          <t>en es fr de it pt ja ko ru 汉语 漢語</t>
        </is>
      </c>
      <c r="G281" t="n">
        <v>504</v>
      </c>
      <c r="H281">
        <f>MONTH(NOW())+12*YEAR(NOW())-MONTH(tbl_MTG_Set[[#This Row],[Released On]])-12*YEAR(tbl_MTG_Set[[#This Row],[Released On]])</f>
        <v/>
      </c>
      <c r="I281">
        <f>_xlfn.XLOOKUP(tbl_MTG_Set[[#This Row],[Type Name]], tbl_MTG_Set_Type[Set Type], tbl_MTG_Set_Type[Index], "(Set Type not found)")</f>
        <v/>
      </c>
      <c r="J281">
        <f>_xlfn.XLOOKUP(tbl_MTG_Set[[#This Row],[Type Name]], tbl_MTG_Set_Type[Set Type], tbl_MTG_Set_Type[Buy Window Month Start], "(Set Type not found)")</f>
        <v/>
      </c>
      <c r="K281" s="3">
        <f>tbl_MTG_Set[[#This Row],[Released On]]+tbl_MTG_Set[[#This Row],[Buy Window Month Start]]*365.25/12</f>
        <v/>
      </c>
      <c r="L281">
        <f>_xlfn.XLOOKUP(tbl_MTG_Set[[#This Row],[Type Name]], tbl_MTG_Set_Type[Set Type], tbl_MTG_Set_Type[Buy Window Month End], "(Set Type not found)", 0, 1)</f>
        <v/>
      </c>
      <c r="M281" s="3">
        <f>tbl_MTG_Set[[#This Row],[Released On]]+tbl_MTG_Set[[#This Row],[Buy Window Month End]]*365.25/12</f>
        <v/>
      </c>
      <c r="N281" s="3">
        <f>AND(NOW()&gt;=tbl_MTG_Set[[#This Row],[Buy Window Start]], NOW()&lt;=tbl_MTG_Set[[#This Row],[Buy Window End]])</f>
        <v/>
      </c>
      <c r="O281">
        <f>_xlfn.XLOOKUP(tbl_MTG_Set[[#This Row],[Type Name]], tbl_MTG_Set_Type[Set Type], tbl_MTG_Set_Type[Heavy Printing Window Month Start], "(Set Type not found)", 0, 1)</f>
        <v/>
      </c>
      <c r="P281" s="3">
        <f>tbl_MTG_Set[[#This Row],[Released On]]+tbl_MTG_Set[[#This Row],[Heavy Printing Window Month Start]]*365.25/12</f>
        <v/>
      </c>
      <c r="Q281">
        <f>_xlfn.XLOOKUP(tbl_MTG_Set[[#This Row],[Type Name]], tbl_MTG_Set_Type[Set Type], tbl_MTG_Set_Type[Heavy Printing Window Month End], "(Set Type not found)", 0, 1)</f>
        <v/>
      </c>
      <c r="R281" s="3">
        <f>tbl_MTG_Set[[#This Row],[Released On]]+tbl_MTG_Set[[#This Row],[Heavy Printing Window Month End]]*365.25/12</f>
        <v/>
      </c>
      <c r="S281" s="3">
        <f>AND(NOW()&gt;=tbl_MTG_Set[[#This Row],[Heavy Printing Window Start]], NOW()&lt;=tbl_MTG_Set[[#This Row],[Heavy Printing Window End]])</f>
        <v/>
      </c>
      <c r="T281">
        <f>_xlfn.XLOOKUP(tbl_MTG_Set[[#This Row],[Type Name]], tbl_MTG_Set_Type[Set Type], tbl_MTG_Set_Type[Sell Window Month Start], "(Set Type not found)", 0, 1)</f>
        <v/>
      </c>
      <c r="U281" s="3">
        <f>tbl_MTG_Set[[#This Row],[Released On]]+tbl_MTG_Set[[#This Row],[Sell Window Month Start]]*365.25/12</f>
        <v/>
      </c>
      <c r="V281">
        <f>_xlfn.XLOOKUP(tbl_MTG_Set[[#This Row],[Type Name]], tbl_MTG_Set_Type[Set Type], tbl_MTG_Set_Type[Sell Window Month End], "(Set Type not found)", 0, 1)</f>
        <v/>
      </c>
      <c r="W281" s="3">
        <f>tbl_MTG_Set[[#This Row],[Released On]]+tbl_MTG_Set[[#This Row],[Sell Window Month End]]*365.25/12</f>
        <v/>
      </c>
      <c r="X281" s="3">
        <f>AND(NOW()&gt;=tbl_MTG_Set[[#This Row],[Sell Window Start]], NOW()&lt;=tbl_MTG_Set[[#This Row],[Sell Window End]])</f>
        <v/>
      </c>
      <c r="AG281" s="10" t="n"/>
      <c r="AH281" s="10" t="n"/>
      <c r="AM281" s="10">
        <f t="array" ref="AM2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1" s="10">
        <f t="array" ref="AN2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1" s="4">
        <f>_xlfn.XLOOKUP(tbl_MTG_Set[[#This Row],[Play Booster Box Product Id]], tbl_Product[Product Id], tbl_Product[Pack Size])</f>
        <v/>
      </c>
      <c r="AP281" s="10">
        <f>(tbl_MTG_Set[[#This Row],[Play Booster Box Cost]]+v_Item_Shipping_Cost_In)/tbl_MTG_Set[[#This Row],[Play Booster Box Size]]</f>
        <v/>
      </c>
      <c r="AQ281" s="10">
        <f t="array" ref="AQ2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1" s="10" t="n"/>
      <c r="AS281" s="10" t="n"/>
      <c r="AT281" s="17">
        <f>tbl_MTG_Set[[#This Row],[Play Booster CardMarket Profit]]/tbl_MTG_Set[[#This Row],[Play Booster Cost]]</f>
        <v/>
      </c>
      <c r="AU281" s="10">
        <f>_xlfn.XLOOKUP(tbl_MTG_Set[[#This Row],[Collector Booster Box Product Id]], tbl_Product[Product Id], tbl_Product[Min Cost])</f>
        <v/>
      </c>
      <c r="AV281" s="10">
        <f>_xlfn.XLOOKUP(tbl_MTG_Set[[#This Row],[Collector Booster Box Product Id]], tbl_Product[Product Id], tbl_Product[Best Source])</f>
        <v/>
      </c>
      <c r="AW281" s="4">
        <f>_xlfn.XLOOKUP(tbl_MTG_Set[[#This Row],[Collector Booster Box Product Id]], tbl_Product[Product Id], tbl_Product[Pack Size])</f>
        <v/>
      </c>
      <c r="AX281" s="10">
        <f>(tbl_MTG_Set[[#This Row],[Collector Booster Box Cost]] + v_Item_Shipping_Cost_In) / tbl_MTG_Set[[#This Row],[Collector Booster Box Size]]</f>
        <v/>
      </c>
      <c r="AY281" s="10">
        <f t="array" ref="AY2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1" s="10" t="n"/>
      <c r="BA2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1" s="17">
        <f>tbl_MTG_Set[[#This Row],[Collector Booster CardMarket Profit]]/tbl_MTG_Set[[#This Row],[Collector Booster Cost]]</f>
        <v/>
      </c>
      <c r="BC281" s="10" t="n"/>
      <c r="BF281" s="10">
        <f>tbl_MTG_Set[[#This Row],[Play Booster Sell Price CardMarket]]*tbl_MTG_Set[[#This Row],[Play Booster Expected Market Value]]/tbl_MTG_Set[[#This Row],[Play Boost Sealed Market Value]]</f>
        <v/>
      </c>
      <c r="BG2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1" s="10">
        <f>tbl_MTG_Set[[#This Row],[Play Singles CardMarket Profit]]/tbl_MTG_Set[[#This Row],[Play Booster Cost]]</f>
        <v/>
      </c>
      <c r="BI281" s="10">
        <f>tbl_MTG_Set[[#This Row],[Play Singles CardMarket Profit]]&gt;0</f>
        <v/>
      </c>
      <c r="BJ281" s="10" t="n"/>
      <c r="BK281" s="10" t="n"/>
      <c r="BL281" s="10">
        <f>tbl_MTG_Set[[#This Row],[Collector Booster Sell Price CardMarket]]*tbl_MTG_Set[[#This Row],[Collector Booster Expected Market Value]]/tbl_MTG_Set[[#This Row],[Collector Boost Sealed Market Value]]</f>
        <v/>
      </c>
      <c r="BM2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1" s="10">
        <f>tbl_MTG_Set[[#This Row],[Collector Singles CardMarket Profit]]/tbl_MTG_Set[[#This Row],[Collector Booster Cost]]</f>
        <v/>
      </c>
      <c r="BO281" s="10">
        <f>tbl_MTG_Set[[#This Row],[Collector Singles CardMarket Profit]]&gt;0</f>
        <v/>
      </c>
      <c r="BP2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2">
      <c r="A282" t="n">
        <v>280</v>
      </c>
      <c r="B282" t="inlineStr">
        <is>
          <t>New Capenna Commander Tokens TNCC</t>
        </is>
      </c>
      <c r="C282" t="n">
        <v>36</v>
      </c>
      <c r="D282" s="3" t="n">
        <v>44680</v>
      </c>
      <c r="F282" t="inlineStr">
        <is>
          <t>en es fr de it pt ja ko ru 汉语 漢語</t>
        </is>
      </c>
      <c r="G282" t="n">
        <v>506</v>
      </c>
      <c r="H282">
        <f>MONTH(NOW())+12*YEAR(NOW())-MONTH(tbl_MTG_Set[[#This Row],[Released On]])-12*YEAR(tbl_MTG_Set[[#This Row],[Released On]])</f>
        <v/>
      </c>
      <c r="I282">
        <f>_xlfn.XLOOKUP(tbl_MTG_Set[[#This Row],[Type Name]], tbl_MTG_Set_Type[Set Type], tbl_MTG_Set_Type[Index], "(Set Type not found)")</f>
        <v/>
      </c>
      <c r="J282">
        <f>_xlfn.XLOOKUP(tbl_MTG_Set[[#This Row],[Type Name]], tbl_MTG_Set_Type[Set Type], tbl_MTG_Set_Type[Buy Window Month Start], "(Set Type not found)")</f>
        <v/>
      </c>
      <c r="K282" s="3">
        <f>tbl_MTG_Set[[#This Row],[Released On]]+tbl_MTG_Set[[#This Row],[Buy Window Month Start]]*365.25/12</f>
        <v/>
      </c>
      <c r="L282">
        <f>_xlfn.XLOOKUP(tbl_MTG_Set[[#This Row],[Type Name]], tbl_MTG_Set_Type[Set Type], tbl_MTG_Set_Type[Buy Window Month End], "(Set Type not found)", 0, 1)</f>
        <v/>
      </c>
      <c r="M282" s="3">
        <f>tbl_MTG_Set[[#This Row],[Released On]]+tbl_MTG_Set[[#This Row],[Buy Window Month End]]*365.25/12</f>
        <v/>
      </c>
      <c r="N282" s="3">
        <f>AND(NOW()&gt;=tbl_MTG_Set[[#This Row],[Buy Window Start]], NOW()&lt;=tbl_MTG_Set[[#This Row],[Buy Window End]])</f>
        <v/>
      </c>
      <c r="O282">
        <f>_xlfn.XLOOKUP(tbl_MTG_Set[[#This Row],[Type Name]], tbl_MTG_Set_Type[Set Type], tbl_MTG_Set_Type[Heavy Printing Window Month Start], "(Set Type not found)", 0, 1)</f>
        <v/>
      </c>
      <c r="P282" s="3">
        <f>tbl_MTG_Set[[#This Row],[Released On]]+tbl_MTG_Set[[#This Row],[Heavy Printing Window Month Start]]*365.25/12</f>
        <v/>
      </c>
      <c r="Q282">
        <f>_xlfn.XLOOKUP(tbl_MTG_Set[[#This Row],[Type Name]], tbl_MTG_Set_Type[Set Type], tbl_MTG_Set_Type[Heavy Printing Window Month End], "(Set Type not found)", 0, 1)</f>
        <v/>
      </c>
      <c r="R282" s="3">
        <f>tbl_MTG_Set[[#This Row],[Released On]]+tbl_MTG_Set[[#This Row],[Heavy Printing Window Month End]]*365.25/12</f>
        <v/>
      </c>
      <c r="S282" s="3">
        <f>AND(NOW()&gt;=tbl_MTG_Set[[#This Row],[Heavy Printing Window Start]], NOW()&lt;=tbl_MTG_Set[[#This Row],[Heavy Printing Window End]])</f>
        <v/>
      </c>
      <c r="T282">
        <f>_xlfn.XLOOKUP(tbl_MTG_Set[[#This Row],[Type Name]], tbl_MTG_Set_Type[Set Type], tbl_MTG_Set_Type[Sell Window Month Start], "(Set Type not found)", 0, 1)</f>
        <v/>
      </c>
      <c r="U282" s="3">
        <f>tbl_MTG_Set[[#This Row],[Released On]]+tbl_MTG_Set[[#This Row],[Sell Window Month Start]]*365.25/12</f>
        <v/>
      </c>
      <c r="V282">
        <f>_xlfn.XLOOKUP(tbl_MTG_Set[[#This Row],[Type Name]], tbl_MTG_Set_Type[Set Type], tbl_MTG_Set_Type[Sell Window Month End], "(Set Type not found)", 0, 1)</f>
        <v/>
      </c>
      <c r="W282" s="3">
        <f>tbl_MTG_Set[[#This Row],[Released On]]+tbl_MTG_Set[[#This Row],[Sell Window Month End]]*365.25/12</f>
        <v/>
      </c>
      <c r="X282" s="3">
        <f>AND(NOW()&gt;=tbl_MTG_Set[[#This Row],[Sell Window Start]], NOW()&lt;=tbl_MTG_Set[[#This Row],[Sell Window End]])</f>
        <v/>
      </c>
      <c r="AG282" s="10" t="n"/>
      <c r="AH282" s="10" t="n"/>
      <c r="AM282" s="10">
        <f t="array" ref="AM2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2" s="10">
        <f t="array" ref="AN2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2" s="4">
        <f>_xlfn.XLOOKUP(tbl_MTG_Set[[#This Row],[Play Booster Box Product Id]], tbl_Product[Product Id], tbl_Product[Pack Size])</f>
        <v/>
      </c>
      <c r="AP282" s="10">
        <f>(tbl_MTG_Set[[#This Row],[Play Booster Box Cost]]+v_Item_Shipping_Cost_In)/tbl_MTG_Set[[#This Row],[Play Booster Box Size]]</f>
        <v/>
      </c>
      <c r="AQ282" s="10">
        <f t="array" ref="AQ2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2" s="10" t="n"/>
      <c r="AS282" s="10" t="n"/>
      <c r="AT282" s="17">
        <f>tbl_MTG_Set[[#This Row],[Play Booster CardMarket Profit]]/tbl_MTG_Set[[#This Row],[Play Booster Cost]]</f>
        <v/>
      </c>
      <c r="AU282" s="10">
        <f>_xlfn.XLOOKUP(tbl_MTG_Set[[#This Row],[Collector Booster Box Product Id]], tbl_Product[Product Id], tbl_Product[Min Cost])</f>
        <v/>
      </c>
      <c r="AV282" s="10">
        <f>_xlfn.XLOOKUP(tbl_MTG_Set[[#This Row],[Collector Booster Box Product Id]], tbl_Product[Product Id], tbl_Product[Best Source])</f>
        <v/>
      </c>
      <c r="AW282" s="4">
        <f>_xlfn.XLOOKUP(tbl_MTG_Set[[#This Row],[Collector Booster Box Product Id]], tbl_Product[Product Id], tbl_Product[Pack Size])</f>
        <v/>
      </c>
      <c r="AX282" s="10">
        <f>(tbl_MTG_Set[[#This Row],[Collector Booster Box Cost]] + v_Item_Shipping_Cost_In) / tbl_MTG_Set[[#This Row],[Collector Booster Box Size]]</f>
        <v/>
      </c>
      <c r="AY282" s="10">
        <f t="array" ref="AY2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2" s="10" t="n"/>
      <c r="BA2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2" s="17">
        <f>tbl_MTG_Set[[#This Row],[Collector Booster CardMarket Profit]]/tbl_MTG_Set[[#This Row],[Collector Booster Cost]]</f>
        <v/>
      </c>
      <c r="BC282" s="10" t="n"/>
      <c r="BF282" s="10">
        <f>tbl_MTG_Set[[#This Row],[Play Booster Sell Price CardMarket]]*tbl_MTG_Set[[#This Row],[Play Booster Expected Market Value]]/tbl_MTG_Set[[#This Row],[Play Boost Sealed Market Value]]</f>
        <v/>
      </c>
      <c r="BG2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2" s="10">
        <f>tbl_MTG_Set[[#This Row],[Play Singles CardMarket Profit]]/tbl_MTG_Set[[#This Row],[Play Booster Cost]]</f>
        <v/>
      </c>
      <c r="BI282" s="10">
        <f>tbl_MTG_Set[[#This Row],[Play Singles CardMarket Profit]]&gt;0</f>
        <v/>
      </c>
      <c r="BJ282" s="10" t="n"/>
      <c r="BK282" s="10" t="n"/>
      <c r="BL282" s="10">
        <f>tbl_MTG_Set[[#This Row],[Collector Booster Sell Price CardMarket]]*tbl_MTG_Set[[#This Row],[Collector Booster Expected Market Value]]/tbl_MTG_Set[[#This Row],[Collector Boost Sealed Market Value]]</f>
        <v/>
      </c>
      <c r="BM2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2" s="10">
        <f>tbl_MTG_Set[[#This Row],[Collector Singles CardMarket Profit]]/tbl_MTG_Set[[#This Row],[Collector Booster Cost]]</f>
        <v/>
      </c>
      <c r="BO282" s="10">
        <f>tbl_MTG_Set[[#This Row],[Collector Singles CardMarket Profit]]&gt;0</f>
        <v/>
      </c>
      <c r="BP2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3">
      <c r="A283" t="n">
        <v>281</v>
      </c>
      <c r="B283" t="inlineStr">
        <is>
          <t>Streets of New Capenna Minigames MSNC</t>
        </is>
      </c>
      <c r="C283" t="n">
        <v>3</v>
      </c>
      <c r="D283" s="3" t="n">
        <v>44680</v>
      </c>
      <c r="E283" t="inlineStr">
        <is>
          <t>Standard Expansion</t>
        </is>
      </c>
      <c r="F283" t="inlineStr">
        <is>
          <t>en es fr de it pt ja ko ru 汉语 漢語</t>
        </is>
      </c>
      <c r="G283" t="n">
        <v>508</v>
      </c>
      <c r="H283">
        <f>MONTH(NOW())+12*YEAR(NOW())-MONTH(tbl_MTG_Set[[#This Row],[Released On]])-12*YEAR(tbl_MTG_Set[[#This Row],[Released On]])</f>
        <v/>
      </c>
      <c r="I283">
        <f>_xlfn.XLOOKUP(tbl_MTG_Set[[#This Row],[Type Name]], tbl_MTG_Set_Type[Set Type], tbl_MTG_Set_Type[Index], "(Set Type not found)")</f>
        <v/>
      </c>
      <c r="J283">
        <f>_xlfn.XLOOKUP(tbl_MTG_Set[[#This Row],[Type Name]], tbl_MTG_Set_Type[Set Type], tbl_MTG_Set_Type[Buy Window Month Start], "(Set Type not found)")</f>
        <v/>
      </c>
      <c r="K283" s="3">
        <f>tbl_MTG_Set[[#This Row],[Released On]]+tbl_MTG_Set[[#This Row],[Buy Window Month Start]]*365.25/12</f>
        <v/>
      </c>
      <c r="L283">
        <f>_xlfn.XLOOKUP(tbl_MTG_Set[[#This Row],[Type Name]], tbl_MTG_Set_Type[Set Type], tbl_MTG_Set_Type[Buy Window Month End], "(Set Type not found)", 0, 1)</f>
        <v/>
      </c>
      <c r="M283" s="3">
        <f>tbl_MTG_Set[[#This Row],[Released On]]+tbl_MTG_Set[[#This Row],[Buy Window Month End]]*365.25/12</f>
        <v/>
      </c>
      <c r="N283" s="3">
        <f>AND(NOW()&gt;=tbl_MTG_Set[[#This Row],[Buy Window Start]], NOW()&lt;=tbl_MTG_Set[[#This Row],[Buy Window End]])</f>
        <v/>
      </c>
      <c r="O283">
        <f>_xlfn.XLOOKUP(tbl_MTG_Set[[#This Row],[Type Name]], tbl_MTG_Set_Type[Set Type], tbl_MTG_Set_Type[Heavy Printing Window Month Start], "(Set Type not found)", 0, 1)</f>
        <v/>
      </c>
      <c r="P283" s="3">
        <f>tbl_MTG_Set[[#This Row],[Released On]]+tbl_MTG_Set[[#This Row],[Heavy Printing Window Month Start]]*365.25/12</f>
        <v/>
      </c>
      <c r="Q283">
        <f>_xlfn.XLOOKUP(tbl_MTG_Set[[#This Row],[Type Name]], tbl_MTG_Set_Type[Set Type], tbl_MTG_Set_Type[Heavy Printing Window Month End], "(Set Type not found)", 0, 1)</f>
        <v/>
      </c>
      <c r="R283" s="3">
        <f>tbl_MTG_Set[[#This Row],[Released On]]+tbl_MTG_Set[[#This Row],[Heavy Printing Window Month End]]*365.25/12</f>
        <v/>
      </c>
      <c r="S283" s="3">
        <f>AND(NOW()&gt;=tbl_MTG_Set[[#This Row],[Heavy Printing Window Start]], NOW()&lt;=tbl_MTG_Set[[#This Row],[Heavy Printing Window End]])</f>
        <v/>
      </c>
      <c r="T283">
        <f>_xlfn.XLOOKUP(tbl_MTG_Set[[#This Row],[Type Name]], tbl_MTG_Set_Type[Set Type], tbl_MTG_Set_Type[Sell Window Month Start], "(Set Type not found)", 0, 1)</f>
        <v/>
      </c>
      <c r="U283" s="3">
        <f>tbl_MTG_Set[[#This Row],[Released On]]+tbl_MTG_Set[[#This Row],[Sell Window Month Start]]*365.25/12</f>
        <v/>
      </c>
      <c r="V283">
        <f>_xlfn.XLOOKUP(tbl_MTG_Set[[#This Row],[Type Name]], tbl_MTG_Set_Type[Set Type], tbl_MTG_Set_Type[Sell Window Month End], "(Set Type not found)", 0, 1)</f>
        <v/>
      </c>
      <c r="W283" s="3">
        <f>tbl_MTG_Set[[#This Row],[Released On]]+tbl_MTG_Set[[#This Row],[Sell Window Month End]]*365.25/12</f>
        <v/>
      </c>
      <c r="X283" s="3">
        <f>AND(NOW()&gt;=tbl_MTG_Set[[#This Row],[Sell Window Start]], NOW()&lt;=tbl_MTG_Set[[#This Row],[Sell Window End]])</f>
        <v/>
      </c>
      <c r="AG283" s="10" t="n"/>
      <c r="AH283" s="10" t="n"/>
      <c r="AM283" s="10">
        <f t="array" ref="AM2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3" s="10">
        <f t="array" ref="AN2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3" s="4">
        <f>_xlfn.XLOOKUP(tbl_MTG_Set[[#This Row],[Play Booster Box Product Id]], tbl_Product[Product Id], tbl_Product[Pack Size])</f>
        <v/>
      </c>
      <c r="AP283" s="10">
        <f>(tbl_MTG_Set[[#This Row],[Play Booster Box Cost]]+v_Item_Shipping_Cost_In)/tbl_MTG_Set[[#This Row],[Play Booster Box Size]]</f>
        <v/>
      </c>
      <c r="AQ283" s="10">
        <f t="array" ref="AQ2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3" s="10" t="n"/>
      <c r="AS283" s="10" t="n"/>
      <c r="AT283" s="17">
        <f>tbl_MTG_Set[[#This Row],[Play Booster CardMarket Profit]]/tbl_MTG_Set[[#This Row],[Play Booster Cost]]</f>
        <v/>
      </c>
      <c r="AU283" s="10">
        <f>_xlfn.XLOOKUP(tbl_MTG_Set[[#This Row],[Collector Booster Box Product Id]], tbl_Product[Product Id], tbl_Product[Min Cost])</f>
        <v/>
      </c>
      <c r="AV283" s="10">
        <f>_xlfn.XLOOKUP(tbl_MTG_Set[[#This Row],[Collector Booster Box Product Id]], tbl_Product[Product Id], tbl_Product[Best Source])</f>
        <v/>
      </c>
      <c r="AW283" s="4">
        <f>_xlfn.XLOOKUP(tbl_MTG_Set[[#This Row],[Collector Booster Box Product Id]], tbl_Product[Product Id], tbl_Product[Pack Size])</f>
        <v/>
      </c>
      <c r="AX283" s="10">
        <f>(tbl_MTG_Set[[#This Row],[Collector Booster Box Cost]] + v_Item_Shipping_Cost_In) / tbl_MTG_Set[[#This Row],[Collector Booster Box Size]]</f>
        <v/>
      </c>
      <c r="AY283" s="10">
        <f t="array" ref="AY2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3" s="10" t="n"/>
      <c r="BA2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3" s="17">
        <f>tbl_MTG_Set[[#This Row],[Collector Booster CardMarket Profit]]/tbl_MTG_Set[[#This Row],[Collector Booster Cost]]</f>
        <v/>
      </c>
      <c r="BC283" s="10" t="n"/>
      <c r="BF283" s="10">
        <f>tbl_MTG_Set[[#This Row],[Play Booster Sell Price CardMarket]]*tbl_MTG_Set[[#This Row],[Play Booster Expected Market Value]]/tbl_MTG_Set[[#This Row],[Play Boost Sealed Market Value]]</f>
        <v/>
      </c>
      <c r="BG2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3" s="10">
        <f>tbl_MTG_Set[[#This Row],[Play Singles CardMarket Profit]]/tbl_MTG_Set[[#This Row],[Play Booster Cost]]</f>
        <v/>
      </c>
      <c r="BI283" s="10">
        <f>tbl_MTG_Set[[#This Row],[Play Singles CardMarket Profit]]&gt;0</f>
        <v/>
      </c>
      <c r="BJ283" s="10" t="n"/>
      <c r="BK283" s="10" t="n"/>
      <c r="BL283" s="10">
        <f>tbl_MTG_Set[[#This Row],[Collector Booster Sell Price CardMarket]]*tbl_MTG_Set[[#This Row],[Collector Booster Expected Market Value]]/tbl_MTG_Set[[#This Row],[Collector Boost Sealed Market Value]]</f>
        <v/>
      </c>
      <c r="BM2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3" s="10">
        <f>tbl_MTG_Set[[#This Row],[Collector Singles CardMarket Profit]]/tbl_MTG_Set[[#This Row],[Collector Booster Cost]]</f>
        <v/>
      </c>
      <c r="BO283" s="10">
        <f>tbl_MTG_Set[[#This Row],[Collector Singles CardMarket Profit]]&gt;0</f>
        <v/>
      </c>
      <c r="BP2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4">
      <c r="A284" t="n">
        <v>283</v>
      </c>
      <c r="B284" t="inlineStr">
        <is>
          <t>Game Day Promos GDY</t>
        </is>
      </c>
      <c r="C284" t="n">
        <v>9</v>
      </c>
      <c r="D284" s="3" t="n">
        <v>44659</v>
      </c>
      <c r="F284" t="inlineStr">
        <is>
          <t>en es fr de it pt ja ko ru 汉语 漢語</t>
        </is>
      </c>
      <c r="G284" t="n">
        <v>512</v>
      </c>
      <c r="H284">
        <f>MONTH(NOW())+12*YEAR(NOW())-MONTH(tbl_MTG_Set[[#This Row],[Released On]])-12*YEAR(tbl_MTG_Set[[#This Row],[Released On]])</f>
        <v/>
      </c>
      <c r="I284">
        <f>_xlfn.XLOOKUP(tbl_MTG_Set[[#This Row],[Type Name]], tbl_MTG_Set_Type[Set Type], tbl_MTG_Set_Type[Index], "(Set Type not found)")</f>
        <v/>
      </c>
      <c r="J284">
        <f>_xlfn.XLOOKUP(tbl_MTG_Set[[#This Row],[Type Name]], tbl_MTG_Set_Type[Set Type], tbl_MTG_Set_Type[Buy Window Month Start], "(Set Type not found)")</f>
        <v/>
      </c>
      <c r="K284" s="3">
        <f>tbl_MTG_Set[[#This Row],[Released On]]+tbl_MTG_Set[[#This Row],[Buy Window Month Start]]*365.25/12</f>
        <v/>
      </c>
      <c r="L284">
        <f>_xlfn.XLOOKUP(tbl_MTG_Set[[#This Row],[Type Name]], tbl_MTG_Set_Type[Set Type], tbl_MTG_Set_Type[Buy Window Month End], "(Set Type not found)", 0, 1)</f>
        <v/>
      </c>
      <c r="M284" s="3">
        <f>tbl_MTG_Set[[#This Row],[Released On]]+tbl_MTG_Set[[#This Row],[Buy Window Month End]]*365.25/12</f>
        <v/>
      </c>
      <c r="N284" s="3">
        <f>AND(NOW()&gt;=tbl_MTG_Set[[#This Row],[Buy Window Start]], NOW()&lt;=tbl_MTG_Set[[#This Row],[Buy Window End]])</f>
        <v/>
      </c>
      <c r="O284">
        <f>_xlfn.XLOOKUP(tbl_MTG_Set[[#This Row],[Type Name]], tbl_MTG_Set_Type[Set Type], tbl_MTG_Set_Type[Heavy Printing Window Month Start], "(Set Type not found)", 0, 1)</f>
        <v/>
      </c>
      <c r="P284" s="3">
        <f>tbl_MTG_Set[[#This Row],[Released On]]+tbl_MTG_Set[[#This Row],[Heavy Printing Window Month Start]]*365.25/12</f>
        <v/>
      </c>
      <c r="Q284">
        <f>_xlfn.XLOOKUP(tbl_MTG_Set[[#This Row],[Type Name]], tbl_MTG_Set_Type[Set Type], tbl_MTG_Set_Type[Heavy Printing Window Month End], "(Set Type not found)", 0, 1)</f>
        <v/>
      </c>
      <c r="R284" s="3">
        <f>tbl_MTG_Set[[#This Row],[Released On]]+tbl_MTG_Set[[#This Row],[Heavy Printing Window Month End]]*365.25/12</f>
        <v/>
      </c>
      <c r="S284" s="3">
        <f>AND(NOW()&gt;=tbl_MTG_Set[[#This Row],[Heavy Printing Window Start]], NOW()&lt;=tbl_MTG_Set[[#This Row],[Heavy Printing Window End]])</f>
        <v/>
      </c>
      <c r="T284">
        <f>_xlfn.XLOOKUP(tbl_MTG_Set[[#This Row],[Type Name]], tbl_MTG_Set_Type[Set Type], tbl_MTG_Set_Type[Sell Window Month Start], "(Set Type not found)", 0, 1)</f>
        <v/>
      </c>
      <c r="U284" s="3">
        <f>tbl_MTG_Set[[#This Row],[Released On]]+tbl_MTG_Set[[#This Row],[Sell Window Month Start]]*365.25/12</f>
        <v/>
      </c>
      <c r="V284">
        <f>_xlfn.XLOOKUP(tbl_MTG_Set[[#This Row],[Type Name]], tbl_MTG_Set_Type[Set Type], tbl_MTG_Set_Type[Sell Window Month End], "(Set Type not found)", 0, 1)</f>
        <v/>
      </c>
      <c r="W284" s="3">
        <f>tbl_MTG_Set[[#This Row],[Released On]]+tbl_MTG_Set[[#This Row],[Sell Window Month End]]*365.25/12</f>
        <v/>
      </c>
      <c r="X284" s="3">
        <f>AND(NOW()&gt;=tbl_MTG_Set[[#This Row],[Sell Window Start]], NOW()&lt;=tbl_MTG_Set[[#This Row],[Sell Window End]])</f>
        <v/>
      </c>
      <c r="AG284" s="10" t="n"/>
      <c r="AH284" s="10" t="n"/>
      <c r="AM284" s="10">
        <f t="array" ref="AM2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4" s="10">
        <f t="array" ref="AN2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4" s="4">
        <f>_xlfn.XLOOKUP(tbl_MTG_Set[[#This Row],[Play Booster Box Product Id]], tbl_Product[Product Id], tbl_Product[Pack Size])</f>
        <v/>
      </c>
      <c r="AP284" s="10">
        <f>(tbl_MTG_Set[[#This Row],[Play Booster Box Cost]]+v_Item_Shipping_Cost_In)/tbl_MTG_Set[[#This Row],[Play Booster Box Size]]</f>
        <v/>
      </c>
      <c r="AQ284" s="10">
        <f t="array" ref="AQ2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4" s="10" t="n"/>
      <c r="AS284" s="10" t="n"/>
      <c r="AT284" s="17">
        <f>tbl_MTG_Set[[#This Row],[Play Booster CardMarket Profit]]/tbl_MTG_Set[[#This Row],[Play Booster Cost]]</f>
        <v/>
      </c>
      <c r="AU284" s="10">
        <f>_xlfn.XLOOKUP(tbl_MTG_Set[[#This Row],[Collector Booster Box Product Id]], tbl_Product[Product Id], tbl_Product[Min Cost])</f>
        <v/>
      </c>
      <c r="AV284" s="10">
        <f>_xlfn.XLOOKUP(tbl_MTG_Set[[#This Row],[Collector Booster Box Product Id]], tbl_Product[Product Id], tbl_Product[Best Source])</f>
        <v/>
      </c>
      <c r="AW284" s="4">
        <f>_xlfn.XLOOKUP(tbl_MTG_Set[[#This Row],[Collector Booster Box Product Id]], tbl_Product[Product Id], tbl_Product[Pack Size])</f>
        <v/>
      </c>
      <c r="AX284" s="10">
        <f>(tbl_MTG_Set[[#This Row],[Collector Booster Box Cost]] + v_Item_Shipping_Cost_In) / tbl_MTG_Set[[#This Row],[Collector Booster Box Size]]</f>
        <v/>
      </c>
      <c r="AY284" s="10">
        <f t="array" ref="AY2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4" s="10" t="n"/>
      <c r="BA2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4" s="17">
        <f>tbl_MTG_Set[[#This Row],[Collector Booster CardMarket Profit]]/tbl_MTG_Set[[#This Row],[Collector Booster Cost]]</f>
        <v/>
      </c>
      <c r="BC284" s="10" t="n"/>
      <c r="BF284" s="10">
        <f>tbl_MTG_Set[[#This Row],[Play Booster Sell Price CardMarket]]*tbl_MTG_Set[[#This Row],[Play Booster Expected Market Value]]/tbl_MTG_Set[[#This Row],[Play Boost Sealed Market Value]]</f>
        <v/>
      </c>
      <c r="BG2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4" s="10">
        <f>tbl_MTG_Set[[#This Row],[Play Singles CardMarket Profit]]/tbl_MTG_Set[[#This Row],[Play Booster Cost]]</f>
        <v/>
      </c>
      <c r="BI284" s="10">
        <f>tbl_MTG_Set[[#This Row],[Play Singles CardMarket Profit]]&gt;0</f>
        <v/>
      </c>
      <c r="BJ284" s="10" t="n"/>
      <c r="BK284" s="10" t="n"/>
      <c r="BL284" s="10">
        <f>tbl_MTG_Set[[#This Row],[Collector Booster Sell Price CardMarket]]*tbl_MTG_Set[[#This Row],[Collector Booster Expected Market Value]]/tbl_MTG_Set[[#This Row],[Collector Boost Sealed Market Value]]</f>
        <v/>
      </c>
      <c r="BM2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4" s="10">
        <f>tbl_MTG_Set[[#This Row],[Collector Singles CardMarket Profit]]/tbl_MTG_Set[[#This Row],[Collector Booster Cost]]</f>
        <v/>
      </c>
      <c r="BO284" s="10">
        <f>tbl_MTG_Set[[#This Row],[Collector Singles CardMarket Profit]]&gt;0</f>
        <v/>
      </c>
      <c r="BP2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5">
      <c r="A285" t="n">
        <v>284</v>
      </c>
      <c r="B285" t="inlineStr">
        <is>
          <t>Challenger Decks 2022 Q07</t>
        </is>
      </c>
      <c r="C285" t="n">
        <v>1</v>
      </c>
      <c r="D285" s="3" t="n">
        <v>44652</v>
      </c>
      <c r="F285" t="inlineStr">
        <is>
          <t>en es fr de it pt ja ko ru 汉语 漢語</t>
        </is>
      </c>
      <c r="G285" t="n">
        <v>514</v>
      </c>
      <c r="H285">
        <f>MONTH(NOW())+12*YEAR(NOW())-MONTH(tbl_MTG_Set[[#This Row],[Released On]])-12*YEAR(tbl_MTG_Set[[#This Row],[Released On]])</f>
        <v/>
      </c>
      <c r="I285">
        <f>_xlfn.XLOOKUP(tbl_MTG_Set[[#This Row],[Type Name]], tbl_MTG_Set_Type[Set Type], tbl_MTG_Set_Type[Index], "(Set Type not found)")</f>
        <v/>
      </c>
      <c r="J285">
        <f>_xlfn.XLOOKUP(tbl_MTG_Set[[#This Row],[Type Name]], tbl_MTG_Set_Type[Set Type], tbl_MTG_Set_Type[Buy Window Month Start], "(Set Type not found)")</f>
        <v/>
      </c>
      <c r="K285" s="3">
        <f>tbl_MTG_Set[[#This Row],[Released On]]+tbl_MTG_Set[[#This Row],[Buy Window Month Start]]*365.25/12</f>
        <v/>
      </c>
      <c r="L285">
        <f>_xlfn.XLOOKUP(tbl_MTG_Set[[#This Row],[Type Name]], tbl_MTG_Set_Type[Set Type], tbl_MTG_Set_Type[Buy Window Month End], "(Set Type not found)", 0, 1)</f>
        <v/>
      </c>
      <c r="M285" s="3">
        <f>tbl_MTG_Set[[#This Row],[Released On]]+tbl_MTG_Set[[#This Row],[Buy Window Month End]]*365.25/12</f>
        <v/>
      </c>
      <c r="N285" s="3">
        <f>AND(NOW()&gt;=tbl_MTG_Set[[#This Row],[Buy Window Start]], NOW()&lt;=tbl_MTG_Set[[#This Row],[Buy Window End]])</f>
        <v/>
      </c>
      <c r="O285">
        <f>_xlfn.XLOOKUP(tbl_MTG_Set[[#This Row],[Type Name]], tbl_MTG_Set_Type[Set Type], tbl_MTG_Set_Type[Heavy Printing Window Month Start], "(Set Type not found)", 0, 1)</f>
        <v/>
      </c>
      <c r="P285" s="3">
        <f>tbl_MTG_Set[[#This Row],[Released On]]+tbl_MTG_Set[[#This Row],[Heavy Printing Window Month Start]]*365.25/12</f>
        <v/>
      </c>
      <c r="Q285">
        <f>_xlfn.XLOOKUP(tbl_MTG_Set[[#This Row],[Type Name]], tbl_MTG_Set_Type[Set Type], tbl_MTG_Set_Type[Heavy Printing Window Month End], "(Set Type not found)", 0, 1)</f>
        <v/>
      </c>
      <c r="R285" s="3">
        <f>tbl_MTG_Set[[#This Row],[Released On]]+tbl_MTG_Set[[#This Row],[Heavy Printing Window Month End]]*365.25/12</f>
        <v/>
      </c>
      <c r="S285" s="3">
        <f>AND(NOW()&gt;=tbl_MTG_Set[[#This Row],[Heavy Printing Window Start]], NOW()&lt;=tbl_MTG_Set[[#This Row],[Heavy Printing Window End]])</f>
        <v/>
      </c>
      <c r="T285">
        <f>_xlfn.XLOOKUP(tbl_MTG_Set[[#This Row],[Type Name]], tbl_MTG_Set_Type[Set Type], tbl_MTG_Set_Type[Sell Window Month Start], "(Set Type not found)", 0, 1)</f>
        <v/>
      </c>
      <c r="U285" s="3">
        <f>tbl_MTG_Set[[#This Row],[Released On]]+tbl_MTG_Set[[#This Row],[Sell Window Month Start]]*365.25/12</f>
        <v/>
      </c>
      <c r="V285">
        <f>_xlfn.XLOOKUP(tbl_MTG_Set[[#This Row],[Type Name]], tbl_MTG_Set_Type[Set Type], tbl_MTG_Set_Type[Sell Window Month End], "(Set Type not found)", 0, 1)</f>
        <v/>
      </c>
      <c r="W285" s="3">
        <f>tbl_MTG_Set[[#This Row],[Released On]]+tbl_MTG_Set[[#This Row],[Sell Window Month End]]*365.25/12</f>
        <v/>
      </c>
      <c r="X285" s="3">
        <f>AND(NOW()&gt;=tbl_MTG_Set[[#This Row],[Sell Window Start]], NOW()&lt;=tbl_MTG_Set[[#This Row],[Sell Window End]])</f>
        <v/>
      </c>
      <c r="AG285" s="10" t="n"/>
      <c r="AH285" s="10" t="n"/>
      <c r="AM285" s="10">
        <f t="array" ref="AM2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5" s="10">
        <f t="array" ref="AN2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5" s="4">
        <f>_xlfn.XLOOKUP(tbl_MTG_Set[[#This Row],[Play Booster Box Product Id]], tbl_Product[Product Id], tbl_Product[Pack Size])</f>
        <v/>
      </c>
      <c r="AP285" s="10">
        <f>(tbl_MTG_Set[[#This Row],[Play Booster Box Cost]]+v_Item_Shipping_Cost_In)/tbl_MTG_Set[[#This Row],[Play Booster Box Size]]</f>
        <v/>
      </c>
      <c r="AQ285" s="10">
        <f t="array" ref="AQ2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5" s="10" t="n"/>
      <c r="AS285" s="10" t="n"/>
      <c r="AT285" s="17">
        <f>tbl_MTG_Set[[#This Row],[Play Booster CardMarket Profit]]/tbl_MTG_Set[[#This Row],[Play Booster Cost]]</f>
        <v/>
      </c>
      <c r="AU285" s="10">
        <f>_xlfn.XLOOKUP(tbl_MTG_Set[[#This Row],[Collector Booster Box Product Id]], tbl_Product[Product Id], tbl_Product[Min Cost])</f>
        <v/>
      </c>
      <c r="AV285" s="10">
        <f>_xlfn.XLOOKUP(tbl_MTG_Set[[#This Row],[Collector Booster Box Product Id]], tbl_Product[Product Id], tbl_Product[Best Source])</f>
        <v/>
      </c>
      <c r="AW285" s="4">
        <f>_xlfn.XLOOKUP(tbl_MTG_Set[[#This Row],[Collector Booster Box Product Id]], tbl_Product[Product Id], tbl_Product[Pack Size])</f>
        <v/>
      </c>
      <c r="AX285" s="10">
        <f>(tbl_MTG_Set[[#This Row],[Collector Booster Box Cost]] + v_Item_Shipping_Cost_In) / tbl_MTG_Set[[#This Row],[Collector Booster Box Size]]</f>
        <v/>
      </c>
      <c r="AY285" s="10">
        <f t="array" ref="AY2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5" s="10" t="n"/>
      <c r="BA2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5" s="17">
        <f>tbl_MTG_Set[[#This Row],[Collector Booster CardMarket Profit]]/tbl_MTG_Set[[#This Row],[Collector Booster Cost]]</f>
        <v/>
      </c>
      <c r="BC285" s="10" t="n"/>
      <c r="BF285" s="10">
        <f>tbl_MTG_Set[[#This Row],[Play Booster Sell Price CardMarket]]*tbl_MTG_Set[[#This Row],[Play Booster Expected Market Value]]/tbl_MTG_Set[[#This Row],[Play Boost Sealed Market Value]]</f>
        <v/>
      </c>
      <c r="BG2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5" s="10">
        <f>tbl_MTG_Set[[#This Row],[Play Singles CardMarket Profit]]/tbl_MTG_Set[[#This Row],[Play Booster Cost]]</f>
        <v/>
      </c>
      <c r="BI285" s="10">
        <f>tbl_MTG_Set[[#This Row],[Play Singles CardMarket Profit]]&gt;0</f>
        <v/>
      </c>
      <c r="BJ285" s="10" t="n"/>
      <c r="BK285" s="10" t="n"/>
      <c r="BL285" s="10">
        <f>tbl_MTG_Set[[#This Row],[Collector Booster Sell Price CardMarket]]*tbl_MTG_Set[[#This Row],[Collector Booster Expected Market Value]]/tbl_MTG_Set[[#This Row],[Collector Boost Sealed Market Value]]</f>
        <v/>
      </c>
      <c r="BM2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5" s="10">
        <f>tbl_MTG_Set[[#This Row],[Collector Singles CardMarket Profit]]/tbl_MTG_Set[[#This Row],[Collector Booster Cost]]</f>
        <v/>
      </c>
      <c r="BO285" s="10">
        <f>tbl_MTG_Set[[#This Row],[Collector Singles CardMarket Profit]]&gt;0</f>
        <v/>
      </c>
      <c r="BP2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6">
      <c r="A286" t="n">
        <v>285</v>
      </c>
      <c r="B286" t="inlineStr">
        <is>
          <t>Wizards Play Network 2022 PW22</t>
        </is>
      </c>
      <c r="C286" t="n">
        <v>6</v>
      </c>
      <c r="D286" s="3" t="n">
        <v>44625</v>
      </c>
      <c r="F286" t="inlineStr">
        <is>
          <t>en es fr de it pt ja ko ru 汉语 漢語</t>
        </is>
      </c>
      <c r="G286" t="n">
        <v>516</v>
      </c>
      <c r="H286">
        <f>MONTH(NOW())+12*YEAR(NOW())-MONTH(tbl_MTG_Set[[#This Row],[Released On]])-12*YEAR(tbl_MTG_Set[[#This Row],[Released On]])</f>
        <v/>
      </c>
      <c r="I286">
        <f>_xlfn.XLOOKUP(tbl_MTG_Set[[#This Row],[Type Name]], tbl_MTG_Set_Type[Set Type], tbl_MTG_Set_Type[Index], "(Set Type not found)")</f>
        <v/>
      </c>
      <c r="J286">
        <f>_xlfn.XLOOKUP(tbl_MTG_Set[[#This Row],[Type Name]], tbl_MTG_Set_Type[Set Type], tbl_MTG_Set_Type[Buy Window Month Start], "(Set Type not found)")</f>
        <v/>
      </c>
      <c r="K286" s="3">
        <f>tbl_MTG_Set[[#This Row],[Released On]]+tbl_MTG_Set[[#This Row],[Buy Window Month Start]]*365.25/12</f>
        <v/>
      </c>
      <c r="L286">
        <f>_xlfn.XLOOKUP(tbl_MTG_Set[[#This Row],[Type Name]], tbl_MTG_Set_Type[Set Type], tbl_MTG_Set_Type[Buy Window Month End], "(Set Type not found)", 0, 1)</f>
        <v/>
      </c>
      <c r="M286" s="3">
        <f>tbl_MTG_Set[[#This Row],[Released On]]+tbl_MTG_Set[[#This Row],[Buy Window Month End]]*365.25/12</f>
        <v/>
      </c>
      <c r="N286" s="3">
        <f>AND(NOW()&gt;=tbl_MTG_Set[[#This Row],[Buy Window Start]], NOW()&lt;=tbl_MTG_Set[[#This Row],[Buy Window End]])</f>
        <v/>
      </c>
      <c r="O286">
        <f>_xlfn.XLOOKUP(tbl_MTG_Set[[#This Row],[Type Name]], tbl_MTG_Set_Type[Set Type], tbl_MTG_Set_Type[Heavy Printing Window Month Start], "(Set Type not found)", 0, 1)</f>
        <v/>
      </c>
      <c r="P286" s="3">
        <f>tbl_MTG_Set[[#This Row],[Released On]]+tbl_MTG_Set[[#This Row],[Heavy Printing Window Month Start]]*365.25/12</f>
        <v/>
      </c>
      <c r="Q286">
        <f>_xlfn.XLOOKUP(tbl_MTG_Set[[#This Row],[Type Name]], tbl_MTG_Set_Type[Set Type], tbl_MTG_Set_Type[Heavy Printing Window Month End], "(Set Type not found)", 0, 1)</f>
        <v/>
      </c>
      <c r="R286" s="3">
        <f>tbl_MTG_Set[[#This Row],[Released On]]+tbl_MTG_Set[[#This Row],[Heavy Printing Window Month End]]*365.25/12</f>
        <v/>
      </c>
      <c r="S286" s="3">
        <f>AND(NOW()&gt;=tbl_MTG_Set[[#This Row],[Heavy Printing Window Start]], NOW()&lt;=tbl_MTG_Set[[#This Row],[Heavy Printing Window End]])</f>
        <v/>
      </c>
      <c r="T286">
        <f>_xlfn.XLOOKUP(tbl_MTG_Set[[#This Row],[Type Name]], tbl_MTG_Set_Type[Set Type], tbl_MTG_Set_Type[Sell Window Month Start], "(Set Type not found)", 0, 1)</f>
        <v/>
      </c>
      <c r="U286" s="3">
        <f>tbl_MTG_Set[[#This Row],[Released On]]+tbl_MTG_Set[[#This Row],[Sell Window Month Start]]*365.25/12</f>
        <v/>
      </c>
      <c r="V286">
        <f>_xlfn.XLOOKUP(tbl_MTG_Set[[#This Row],[Type Name]], tbl_MTG_Set_Type[Set Type], tbl_MTG_Set_Type[Sell Window Month End], "(Set Type not found)", 0, 1)</f>
        <v/>
      </c>
      <c r="W286" s="3">
        <f>tbl_MTG_Set[[#This Row],[Released On]]+tbl_MTG_Set[[#This Row],[Sell Window Month End]]*365.25/12</f>
        <v/>
      </c>
      <c r="X286" s="3">
        <f>AND(NOW()&gt;=tbl_MTG_Set[[#This Row],[Sell Window Start]], NOW()&lt;=tbl_MTG_Set[[#This Row],[Sell Window End]])</f>
        <v/>
      </c>
      <c r="AG286" s="10" t="n"/>
      <c r="AH286" s="10" t="n"/>
      <c r="AM286" s="10">
        <f t="array" ref="AM2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6" s="10">
        <f t="array" ref="AN2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6" s="4">
        <f>_xlfn.XLOOKUP(tbl_MTG_Set[[#This Row],[Play Booster Box Product Id]], tbl_Product[Product Id], tbl_Product[Pack Size])</f>
        <v/>
      </c>
      <c r="AP286" s="10">
        <f>(tbl_MTG_Set[[#This Row],[Play Booster Box Cost]]+v_Item_Shipping_Cost_In)/tbl_MTG_Set[[#This Row],[Play Booster Box Size]]</f>
        <v/>
      </c>
      <c r="AQ286" s="10">
        <f t="array" ref="AQ2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6" s="10" t="n"/>
      <c r="AS286" s="10" t="n"/>
      <c r="AT286" s="17">
        <f>tbl_MTG_Set[[#This Row],[Play Booster CardMarket Profit]]/tbl_MTG_Set[[#This Row],[Play Booster Cost]]</f>
        <v/>
      </c>
      <c r="AU286" s="10">
        <f>_xlfn.XLOOKUP(tbl_MTG_Set[[#This Row],[Collector Booster Box Product Id]], tbl_Product[Product Id], tbl_Product[Min Cost])</f>
        <v/>
      </c>
      <c r="AV286" s="10">
        <f>_xlfn.XLOOKUP(tbl_MTG_Set[[#This Row],[Collector Booster Box Product Id]], tbl_Product[Product Id], tbl_Product[Best Source])</f>
        <v/>
      </c>
      <c r="AW286" s="4">
        <f>_xlfn.XLOOKUP(tbl_MTG_Set[[#This Row],[Collector Booster Box Product Id]], tbl_Product[Product Id], tbl_Product[Pack Size])</f>
        <v/>
      </c>
      <c r="AX286" s="10">
        <f>(tbl_MTG_Set[[#This Row],[Collector Booster Box Cost]] + v_Item_Shipping_Cost_In) / tbl_MTG_Set[[#This Row],[Collector Booster Box Size]]</f>
        <v/>
      </c>
      <c r="AY286" s="10">
        <f t="array" ref="AY2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6" s="10" t="n"/>
      <c r="BA2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6" s="17">
        <f>tbl_MTG_Set[[#This Row],[Collector Booster CardMarket Profit]]/tbl_MTG_Set[[#This Row],[Collector Booster Cost]]</f>
        <v/>
      </c>
      <c r="BC286" s="10" t="n"/>
      <c r="BF286" s="10">
        <f>tbl_MTG_Set[[#This Row],[Play Booster Sell Price CardMarket]]*tbl_MTG_Set[[#This Row],[Play Booster Expected Market Value]]/tbl_MTG_Set[[#This Row],[Play Boost Sealed Market Value]]</f>
        <v/>
      </c>
      <c r="BG2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6" s="10">
        <f>tbl_MTG_Set[[#This Row],[Play Singles CardMarket Profit]]/tbl_MTG_Set[[#This Row],[Play Booster Cost]]</f>
        <v/>
      </c>
      <c r="BI286" s="10">
        <f>tbl_MTG_Set[[#This Row],[Play Singles CardMarket Profit]]&gt;0</f>
        <v/>
      </c>
      <c r="BJ286" s="10" t="n"/>
      <c r="BK286" s="10" t="n"/>
      <c r="BL286" s="10">
        <f>tbl_MTG_Set[[#This Row],[Collector Booster Sell Price CardMarket]]*tbl_MTG_Set[[#This Row],[Collector Booster Expected Market Value]]/tbl_MTG_Set[[#This Row],[Collector Boost Sealed Market Value]]</f>
        <v/>
      </c>
      <c r="BM2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6" s="10">
        <f>tbl_MTG_Set[[#This Row],[Collector Singles CardMarket Profit]]/tbl_MTG_Set[[#This Row],[Collector Booster Cost]]</f>
        <v/>
      </c>
      <c r="BO286" s="10">
        <f>tbl_MTG_Set[[#This Row],[Collector Singles CardMarket Profit]]&gt;0</f>
        <v/>
      </c>
      <c r="BP2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7">
      <c r="A287" t="n">
        <v>286</v>
      </c>
      <c r="B287" t="inlineStr">
        <is>
          <t>Year of the Tiger 2022 PL22</t>
        </is>
      </c>
      <c r="C287" t="n">
        <v>5</v>
      </c>
      <c r="D287" s="3" t="n">
        <v>44617</v>
      </c>
      <c r="F287" t="inlineStr">
        <is>
          <t>en es fr de it pt ja ko ru 汉语 漢語</t>
        </is>
      </c>
      <c r="G287" t="n">
        <v>518</v>
      </c>
      <c r="H287">
        <f>MONTH(NOW())+12*YEAR(NOW())-MONTH(tbl_MTG_Set[[#This Row],[Released On]])-12*YEAR(tbl_MTG_Set[[#This Row],[Released On]])</f>
        <v/>
      </c>
      <c r="I287">
        <f>_xlfn.XLOOKUP(tbl_MTG_Set[[#This Row],[Type Name]], tbl_MTG_Set_Type[Set Type], tbl_MTG_Set_Type[Index], "(Set Type not found)")</f>
        <v/>
      </c>
      <c r="J287">
        <f>_xlfn.XLOOKUP(tbl_MTG_Set[[#This Row],[Type Name]], tbl_MTG_Set_Type[Set Type], tbl_MTG_Set_Type[Buy Window Month Start], "(Set Type not found)")</f>
        <v/>
      </c>
      <c r="K287" s="3">
        <f>tbl_MTG_Set[[#This Row],[Released On]]+tbl_MTG_Set[[#This Row],[Buy Window Month Start]]*365.25/12</f>
        <v/>
      </c>
      <c r="L287">
        <f>_xlfn.XLOOKUP(tbl_MTG_Set[[#This Row],[Type Name]], tbl_MTG_Set_Type[Set Type], tbl_MTG_Set_Type[Buy Window Month End], "(Set Type not found)", 0, 1)</f>
        <v/>
      </c>
      <c r="M287" s="3">
        <f>tbl_MTG_Set[[#This Row],[Released On]]+tbl_MTG_Set[[#This Row],[Buy Window Month End]]*365.25/12</f>
        <v/>
      </c>
      <c r="N287" s="3">
        <f>AND(NOW()&gt;=tbl_MTG_Set[[#This Row],[Buy Window Start]], NOW()&lt;=tbl_MTG_Set[[#This Row],[Buy Window End]])</f>
        <v/>
      </c>
      <c r="O287">
        <f>_xlfn.XLOOKUP(tbl_MTG_Set[[#This Row],[Type Name]], tbl_MTG_Set_Type[Set Type], tbl_MTG_Set_Type[Heavy Printing Window Month Start], "(Set Type not found)", 0, 1)</f>
        <v/>
      </c>
      <c r="P287" s="3">
        <f>tbl_MTG_Set[[#This Row],[Released On]]+tbl_MTG_Set[[#This Row],[Heavy Printing Window Month Start]]*365.25/12</f>
        <v/>
      </c>
      <c r="Q287">
        <f>_xlfn.XLOOKUP(tbl_MTG_Set[[#This Row],[Type Name]], tbl_MTG_Set_Type[Set Type], tbl_MTG_Set_Type[Heavy Printing Window Month End], "(Set Type not found)", 0, 1)</f>
        <v/>
      </c>
      <c r="R287" s="3">
        <f>tbl_MTG_Set[[#This Row],[Released On]]+tbl_MTG_Set[[#This Row],[Heavy Printing Window Month End]]*365.25/12</f>
        <v/>
      </c>
      <c r="S287" s="3">
        <f>AND(NOW()&gt;=tbl_MTG_Set[[#This Row],[Heavy Printing Window Start]], NOW()&lt;=tbl_MTG_Set[[#This Row],[Heavy Printing Window End]])</f>
        <v/>
      </c>
      <c r="T287">
        <f>_xlfn.XLOOKUP(tbl_MTG_Set[[#This Row],[Type Name]], tbl_MTG_Set_Type[Set Type], tbl_MTG_Set_Type[Sell Window Month Start], "(Set Type not found)", 0, 1)</f>
        <v/>
      </c>
      <c r="U287" s="3">
        <f>tbl_MTG_Set[[#This Row],[Released On]]+tbl_MTG_Set[[#This Row],[Sell Window Month Start]]*365.25/12</f>
        <v/>
      </c>
      <c r="V287">
        <f>_xlfn.XLOOKUP(tbl_MTG_Set[[#This Row],[Type Name]], tbl_MTG_Set_Type[Set Type], tbl_MTG_Set_Type[Sell Window Month End], "(Set Type not found)", 0, 1)</f>
        <v/>
      </c>
      <c r="W287" s="3">
        <f>tbl_MTG_Set[[#This Row],[Released On]]+tbl_MTG_Set[[#This Row],[Sell Window Month End]]*365.25/12</f>
        <v/>
      </c>
      <c r="X287" s="3">
        <f>AND(NOW()&gt;=tbl_MTG_Set[[#This Row],[Sell Window Start]], NOW()&lt;=tbl_MTG_Set[[#This Row],[Sell Window End]])</f>
        <v/>
      </c>
      <c r="AG287" s="10" t="n"/>
      <c r="AH287" s="10" t="n"/>
      <c r="AM287" s="10">
        <f t="array" ref="AM2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7" s="10">
        <f t="array" ref="AN2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7" s="4">
        <f>_xlfn.XLOOKUP(tbl_MTG_Set[[#This Row],[Play Booster Box Product Id]], tbl_Product[Product Id], tbl_Product[Pack Size])</f>
        <v/>
      </c>
      <c r="AP287" s="10">
        <f>(tbl_MTG_Set[[#This Row],[Play Booster Box Cost]]+v_Item_Shipping_Cost_In)/tbl_MTG_Set[[#This Row],[Play Booster Box Size]]</f>
        <v/>
      </c>
      <c r="AQ287" s="10">
        <f t="array" ref="AQ2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7" s="10" t="n"/>
      <c r="AS287" s="10" t="n"/>
      <c r="AT287" s="17">
        <f>tbl_MTG_Set[[#This Row],[Play Booster CardMarket Profit]]/tbl_MTG_Set[[#This Row],[Play Booster Cost]]</f>
        <v/>
      </c>
      <c r="AU287" s="10">
        <f>_xlfn.XLOOKUP(tbl_MTG_Set[[#This Row],[Collector Booster Box Product Id]], tbl_Product[Product Id], tbl_Product[Min Cost])</f>
        <v/>
      </c>
      <c r="AV287" s="10">
        <f>_xlfn.XLOOKUP(tbl_MTG_Set[[#This Row],[Collector Booster Box Product Id]], tbl_Product[Product Id], tbl_Product[Best Source])</f>
        <v/>
      </c>
      <c r="AW287" s="4">
        <f>_xlfn.XLOOKUP(tbl_MTG_Set[[#This Row],[Collector Booster Box Product Id]], tbl_Product[Product Id], tbl_Product[Pack Size])</f>
        <v/>
      </c>
      <c r="AX287" s="10">
        <f>(tbl_MTG_Set[[#This Row],[Collector Booster Box Cost]] + v_Item_Shipping_Cost_In) / tbl_MTG_Set[[#This Row],[Collector Booster Box Size]]</f>
        <v/>
      </c>
      <c r="AY287" s="10">
        <f t="array" ref="AY2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7" s="10" t="n"/>
      <c r="BA2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7" s="17">
        <f>tbl_MTG_Set[[#This Row],[Collector Booster CardMarket Profit]]/tbl_MTG_Set[[#This Row],[Collector Booster Cost]]</f>
        <v/>
      </c>
      <c r="BC287" s="10" t="n"/>
      <c r="BF287" s="10">
        <f>tbl_MTG_Set[[#This Row],[Play Booster Sell Price CardMarket]]*tbl_MTG_Set[[#This Row],[Play Booster Expected Market Value]]/tbl_MTG_Set[[#This Row],[Play Boost Sealed Market Value]]</f>
        <v/>
      </c>
      <c r="BG2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7" s="10">
        <f>tbl_MTG_Set[[#This Row],[Play Singles CardMarket Profit]]/tbl_MTG_Set[[#This Row],[Play Booster Cost]]</f>
        <v/>
      </c>
      <c r="BI287" s="10">
        <f>tbl_MTG_Set[[#This Row],[Play Singles CardMarket Profit]]&gt;0</f>
        <v/>
      </c>
      <c r="BJ287" s="10" t="n"/>
      <c r="BK287" s="10" t="n"/>
      <c r="BL287" s="10">
        <f>tbl_MTG_Set[[#This Row],[Collector Booster Sell Price CardMarket]]*tbl_MTG_Set[[#This Row],[Collector Booster Expected Market Value]]/tbl_MTG_Set[[#This Row],[Collector Boost Sealed Market Value]]</f>
        <v/>
      </c>
      <c r="BM2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7" s="10">
        <f>tbl_MTG_Set[[#This Row],[Collector Singles CardMarket Profit]]/tbl_MTG_Set[[#This Row],[Collector Booster Cost]]</f>
        <v/>
      </c>
      <c r="BO287" s="10">
        <f>tbl_MTG_Set[[#This Row],[Collector Singles CardMarket Profit]]&gt;0</f>
        <v/>
      </c>
      <c r="BP2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8">
      <c r="A288" t="n">
        <v>287</v>
      </c>
      <c r="B288" t="inlineStr">
        <is>
          <t>Kamigawa: Neon Dynasty NEO</t>
        </is>
      </c>
      <c r="C288" t="n">
        <v>531</v>
      </c>
      <c r="D288" s="3" t="n">
        <v>44610</v>
      </c>
      <c r="E288" t="inlineStr">
        <is>
          <t>Standard Expansion</t>
        </is>
      </c>
      <c r="F288" t="inlineStr">
        <is>
          <t>en es fr de it pt ja ko ru 汉语 漢語</t>
        </is>
      </c>
      <c r="G288" t="n">
        <v>520</v>
      </c>
      <c r="H288">
        <f>MONTH(NOW())+12*YEAR(NOW())-MONTH(tbl_MTG_Set[[#This Row],[Released On]])-12*YEAR(tbl_MTG_Set[[#This Row],[Released On]])</f>
        <v/>
      </c>
      <c r="I288">
        <f>_xlfn.XLOOKUP(tbl_MTG_Set[[#This Row],[Type Name]], tbl_MTG_Set_Type[Set Type], tbl_MTG_Set_Type[Index], "(Set Type not found)")</f>
        <v/>
      </c>
      <c r="J288">
        <f>_xlfn.XLOOKUP(tbl_MTG_Set[[#This Row],[Type Name]], tbl_MTG_Set_Type[Set Type], tbl_MTG_Set_Type[Buy Window Month Start], "(Set Type not found)")</f>
        <v/>
      </c>
      <c r="K288" s="3">
        <f>tbl_MTG_Set[[#This Row],[Released On]]+tbl_MTG_Set[[#This Row],[Buy Window Month Start]]*365.25/12</f>
        <v/>
      </c>
      <c r="L288">
        <f>_xlfn.XLOOKUP(tbl_MTG_Set[[#This Row],[Type Name]], tbl_MTG_Set_Type[Set Type], tbl_MTG_Set_Type[Buy Window Month End], "(Set Type not found)", 0, 1)</f>
        <v/>
      </c>
      <c r="M288" s="3">
        <f>tbl_MTG_Set[[#This Row],[Released On]]+tbl_MTG_Set[[#This Row],[Buy Window Month End]]*365.25/12</f>
        <v/>
      </c>
      <c r="N288" s="3">
        <f>AND(NOW()&gt;=tbl_MTG_Set[[#This Row],[Buy Window Start]], NOW()&lt;=tbl_MTG_Set[[#This Row],[Buy Window End]])</f>
        <v/>
      </c>
      <c r="O288">
        <f>_xlfn.XLOOKUP(tbl_MTG_Set[[#This Row],[Type Name]], tbl_MTG_Set_Type[Set Type], tbl_MTG_Set_Type[Heavy Printing Window Month Start], "(Set Type not found)", 0, 1)</f>
        <v/>
      </c>
      <c r="P288" s="3">
        <f>tbl_MTG_Set[[#This Row],[Released On]]+tbl_MTG_Set[[#This Row],[Heavy Printing Window Month Start]]*365.25/12</f>
        <v/>
      </c>
      <c r="Q288">
        <f>_xlfn.XLOOKUP(tbl_MTG_Set[[#This Row],[Type Name]], tbl_MTG_Set_Type[Set Type], tbl_MTG_Set_Type[Heavy Printing Window Month End], "(Set Type not found)", 0, 1)</f>
        <v/>
      </c>
      <c r="R288" s="3">
        <f>tbl_MTG_Set[[#This Row],[Released On]]+tbl_MTG_Set[[#This Row],[Heavy Printing Window Month End]]*365.25/12</f>
        <v/>
      </c>
      <c r="S288" s="3">
        <f>AND(NOW()&gt;=tbl_MTG_Set[[#This Row],[Heavy Printing Window Start]], NOW()&lt;=tbl_MTG_Set[[#This Row],[Heavy Printing Window End]])</f>
        <v/>
      </c>
      <c r="T288">
        <f>_xlfn.XLOOKUP(tbl_MTG_Set[[#This Row],[Type Name]], tbl_MTG_Set_Type[Set Type], tbl_MTG_Set_Type[Sell Window Month Start], "(Set Type not found)", 0, 1)</f>
        <v/>
      </c>
      <c r="U288" s="3">
        <f>tbl_MTG_Set[[#This Row],[Released On]]+tbl_MTG_Set[[#This Row],[Sell Window Month Start]]*365.25/12</f>
        <v/>
      </c>
      <c r="V288">
        <f>_xlfn.XLOOKUP(tbl_MTG_Set[[#This Row],[Type Name]], tbl_MTG_Set_Type[Set Type], tbl_MTG_Set_Type[Sell Window Month End], "(Set Type not found)", 0, 1)</f>
        <v/>
      </c>
      <c r="W288" s="3">
        <f>tbl_MTG_Set[[#This Row],[Released On]]+tbl_MTG_Set[[#This Row],[Sell Window Month End]]*365.25/12</f>
        <v/>
      </c>
      <c r="X288" s="3">
        <f>AND(NOW()&gt;=tbl_MTG_Set[[#This Row],[Sell Window Start]], NOW()&lt;=tbl_MTG_Set[[#This Row],[Sell Window End]])</f>
        <v/>
      </c>
      <c r="Y288" s="10" t="n">
        <v>193</v>
      </c>
      <c r="Z288" s="10" t="n">
        <v>117</v>
      </c>
      <c r="AD288" s="10">
        <f>(Y288+96/20)/30</f>
        <v/>
      </c>
      <c r="AE288" s="10">
        <f>(Z288+96/20)/30</f>
        <v/>
      </c>
      <c r="AF288" s="10">
        <f>(AA288+96/20)/30</f>
        <v/>
      </c>
      <c r="AG288" s="10">
        <f>(AB288+96/20)/30</f>
        <v/>
      </c>
      <c r="AH288" s="10">
        <f>(AC288+96/20)/30</f>
        <v/>
      </c>
      <c r="AI288" s="4" t="n">
        <v>69</v>
      </c>
      <c r="AJ288" s="4" t="n">
        <v>24</v>
      </c>
      <c r="AK288" s="4" t="n">
        <v>112</v>
      </c>
      <c r="AL288" s="4" t="n">
        <v>111</v>
      </c>
      <c r="AM288" s="10">
        <f t="array" ref="AM2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8" s="10">
        <f t="array" ref="AN2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8" s="4">
        <f>_xlfn.XLOOKUP(tbl_MTG_Set[[#This Row],[Play Booster Box Product Id]], tbl_Product[Product Id], tbl_Product[Pack Size])</f>
        <v/>
      </c>
      <c r="AP288" s="10">
        <f>(tbl_MTG_Set[[#This Row],[Play Booster Box Cost]]+v_Item_Shipping_Cost_In)/tbl_MTG_Set[[#This Row],[Play Booster Box Size]]</f>
        <v/>
      </c>
      <c r="AQ288" s="10">
        <f t="array" ref="AQ2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8" s="10" t="n">
        <v>7</v>
      </c>
      <c r="AS28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88" s="17">
        <f>tbl_MTG_Set[[#This Row],[Play Booster CardMarket Profit]]/tbl_MTG_Set[[#This Row],[Play Booster Cost]]</f>
        <v/>
      </c>
      <c r="AU288" s="10">
        <f>_xlfn.XLOOKUP(tbl_MTG_Set[[#This Row],[Collector Booster Box Product Id]], tbl_Product[Product Id], tbl_Product[Min Cost])</f>
        <v/>
      </c>
      <c r="AV288" s="10">
        <f>_xlfn.XLOOKUP(tbl_MTG_Set[[#This Row],[Collector Booster Box Product Id]], tbl_Product[Product Id], tbl_Product[Best Source])</f>
        <v/>
      </c>
      <c r="AW288" s="4">
        <f>_xlfn.XLOOKUP(tbl_MTG_Set[[#This Row],[Collector Booster Box Product Id]], tbl_Product[Product Id], tbl_Product[Pack Size])</f>
        <v/>
      </c>
      <c r="AX288" s="10">
        <f>(tbl_MTG_Set[[#This Row],[Collector Booster Box Cost]] + v_Item_Shipping_Cost_In) / tbl_MTG_Set[[#This Row],[Collector Booster Box Size]]</f>
        <v/>
      </c>
      <c r="AY288" s="10">
        <f t="array" ref="AY2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8" s="10" t="n"/>
      <c r="BA2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8" s="17">
        <f>tbl_MTG_Set[[#This Row],[Collector Booster CardMarket Profit]]/tbl_MTG_Set[[#This Row],[Collector Booster Cost]]</f>
        <v/>
      </c>
      <c r="BC288" s="10" t="n"/>
      <c r="BF288" s="10">
        <f>tbl_MTG_Set[[#This Row],[Play Booster Sell Price CardMarket]]*tbl_MTG_Set[[#This Row],[Play Booster Expected Market Value]]/tbl_MTG_Set[[#This Row],[Play Boost Sealed Market Value]]</f>
        <v/>
      </c>
      <c r="BG2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8" s="17">
        <f>tbl_MTG_Set[[#This Row],[Play Singles CardMarket Profit]]/tbl_MTG_Set[[#This Row],[Play Booster Cost]]</f>
        <v/>
      </c>
      <c r="BI288" s="10">
        <f>tbl_MTG_Set[[#This Row],[Play Singles CardMarket Profit]]&gt;0</f>
        <v/>
      </c>
      <c r="BJ288" s="10" t="n"/>
      <c r="BK288" s="10" t="n"/>
      <c r="BL288" s="10">
        <f>tbl_MTG_Set[[#This Row],[Collector Booster Sell Price CardMarket]]*tbl_MTG_Set[[#This Row],[Collector Booster Expected Market Value]]/tbl_MTG_Set[[#This Row],[Collector Boost Sealed Market Value]]</f>
        <v/>
      </c>
      <c r="BM2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8" s="17">
        <f>tbl_MTG_Set[[#This Row],[Collector Singles CardMarket Profit]]/tbl_MTG_Set[[#This Row],[Collector Booster Cost]]</f>
        <v/>
      </c>
      <c r="BO288" s="10">
        <f>tbl_MTG_Set[[#This Row],[Collector Singles CardMarket Profit]]&gt;0</f>
        <v/>
      </c>
      <c r="BP2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8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9">
      <c r="A289" t="n">
        <v>288</v>
      </c>
      <c r="B289" t="inlineStr">
        <is>
          <t>Kamigawa: Neon Dynasty Promos PNEO</t>
        </is>
      </c>
      <c r="C289" t="n">
        <v>148</v>
      </c>
      <c r="D289" s="3" t="n">
        <v>44610</v>
      </c>
      <c r="E289" t="inlineStr">
        <is>
          <t>Standard Expansion</t>
        </is>
      </c>
      <c r="F289" t="inlineStr">
        <is>
          <t>en es fr de it pt ja ko ru 汉语 漢語</t>
        </is>
      </c>
      <c r="G289" t="n">
        <v>522</v>
      </c>
      <c r="H289">
        <f>MONTH(NOW())+12*YEAR(NOW())-MONTH(tbl_MTG_Set[[#This Row],[Released On]])-12*YEAR(tbl_MTG_Set[[#This Row],[Released On]])</f>
        <v/>
      </c>
      <c r="I289">
        <f>_xlfn.XLOOKUP(tbl_MTG_Set[[#This Row],[Type Name]], tbl_MTG_Set_Type[Set Type], tbl_MTG_Set_Type[Index], "(Set Type not found)")</f>
        <v/>
      </c>
      <c r="J289">
        <f>_xlfn.XLOOKUP(tbl_MTG_Set[[#This Row],[Type Name]], tbl_MTG_Set_Type[Set Type], tbl_MTG_Set_Type[Buy Window Month Start], "(Set Type not found)")</f>
        <v/>
      </c>
      <c r="K289" s="3">
        <f>tbl_MTG_Set[[#This Row],[Released On]]+tbl_MTG_Set[[#This Row],[Buy Window Month Start]]*365.25/12</f>
        <v/>
      </c>
      <c r="L289">
        <f>_xlfn.XLOOKUP(tbl_MTG_Set[[#This Row],[Type Name]], tbl_MTG_Set_Type[Set Type], tbl_MTG_Set_Type[Buy Window Month End], "(Set Type not found)", 0, 1)</f>
        <v/>
      </c>
      <c r="M289" s="3">
        <f>tbl_MTG_Set[[#This Row],[Released On]]+tbl_MTG_Set[[#This Row],[Buy Window Month End]]*365.25/12</f>
        <v/>
      </c>
      <c r="N289" s="3">
        <f>AND(NOW()&gt;=tbl_MTG_Set[[#This Row],[Buy Window Start]], NOW()&lt;=tbl_MTG_Set[[#This Row],[Buy Window End]])</f>
        <v/>
      </c>
      <c r="O289">
        <f>_xlfn.XLOOKUP(tbl_MTG_Set[[#This Row],[Type Name]], tbl_MTG_Set_Type[Set Type], tbl_MTG_Set_Type[Heavy Printing Window Month Start], "(Set Type not found)", 0, 1)</f>
        <v/>
      </c>
      <c r="P289" s="3">
        <f>tbl_MTG_Set[[#This Row],[Released On]]+tbl_MTG_Set[[#This Row],[Heavy Printing Window Month Start]]*365.25/12</f>
        <v/>
      </c>
      <c r="Q289">
        <f>_xlfn.XLOOKUP(tbl_MTG_Set[[#This Row],[Type Name]], tbl_MTG_Set_Type[Set Type], tbl_MTG_Set_Type[Heavy Printing Window Month End], "(Set Type not found)", 0, 1)</f>
        <v/>
      </c>
      <c r="R289" s="3">
        <f>tbl_MTG_Set[[#This Row],[Released On]]+tbl_MTG_Set[[#This Row],[Heavy Printing Window Month End]]*365.25/12</f>
        <v/>
      </c>
      <c r="S289" s="3">
        <f>AND(NOW()&gt;=tbl_MTG_Set[[#This Row],[Heavy Printing Window Start]], NOW()&lt;=tbl_MTG_Set[[#This Row],[Heavy Printing Window End]])</f>
        <v/>
      </c>
      <c r="T289">
        <f>_xlfn.XLOOKUP(tbl_MTG_Set[[#This Row],[Type Name]], tbl_MTG_Set_Type[Set Type], tbl_MTG_Set_Type[Sell Window Month Start], "(Set Type not found)", 0, 1)</f>
        <v/>
      </c>
      <c r="U289" s="3">
        <f>tbl_MTG_Set[[#This Row],[Released On]]+tbl_MTG_Set[[#This Row],[Sell Window Month Start]]*365.25/12</f>
        <v/>
      </c>
      <c r="V289">
        <f>_xlfn.XLOOKUP(tbl_MTG_Set[[#This Row],[Type Name]], tbl_MTG_Set_Type[Set Type], tbl_MTG_Set_Type[Sell Window Month End], "(Set Type not found)", 0, 1)</f>
        <v/>
      </c>
      <c r="W289" s="3">
        <f>tbl_MTG_Set[[#This Row],[Released On]]+tbl_MTG_Set[[#This Row],[Sell Window Month End]]*365.25/12</f>
        <v/>
      </c>
      <c r="X289" s="3">
        <f>AND(NOW()&gt;=tbl_MTG_Set[[#This Row],[Sell Window Start]], NOW()&lt;=tbl_MTG_Set[[#This Row],[Sell Window End]])</f>
        <v/>
      </c>
      <c r="AG289" s="10" t="n"/>
      <c r="AH289" s="10" t="n"/>
      <c r="AM289" s="10">
        <f t="array" ref="AM2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9" s="10">
        <f t="array" ref="AN2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9" s="4">
        <f>_xlfn.XLOOKUP(tbl_MTG_Set[[#This Row],[Play Booster Box Product Id]], tbl_Product[Product Id], tbl_Product[Pack Size])</f>
        <v/>
      </c>
      <c r="AP289" s="10">
        <f>(tbl_MTG_Set[[#This Row],[Play Booster Box Cost]]+v_Item_Shipping_Cost_In)/tbl_MTG_Set[[#This Row],[Play Booster Box Size]]</f>
        <v/>
      </c>
      <c r="AQ289" s="10">
        <f t="array" ref="AQ2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89" s="10" t="n"/>
      <c r="AS289" s="10" t="n"/>
      <c r="AT289" s="17">
        <f>tbl_MTG_Set[[#This Row],[Play Booster CardMarket Profit]]/tbl_MTG_Set[[#This Row],[Play Booster Cost]]</f>
        <v/>
      </c>
      <c r="AU289" s="10">
        <f>_xlfn.XLOOKUP(tbl_MTG_Set[[#This Row],[Collector Booster Box Product Id]], tbl_Product[Product Id], tbl_Product[Min Cost])</f>
        <v/>
      </c>
      <c r="AV289" s="10">
        <f>_xlfn.XLOOKUP(tbl_MTG_Set[[#This Row],[Collector Booster Box Product Id]], tbl_Product[Product Id], tbl_Product[Best Source])</f>
        <v/>
      </c>
      <c r="AW289" s="4">
        <f>_xlfn.XLOOKUP(tbl_MTG_Set[[#This Row],[Collector Booster Box Product Id]], tbl_Product[Product Id], tbl_Product[Pack Size])</f>
        <v/>
      </c>
      <c r="AX289" s="10">
        <f>(tbl_MTG_Set[[#This Row],[Collector Booster Box Cost]] + v_Item_Shipping_Cost_In) / tbl_MTG_Set[[#This Row],[Collector Booster Box Size]]</f>
        <v/>
      </c>
      <c r="AY289" s="10">
        <f t="array" ref="AY2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89" s="10" t="n"/>
      <c r="BA2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9" s="17">
        <f>tbl_MTG_Set[[#This Row],[Collector Booster CardMarket Profit]]/tbl_MTG_Set[[#This Row],[Collector Booster Cost]]</f>
        <v/>
      </c>
      <c r="BC289" s="10" t="n"/>
      <c r="BF289" s="10">
        <f>tbl_MTG_Set[[#This Row],[Play Booster Sell Price CardMarket]]*tbl_MTG_Set[[#This Row],[Play Booster Expected Market Value]]/tbl_MTG_Set[[#This Row],[Play Boost Sealed Market Value]]</f>
        <v/>
      </c>
      <c r="BG2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9" s="10">
        <f>tbl_MTG_Set[[#This Row],[Play Singles CardMarket Profit]]/tbl_MTG_Set[[#This Row],[Play Booster Cost]]</f>
        <v/>
      </c>
      <c r="BI289" s="10">
        <f>tbl_MTG_Set[[#This Row],[Play Singles CardMarket Profit]]&gt;0</f>
        <v/>
      </c>
      <c r="BJ289" s="10" t="n"/>
      <c r="BK289" s="10" t="n"/>
      <c r="BL289" s="10">
        <f>tbl_MTG_Set[[#This Row],[Collector Booster Sell Price CardMarket]]*tbl_MTG_Set[[#This Row],[Collector Booster Expected Market Value]]/tbl_MTG_Set[[#This Row],[Collector Boost Sealed Market Value]]</f>
        <v/>
      </c>
      <c r="BM2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9" s="10">
        <f>tbl_MTG_Set[[#This Row],[Collector Singles CardMarket Profit]]/tbl_MTG_Set[[#This Row],[Collector Booster Cost]]</f>
        <v/>
      </c>
      <c r="BO289" s="10">
        <f>tbl_MTG_Set[[#This Row],[Collector Singles CardMarket Profit]]&gt;0</f>
        <v/>
      </c>
      <c r="BP2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0">
      <c r="A290" t="n">
        <v>289</v>
      </c>
      <c r="B290" t="inlineStr">
        <is>
          <t>Kamigawa: Neon Dynasty Tokens TNEO</t>
        </is>
      </c>
      <c r="C290" t="n">
        <v>19</v>
      </c>
      <c r="D290" s="3" t="n">
        <v>44610</v>
      </c>
      <c r="E290" t="inlineStr">
        <is>
          <t>Standard Expansion</t>
        </is>
      </c>
      <c r="F290" t="inlineStr">
        <is>
          <t>en es fr de it pt ja ko ru 汉语 漢語</t>
        </is>
      </c>
      <c r="G290" t="n">
        <v>524</v>
      </c>
      <c r="H290">
        <f>MONTH(NOW())+12*YEAR(NOW())-MONTH(tbl_MTG_Set[[#This Row],[Released On]])-12*YEAR(tbl_MTG_Set[[#This Row],[Released On]])</f>
        <v/>
      </c>
      <c r="I290">
        <f>_xlfn.XLOOKUP(tbl_MTG_Set[[#This Row],[Type Name]], tbl_MTG_Set_Type[Set Type], tbl_MTG_Set_Type[Index], "(Set Type not found)")</f>
        <v/>
      </c>
      <c r="J290">
        <f>_xlfn.XLOOKUP(tbl_MTG_Set[[#This Row],[Type Name]], tbl_MTG_Set_Type[Set Type], tbl_MTG_Set_Type[Buy Window Month Start], "(Set Type not found)")</f>
        <v/>
      </c>
      <c r="K290" s="3">
        <f>tbl_MTG_Set[[#This Row],[Released On]]+tbl_MTG_Set[[#This Row],[Buy Window Month Start]]*365.25/12</f>
        <v/>
      </c>
      <c r="L290">
        <f>_xlfn.XLOOKUP(tbl_MTG_Set[[#This Row],[Type Name]], tbl_MTG_Set_Type[Set Type], tbl_MTG_Set_Type[Buy Window Month End], "(Set Type not found)", 0, 1)</f>
        <v/>
      </c>
      <c r="M290" s="3">
        <f>tbl_MTG_Set[[#This Row],[Released On]]+tbl_MTG_Set[[#This Row],[Buy Window Month End]]*365.25/12</f>
        <v/>
      </c>
      <c r="N290" s="3">
        <f>AND(NOW()&gt;=tbl_MTG_Set[[#This Row],[Buy Window Start]], NOW()&lt;=tbl_MTG_Set[[#This Row],[Buy Window End]])</f>
        <v/>
      </c>
      <c r="O290">
        <f>_xlfn.XLOOKUP(tbl_MTG_Set[[#This Row],[Type Name]], tbl_MTG_Set_Type[Set Type], tbl_MTG_Set_Type[Heavy Printing Window Month Start], "(Set Type not found)", 0, 1)</f>
        <v/>
      </c>
      <c r="P290" s="3">
        <f>tbl_MTG_Set[[#This Row],[Released On]]+tbl_MTG_Set[[#This Row],[Heavy Printing Window Month Start]]*365.25/12</f>
        <v/>
      </c>
      <c r="Q290">
        <f>_xlfn.XLOOKUP(tbl_MTG_Set[[#This Row],[Type Name]], tbl_MTG_Set_Type[Set Type], tbl_MTG_Set_Type[Heavy Printing Window Month End], "(Set Type not found)", 0, 1)</f>
        <v/>
      </c>
      <c r="R290" s="3">
        <f>tbl_MTG_Set[[#This Row],[Released On]]+tbl_MTG_Set[[#This Row],[Heavy Printing Window Month End]]*365.25/12</f>
        <v/>
      </c>
      <c r="S290" s="3">
        <f>AND(NOW()&gt;=tbl_MTG_Set[[#This Row],[Heavy Printing Window Start]], NOW()&lt;=tbl_MTG_Set[[#This Row],[Heavy Printing Window End]])</f>
        <v/>
      </c>
      <c r="T290">
        <f>_xlfn.XLOOKUP(tbl_MTG_Set[[#This Row],[Type Name]], tbl_MTG_Set_Type[Set Type], tbl_MTG_Set_Type[Sell Window Month Start], "(Set Type not found)", 0, 1)</f>
        <v/>
      </c>
      <c r="U290" s="3">
        <f>tbl_MTG_Set[[#This Row],[Released On]]+tbl_MTG_Set[[#This Row],[Sell Window Month Start]]*365.25/12</f>
        <v/>
      </c>
      <c r="V290">
        <f>_xlfn.XLOOKUP(tbl_MTG_Set[[#This Row],[Type Name]], tbl_MTG_Set_Type[Set Type], tbl_MTG_Set_Type[Sell Window Month End], "(Set Type not found)", 0, 1)</f>
        <v/>
      </c>
      <c r="W290" s="3">
        <f>tbl_MTG_Set[[#This Row],[Released On]]+tbl_MTG_Set[[#This Row],[Sell Window Month End]]*365.25/12</f>
        <v/>
      </c>
      <c r="X290" s="3">
        <f>AND(NOW()&gt;=tbl_MTG_Set[[#This Row],[Sell Window Start]], NOW()&lt;=tbl_MTG_Set[[#This Row],[Sell Window End]])</f>
        <v/>
      </c>
      <c r="AG290" s="10" t="n"/>
      <c r="AH290" s="10" t="n"/>
      <c r="AM290" s="10">
        <f t="array" ref="AM2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0" s="10">
        <f t="array" ref="AN2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0" s="4">
        <f>_xlfn.XLOOKUP(tbl_MTG_Set[[#This Row],[Play Booster Box Product Id]], tbl_Product[Product Id], tbl_Product[Pack Size])</f>
        <v/>
      </c>
      <c r="AP290" s="10">
        <f>(tbl_MTG_Set[[#This Row],[Play Booster Box Cost]]+v_Item_Shipping_Cost_In)/tbl_MTG_Set[[#This Row],[Play Booster Box Size]]</f>
        <v/>
      </c>
      <c r="AQ290" s="10">
        <f t="array" ref="AQ2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0" s="10" t="n"/>
      <c r="AS290" s="10" t="n"/>
      <c r="AT290" s="17">
        <f>tbl_MTG_Set[[#This Row],[Play Booster CardMarket Profit]]/tbl_MTG_Set[[#This Row],[Play Booster Cost]]</f>
        <v/>
      </c>
      <c r="AU290" s="10">
        <f>_xlfn.XLOOKUP(tbl_MTG_Set[[#This Row],[Collector Booster Box Product Id]], tbl_Product[Product Id], tbl_Product[Min Cost])</f>
        <v/>
      </c>
      <c r="AV290" s="10">
        <f>_xlfn.XLOOKUP(tbl_MTG_Set[[#This Row],[Collector Booster Box Product Id]], tbl_Product[Product Id], tbl_Product[Best Source])</f>
        <v/>
      </c>
      <c r="AW290" s="4">
        <f>_xlfn.XLOOKUP(tbl_MTG_Set[[#This Row],[Collector Booster Box Product Id]], tbl_Product[Product Id], tbl_Product[Pack Size])</f>
        <v/>
      </c>
      <c r="AX290" s="10">
        <f>(tbl_MTG_Set[[#This Row],[Collector Booster Box Cost]] + v_Item_Shipping_Cost_In) / tbl_MTG_Set[[#This Row],[Collector Booster Box Size]]</f>
        <v/>
      </c>
      <c r="AY290" s="10">
        <f t="array" ref="AY2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0" s="10" t="n"/>
      <c r="BA2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0" s="17">
        <f>tbl_MTG_Set[[#This Row],[Collector Booster CardMarket Profit]]/tbl_MTG_Set[[#This Row],[Collector Booster Cost]]</f>
        <v/>
      </c>
      <c r="BC290" s="10" t="n"/>
      <c r="BF290" s="10">
        <f>tbl_MTG_Set[[#This Row],[Play Booster Sell Price CardMarket]]*tbl_MTG_Set[[#This Row],[Play Booster Expected Market Value]]/tbl_MTG_Set[[#This Row],[Play Boost Sealed Market Value]]</f>
        <v/>
      </c>
      <c r="BG2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0" s="10">
        <f>tbl_MTG_Set[[#This Row],[Play Singles CardMarket Profit]]/tbl_MTG_Set[[#This Row],[Play Booster Cost]]</f>
        <v/>
      </c>
      <c r="BI290" s="10">
        <f>tbl_MTG_Set[[#This Row],[Play Singles CardMarket Profit]]&gt;0</f>
        <v/>
      </c>
      <c r="BJ290" s="10" t="n"/>
      <c r="BK290" s="10" t="n"/>
      <c r="BL290" s="10">
        <f>tbl_MTG_Set[[#This Row],[Collector Booster Sell Price CardMarket]]*tbl_MTG_Set[[#This Row],[Collector Booster Expected Market Value]]/tbl_MTG_Set[[#This Row],[Collector Boost Sealed Market Value]]</f>
        <v/>
      </c>
      <c r="BM2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0" s="10">
        <f>tbl_MTG_Set[[#This Row],[Collector Singles CardMarket Profit]]/tbl_MTG_Set[[#This Row],[Collector Booster Cost]]</f>
        <v/>
      </c>
      <c r="BO290" s="10">
        <f>tbl_MTG_Set[[#This Row],[Collector Singles CardMarket Profit]]&gt;0</f>
        <v/>
      </c>
      <c r="BP2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1">
      <c r="A291" t="n">
        <v>290</v>
      </c>
      <c r="B291" t="inlineStr">
        <is>
          <t>Alchemy: Kamigawa YNEO</t>
        </is>
      </c>
      <c r="C291" t="n">
        <v>30</v>
      </c>
      <c r="D291" s="3" t="n">
        <v>44637</v>
      </c>
      <c r="F291" t="inlineStr">
        <is>
          <t>en es fr de it pt ja ko ru 汉语 漢語</t>
        </is>
      </c>
      <c r="G291" t="n">
        <v>526</v>
      </c>
      <c r="H291">
        <f>MONTH(NOW())+12*YEAR(NOW())-MONTH(tbl_MTG_Set[[#This Row],[Released On]])-12*YEAR(tbl_MTG_Set[[#This Row],[Released On]])</f>
        <v/>
      </c>
      <c r="I291">
        <f>_xlfn.XLOOKUP(tbl_MTG_Set[[#This Row],[Type Name]], tbl_MTG_Set_Type[Set Type], tbl_MTG_Set_Type[Index], "(Set Type not found)")</f>
        <v/>
      </c>
      <c r="J291">
        <f>_xlfn.XLOOKUP(tbl_MTG_Set[[#This Row],[Type Name]], tbl_MTG_Set_Type[Set Type], tbl_MTG_Set_Type[Buy Window Month Start], "(Set Type not found)")</f>
        <v/>
      </c>
      <c r="K291" s="3">
        <f>tbl_MTG_Set[[#This Row],[Released On]]+tbl_MTG_Set[[#This Row],[Buy Window Month Start]]*365.25/12</f>
        <v/>
      </c>
      <c r="L291">
        <f>_xlfn.XLOOKUP(tbl_MTG_Set[[#This Row],[Type Name]], tbl_MTG_Set_Type[Set Type], tbl_MTG_Set_Type[Buy Window Month End], "(Set Type not found)", 0, 1)</f>
        <v/>
      </c>
      <c r="M291" s="3">
        <f>tbl_MTG_Set[[#This Row],[Released On]]+tbl_MTG_Set[[#This Row],[Buy Window Month End]]*365.25/12</f>
        <v/>
      </c>
      <c r="N291" s="3">
        <f>AND(NOW()&gt;=tbl_MTG_Set[[#This Row],[Buy Window Start]], NOW()&lt;=tbl_MTG_Set[[#This Row],[Buy Window End]])</f>
        <v/>
      </c>
      <c r="O291">
        <f>_xlfn.XLOOKUP(tbl_MTG_Set[[#This Row],[Type Name]], tbl_MTG_Set_Type[Set Type], tbl_MTG_Set_Type[Heavy Printing Window Month Start], "(Set Type not found)", 0, 1)</f>
        <v/>
      </c>
      <c r="P291" s="3">
        <f>tbl_MTG_Set[[#This Row],[Released On]]+tbl_MTG_Set[[#This Row],[Heavy Printing Window Month Start]]*365.25/12</f>
        <v/>
      </c>
      <c r="Q291">
        <f>_xlfn.XLOOKUP(tbl_MTG_Set[[#This Row],[Type Name]], tbl_MTG_Set_Type[Set Type], tbl_MTG_Set_Type[Heavy Printing Window Month End], "(Set Type not found)", 0, 1)</f>
        <v/>
      </c>
      <c r="R291" s="3">
        <f>tbl_MTG_Set[[#This Row],[Released On]]+tbl_MTG_Set[[#This Row],[Heavy Printing Window Month End]]*365.25/12</f>
        <v/>
      </c>
      <c r="S291" s="3">
        <f>AND(NOW()&gt;=tbl_MTG_Set[[#This Row],[Heavy Printing Window Start]], NOW()&lt;=tbl_MTG_Set[[#This Row],[Heavy Printing Window End]])</f>
        <v/>
      </c>
      <c r="T291">
        <f>_xlfn.XLOOKUP(tbl_MTG_Set[[#This Row],[Type Name]], tbl_MTG_Set_Type[Set Type], tbl_MTG_Set_Type[Sell Window Month Start], "(Set Type not found)", 0, 1)</f>
        <v/>
      </c>
      <c r="U291" s="3">
        <f>tbl_MTG_Set[[#This Row],[Released On]]+tbl_MTG_Set[[#This Row],[Sell Window Month Start]]*365.25/12</f>
        <v/>
      </c>
      <c r="V291">
        <f>_xlfn.XLOOKUP(tbl_MTG_Set[[#This Row],[Type Name]], tbl_MTG_Set_Type[Set Type], tbl_MTG_Set_Type[Sell Window Month End], "(Set Type not found)", 0, 1)</f>
        <v/>
      </c>
      <c r="W291" s="3">
        <f>tbl_MTG_Set[[#This Row],[Released On]]+tbl_MTG_Set[[#This Row],[Sell Window Month End]]*365.25/12</f>
        <v/>
      </c>
      <c r="X291" s="3">
        <f>AND(NOW()&gt;=tbl_MTG_Set[[#This Row],[Sell Window Start]], NOW()&lt;=tbl_MTG_Set[[#This Row],[Sell Window End]])</f>
        <v/>
      </c>
      <c r="AG291" s="10" t="n"/>
      <c r="AH291" s="10" t="n"/>
      <c r="AM291" s="10">
        <f t="array" ref="AM2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1" s="10">
        <f t="array" ref="AN2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1" s="4">
        <f>_xlfn.XLOOKUP(tbl_MTG_Set[[#This Row],[Play Booster Box Product Id]], tbl_Product[Product Id], tbl_Product[Pack Size])</f>
        <v/>
      </c>
      <c r="AP291" s="10">
        <f>(tbl_MTG_Set[[#This Row],[Play Booster Box Cost]]+v_Item_Shipping_Cost_In)/tbl_MTG_Set[[#This Row],[Play Booster Box Size]]</f>
        <v/>
      </c>
      <c r="AQ291" s="10">
        <f t="array" ref="AQ2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1" s="10" t="n"/>
      <c r="AS291" s="10" t="n"/>
      <c r="AT291" s="17">
        <f>tbl_MTG_Set[[#This Row],[Play Booster CardMarket Profit]]/tbl_MTG_Set[[#This Row],[Play Booster Cost]]</f>
        <v/>
      </c>
      <c r="AU291" s="10">
        <f>_xlfn.XLOOKUP(tbl_MTG_Set[[#This Row],[Collector Booster Box Product Id]], tbl_Product[Product Id], tbl_Product[Min Cost])</f>
        <v/>
      </c>
      <c r="AV291" s="10">
        <f>_xlfn.XLOOKUP(tbl_MTG_Set[[#This Row],[Collector Booster Box Product Id]], tbl_Product[Product Id], tbl_Product[Best Source])</f>
        <v/>
      </c>
      <c r="AW291" s="4">
        <f>_xlfn.XLOOKUP(tbl_MTG_Set[[#This Row],[Collector Booster Box Product Id]], tbl_Product[Product Id], tbl_Product[Pack Size])</f>
        <v/>
      </c>
      <c r="AX291" s="10">
        <f>(tbl_MTG_Set[[#This Row],[Collector Booster Box Cost]] + v_Item_Shipping_Cost_In) / tbl_MTG_Set[[#This Row],[Collector Booster Box Size]]</f>
        <v/>
      </c>
      <c r="AY291" s="10">
        <f t="array" ref="AY2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1" s="10" t="n"/>
      <c r="BA2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1" s="17">
        <f>tbl_MTG_Set[[#This Row],[Collector Booster CardMarket Profit]]/tbl_MTG_Set[[#This Row],[Collector Booster Cost]]</f>
        <v/>
      </c>
      <c r="BC291" s="10" t="n"/>
      <c r="BF291" s="10">
        <f>tbl_MTG_Set[[#This Row],[Play Booster Sell Price CardMarket]]*tbl_MTG_Set[[#This Row],[Play Booster Expected Market Value]]/tbl_MTG_Set[[#This Row],[Play Boost Sealed Market Value]]</f>
        <v/>
      </c>
      <c r="BG2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1" s="10">
        <f>tbl_MTG_Set[[#This Row],[Play Singles CardMarket Profit]]/tbl_MTG_Set[[#This Row],[Play Booster Cost]]</f>
        <v/>
      </c>
      <c r="BI291" s="10">
        <f>tbl_MTG_Set[[#This Row],[Play Singles CardMarket Profit]]&gt;0</f>
        <v/>
      </c>
      <c r="BJ291" s="10" t="n"/>
      <c r="BK291" s="10" t="n"/>
      <c r="BL291" s="10">
        <f>tbl_MTG_Set[[#This Row],[Collector Booster Sell Price CardMarket]]*tbl_MTG_Set[[#This Row],[Collector Booster Expected Market Value]]/tbl_MTG_Set[[#This Row],[Collector Boost Sealed Market Value]]</f>
        <v/>
      </c>
      <c r="BM2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1" s="10">
        <f>tbl_MTG_Set[[#This Row],[Collector Singles CardMarket Profit]]/tbl_MTG_Set[[#This Row],[Collector Booster Cost]]</f>
        <v/>
      </c>
      <c r="BO291" s="10">
        <f>tbl_MTG_Set[[#This Row],[Collector Singles CardMarket Profit]]&gt;0</f>
        <v/>
      </c>
      <c r="BP2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2">
      <c r="A292" t="n">
        <v>291</v>
      </c>
      <c r="B292" t="inlineStr">
        <is>
          <t>Kamigawa: Neon Dynasty Minigames MNEO</t>
        </is>
      </c>
      <c r="C292" t="n">
        <v>3</v>
      </c>
      <c r="D292" s="3" t="n">
        <v>44610</v>
      </c>
      <c r="E292" t="inlineStr">
        <is>
          <t>Standard Expansion</t>
        </is>
      </c>
      <c r="F292" t="inlineStr">
        <is>
          <t>en es fr de it pt ja ko ru 汉语 漢語</t>
        </is>
      </c>
      <c r="G292" t="n">
        <v>528</v>
      </c>
      <c r="H292">
        <f>MONTH(NOW())+12*YEAR(NOW())-MONTH(tbl_MTG_Set[[#This Row],[Released On]])-12*YEAR(tbl_MTG_Set[[#This Row],[Released On]])</f>
        <v/>
      </c>
      <c r="I292">
        <f>_xlfn.XLOOKUP(tbl_MTG_Set[[#This Row],[Type Name]], tbl_MTG_Set_Type[Set Type], tbl_MTG_Set_Type[Index], "(Set Type not found)")</f>
        <v/>
      </c>
      <c r="J292">
        <f>_xlfn.XLOOKUP(tbl_MTG_Set[[#This Row],[Type Name]], tbl_MTG_Set_Type[Set Type], tbl_MTG_Set_Type[Buy Window Month Start], "(Set Type not found)")</f>
        <v/>
      </c>
      <c r="K292" s="3">
        <f>tbl_MTG_Set[[#This Row],[Released On]]+tbl_MTG_Set[[#This Row],[Buy Window Month Start]]*365.25/12</f>
        <v/>
      </c>
      <c r="L292">
        <f>_xlfn.XLOOKUP(tbl_MTG_Set[[#This Row],[Type Name]], tbl_MTG_Set_Type[Set Type], tbl_MTG_Set_Type[Buy Window Month End], "(Set Type not found)", 0, 1)</f>
        <v/>
      </c>
      <c r="M292" s="3">
        <f>tbl_MTG_Set[[#This Row],[Released On]]+tbl_MTG_Set[[#This Row],[Buy Window Month End]]*365.25/12</f>
        <v/>
      </c>
      <c r="N292" s="3">
        <f>AND(NOW()&gt;=tbl_MTG_Set[[#This Row],[Buy Window Start]], NOW()&lt;=tbl_MTG_Set[[#This Row],[Buy Window End]])</f>
        <v/>
      </c>
      <c r="O292">
        <f>_xlfn.XLOOKUP(tbl_MTG_Set[[#This Row],[Type Name]], tbl_MTG_Set_Type[Set Type], tbl_MTG_Set_Type[Heavy Printing Window Month Start], "(Set Type not found)", 0, 1)</f>
        <v/>
      </c>
      <c r="P292" s="3">
        <f>tbl_MTG_Set[[#This Row],[Released On]]+tbl_MTG_Set[[#This Row],[Heavy Printing Window Month Start]]*365.25/12</f>
        <v/>
      </c>
      <c r="Q292">
        <f>_xlfn.XLOOKUP(tbl_MTG_Set[[#This Row],[Type Name]], tbl_MTG_Set_Type[Set Type], tbl_MTG_Set_Type[Heavy Printing Window Month End], "(Set Type not found)", 0, 1)</f>
        <v/>
      </c>
      <c r="R292" s="3">
        <f>tbl_MTG_Set[[#This Row],[Released On]]+tbl_MTG_Set[[#This Row],[Heavy Printing Window Month End]]*365.25/12</f>
        <v/>
      </c>
      <c r="S292" s="3">
        <f>AND(NOW()&gt;=tbl_MTG_Set[[#This Row],[Heavy Printing Window Start]], NOW()&lt;=tbl_MTG_Set[[#This Row],[Heavy Printing Window End]])</f>
        <v/>
      </c>
      <c r="T292">
        <f>_xlfn.XLOOKUP(tbl_MTG_Set[[#This Row],[Type Name]], tbl_MTG_Set_Type[Set Type], tbl_MTG_Set_Type[Sell Window Month Start], "(Set Type not found)", 0, 1)</f>
        <v/>
      </c>
      <c r="U292" s="3">
        <f>tbl_MTG_Set[[#This Row],[Released On]]+tbl_MTG_Set[[#This Row],[Sell Window Month Start]]*365.25/12</f>
        <v/>
      </c>
      <c r="V292">
        <f>_xlfn.XLOOKUP(tbl_MTG_Set[[#This Row],[Type Name]], tbl_MTG_Set_Type[Set Type], tbl_MTG_Set_Type[Sell Window Month End], "(Set Type not found)", 0, 1)</f>
        <v/>
      </c>
      <c r="W292" s="3">
        <f>tbl_MTG_Set[[#This Row],[Released On]]+tbl_MTG_Set[[#This Row],[Sell Window Month End]]*365.25/12</f>
        <v/>
      </c>
      <c r="X292" s="3">
        <f>AND(NOW()&gt;=tbl_MTG_Set[[#This Row],[Sell Window Start]], NOW()&lt;=tbl_MTG_Set[[#This Row],[Sell Window End]])</f>
        <v/>
      </c>
      <c r="AG292" s="10" t="n"/>
      <c r="AH292" s="10" t="n"/>
      <c r="AM292" s="10">
        <f t="array" ref="AM2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2" s="10">
        <f t="array" ref="AN2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2" s="4">
        <f>_xlfn.XLOOKUP(tbl_MTG_Set[[#This Row],[Play Booster Box Product Id]], tbl_Product[Product Id], tbl_Product[Pack Size])</f>
        <v/>
      </c>
      <c r="AP292" s="10">
        <f>(tbl_MTG_Set[[#This Row],[Play Booster Box Cost]]+v_Item_Shipping_Cost_In)/tbl_MTG_Set[[#This Row],[Play Booster Box Size]]</f>
        <v/>
      </c>
      <c r="AQ292" s="10">
        <f t="array" ref="AQ2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2" s="10" t="n"/>
      <c r="AS292" s="10" t="n"/>
      <c r="AT292" s="17">
        <f>tbl_MTG_Set[[#This Row],[Play Booster CardMarket Profit]]/tbl_MTG_Set[[#This Row],[Play Booster Cost]]</f>
        <v/>
      </c>
      <c r="AU292" s="10">
        <f>_xlfn.XLOOKUP(tbl_MTG_Set[[#This Row],[Collector Booster Box Product Id]], tbl_Product[Product Id], tbl_Product[Min Cost])</f>
        <v/>
      </c>
      <c r="AV292" s="10">
        <f>_xlfn.XLOOKUP(tbl_MTG_Set[[#This Row],[Collector Booster Box Product Id]], tbl_Product[Product Id], tbl_Product[Best Source])</f>
        <v/>
      </c>
      <c r="AW292" s="4">
        <f>_xlfn.XLOOKUP(tbl_MTG_Set[[#This Row],[Collector Booster Box Product Id]], tbl_Product[Product Id], tbl_Product[Pack Size])</f>
        <v/>
      </c>
      <c r="AX292" s="10">
        <f>(tbl_MTG_Set[[#This Row],[Collector Booster Box Cost]] + v_Item_Shipping_Cost_In) / tbl_MTG_Set[[#This Row],[Collector Booster Box Size]]</f>
        <v/>
      </c>
      <c r="AY292" s="10">
        <f t="array" ref="AY2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2" s="10" t="n"/>
      <c r="BA2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2" s="17">
        <f>tbl_MTG_Set[[#This Row],[Collector Booster CardMarket Profit]]/tbl_MTG_Set[[#This Row],[Collector Booster Cost]]</f>
        <v/>
      </c>
      <c r="BC292" s="10" t="n"/>
      <c r="BF292" s="10">
        <f>tbl_MTG_Set[[#This Row],[Play Booster Sell Price CardMarket]]*tbl_MTG_Set[[#This Row],[Play Booster Expected Market Value]]/tbl_MTG_Set[[#This Row],[Play Boost Sealed Market Value]]</f>
        <v/>
      </c>
      <c r="BG2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2" s="10">
        <f>tbl_MTG_Set[[#This Row],[Play Singles CardMarket Profit]]/tbl_MTG_Set[[#This Row],[Play Booster Cost]]</f>
        <v/>
      </c>
      <c r="BI292" s="10">
        <f>tbl_MTG_Set[[#This Row],[Play Singles CardMarket Profit]]&gt;0</f>
        <v/>
      </c>
      <c r="BJ292" s="10" t="n"/>
      <c r="BK292" s="10" t="n"/>
      <c r="BL292" s="10">
        <f>tbl_MTG_Set[[#This Row],[Collector Booster Sell Price CardMarket]]*tbl_MTG_Set[[#This Row],[Collector Booster Expected Market Value]]/tbl_MTG_Set[[#This Row],[Collector Boost Sealed Market Value]]</f>
        <v/>
      </c>
      <c r="BM2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2" s="10">
        <f>tbl_MTG_Set[[#This Row],[Collector Singles CardMarket Profit]]/tbl_MTG_Set[[#This Row],[Collector Booster Cost]]</f>
        <v/>
      </c>
      <c r="BO292" s="10">
        <f>tbl_MTG_Set[[#This Row],[Collector Singles CardMarket Profit]]&gt;0</f>
        <v/>
      </c>
      <c r="BP2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3">
      <c r="A293" t="n">
        <v>292</v>
      </c>
      <c r="B293" t="inlineStr">
        <is>
          <t>Kamigawa: Neon Dynasty Substitute Cards SNEO</t>
        </is>
      </c>
      <c r="C293" t="n">
        <v>9</v>
      </c>
      <c r="D293" s="3" t="n">
        <v>44610</v>
      </c>
      <c r="E293" t="inlineStr">
        <is>
          <t>Standard Expansion</t>
        </is>
      </c>
      <c r="F293" t="inlineStr">
        <is>
          <t>en es fr de it pt ja ko ru 汉语 漢語</t>
        </is>
      </c>
      <c r="G293" t="n">
        <v>530</v>
      </c>
      <c r="H293">
        <f>MONTH(NOW())+12*YEAR(NOW())-MONTH(tbl_MTG_Set[[#This Row],[Released On]])-12*YEAR(tbl_MTG_Set[[#This Row],[Released On]])</f>
        <v/>
      </c>
      <c r="I293">
        <f>_xlfn.XLOOKUP(tbl_MTG_Set[[#This Row],[Type Name]], tbl_MTG_Set_Type[Set Type], tbl_MTG_Set_Type[Index], "(Set Type not found)")</f>
        <v/>
      </c>
      <c r="J293">
        <f>_xlfn.XLOOKUP(tbl_MTG_Set[[#This Row],[Type Name]], tbl_MTG_Set_Type[Set Type], tbl_MTG_Set_Type[Buy Window Month Start], "(Set Type not found)")</f>
        <v/>
      </c>
      <c r="K293" s="3">
        <f>tbl_MTG_Set[[#This Row],[Released On]]+tbl_MTG_Set[[#This Row],[Buy Window Month Start]]*365.25/12</f>
        <v/>
      </c>
      <c r="L293">
        <f>_xlfn.XLOOKUP(tbl_MTG_Set[[#This Row],[Type Name]], tbl_MTG_Set_Type[Set Type], tbl_MTG_Set_Type[Buy Window Month End], "(Set Type not found)", 0, 1)</f>
        <v/>
      </c>
      <c r="M293" s="3">
        <f>tbl_MTG_Set[[#This Row],[Released On]]+tbl_MTG_Set[[#This Row],[Buy Window Month End]]*365.25/12</f>
        <v/>
      </c>
      <c r="N293" s="3">
        <f>AND(NOW()&gt;=tbl_MTG_Set[[#This Row],[Buy Window Start]], NOW()&lt;=tbl_MTG_Set[[#This Row],[Buy Window End]])</f>
        <v/>
      </c>
      <c r="O293">
        <f>_xlfn.XLOOKUP(tbl_MTG_Set[[#This Row],[Type Name]], tbl_MTG_Set_Type[Set Type], tbl_MTG_Set_Type[Heavy Printing Window Month Start], "(Set Type not found)", 0, 1)</f>
        <v/>
      </c>
      <c r="P293" s="3">
        <f>tbl_MTG_Set[[#This Row],[Released On]]+tbl_MTG_Set[[#This Row],[Heavy Printing Window Month Start]]*365.25/12</f>
        <v/>
      </c>
      <c r="Q293">
        <f>_xlfn.XLOOKUP(tbl_MTG_Set[[#This Row],[Type Name]], tbl_MTG_Set_Type[Set Type], tbl_MTG_Set_Type[Heavy Printing Window Month End], "(Set Type not found)", 0, 1)</f>
        <v/>
      </c>
      <c r="R293" s="3">
        <f>tbl_MTG_Set[[#This Row],[Released On]]+tbl_MTG_Set[[#This Row],[Heavy Printing Window Month End]]*365.25/12</f>
        <v/>
      </c>
      <c r="S293" s="3">
        <f>AND(NOW()&gt;=tbl_MTG_Set[[#This Row],[Heavy Printing Window Start]], NOW()&lt;=tbl_MTG_Set[[#This Row],[Heavy Printing Window End]])</f>
        <v/>
      </c>
      <c r="T293">
        <f>_xlfn.XLOOKUP(tbl_MTG_Set[[#This Row],[Type Name]], tbl_MTG_Set_Type[Set Type], tbl_MTG_Set_Type[Sell Window Month Start], "(Set Type not found)", 0, 1)</f>
        <v/>
      </c>
      <c r="U293" s="3">
        <f>tbl_MTG_Set[[#This Row],[Released On]]+tbl_MTG_Set[[#This Row],[Sell Window Month Start]]*365.25/12</f>
        <v/>
      </c>
      <c r="V293">
        <f>_xlfn.XLOOKUP(tbl_MTG_Set[[#This Row],[Type Name]], tbl_MTG_Set_Type[Set Type], tbl_MTG_Set_Type[Sell Window Month End], "(Set Type not found)", 0, 1)</f>
        <v/>
      </c>
      <c r="W293" s="3">
        <f>tbl_MTG_Set[[#This Row],[Released On]]+tbl_MTG_Set[[#This Row],[Sell Window Month End]]*365.25/12</f>
        <v/>
      </c>
      <c r="X293" s="3">
        <f>AND(NOW()&gt;=tbl_MTG_Set[[#This Row],[Sell Window Start]], NOW()&lt;=tbl_MTG_Set[[#This Row],[Sell Window End]])</f>
        <v/>
      </c>
      <c r="AG293" s="10" t="n"/>
      <c r="AH293" s="10" t="n"/>
      <c r="AM293" s="10">
        <f t="array" ref="AM2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3" s="10">
        <f t="array" ref="AN2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3" s="4">
        <f>_xlfn.XLOOKUP(tbl_MTG_Set[[#This Row],[Play Booster Box Product Id]], tbl_Product[Product Id], tbl_Product[Pack Size])</f>
        <v/>
      </c>
      <c r="AP293" s="10">
        <f>(tbl_MTG_Set[[#This Row],[Play Booster Box Cost]]+v_Item_Shipping_Cost_In)/tbl_MTG_Set[[#This Row],[Play Booster Box Size]]</f>
        <v/>
      </c>
      <c r="AQ293" s="10">
        <f t="array" ref="AQ2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3" s="10" t="n"/>
      <c r="AS293" s="10" t="n"/>
      <c r="AT293" s="17">
        <f>tbl_MTG_Set[[#This Row],[Play Booster CardMarket Profit]]/tbl_MTG_Set[[#This Row],[Play Booster Cost]]</f>
        <v/>
      </c>
      <c r="AU293" s="10">
        <f>_xlfn.XLOOKUP(tbl_MTG_Set[[#This Row],[Collector Booster Box Product Id]], tbl_Product[Product Id], tbl_Product[Min Cost])</f>
        <v/>
      </c>
      <c r="AV293" s="10">
        <f>_xlfn.XLOOKUP(tbl_MTG_Set[[#This Row],[Collector Booster Box Product Id]], tbl_Product[Product Id], tbl_Product[Best Source])</f>
        <v/>
      </c>
      <c r="AW293" s="4">
        <f>_xlfn.XLOOKUP(tbl_MTG_Set[[#This Row],[Collector Booster Box Product Id]], tbl_Product[Product Id], tbl_Product[Pack Size])</f>
        <v/>
      </c>
      <c r="AX293" s="10">
        <f>(tbl_MTG_Set[[#This Row],[Collector Booster Box Cost]] + v_Item_Shipping_Cost_In) / tbl_MTG_Set[[#This Row],[Collector Booster Box Size]]</f>
        <v/>
      </c>
      <c r="AY293" s="10">
        <f t="array" ref="AY2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3" s="10" t="n"/>
      <c r="BA2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3" s="17">
        <f>tbl_MTG_Set[[#This Row],[Collector Booster CardMarket Profit]]/tbl_MTG_Set[[#This Row],[Collector Booster Cost]]</f>
        <v/>
      </c>
      <c r="BC293" s="10" t="n"/>
      <c r="BF293" s="10">
        <f>tbl_MTG_Set[[#This Row],[Play Booster Sell Price CardMarket]]*tbl_MTG_Set[[#This Row],[Play Booster Expected Market Value]]/tbl_MTG_Set[[#This Row],[Play Boost Sealed Market Value]]</f>
        <v/>
      </c>
      <c r="BG2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3" s="10">
        <f>tbl_MTG_Set[[#This Row],[Play Singles CardMarket Profit]]/tbl_MTG_Set[[#This Row],[Play Booster Cost]]</f>
        <v/>
      </c>
      <c r="BI293" s="10">
        <f>tbl_MTG_Set[[#This Row],[Play Singles CardMarket Profit]]&gt;0</f>
        <v/>
      </c>
      <c r="BJ293" s="10" t="n"/>
      <c r="BK293" s="10" t="n"/>
      <c r="BL293" s="10">
        <f>tbl_MTG_Set[[#This Row],[Collector Booster Sell Price CardMarket]]*tbl_MTG_Set[[#This Row],[Collector Booster Expected Market Value]]/tbl_MTG_Set[[#This Row],[Collector Boost Sealed Market Value]]</f>
        <v/>
      </c>
      <c r="BM2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3" s="10">
        <f>tbl_MTG_Set[[#This Row],[Collector Singles CardMarket Profit]]/tbl_MTG_Set[[#This Row],[Collector Booster Cost]]</f>
        <v/>
      </c>
      <c r="BO293" s="10">
        <f>tbl_MTG_Set[[#This Row],[Collector Singles CardMarket Profit]]&gt;0</f>
        <v/>
      </c>
      <c r="BP2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4">
      <c r="A294" t="n">
        <v>293</v>
      </c>
      <c r="B294" t="inlineStr">
        <is>
          <t>Neon Dynasty Commander NEC</t>
        </is>
      </c>
      <c r="C294" t="n">
        <v>179</v>
      </c>
      <c r="D294" s="3" t="n">
        <v>44610</v>
      </c>
      <c r="F294" t="inlineStr">
        <is>
          <t>en es fr de it pt ja ko ru 汉语 漢語</t>
        </is>
      </c>
      <c r="G294" t="n">
        <v>532</v>
      </c>
      <c r="H294">
        <f>MONTH(NOW())+12*YEAR(NOW())-MONTH(tbl_MTG_Set[[#This Row],[Released On]])-12*YEAR(tbl_MTG_Set[[#This Row],[Released On]])</f>
        <v/>
      </c>
      <c r="I294">
        <f>_xlfn.XLOOKUP(tbl_MTG_Set[[#This Row],[Type Name]], tbl_MTG_Set_Type[Set Type], tbl_MTG_Set_Type[Index], "(Set Type not found)")</f>
        <v/>
      </c>
      <c r="J294">
        <f>_xlfn.XLOOKUP(tbl_MTG_Set[[#This Row],[Type Name]], tbl_MTG_Set_Type[Set Type], tbl_MTG_Set_Type[Buy Window Month Start], "(Set Type not found)")</f>
        <v/>
      </c>
      <c r="K294" s="3">
        <f>tbl_MTG_Set[[#This Row],[Released On]]+tbl_MTG_Set[[#This Row],[Buy Window Month Start]]*365.25/12</f>
        <v/>
      </c>
      <c r="L294">
        <f>_xlfn.XLOOKUP(tbl_MTG_Set[[#This Row],[Type Name]], tbl_MTG_Set_Type[Set Type], tbl_MTG_Set_Type[Buy Window Month End], "(Set Type not found)", 0, 1)</f>
        <v/>
      </c>
      <c r="M294" s="3">
        <f>tbl_MTG_Set[[#This Row],[Released On]]+tbl_MTG_Set[[#This Row],[Buy Window Month End]]*365.25/12</f>
        <v/>
      </c>
      <c r="N294" s="3">
        <f>AND(NOW()&gt;=tbl_MTG_Set[[#This Row],[Buy Window Start]], NOW()&lt;=tbl_MTG_Set[[#This Row],[Buy Window End]])</f>
        <v/>
      </c>
      <c r="O294">
        <f>_xlfn.XLOOKUP(tbl_MTG_Set[[#This Row],[Type Name]], tbl_MTG_Set_Type[Set Type], tbl_MTG_Set_Type[Heavy Printing Window Month Start], "(Set Type not found)", 0, 1)</f>
        <v/>
      </c>
      <c r="P294" s="3">
        <f>tbl_MTG_Set[[#This Row],[Released On]]+tbl_MTG_Set[[#This Row],[Heavy Printing Window Month Start]]*365.25/12</f>
        <v/>
      </c>
      <c r="Q294">
        <f>_xlfn.XLOOKUP(tbl_MTG_Set[[#This Row],[Type Name]], tbl_MTG_Set_Type[Set Type], tbl_MTG_Set_Type[Heavy Printing Window Month End], "(Set Type not found)", 0, 1)</f>
        <v/>
      </c>
      <c r="R294" s="3">
        <f>tbl_MTG_Set[[#This Row],[Released On]]+tbl_MTG_Set[[#This Row],[Heavy Printing Window Month End]]*365.25/12</f>
        <v/>
      </c>
      <c r="S294" s="3">
        <f>AND(NOW()&gt;=tbl_MTG_Set[[#This Row],[Heavy Printing Window Start]], NOW()&lt;=tbl_MTG_Set[[#This Row],[Heavy Printing Window End]])</f>
        <v/>
      </c>
      <c r="T294">
        <f>_xlfn.XLOOKUP(tbl_MTG_Set[[#This Row],[Type Name]], tbl_MTG_Set_Type[Set Type], tbl_MTG_Set_Type[Sell Window Month Start], "(Set Type not found)", 0, 1)</f>
        <v/>
      </c>
      <c r="U294" s="3">
        <f>tbl_MTG_Set[[#This Row],[Released On]]+tbl_MTG_Set[[#This Row],[Sell Window Month Start]]*365.25/12</f>
        <v/>
      </c>
      <c r="V294">
        <f>_xlfn.XLOOKUP(tbl_MTG_Set[[#This Row],[Type Name]], tbl_MTG_Set_Type[Set Type], tbl_MTG_Set_Type[Sell Window Month End], "(Set Type not found)", 0, 1)</f>
        <v/>
      </c>
      <c r="W294" s="3">
        <f>tbl_MTG_Set[[#This Row],[Released On]]+tbl_MTG_Set[[#This Row],[Sell Window Month End]]*365.25/12</f>
        <v/>
      </c>
      <c r="X294" s="3">
        <f>AND(NOW()&gt;=tbl_MTG_Set[[#This Row],[Sell Window Start]], NOW()&lt;=tbl_MTG_Set[[#This Row],[Sell Window End]])</f>
        <v/>
      </c>
      <c r="AG294" s="10" t="n"/>
      <c r="AH294" s="10" t="n"/>
      <c r="AM294" s="10">
        <f t="array" ref="AM2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4" s="10">
        <f t="array" ref="AN2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4" s="4">
        <f>_xlfn.XLOOKUP(tbl_MTG_Set[[#This Row],[Play Booster Box Product Id]], tbl_Product[Product Id], tbl_Product[Pack Size])</f>
        <v/>
      </c>
      <c r="AP294" s="10">
        <f>(tbl_MTG_Set[[#This Row],[Play Booster Box Cost]]+v_Item_Shipping_Cost_In)/tbl_MTG_Set[[#This Row],[Play Booster Box Size]]</f>
        <v/>
      </c>
      <c r="AQ294" s="10">
        <f t="array" ref="AQ2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4" s="10" t="n"/>
      <c r="AS294" s="10" t="n"/>
      <c r="AT294" s="17">
        <f>tbl_MTG_Set[[#This Row],[Play Booster CardMarket Profit]]/tbl_MTG_Set[[#This Row],[Play Booster Cost]]</f>
        <v/>
      </c>
      <c r="AU294" s="10">
        <f>_xlfn.XLOOKUP(tbl_MTG_Set[[#This Row],[Collector Booster Box Product Id]], tbl_Product[Product Id], tbl_Product[Min Cost])</f>
        <v/>
      </c>
      <c r="AV294" s="10">
        <f>_xlfn.XLOOKUP(tbl_MTG_Set[[#This Row],[Collector Booster Box Product Id]], tbl_Product[Product Id], tbl_Product[Best Source])</f>
        <v/>
      </c>
      <c r="AW294" s="4">
        <f>_xlfn.XLOOKUP(tbl_MTG_Set[[#This Row],[Collector Booster Box Product Id]], tbl_Product[Product Id], tbl_Product[Pack Size])</f>
        <v/>
      </c>
      <c r="AX294" s="10">
        <f>(tbl_MTG_Set[[#This Row],[Collector Booster Box Cost]] + v_Item_Shipping_Cost_In) / tbl_MTG_Set[[#This Row],[Collector Booster Box Size]]</f>
        <v/>
      </c>
      <c r="AY294" s="10">
        <f t="array" ref="AY2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4" s="10" t="n"/>
      <c r="BA2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4" s="17">
        <f>tbl_MTG_Set[[#This Row],[Collector Booster CardMarket Profit]]/tbl_MTG_Set[[#This Row],[Collector Booster Cost]]</f>
        <v/>
      </c>
      <c r="BC294" s="10" t="n"/>
      <c r="BF294" s="10">
        <f>tbl_MTG_Set[[#This Row],[Play Booster Sell Price CardMarket]]*tbl_MTG_Set[[#This Row],[Play Booster Expected Market Value]]/tbl_MTG_Set[[#This Row],[Play Boost Sealed Market Value]]</f>
        <v/>
      </c>
      <c r="BG2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4" s="10">
        <f>tbl_MTG_Set[[#This Row],[Play Singles CardMarket Profit]]/tbl_MTG_Set[[#This Row],[Play Booster Cost]]</f>
        <v/>
      </c>
      <c r="BI294" s="10">
        <f>tbl_MTG_Set[[#This Row],[Play Singles CardMarket Profit]]&gt;0</f>
        <v/>
      </c>
      <c r="BJ294" s="10" t="n"/>
      <c r="BK294" s="10" t="n"/>
      <c r="BL294" s="10">
        <f>tbl_MTG_Set[[#This Row],[Collector Booster Sell Price CardMarket]]*tbl_MTG_Set[[#This Row],[Collector Booster Expected Market Value]]/tbl_MTG_Set[[#This Row],[Collector Boost Sealed Market Value]]</f>
        <v/>
      </c>
      <c r="BM2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4" s="10">
        <f>tbl_MTG_Set[[#This Row],[Collector Singles CardMarket Profit]]/tbl_MTG_Set[[#This Row],[Collector Booster Cost]]</f>
        <v/>
      </c>
      <c r="BO294" s="10">
        <f>tbl_MTG_Set[[#This Row],[Collector Singles CardMarket Profit]]&gt;0</f>
        <v/>
      </c>
      <c r="BP2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5">
      <c r="A295" t="n">
        <v>294</v>
      </c>
      <c r="B295" t="inlineStr">
        <is>
          <t>Neon Dynasty Commander Tokens TNEC</t>
        </is>
      </c>
      <c r="C295" t="n">
        <v>12</v>
      </c>
      <c r="D295" s="3" t="n">
        <v>44610</v>
      </c>
      <c r="F295" t="inlineStr">
        <is>
          <t>en es fr de it pt ja ko ru 汉语 漢語</t>
        </is>
      </c>
      <c r="G295" t="n">
        <v>534</v>
      </c>
      <c r="H295">
        <f>MONTH(NOW())+12*YEAR(NOW())-MONTH(tbl_MTG_Set[[#This Row],[Released On]])-12*YEAR(tbl_MTG_Set[[#This Row],[Released On]])</f>
        <v/>
      </c>
      <c r="I295">
        <f>_xlfn.XLOOKUP(tbl_MTG_Set[[#This Row],[Type Name]], tbl_MTG_Set_Type[Set Type], tbl_MTG_Set_Type[Index], "(Set Type not found)")</f>
        <v/>
      </c>
      <c r="J295">
        <f>_xlfn.XLOOKUP(tbl_MTG_Set[[#This Row],[Type Name]], tbl_MTG_Set_Type[Set Type], tbl_MTG_Set_Type[Buy Window Month Start], "(Set Type not found)")</f>
        <v/>
      </c>
      <c r="K295" s="3">
        <f>tbl_MTG_Set[[#This Row],[Released On]]+tbl_MTG_Set[[#This Row],[Buy Window Month Start]]*365.25/12</f>
        <v/>
      </c>
      <c r="L295">
        <f>_xlfn.XLOOKUP(tbl_MTG_Set[[#This Row],[Type Name]], tbl_MTG_Set_Type[Set Type], tbl_MTG_Set_Type[Buy Window Month End], "(Set Type not found)", 0, 1)</f>
        <v/>
      </c>
      <c r="M295" s="3">
        <f>tbl_MTG_Set[[#This Row],[Released On]]+tbl_MTG_Set[[#This Row],[Buy Window Month End]]*365.25/12</f>
        <v/>
      </c>
      <c r="N295" s="3">
        <f>AND(NOW()&gt;=tbl_MTG_Set[[#This Row],[Buy Window Start]], NOW()&lt;=tbl_MTG_Set[[#This Row],[Buy Window End]])</f>
        <v/>
      </c>
      <c r="O295">
        <f>_xlfn.XLOOKUP(tbl_MTG_Set[[#This Row],[Type Name]], tbl_MTG_Set_Type[Set Type], tbl_MTG_Set_Type[Heavy Printing Window Month Start], "(Set Type not found)", 0, 1)</f>
        <v/>
      </c>
      <c r="P295" s="3">
        <f>tbl_MTG_Set[[#This Row],[Released On]]+tbl_MTG_Set[[#This Row],[Heavy Printing Window Month Start]]*365.25/12</f>
        <v/>
      </c>
      <c r="Q295">
        <f>_xlfn.XLOOKUP(tbl_MTG_Set[[#This Row],[Type Name]], tbl_MTG_Set_Type[Set Type], tbl_MTG_Set_Type[Heavy Printing Window Month End], "(Set Type not found)", 0, 1)</f>
        <v/>
      </c>
      <c r="R295" s="3">
        <f>tbl_MTG_Set[[#This Row],[Released On]]+tbl_MTG_Set[[#This Row],[Heavy Printing Window Month End]]*365.25/12</f>
        <v/>
      </c>
      <c r="S295" s="3">
        <f>AND(NOW()&gt;=tbl_MTG_Set[[#This Row],[Heavy Printing Window Start]], NOW()&lt;=tbl_MTG_Set[[#This Row],[Heavy Printing Window End]])</f>
        <v/>
      </c>
      <c r="T295">
        <f>_xlfn.XLOOKUP(tbl_MTG_Set[[#This Row],[Type Name]], tbl_MTG_Set_Type[Set Type], tbl_MTG_Set_Type[Sell Window Month Start], "(Set Type not found)", 0, 1)</f>
        <v/>
      </c>
      <c r="U295" s="3">
        <f>tbl_MTG_Set[[#This Row],[Released On]]+tbl_MTG_Set[[#This Row],[Sell Window Month Start]]*365.25/12</f>
        <v/>
      </c>
      <c r="V295">
        <f>_xlfn.XLOOKUP(tbl_MTG_Set[[#This Row],[Type Name]], tbl_MTG_Set_Type[Set Type], tbl_MTG_Set_Type[Sell Window Month End], "(Set Type not found)", 0, 1)</f>
        <v/>
      </c>
      <c r="W295" s="3">
        <f>tbl_MTG_Set[[#This Row],[Released On]]+tbl_MTG_Set[[#This Row],[Sell Window Month End]]*365.25/12</f>
        <v/>
      </c>
      <c r="X295" s="3">
        <f>AND(NOW()&gt;=tbl_MTG_Set[[#This Row],[Sell Window Start]], NOW()&lt;=tbl_MTG_Set[[#This Row],[Sell Window End]])</f>
        <v/>
      </c>
      <c r="AG295" s="10" t="n"/>
      <c r="AH295" s="10" t="n"/>
      <c r="AM295" s="10">
        <f t="array" ref="AM2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5" s="10">
        <f t="array" ref="AN2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5" s="4">
        <f>_xlfn.XLOOKUP(tbl_MTG_Set[[#This Row],[Play Booster Box Product Id]], tbl_Product[Product Id], tbl_Product[Pack Size])</f>
        <v/>
      </c>
      <c r="AP295" s="10">
        <f>(tbl_MTG_Set[[#This Row],[Play Booster Box Cost]]+v_Item_Shipping_Cost_In)/tbl_MTG_Set[[#This Row],[Play Booster Box Size]]</f>
        <v/>
      </c>
      <c r="AQ295" s="10">
        <f t="array" ref="AQ2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5" s="10" t="n"/>
      <c r="AS295" s="10" t="n"/>
      <c r="AT295" s="17">
        <f>tbl_MTG_Set[[#This Row],[Play Booster CardMarket Profit]]/tbl_MTG_Set[[#This Row],[Play Booster Cost]]</f>
        <v/>
      </c>
      <c r="AU295" s="10">
        <f>_xlfn.XLOOKUP(tbl_MTG_Set[[#This Row],[Collector Booster Box Product Id]], tbl_Product[Product Id], tbl_Product[Min Cost])</f>
        <v/>
      </c>
      <c r="AV295" s="10">
        <f>_xlfn.XLOOKUP(tbl_MTG_Set[[#This Row],[Collector Booster Box Product Id]], tbl_Product[Product Id], tbl_Product[Best Source])</f>
        <v/>
      </c>
      <c r="AW295" s="4">
        <f>_xlfn.XLOOKUP(tbl_MTG_Set[[#This Row],[Collector Booster Box Product Id]], tbl_Product[Product Id], tbl_Product[Pack Size])</f>
        <v/>
      </c>
      <c r="AX295" s="10">
        <f>(tbl_MTG_Set[[#This Row],[Collector Booster Box Cost]] + v_Item_Shipping_Cost_In) / tbl_MTG_Set[[#This Row],[Collector Booster Box Size]]</f>
        <v/>
      </c>
      <c r="AY295" s="10">
        <f t="array" ref="AY2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5" s="10" t="n"/>
      <c r="BA2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5" s="17">
        <f>tbl_MTG_Set[[#This Row],[Collector Booster CardMarket Profit]]/tbl_MTG_Set[[#This Row],[Collector Booster Cost]]</f>
        <v/>
      </c>
      <c r="BC295" s="10" t="n"/>
      <c r="BF295" s="10">
        <f>tbl_MTG_Set[[#This Row],[Play Booster Sell Price CardMarket]]*tbl_MTG_Set[[#This Row],[Play Booster Expected Market Value]]/tbl_MTG_Set[[#This Row],[Play Boost Sealed Market Value]]</f>
        <v/>
      </c>
      <c r="BG2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5" s="10">
        <f>tbl_MTG_Set[[#This Row],[Play Singles CardMarket Profit]]/tbl_MTG_Set[[#This Row],[Play Booster Cost]]</f>
        <v/>
      </c>
      <c r="BI295" s="10">
        <f>tbl_MTG_Set[[#This Row],[Play Singles CardMarket Profit]]&gt;0</f>
        <v/>
      </c>
      <c r="BJ295" s="10" t="n"/>
      <c r="BK295" s="10" t="n"/>
      <c r="BL295" s="10">
        <f>tbl_MTG_Set[[#This Row],[Collector Booster Sell Price CardMarket]]*tbl_MTG_Set[[#This Row],[Collector Booster Expected Market Value]]/tbl_MTG_Set[[#This Row],[Collector Boost Sealed Market Value]]</f>
        <v/>
      </c>
      <c r="BM2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5" s="10">
        <f>tbl_MTG_Set[[#This Row],[Collector Singles CardMarket Profit]]/tbl_MTG_Set[[#This Row],[Collector Booster Cost]]</f>
        <v/>
      </c>
      <c r="BO295" s="10">
        <f>tbl_MTG_Set[[#This Row],[Collector Singles CardMarket Profit]]&gt;0</f>
        <v/>
      </c>
      <c r="BP2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6">
      <c r="A296" t="n">
        <v>294</v>
      </c>
      <c r="B296" t="inlineStr">
        <is>
          <t>New Capenna Art Series ASNC</t>
        </is>
      </c>
      <c r="C296" t="n">
        <v>81</v>
      </c>
      <c r="D296" s="3" t="n">
        <v>44680</v>
      </c>
      <c r="F296" t="inlineStr">
        <is>
          <t>en es fr de it pt ja ko ru 汉语 漢語</t>
        </is>
      </c>
      <c r="G296" t="n">
        <v>510</v>
      </c>
      <c r="H296">
        <f>MONTH(NOW())+12*YEAR(NOW())-MONTH(tbl_MTG_Set[[#This Row],[Released On]])-12*YEAR(tbl_MTG_Set[[#This Row],[Released On]])</f>
        <v/>
      </c>
      <c r="I296">
        <f>_xlfn.XLOOKUP(tbl_MTG_Set[[#This Row],[Type Name]], tbl_MTG_Set_Type[Set Type], tbl_MTG_Set_Type[Index], "(Set Type not found)")</f>
        <v/>
      </c>
      <c r="J296">
        <f>_xlfn.XLOOKUP(tbl_MTG_Set[[#This Row],[Type Name]], tbl_MTG_Set_Type[Set Type], tbl_MTG_Set_Type[Buy Window Month Start], "(Set Type not found)")</f>
        <v/>
      </c>
      <c r="K296" s="3">
        <f>tbl_MTG_Set[[#This Row],[Released On]]+tbl_MTG_Set[[#This Row],[Buy Window Month Start]]*365.25/12</f>
        <v/>
      </c>
      <c r="L296">
        <f>_xlfn.XLOOKUP(tbl_MTG_Set[[#This Row],[Type Name]], tbl_MTG_Set_Type[Set Type], tbl_MTG_Set_Type[Buy Window Month End], "(Set Type not found)", 0, 1)</f>
        <v/>
      </c>
      <c r="M296" s="3">
        <f>tbl_MTG_Set[[#This Row],[Released On]]+tbl_MTG_Set[[#This Row],[Buy Window Month End]]*365.25/12</f>
        <v/>
      </c>
      <c r="N296" s="3">
        <f>AND(NOW()&gt;=tbl_MTG_Set[[#This Row],[Buy Window Start]], NOW()&lt;=tbl_MTG_Set[[#This Row],[Buy Window End]])</f>
        <v/>
      </c>
      <c r="O296">
        <f>_xlfn.XLOOKUP(tbl_MTG_Set[[#This Row],[Type Name]], tbl_MTG_Set_Type[Set Type], tbl_MTG_Set_Type[Heavy Printing Window Month Start], "(Set Type not found)", 0, 1)</f>
        <v/>
      </c>
      <c r="P296" s="3">
        <f>tbl_MTG_Set[[#This Row],[Released On]]+tbl_MTG_Set[[#This Row],[Heavy Printing Window Month Start]]*365.25/12</f>
        <v/>
      </c>
      <c r="Q296">
        <f>_xlfn.XLOOKUP(tbl_MTG_Set[[#This Row],[Type Name]], tbl_MTG_Set_Type[Set Type], tbl_MTG_Set_Type[Heavy Printing Window Month End], "(Set Type not found)", 0, 1)</f>
        <v/>
      </c>
      <c r="R296" s="3">
        <f>tbl_MTG_Set[[#This Row],[Released On]]+tbl_MTG_Set[[#This Row],[Heavy Printing Window Month End]]*365.25/12</f>
        <v/>
      </c>
      <c r="S296" s="3">
        <f>AND(NOW()&gt;=tbl_MTG_Set[[#This Row],[Heavy Printing Window Start]], NOW()&lt;=tbl_MTG_Set[[#This Row],[Heavy Printing Window End]])</f>
        <v/>
      </c>
      <c r="T296">
        <f>_xlfn.XLOOKUP(tbl_MTG_Set[[#This Row],[Type Name]], tbl_MTG_Set_Type[Set Type], tbl_MTG_Set_Type[Sell Window Month Start], "(Set Type not found)", 0, 1)</f>
        <v/>
      </c>
      <c r="U296" s="3">
        <f>tbl_MTG_Set[[#This Row],[Released On]]+tbl_MTG_Set[[#This Row],[Sell Window Month Start]]*365.25/12</f>
        <v/>
      </c>
      <c r="V296">
        <f>_xlfn.XLOOKUP(tbl_MTG_Set[[#This Row],[Type Name]], tbl_MTG_Set_Type[Set Type], tbl_MTG_Set_Type[Sell Window Month End], "(Set Type not found)", 0, 1)</f>
        <v/>
      </c>
      <c r="W296" s="3">
        <f>tbl_MTG_Set[[#This Row],[Released On]]+tbl_MTG_Set[[#This Row],[Sell Window Month End]]*365.25/12</f>
        <v/>
      </c>
      <c r="X296" s="3">
        <f>AND(NOW()&gt;=tbl_MTG_Set[[#This Row],[Sell Window Start]], NOW()&lt;=tbl_MTG_Set[[#This Row],[Sell Window End]])</f>
        <v/>
      </c>
      <c r="AG296" s="10" t="n"/>
      <c r="AH296" s="10" t="n"/>
      <c r="AM296" s="10">
        <f t="array" ref="AM2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6" s="10">
        <f t="array" ref="AN2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6" s="4">
        <f>_xlfn.XLOOKUP(tbl_MTG_Set[[#This Row],[Play Booster Box Product Id]], tbl_Product[Product Id], tbl_Product[Pack Size])</f>
        <v/>
      </c>
      <c r="AP296" s="10">
        <f>(tbl_MTG_Set[[#This Row],[Play Booster Box Cost]]+v_Item_Shipping_Cost_In)/tbl_MTG_Set[[#This Row],[Play Booster Box Size]]</f>
        <v/>
      </c>
      <c r="AQ296" s="10">
        <f t="array" ref="AQ2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6" s="10" t="n"/>
      <c r="AS296" s="10" t="n"/>
      <c r="AT296" s="17">
        <f>tbl_MTG_Set[[#This Row],[Play Booster CardMarket Profit]]/tbl_MTG_Set[[#This Row],[Play Booster Cost]]</f>
        <v/>
      </c>
      <c r="AU296" s="10">
        <f>_xlfn.XLOOKUP(tbl_MTG_Set[[#This Row],[Collector Booster Box Product Id]], tbl_Product[Product Id], tbl_Product[Min Cost])</f>
        <v/>
      </c>
      <c r="AV296" s="10">
        <f>_xlfn.XLOOKUP(tbl_MTG_Set[[#This Row],[Collector Booster Box Product Id]], tbl_Product[Product Id], tbl_Product[Best Source])</f>
        <v/>
      </c>
      <c r="AW296" s="4">
        <f>_xlfn.XLOOKUP(tbl_MTG_Set[[#This Row],[Collector Booster Box Product Id]], tbl_Product[Product Id], tbl_Product[Pack Size])</f>
        <v/>
      </c>
      <c r="AX296" s="10">
        <f>(tbl_MTG_Set[[#This Row],[Collector Booster Box Cost]] + v_Item_Shipping_Cost_In) / tbl_MTG_Set[[#This Row],[Collector Booster Box Size]]</f>
        <v/>
      </c>
      <c r="AY296" s="10">
        <f t="array" ref="AY2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6" s="10" t="n"/>
      <c r="BA2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6" s="17">
        <f>tbl_MTG_Set[[#This Row],[Collector Booster CardMarket Profit]]/tbl_MTG_Set[[#This Row],[Collector Booster Cost]]</f>
        <v/>
      </c>
      <c r="BC296" s="10" t="n"/>
      <c r="BF296" s="10">
        <f>tbl_MTG_Set[[#This Row],[Play Booster Sell Price CardMarket]]*tbl_MTG_Set[[#This Row],[Play Booster Expected Market Value]]/tbl_MTG_Set[[#This Row],[Play Boost Sealed Market Value]]</f>
        <v/>
      </c>
      <c r="BG2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6" s="10">
        <f>tbl_MTG_Set[[#This Row],[Play Singles CardMarket Profit]]/tbl_MTG_Set[[#This Row],[Play Booster Cost]]</f>
        <v/>
      </c>
      <c r="BI296" s="10">
        <f>tbl_MTG_Set[[#This Row],[Play Singles CardMarket Profit]]&gt;0</f>
        <v/>
      </c>
      <c r="BJ296" s="10" t="n"/>
      <c r="BK296" s="10" t="n"/>
      <c r="BL296" s="10">
        <f>tbl_MTG_Set[[#This Row],[Collector Booster Sell Price CardMarket]]*tbl_MTG_Set[[#This Row],[Collector Booster Expected Market Value]]/tbl_MTG_Set[[#This Row],[Collector Boost Sealed Market Value]]</f>
        <v/>
      </c>
      <c r="BM2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6" s="10">
        <f>tbl_MTG_Set[[#This Row],[Collector Singles CardMarket Profit]]/tbl_MTG_Set[[#This Row],[Collector Booster Cost]]</f>
        <v/>
      </c>
      <c r="BO296" s="10">
        <f>tbl_MTG_Set[[#This Row],[Collector Singles CardMarket Profit]]&gt;0</f>
        <v/>
      </c>
      <c r="BP2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7">
      <c r="A297" t="n">
        <v>295</v>
      </c>
      <c r="B297" t="inlineStr">
        <is>
          <t>Neon Dynasty Art Series ANEO</t>
        </is>
      </c>
      <c r="C297" t="n">
        <v>81</v>
      </c>
      <c r="D297" s="3" t="n">
        <v>44610</v>
      </c>
      <c r="F297" t="inlineStr">
        <is>
          <t>en es fr de it pt ja ko ru 汉语 漢語</t>
        </is>
      </c>
      <c r="G297" t="n">
        <v>536</v>
      </c>
      <c r="H297">
        <f>MONTH(NOW())+12*YEAR(NOW())-MONTH(tbl_MTG_Set[[#This Row],[Released On]])-12*YEAR(tbl_MTG_Set[[#This Row],[Released On]])</f>
        <v/>
      </c>
      <c r="I297">
        <f>_xlfn.XLOOKUP(tbl_MTG_Set[[#This Row],[Type Name]], tbl_MTG_Set_Type[Set Type], tbl_MTG_Set_Type[Index], "(Set Type not found)")</f>
        <v/>
      </c>
      <c r="J297">
        <f>_xlfn.XLOOKUP(tbl_MTG_Set[[#This Row],[Type Name]], tbl_MTG_Set_Type[Set Type], tbl_MTG_Set_Type[Buy Window Month Start], "(Set Type not found)")</f>
        <v/>
      </c>
      <c r="K297" s="3">
        <f>tbl_MTG_Set[[#This Row],[Released On]]+tbl_MTG_Set[[#This Row],[Buy Window Month Start]]*365.25/12</f>
        <v/>
      </c>
      <c r="L297">
        <f>_xlfn.XLOOKUP(tbl_MTG_Set[[#This Row],[Type Name]], tbl_MTG_Set_Type[Set Type], tbl_MTG_Set_Type[Buy Window Month End], "(Set Type not found)", 0, 1)</f>
        <v/>
      </c>
      <c r="M297" s="3">
        <f>tbl_MTG_Set[[#This Row],[Released On]]+tbl_MTG_Set[[#This Row],[Buy Window Month End]]*365.25/12</f>
        <v/>
      </c>
      <c r="N297" s="3">
        <f>AND(NOW()&gt;=tbl_MTG_Set[[#This Row],[Buy Window Start]], NOW()&lt;=tbl_MTG_Set[[#This Row],[Buy Window End]])</f>
        <v/>
      </c>
      <c r="O297">
        <f>_xlfn.XLOOKUP(tbl_MTG_Set[[#This Row],[Type Name]], tbl_MTG_Set_Type[Set Type], tbl_MTG_Set_Type[Heavy Printing Window Month Start], "(Set Type not found)", 0, 1)</f>
        <v/>
      </c>
      <c r="P297" s="3">
        <f>tbl_MTG_Set[[#This Row],[Released On]]+tbl_MTG_Set[[#This Row],[Heavy Printing Window Month Start]]*365.25/12</f>
        <v/>
      </c>
      <c r="Q297">
        <f>_xlfn.XLOOKUP(tbl_MTG_Set[[#This Row],[Type Name]], tbl_MTG_Set_Type[Set Type], tbl_MTG_Set_Type[Heavy Printing Window Month End], "(Set Type not found)", 0, 1)</f>
        <v/>
      </c>
      <c r="R297" s="3">
        <f>tbl_MTG_Set[[#This Row],[Released On]]+tbl_MTG_Set[[#This Row],[Heavy Printing Window Month End]]*365.25/12</f>
        <v/>
      </c>
      <c r="S297" s="3">
        <f>AND(NOW()&gt;=tbl_MTG_Set[[#This Row],[Heavy Printing Window Start]], NOW()&lt;=tbl_MTG_Set[[#This Row],[Heavy Printing Window End]])</f>
        <v/>
      </c>
      <c r="T297">
        <f>_xlfn.XLOOKUP(tbl_MTG_Set[[#This Row],[Type Name]], tbl_MTG_Set_Type[Set Type], tbl_MTG_Set_Type[Sell Window Month Start], "(Set Type not found)", 0, 1)</f>
        <v/>
      </c>
      <c r="U297" s="3">
        <f>tbl_MTG_Set[[#This Row],[Released On]]+tbl_MTG_Set[[#This Row],[Sell Window Month Start]]*365.25/12</f>
        <v/>
      </c>
      <c r="V297">
        <f>_xlfn.XLOOKUP(tbl_MTG_Set[[#This Row],[Type Name]], tbl_MTG_Set_Type[Set Type], tbl_MTG_Set_Type[Sell Window Month End], "(Set Type not found)", 0, 1)</f>
        <v/>
      </c>
      <c r="W297" s="3">
        <f>tbl_MTG_Set[[#This Row],[Released On]]+tbl_MTG_Set[[#This Row],[Sell Window Month End]]*365.25/12</f>
        <v/>
      </c>
      <c r="X297" s="3">
        <f>AND(NOW()&gt;=tbl_MTG_Set[[#This Row],[Sell Window Start]], NOW()&lt;=tbl_MTG_Set[[#This Row],[Sell Window End]])</f>
        <v/>
      </c>
      <c r="AG297" s="10" t="n"/>
      <c r="AH297" s="10" t="n"/>
      <c r="AM297" s="10">
        <f t="array" ref="AM2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7" s="10">
        <f t="array" ref="AN2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7" s="4">
        <f>_xlfn.XLOOKUP(tbl_MTG_Set[[#This Row],[Play Booster Box Product Id]], tbl_Product[Product Id], tbl_Product[Pack Size])</f>
        <v/>
      </c>
      <c r="AP297" s="10">
        <f>(tbl_MTG_Set[[#This Row],[Play Booster Box Cost]]+v_Item_Shipping_Cost_In)/tbl_MTG_Set[[#This Row],[Play Booster Box Size]]</f>
        <v/>
      </c>
      <c r="AQ297" s="10">
        <f t="array" ref="AQ2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7" s="10" t="n"/>
      <c r="AS297" s="10" t="n"/>
      <c r="AT297" s="17">
        <f>tbl_MTG_Set[[#This Row],[Play Booster CardMarket Profit]]/tbl_MTG_Set[[#This Row],[Play Booster Cost]]</f>
        <v/>
      </c>
      <c r="AU297" s="10">
        <f>_xlfn.XLOOKUP(tbl_MTG_Set[[#This Row],[Collector Booster Box Product Id]], tbl_Product[Product Id], tbl_Product[Min Cost])</f>
        <v/>
      </c>
      <c r="AV297" s="10">
        <f>_xlfn.XLOOKUP(tbl_MTG_Set[[#This Row],[Collector Booster Box Product Id]], tbl_Product[Product Id], tbl_Product[Best Source])</f>
        <v/>
      </c>
      <c r="AW297" s="4">
        <f>_xlfn.XLOOKUP(tbl_MTG_Set[[#This Row],[Collector Booster Box Product Id]], tbl_Product[Product Id], tbl_Product[Pack Size])</f>
        <v/>
      </c>
      <c r="AX297" s="10">
        <f>(tbl_MTG_Set[[#This Row],[Collector Booster Box Cost]] + v_Item_Shipping_Cost_In) / tbl_MTG_Set[[#This Row],[Collector Booster Box Size]]</f>
        <v/>
      </c>
      <c r="AY297" s="10">
        <f t="array" ref="AY2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7" s="10" t="n"/>
      <c r="BA2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7" s="17">
        <f>tbl_MTG_Set[[#This Row],[Collector Booster CardMarket Profit]]/tbl_MTG_Set[[#This Row],[Collector Booster Cost]]</f>
        <v/>
      </c>
      <c r="BC297" s="10" t="n"/>
      <c r="BF297" s="10">
        <f>tbl_MTG_Set[[#This Row],[Play Booster Sell Price CardMarket]]*tbl_MTG_Set[[#This Row],[Play Booster Expected Market Value]]/tbl_MTG_Set[[#This Row],[Play Boost Sealed Market Value]]</f>
        <v/>
      </c>
      <c r="BG2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7" s="10">
        <f>tbl_MTG_Set[[#This Row],[Play Singles CardMarket Profit]]/tbl_MTG_Set[[#This Row],[Play Booster Cost]]</f>
        <v/>
      </c>
      <c r="BI297" s="10">
        <f>tbl_MTG_Set[[#This Row],[Play Singles CardMarket Profit]]&gt;0</f>
        <v/>
      </c>
      <c r="BJ297" s="10" t="n"/>
      <c r="BK297" s="10" t="n"/>
      <c r="BL297" s="10">
        <f>tbl_MTG_Set[[#This Row],[Collector Booster Sell Price CardMarket]]*tbl_MTG_Set[[#This Row],[Collector Booster Expected Market Value]]/tbl_MTG_Set[[#This Row],[Collector Boost Sealed Market Value]]</f>
        <v/>
      </c>
      <c r="BM2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7" s="10">
        <f>tbl_MTG_Set[[#This Row],[Collector Singles CardMarket Profit]]/tbl_MTG_Set[[#This Row],[Collector Booster Cost]]</f>
        <v/>
      </c>
      <c r="BO297" s="10">
        <f>tbl_MTG_Set[[#This Row],[Collector Singles CardMarket Profit]]&gt;0</f>
        <v/>
      </c>
      <c r="BP2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8">
      <c r="A298" t="n">
        <v>296</v>
      </c>
      <c r="B298" t="inlineStr">
        <is>
          <t>Commander Collection: Black CC2</t>
        </is>
      </c>
      <c r="C298" t="n">
        <v>9</v>
      </c>
      <c r="D298" s="3" t="n">
        <v>44589</v>
      </c>
      <c r="F298" t="inlineStr">
        <is>
          <t>en es fr de it pt ja ko ru 汉语 漢語</t>
        </is>
      </c>
      <c r="G298" t="n">
        <v>538</v>
      </c>
      <c r="H298">
        <f>MONTH(NOW())+12*YEAR(NOW())-MONTH(tbl_MTG_Set[[#This Row],[Released On]])-12*YEAR(tbl_MTG_Set[[#This Row],[Released On]])</f>
        <v/>
      </c>
      <c r="I298">
        <f>_xlfn.XLOOKUP(tbl_MTG_Set[[#This Row],[Type Name]], tbl_MTG_Set_Type[Set Type], tbl_MTG_Set_Type[Index], "(Set Type not found)")</f>
        <v/>
      </c>
      <c r="J298">
        <f>_xlfn.XLOOKUP(tbl_MTG_Set[[#This Row],[Type Name]], tbl_MTG_Set_Type[Set Type], tbl_MTG_Set_Type[Buy Window Month Start], "(Set Type not found)")</f>
        <v/>
      </c>
      <c r="K298" s="3">
        <f>tbl_MTG_Set[[#This Row],[Released On]]+tbl_MTG_Set[[#This Row],[Buy Window Month Start]]*365.25/12</f>
        <v/>
      </c>
      <c r="L298">
        <f>_xlfn.XLOOKUP(tbl_MTG_Set[[#This Row],[Type Name]], tbl_MTG_Set_Type[Set Type], tbl_MTG_Set_Type[Buy Window Month End], "(Set Type not found)", 0, 1)</f>
        <v/>
      </c>
      <c r="M298" s="3">
        <f>tbl_MTG_Set[[#This Row],[Released On]]+tbl_MTG_Set[[#This Row],[Buy Window Month End]]*365.25/12</f>
        <v/>
      </c>
      <c r="N298" s="3">
        <f>AND(NOW()&gt;=tbl_MTG_Set[[#This Row],[Buy Window Start]], NOW()&lt;=tbl_MTG_Set[[#This Row],[Buy Window End]])</f>
        <v/>
      </c>
      <c r="O298">
        <f>_xlfn.XLOOKUP(tbl_MTG_Set[[#This Row],[Type Name]], tbl_MTG_Set_Type[Set Type], tbl_MTG_Set_Type[Heavy Printing Window Month Start], "(Set Type not found)", 0, 1)</f>
        <v/>
      </c>
      <c r="P298" s="3">
        <f>tbl_MTG_Set[[#This Row],[Released On]]+tbl_MTG_Set[[#This Row],[Heavy Printing Window Month Start]]*365.25/12</f>
        <v/>
      </c>
      <c r="Q298">
        <f>_xlfn.XLOOKUP(tbl_MTG_Set[[#This Row],[Type Name]], tbl_MTG_Set_Type[Set Type], tbl_MTG_Set_Type[Heavy Printing Window Month End], "(Set Type not found)", 0, 1)</f>
        <v/>
      </c>
      <c r="R298" s="3">
        <f>tbl_MTG_Set[[#This Row],[Released On]]+tbl_MTG_Set[[#This Row],[Heavy Printing Window Month End]]*365.25/12</f>
        <v/>
      </c>
      <c r="S298" s="3">
        <f>AND(NOW()&gt;=tbl_MTG_Set[[#This Row],[Heavy Printing Window Start]], NOW()&lt;=tbl_MTG_Set[[#This Row],[Heavy Printing Window End]])</f>
        <v/>
      </c>
      <c r="T298">
        <f>_xlfn.XLOOKUP(tbl_MTG_Set[[#This Row],[Type Name]], tbl_MTG_Set_Type[Set Type], tbl_MTG_Set_Type[Sell Window Month Start], "(Set Type not found)", 0, 1)</f>
        <v/>
      </c>
      <c r="U298" s="3">
        <f>tbl_MTG_Set[[#This Row],[Released On]]+tbl_MTG_Set[[#This Row],[Sell Window Month Start]]*365.25/12</f>
        <v/>
      </c>
      <c r="V298">
        <f>_xlfn.XLOOKUP(tbl_MTG_Set[[#This Row],[Type Name]], tbl_MTG_Set_Type[Set Type], tbl_MTG_Set_Type[Sell Window Month End], "(Set Type not found)", 0, 1)</f>
        <v/>
      </c>
      <c r="W298" s="3">
        <f>tbl_MTG_Set[[#This Row],[Released On]]+tbl_MTG_Set[[#This Row],[Sell Window Month End]]*365.25/12</f>
        <v/>
      </c>
      <c r="X298" s="3">
        <f>AND(NOW()&gt;=tbl_MTG_Set[[#This Row],[Sell Window Start]], NOW()&lt;=tbl_MTG_Set[[#This Row],[Sell Window End]])</f>
        <v/>
      </c>
      <c r="AG298" s="10" t="n"/>
      <c r="AH298" s="10" t="n"/>
      <c r="AM298" s="10">
        <f t="array" ref="AM2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8" s="10">
        <f t="array" ref="AN2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8" s="4">
        <f>_xlfn.XLOOKUP(tbl_MTG_Set[[#This Row],[Play Booster Box Product Id]], tbl_Product[Product Id], tbl_Product[Pack Size])</f>
        <v/>
      </c>
      <c r="AP298" s="10">
        <f>(tbl_MTG_Set[[#This Row],[Play Booster Box Cost]]+v_Item_Shipping_Cost_In)/tbl_MTG_Set[[#This Row],[Play Booster Box Size]]</f>
        <v/>
      </c>
      <c r="AQ298" s="10">
        <f t="array" ref="AQ2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8" s="10" t="n"/>
      <c r="AS298" s="10" t="n"/>
      <c r="AT298" s="17">
        <f>tbl_MTG_Set[[#This Row],[Play Booster CardMarket Profit]]/tbl_MTG_Set[[#This Row],[Play Booster Cost]]</f>
        <v/>
      </c>
      <c r="AU298" s="10">
        <f>_xlfn.XLOOKUP(tbl_MTG_Set[[#This Row],[Collector Booster Box Product Id]], tbl_Product[Product Id], tbl_Product[Min Cost])</f>
        <v/>
      </c>
      <c r="AV298" s="10">
        <f>_xlfn.XLOOKUP(tbl_MTG_Set[[#This Row],[Collector Booster Box Product Id]], tbl_Product[Product Id], tbl_Product[Best Source])</f>
        <v/>
      </c>
      <c r="AW298" s="4">
        <f>_xlfn.XLOOKUP(tbl_MTG_Set[[#This Row],[Collector Booster Box Product Id]], tbl_Product[Product Id], tbl_Product[Pack Size])</f>
        <v/>
      </c>
      <c r="AX298" s="10">
        <f>(tbl_MTG_Set[[#This Row],[Collector Booster Box Cost]] + v_Item_Shipping_Cost_In) / tbl_MTG_Set[[#This Row],[Collector Booster Box Size]]</f>
        <v/>
      </c>
      <c r="AY298" s="10">
        <f t="array" ref="AY2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8" s="10" t="n"/>
      <c r="BA2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8" s="17">
        <f>tbl_MTG_Set[[#This Row],[Collector Booster CardMarket Profit]]/tbl_MTG_Set[[#This Row],[Collector Booster Cost]]</f>
        <v/>
      </c>
      <c r="BC298" s="10" t="n"/>
      <c r="BF298" s="10">
        <f>tbl_MTG_Set[[#This Row],[Play Booster Sell Price CardMarket]]*tbl_MTG_Set[[#This Row],[Play Booster Expected Market Value]]/tbl_MTG_Set[[#This Row],[Play Boost Sealed Market Value]]</f>
        <v/>
      </c>
      <c r="BG2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8" s="10">
        <f>tbl_MTG_Set[[#This Row],[Play Singles CardMarket Profit]]/tbl_MTG_Set[[#This Row],[Play Booster Cost]]</f>
        <v/>
      </c>
      <c r="BI298" s="10">
        <f>tbl_MTG_Set[[#This Row],[Play Singles CardMarket Profit]]&gt;0</f>
        <v/>
      </c>
      <c r="BJ298" s="10" t="n"/>
      <c r="BK298" s="10" t="n"/>
      <c r="BL298" s="10">
        <f>tbl_MTG_Set[[#This Row],[Collector Booster Sell Price CardMarket]]*tbl_MTG_Set[[#This Row],[Collector Booster Expected Market Value]]/tbl_MTG_Set[[#This Row],[Collector Boost Sealed Market Value]]</f>
        <v/>
      </c>
      <c r="BM2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8" s="10">
        <f>tbl_MTG_Set[[#This Row],[Collector Singles CardMarket Profit]]/tbl_MTG_Set[[#This Row],[Collector Booster Cost]]</f>
        <v/>
      </c>
      <c r="BO298" s="10">
        <f>tbl_MTG_Set[[#This Row],[Collector Singles CardMarket Profit]]&gt;0</f>
        <v/>
      </c>
      <c r="BP2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9">
      <c r="A299" t="n">
        <v>297</v>
      </c>
      <c r="B299" t="inlineStr">
        <is>
          <t>Innistrad: Double Feature DBL</t>
        </is>
      </c>
      <c r="C299" t="n">
        <v>535</v>
      </c>
      <c r="D299" s="3" t="n">
        <v>44589</v>
      </c>
      <c r="E299" t="inlineStr">
        <is>
          <t>Standard Expansion</t>
        </is>
      </c>
      <c r="F299" t="inlineStr">
        <is>
          <t>en es fr de it pt ja ko ru 汉语 漢語</t>
        </is>
      </c>
      <c r="G299" t="n">
        <v>540</v>
      </c>
      <c r="H299">
        <f>MONTH(NOW())+12*YEAR(NOW())-MONTH(tbl_MTG_Set[[#This Row],[Released On]])-12*YEAR(tbl_MTG_Set[[#This Row],[Released On]])</f>
        <v/>
      </c>
      <c r="I299">
        <f>_xlfn.XLOOKUP(tbl_MTG_Set[[#This Row],[Type Name]], tbl_MTG_Set_Type[Set Type], tbl_MTG_Set_Type[Index], "(Set Type not found)")</f>
        <v/>
      </c>
      <c r="J299">
        <f>_xlfn.XLOOKUP(tbl_MTG_Set[[#This Row],[Type Name]], tbl_MTG_Set_Type[Set Type], tbl_MTG_Set_Type[Buy Window Month Start], "(Set Type not found)")</f>
        <v/>
      </c>
      <c r="K299" s="3">
        <f>tbl_MTG_Set[[#This Row],[Released On]]+tbl_MTG_Set[[#This Row],[Buy Window Month Start]]*365.25/12</f>
        <v/>
      </c>
      <c r="L299">
        <f>_xlfn.XLOOKUP(tbl_MTG_Set[[#This Row],[Type Name]], tbl_MTG_Set_Type[Set Type], tbl_MTG_Set_Type[Buy Window Month End], "(Set Type not found)", 0, 1)</f>
        <v/>
      </c>
      <c r="M299" s="3">
        <f>tbl_MTG_Set[[#This Row],[Released On]]+tbl_MTG_Set[[#This Row],[Buy Window Month End]]*365.25/12</f>
        <v/>
      </c>
      <c r="N299" s="3">
        <f>AND(NOW()&gt;=tbl_MTG_Set[[#This Row],[Buy Window Start]], NOW()&lt;=tbl_MTG_Set[[#This Row],[Buy Window End]])</f>
        <v/>
      </c>
      <c r="O299">
        <f>_xlfn.XLOOKUP(tbl_MTG_Set[[#This Row],[Type Name]], tbl_MTG_Set_Type[Set Type], tbl_MTG_Set_Type[Heavy Printing Window Month Start], "(Set Type not found)", 0, 1)</f>
        <v/>
      </c>
      <c r="P299" s="3">
        <f>tbl_MTG_Set[[#This Row],[Released On]]+tbl_MTG_Set[[#This Row],[Heavy Printing Window Month Start]]*365.25/12</f>
        <v/>
      </c>
      <c r="Q299">
        <f>_xlfn.XLOOKUP(tbl_MTG_Set[[#This Row],[Type Name]], tbl_MTG_Set_Type[Set Type], tbl_MTG_Set_Type[Heavy Printing Window Month End], "(Set Type not found)", 0, 1)</f>
        <v/>
      </c>
      <c r="R299" s="3">
        <f>tbl_MTG_Set[[#This Row],[Released On]]+tbl_MTG_Set[[#This Row],[Heavy Printing Window Month End]]*365.25/12</f>
        <v/>
      </c>
      <c r="S299" s="3">
        <f>AND(NOW()&gt;=tbl_MTG_Set[[#This Row],[Heavy Printing Window Start]], NOW()&lt;=tbl_MTG_Set[[#This Row],[Heavy Printing Window End]])</f>
        <v/>
      </c>
      <c r="T299">
        <f>_xlfn.XLOOKUP(tbl_MTG_Set[[#This Row],[Type Name]], tbl_MTG_Set_Type[Set Type], tbl_MTG_Set_Type[Sell Window Month Start], "(Set Type not found)", 0, 1)</f>
        <v/>
      </c>
      <c r="U299" s="3">
        <f>tbl_MTG_Set[[#This Row],[Released On]]+tbl_MTG_Set[[#This Row],[Sell Window Month Start]]*365.25/12</f>
        <v/>
      </c>
      <c r="V299">
        <f>_xlfn.XLOOKUP(tbl_MTG_Set[[#This Row],[Type Name]], tbl_MTG_Set_Type[Set Type], tbl_MTG_Set_Type[Sell Window Month End], "(Set Type not found)", 0, 1)</f>
        <v/>
      </c>
      <c r="W299" s="3">
        <f>tbl_MTG_Set[[#This Row],[Released On]]+tbl_MTG_Set[[#This Row],[Sell Window Month End]]*365.25/12</f>
        <v/>
      </c>
      <c r="X299" s="3">
        <f>AND(NOW()&gt;=tbl_MTG_Set[[#This Row],[Sell Window Start]], NOW()&lt;=tbl_MTG_Set[[#This Row],[Sell Window End]])</f>
        <v/>
      </c>
      <c r="AG299" s="10" t="n"/>
      <c r="AH299" s="10" t="n"/>
      <c r="AM299" s="10">
        <f t="array" ref="AM2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9" s="10">
        <f t="array" ref="AN2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9" s="4">
        <f>_xlfn.XLOOKUP(tbl_MTG_Set[[#This Row],[Play Booster Box Product Id]], tbl_Product[Product Id], tbl_Product[Pack Size])</f>
        <v/>
      </c>
      <c r="AP299" s="10">
        <f>(tbl_MTG_Set[[#This Row],[Play Booster Box Cost]]+v_Item_Shipping_Cost_In)/tbl_MTG_Set[[#This Row],[Play Booster Box Size]]</f>
        <v/>
      </c>
      <c r="AQ299" s="10">
        <f t="array" ref="AQ2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299" s="10" t="n"/>
      <c r="AS299" s="10" t="n"/>
      <c r="AT299" s="17">
        <f>tbl_MTG_Set[[#This Row],[Play Booster CardMarket Profit]]/tbl_MTG_Set[[#This Row],[Play Booster Cost]]</f>
        <v/>
      </c>
      <c r="AU299" s="10">
        <f>_xlfn.XLOOKUP(tbl_MTG_Set[[#This Row],[Collector Booster Box Product Id]], tbl_Product[Product Id], tbl_Product[Min Cost])</f>
        <v/>
      </c>
      <c r="AV299" s="10">
        <f>_xlfn.XLOOKUP(tbl_MTG_Set[[#This Row],[Collector Booster Box Product Id]], tbl_Product[Product Id], tbl_Product[Best Source])</f>
        <v/>
      </c>
      <c r="AW299" s="4">
        <f>_xlfn.XLOOKUP(tbl_MTG_Set[[#This Row],[Collector Booster Box Product Id]], tbl_Product[Product Id], tbl_Product[Pack Size])</f>
        <v/>
      </c>
      <c r="AX299" s="10">
        <f>(tbl_MTG_Set[[#This Row],[Collector Booster Box Cost]] + v_Item_Shipping_Cost_In) / tbl_MTG_Set[[#This Row],[Collector Booster Box Size]]</f>
        <v/>
      </c>
      <c r="AY299" s="10">
        <f t="array" ref="AY2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299" s="10" t="n"/>
      <c r="BA2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9" s="17">
        <f>tbl_MTG_Set[[#This Row],[Collector Booster CardMarket Profit]]/tbl_MTG_Set[[#This Row],[Collector Booster Cost]]</f>
        <v/>
      </c>
      <c r="BC299" s="10" t="n"/>
      <c r="BF299" s="10">
        <f>tbl_MTG_Set[[#This Row],[Play Booster Sell Price CardMarket]]*tbl_MTG_Set[[#This Row],[Play Booster Expected Market Value]]/tbl_MTG_Set[[#This Row],[Play Boost Sealed Market Value]]</f>
        <v/>
      </c>
      <c r="BG2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9" s="10">
        <f>tbl_MTG_Set[[#This Row],[Play Singles CardMarket Profit]]/tbl_MTG_Set[[#This Row],[Play Booster Cost]]</f>
        <v/>
      </c>
      <c r="BI299" s="10">
        <f>tbl_MTG_Set[[#This Row],[Play Singles CardMarket Profit]]&gt;0</f>
        <v/>
      </c>
      <c r="BJ299" s="10" t="n"/>
      <c r="BK299" s="10" t="n"/>
      <c r="BL299" s="10">
        <f>tbl_MTG_Set[[#This Row],[Collector Booster Sell Price CardMarket]]*tbl_MTG_Set[[#This Row],[Collector Booster Expected Market Value]]/tbl_MTG_Set[[#This Row],[Collector Boost Sealed Market Value]]</f>
        <v/>
      </c>
      <c r="BM2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9" s="10">
        <f>tbl_MTG_Set[[#This Row],[Collector Singles CardMarket Profit]]/tbl_MTG_Set[[#This Row],[Collector Booster Cost]]</f>
        <v/>
      </c>
      <c r="BO299" s="10">
        <f>tbl_MTG_Set[[#This Row],[Collector Singles CardMarket Profit]]&gt;0</f>
        <v/>
      </c>
      <c r="BP2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0">
      <c r="A300" t="n">
        <v>298</v>
      </c>
      <c r="B300" t="inlineStr">
        <is>
          <t>Judge Gift Cards 2022 P22</t>
        </is>
      </c>
      <c r="C300" t="n">
        <v>10</v>
      </c>
      <c r="D300" s="3" t="n">
        <v>44562</v>
      </c>
      <c r="F300" t="inlineStr">
        <is>
          <t>en es fr de it pt ja ko ru 汉语 漢語</t>
        </is>
      </c>
      <c r="G300" t="n">
        <v>542</v>
      </c>
      <c r="H300">
        <f>MONTH(NOW())+12*YEAR(NOW())-MONTH(tbl_MTG_Set[[#This Row],[Released On]])-12*YEAR(tbl_MTG_Set[[#This Row],[Released On]])</f>
        <v/>
      </c>
      <c r="I300">
        <f>_xlfn.XLOOKUP(tbl_MTG_Set[[#This Row],[Type Name]], tbl_MTG_Set_Type[Set Type], tbl_MTG_Set_Type[Index], "(Set Type not found)")</f>
        <v/>
      </c>
      <c r="J300">
        <f>_xlfn.XLOOKUP(tbl_MTG_Set[[#This Row],[Type Name]], tbl_MTG_Set_Type[Set Type], tbl_MTG_Set_Type[Buy Window Month Start], "(Set Type not found)")</f>
        <v/>
      </c>
      <c r="K300" s="3">
        <f>tbl_MTG_Set[[#This Row],[Released On]]+tbl_MTG_Set[[#This Row],[Buy Window Month Start]]*365.25/12</f>
        <v/>
      </c>
      <c r="L300">
        <f>_xlfn.XLOOKUP(tbl_MTG_Set[[#This Row],[Type Name]], tbl_MTG_Set_Type[Set Type], tbl_MTG_Set_Type[Buy Window Month End], "(Set Type not found)", 0, 1)</f>
        <v/>
      </c>
      <c r="M300" s="3">
        <f>tbl_MTG_Set[[#This Row],[Released On]]+tbl_MTG_Set[[#This Row],[Buy Window Month End]]*365.25/12</f>
        <v/>
      </c>
      <c r="N300" s="3">
        <f>AND(NOW()&gt;=tbl_MTG_Set[[#This Row],[Buy Window Start]], NOW()&lt;=tbl_MTG_Set[[#This Row],[Buy Window End]])</f>
        <v/>
      </c>
      <c r="O300">
        <f>_xlfn.XLOOKUP(tbl_MTG_Set[[#This Row],[Type Name]], tbl_MTG_Set_Type[Set Type], tbl_MTG_Set_Type[Heavy Printing Window Month Start], "(Set Type not found)", 0, 1)</f>
        <v/>
      </c>
      <c r="P300" s="3">
        <f>tbl_MTG_Set[[#This Row],[Released On]]+tbl_MTG_Set[[#This Row],[Heavy Printing Window Month Start]]*365.25/12</f>
        <v/>
      </c>
      <c r="Q300">
        <f>_xlfn.XLOOKUP(tbl_MTG_Set[[#This Row],[Type Name]], tbl_MTG_Set_Type[Set Type], tbl_MTG_Set_Type[Heavy Printing Window Month End], "(Set Type not found)", 0, 1)</f>
        <v/>
      </c>
      <c r="R300" s="3">
        <f>tbl_MTG_Set[[#This Row],[Released On]]+tbl_MTG_Set[[#This Row],[Heavy Printing Window Month End]]*365.25/12</f>
        <v/>
      </c>
      <c r="S300" s="3">
        <f>AND(NOW()&gt;=tbl_MTG_Set[[#This Row],[Heavy Printing Window Start]], NOW()&lt;=tbl_MTG_Set[[#This Row],[Heavy Printing Window End]])</f>
        <v/>
      </c>
      <c r="T300">
        <f>_xlfn.XLOOKUP(tbl_MTG_Set[[#This Row],[Type Name]], tbl_MTG_Set_Type[Set Type], tbl_MTG_Set_Type[Sell Window Month Start], "(Set Type not found)", 0, 1)</f>
        <v/>
      </c>
      <c r="U300" s="3">
        <f>tbl_MTG_Set[[#This Row],[Released On]]+tbl_MTG_Set[[#This Row],[Sell Window Month Start]]*365.25/12</f>
        <v/>
      </c>
      <c r="V300">
        <f>_xlfn.XLOOKUP(tbl_MTG_Set[[#This Row],[Type Name]], tbl_MTG_Set_Type[Set Type], tbl_MTG_Set_Type[Sell Window Month End], "(Set Type not found)", 0, 1)</f>
        <v/>
      </c>
      <c r="W300" s="3">
        <f>tbl_MTG_Set[[#This Row],[Released On]]+tbl_MTG_Set[[#This Row],[Sell Window Month End]]*365.25/12</f>
        <v/>
      </c>
      <c r="X300" s="3">
        <f>AND(NOW()&gt;=tbl_MTG_Set[[#This Row],[Sell Window Start]], NOW()&lt;=tbl_MTG_Set[[#This Row],[Sell Window End]])</f>
        <v/>
      </c>
      <c r="AG300" s="10" t="n"/>
      <c r="AH300" s="10" t="n"/>
      <c r="AM300" s="10">
        <f t="array" ref="AM3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0" s="10">
        <f t="array" ref="AN3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0" s="4">
        <f>_xlfn.XLOOKUP(tbl_MTG_Set[[#This Row],[Play Booster Box Product Id]], tbl_Product[Product Id], tbl_Product[Pack Size])</f>
        <v/>
      </c>
      <c r="AP300" s="10">
        <f>(tbl_MTG_Set[[#This Row],[Play Booster Box Cost]]+v_Item_Shipping_Cost_In)/tbl_MTG_Set[[#This Row],[Play Booster Box Size]]</f>
        <v/>
      </c>
      <c r="AQ300" s="10">
        <f t="array" ref="AQ3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0" s="10" t="n"/>
      <c r="AS300" s="10" t="n"/>
      <c r="AT300" s="17">
        <f>tbl_MTG_Set[[#This Row],[Play Booster CardMarket Profit]]/tbl_MTG_Set[[#This Row],[Play Booster Cost]]</f>
        <v/>
      </c>
      <c r="AU300" s="10">
        <f>_xlfn.XLOOKUP(tbl_MTG_Set[[#This Row],[Collector Booster Box Product Id]], tbl_Product[Product Id], tbl_Product[Min Cost])</f>
        <v/>
      </c>
      <c r="AV300" s="10">
        <f>_xlfn.XLOOKUP(tbl_MTG_Set[[#This Row],[Collector Booster Box Product Id]], tbl_Product[Product Id], tbl_Product[Best Source])</f>
        <v/>
      </c>
      <c r="AW300" s="4">
        <f>_xlfn.XLOOKUP(tbl_MTG_Set[[#This Row],[Collector Booster Box Product Id]], tbl_Product[Product Id], tbl_Product[Pack Size])</f>
        <v/>
      </c>
      <c r="AX300" s="10">
        <f>(tbl_MTG_Set[[#This Row],[Collector Booster Box Cost]] + v_Item_Shipping_Cost_In) / tbl_MTG_Set[[#This Row],[Collector Booster Box Size]]</f>
        <v/>
      </c>
      <c r="AY300" s="10">
        <f t="array" ref="AY3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0" s="10" t="n"/>
      <c r="BA3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0" s="17">
        <f>tbl_MTG_Set[[#This Row],[Collector Booster CardMarket Profit]]/tbl_MTG_Set[[#This Row],[Collector Booster Cost]]</f>
        <v/>
      </c>
      <c r="BC300" s="10" t="n"/>
      <c r="BF300" s="10">
        <f>tbl_MTG_Set[[#This Row],[Play Booster Sell Price CardMarket]]*tbl_MTG_Set[[#This Row],[Play Booster Expected Market Value]]/tbl_MTG_Set[[#This Row],[Play Boost Sealed Market Value]]</f>
        <v/>
      </c>
      <c r="BG3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0" s="10">
        <f>tbl_MTG_Set[[#This Row],[Play Singles CardMarket Profit]]/tbl_MTG_Set[[#This Row],[Play Booster Cost]]</f>
        <v/>
      </c>
      <c r="BI300" s="10">
        <f>tbl_MTG_Set[[#This Row],[Play Singles CardMarket Profit]]&gt;0</f>
        <v/>
      </c>
      <c r="BJ300" s="10" t="n"/>
      <c r="BK300" s="10" t="n"/>
      <c r="BL300" s="10">
        <f>tbl_MTG_Set[[#This Row],[Collector Booster Sell Price CardMarket]]*tbl_MTG_Set[[#This Row],[Collector Booster Expected Market Value]]/tbl_MTG_Set[[#This Row],[Collector Boost Sealed Market Value]]</f>
        <v/>
      </c>
      <c r="BM3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0" s="10">
        <f>tbl_MTG_Set[[#This Row],[Collector Singles CardMarket Profit]]/tbl_MTG_Set[[#This Row],[Collector Booster Cost]]</f>
        <v/>
      </c>
      <c r="BO300" s="10">
        <f>tbl_MTG_Set[[#This Row],[Collector Singles CardMarket Profit]]&gt;0</f>
        <v/>
      </c>
      <c r="BP3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1">
      <c r="A301" t="n">
        <v>299</v>
      </c>
      <c r="B301" t="inlineStr">
        <is>
          <t>Alchemy: Innistrad YMID</t>
        </is>
      </c>
      <c r="C301" t="n">
        <v>63</v>
      </c>
      <c r="D301" s="3" t="n">
        <v>44539</v>
      </c>
      <c r="F301" t="inlineStr">
        <is>
          <t>en es fr de it pt ja ko ru 汉语 漢語</t>
        </is>
      </c>
      <c r="G301" t="n">
        <v>544</v>
      </c>
      <c r="H301">
        <f>MONTH(NOW())+12*YEAR(NOW())-MONTH(tbl_MTG_Set[[#This Row],[Released On]])-12*YEAR(tbl_MTG_Set[[#This Row],[Released On]])</f>
        <v/>
      </c>
      <c r="I301">
        <f>_xlfn.XLOOKUP(tbl_MTG_Set[[#This Row],[Type Name]], tbl_MTG_Set_Type[Set Type], tbl_MTG_Set_Type[Index], "(Set Type not found)")</f>
        <v/>
      </c>
      <c r="J301">
        <f>_xlfn.XLOOKUP(tbl_MTG_Set[[#This Row],[Type Name]], tbl_MTG_Set_Type[Set Type], tbl_MTG_Set_Type[Buy Window Month Start], "(Set Type not found)")</f>
        <v/>
      </c>
      <c r="K301" s="3">
        <f>tbl_MTG_Set[[#This Row],[Released On]]+tbl_MTG_Set[[#This Row],[Buy Window Month Start]]*365.25/12</f>
        <v/>
      </c>
      <c r="L301">
        <f>_xlfn.XLOOKUP(tbl_MTG_Set[[#This Row],[Type Name]], tbl_MTG_Set_Type[Set Type], tbl_MTG_Set_Type[Buy Window Month End], "(Set Type not found)", 0, 1)</f>
        <v/>
      </c>
      <c r="M301" s="3">
        <f>tbl_MTG_Set[[#This Row],[Released On]]+tbl_MTG_Set[[#This Row],[Buy Window Month End]]*365.25/12</f>
        <v/>
      </c>
      <c r="N301" s="3">
        <f>AND(NOW()&gt;=tbl_MTG_Set[[#This Row],[Buy Window Start]], NOW()&lt;=tbl_MTG_Set[[#This Row],[Buy Window End]])</f>
        <v/>
      </c>
      <c r="O301">
        <f>_xlfn.XLOOKUP(tbl_MTG_Set[[#This Row],[Type Name]], tbl_MTG_Set_Type[Set Type], tbl_MTG_Set_Type[Heavy Printing Window Month Start], "(Set Type not found)", 0, 1)</f>
        <v/>
      </c>
      <c r="P301" s="3">
        <f>tbl_MTG_Set[[#This Row],[Released On]]+tbl_MTG_Set[[#This Row],[Heavy Printing Window Month Start]]*365.25/12</f>
        <v/>
      </c>
      <c r="Q301">
        <f>_xlfn.XLOOKUP(tbl_MTG_Set[[#This Row],[Type Name]], tbl_MTG_Set_Type[Set Type], tbl_MTG_Set_Type[Heavy Printing Window Month End], "(Set Type not found)", 0, 1)</f>
        <v/>
      </c>
      <c r="R301" s="3">
        <f>tbl_MTG_Set[[#This Row],[Released On]]+tbl_MTG_Set[[#This Row],[Heavy Printing Window Month End]]*365.25/12</f>
        <v/>
      </c>
      <c r="S301" s="3">
        <f>AND(NOW()&gt;=tbl_MTG_Set[[#This Row],[Heavy Printing Window Start]], NOW()&lt;=tbl_MTG_Set[[#This Row],[Heavy Printing Window End]])</f>
        <v/>
      </c>
      <c r="T301">
        <f>_xlfn.XLOOKUP(tbl_MTG_Set[[#This Row],[Type Name]], tbl_MTG_Set_Type[Set Type], tbl_MTG_Set_Type[Sell Window Month Start], "(Set Type not found)", 0, 1)</f>
        <v/>
      </c>
      <c r="U301" s="3">
        <f>tbl_MTG_Set[[#This Row],[Released On]]+tbl_MTG_Set[[#This Row],[Sell Window Month Start]]*365.25/12</f>
        <v/>
      </c>
      <c r="V301">
        <f>_xlfn.XLOOKUP(tbl_MTG_Set[[#This Row],[Type Name]], tbl_MTG_Set_Type[Set Type], tbl_MTG_Set_Type[Sell Window Month End], "(Set Type not found)", 0, 1)</f>
        <v/>
      </c>
      <c r="W301" s="3">
        <f>tbl_MTG_Set[[#This Row],[Released On]]+tbl_MTG_Set[[#This Row],[Sell Window Month End]]*365.25/12</f>
        <v/>
      </c>
      <c r="X301" s="3">
        <f>AND(NOW()&gt;=tbl_MTG_Set[[#This Row],[Sell Window Start]], NOW()&lt;=tbl_MTG_Set[[#This Row],[Sell Window End]])</f>
        <v/>
      </c>
      <c r="AG301" s="10" t="n"/>
      <c r="AH301" s="10" t="n"/>
      <c r="AM301" s="10">
        <f t="array" ref="AM3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1" s="10">
        <f t="array" ref="AN3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1" s="4">
        <f>_xlfn.XLOOKUP(tbl_MTG_Set[[#This Row],[Play Booster Box Product Id]], tbl_Product[Product Id], tbl_Product[Pack Size])</f>
        <v/>
      </c>
      <c r="AP301" s="10">
        <f>(tbl_MTG_Set[[#This Row],[Play Booster Box Cost]]+v_Item_Shipping_Cost_In)/tbl_MTG_Set[[#This Row],[Play Booster Box Size]]</f>
        <v/>
      </c>
      <c r="AQ301" s="10">
        <f t="array" ref="AQ3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1" s="10" t="n"/>
      <c r="AS301" s="10" t="n"/>
      <c r="AT301" s="17">
        <f>tbl_MTG_Set[[#This Row],[Play Booster CardMarket Profit]]/tbl_MTG_Set[[#This Row],[Play Booster Cost]]</f>
        <v/>
      </c>
      <c r="AU301" s="10">
        <f>_xlfn.XLOOKUP(tbl_MTG_Set[[#This Row],[Collector Booster Box Product Id]], tbl_Product[Product Id], tbl_Product[Min Cost])</f>
        <v/>
      </c>
      <c r="AV301" s="10">
        <f>_xlfn.XLOOKUP(tbl_MTG_Set[[#This Row],[Collector Booster Box Product Id]], tbl_Product[Product Id], tbl_Product[Best Source])</f>
        <v/>
      </c>
      <c r="AW301" s="4">
        <f>_xlfn.XLOOKUP(tbl_MTG_Set[[#This Row],[Collector Booster Box Product Id]], tbl_Product[Product Id], tbl_Product[Pack Size])</f>
        <v/>
      </c>
      <c r="AX301" s="10">
        <f>(tbl_MTG_Set[[#This Row],[Collector Booster Box Cost]] + v_Item_Shipping_Cost_In) / tbl_MTG_Set[[#This Row],[Collector Booster Box Size]]</f>
        <v/>
      </c>
      <c r="AY301" s="10">
        <f t="array" ref="AY3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1" s="10" t="n"/>
      <c r="BA3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1" s="17">
        <f>tbl_MTG_Set[[#This Row],[Collector Booster CardMarket Profit]]/tbl_MTG_Set[[#This Row],[Collector Booster Cost]]</f>
        <v/>
      </c>
      <c r="BC301" s="10" t="n"/>
      <c r="BF301" s="10">
        <f>tbl_MTG_Set[[#This Row],[Play Booster Sell Price CardMarket]]*tbl_MTG_Set[[#This Row],[Play Booster Expected Market Value]]/tbl_MTG_Set[[#This Row],[Play Boost Sealed Market Value]]</f>
        <v/>
      </c>
      <c r="BG3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1" s="10">
        <f>tbl_MTG_Set[[#This Row],[Play Singles CardMarket Profit]]/tbl_MTG_Set[[#This Row],[Play Booster Cost]]</f>
        <v/>
      </c>
      <c r="BI301" s="10">
        <f>tbl_MTG_Set[[#This Row],[Play Singles CardMarket Profit]]&gt;0</f>
        <v/>
      </c>
      <c r="BJ301" s="10" t="n"/>
      <c r="BK301" s="10" t="n"/>
      <c r="BL301" s="10">
        <f>tbl_MTG_Set[[#This Row],[Collector Booster Sell Price CardMarket]]*tbl_MTG_Set[[#This Row],[Collector Booster Expected Market Value]]/tbl_MTG_Set[[#This Row],[Collector Boost Sealed Market Value]]</f>
        <v/>
      </c>
      <c r="BM3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1" s="10">
        <f>tbl_MTG_Set[[#This Row],[Collector Singles CardMarket Profit]]/tbl_MTG_Set[[#This Row],[Collector Booster Cost]]</f>
        <v/>
      </c>
      <c r="BO301" s="10">
        <f>tbl_MTG_Set[[#This Row],[Collector Singles CardMarket Profit]]&gt;0</f>
        <v/>
      </c>
      <c r="BP3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2">
      <c r="A302" t="n">
        <v>300</v>
      </c>
      <c r="B302" t="inlineStr">
        <is>
          <t>Innistrad: Crimson Vow VOW</t>
        </is>
      </c>
      <c r="C302" t="n">
        <v>423</v>
      </c>
      <c r="D302" s="3" t="n">
        <v>44519</v>
      </c>
      <c r="E302" t="inlineStr">
        <is>
          <t>Standard Expansion</t>
        </is>
      </c>
      <c r="F302" t="inlineStr">
        <is>
          <t>en es fr de it pt ja ko ru 汉语 漢語</t>
        </is>
      </c>
      <c r="G302" t="n">
        <v>546</v>
      </c>
      <c r="H302">
        <f>MONTH(NOW())+12*YEAR(NOW())-MONTH(tbl_MTG_Set[[#This Row],[Released On]])-12*YEAR(tbl_MTG_Set[[#This Row],[Released On]])</f>
        <v/>
      </c>
      <c r="I302">
        <f>_xlfn.XLOOKUP(tbl_MTG_Set[[#This Row],[Type Name]], tbl_MTG_Set_Type[Set Type], tbl_MTG_Set_Type[Index], "(Set Type not found)")</f>
        <v/>
      </c>
      <c r="J302">
        <f>_xlfn.XLOOKUP(tbl_MTG_Set[[#This Row],[Type Name]], tbl_MTG_Set_Type[Set Type], tbl_MTG_Set_Type[Buy Window Month Start], "(Set Type not found)")</f>
        <v/>
      </c>
      <c r="K302" s="3">
        <f>tbl_MTG_Set[[#This Row],[Released On]]+tbl_MTG_Set[[#This Row],[Buy Window Month Start]]*365.25/12</f>
        <v/>
      </c>
      <c r="L302">
        <f>_xlfn.XLOOKUP(tbl_MTG_Set[[#This Row],[Type Name]], tbl_MTG_Set_Type[Set Type], tbl_MTG_Set_Type[Buy Window Month End], "(Set Type not found)", 0, 1)</f>
        <v/>
      </c>
      <c r="M302" s="3">
        <f>tbl_MTG_Set[[#This Row],[Released On]]+tbl_MTG_Set[[#This Row],[Buy Window Month End]]*365.25/12</f>
        <v/>
      </c>
      <c r="N302" s="3">
        <f>AND(NOW()&gt;=tbl_MTG_Set[[#This Row],[Buy Window Start]], NOW()&lt;=tbl_MTG_Set[[#This Row],[Buy Window End]])</f>
        <v/>
      </c>
      <c r="O302">
        <f>_xlfn.XLOOKUP(tbl_MTG_Set[[#This Row],[Type Name]], tbl_MTG_Set_Type[Set Type], tbl_MTG_Set_Type[Heavy Printing Window Month Start], "(Set Type not found)", 0, 1)</f>
        <v/>
      </c>
      <c r="P302" s="3">
        <f>tbl_MTG_Set[[#This Row],[Released On]]+tbl_MTG_Set[[#This Row],[Heavy Printing Window Month Start]]*365.25/12</f>
        <v/>
      </c>
      <c r="Q302">
        <f>_xlfn.XLOOKUP(tbl_MTG_Set[[#This Row],[Type Name]], tbl_MTG_Set_Type[Set Type], tbl_MTG_Set_Type[Heavy Printing Window Month End], "(Set Type not found)", 0, 1)</f>
        <v/>
      </c>
      <c r="R302" s="3">
        <f>tbl_MTG_Set[[#This Row],[Released On]]+tbl_MTG_Set[[#This Row],[Heavy Printing Window Month End]]*365.25/12</f>
        <v/>
      </c>
      <c r="S302" s="3">
        <f>AND(NOW()&gt;=tbl_MTG_Set[[#This Row],[Heavy Printing Window Start]], NOW()&lt;=tbl_MTG_Set[[#This Row],[Heavy Printing Window End]])</f>
        <v/>
      </c>
      <c r="T302">
        <f>_xlfn.XLOOKUP(tbl_MTG_Set[[#This Row],[Type Name]], tbl_MTG_Set_Type[Set Type], tbl_MTG_Set_Type[Sell Window Month Start], "(Set Type not found)", 0, 1)</f>
        <v/>
      </c>
      <c r="U302" s="3">
        <f>tbl_MTG_Set[[#This Row],[Released On]]+tbl_MTG_Set[[#This Row],[Sell Window Month Start]]*365.25/12</f>
        <v/>
      </c>
      <c r="V302">
        <f>_xlfn.XLOOKUP(tbl_MTG_Set[[#This Row],[Type Name]], tbl_MTG_Set_Type[Set Type], tbl_MTG_Set_Type[Sell Window Month End], "(Set Type not found)", 0, 1)</f>
        <v/>
      </c>
      <c r="W302" s="3">
        <f>tbl_MTG_Set[[#This Row],[Released On]]+tbl_MTG_Set[[#This Row],[Sell Window Month End]]*365.25/12</f>
        <v/>
      </c>
      <c r="X302" s="3">
        <f>AND(NOW()&gt;=tbl_MTG_Set[[#This Row],[Sell Window Start]], NOW()&lt;=tbl_MTG_Set[[#This Row],[Sell Window End]])</f>
        <v/>
      </c>
      <c r="Y302" s="10" t="n">
        <v>117</v>
      </c>
      <c r="Z302" s="10" t="n">
        <v>95</v>
      </c>
      <c r="AD302" s="10">
        <f>(Y302+96/20)/30</f>
        <v/>
      </c>
      <c r="AE302" s="10">
        <f>(Z302+96/20)/30</f>
        <v/>
      </c>
      <c r="AG302" s="10" t="n"/>
      <c r="AH302" s="10" t="n"/>
      <c r="AI302" s="4" t="n">
        <v>58</v>
      </c>
      <c r="AJ302" s="4" t="n">
        <v>13</v>
      </c>
      <c r="AK302" s="4" t="n">
        <v>108</v>
      </c>
      <c r="AL302" s="4" t="n">
        <v>107</v>
      </c>
      <c r="AM302" s="10">
        <f t="array" ref="AM3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2" s="10">
        <f t="array" ref="AN3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2" s="4">
        <f>_xlfn.XLOOKUP(tbl_MTG_Set[[#This Row],[Play Booster Box Product Id]], tbl_Product[Product Id], tbl_Product[Pack Size])</f>
        <v/>
      </c>
      <c r="AP302" s="10">
        <f>(tbl_MTG_Set[[#This Row],[Play Booster Box Cost]]+v_Item_Shipping_Cost_In)/tbl_MTG_Set[[#This Row],[Play Booster Box Size]]</f>
        <v/>
      </c>
      <c r="AQ302" s="10">
        <f t="array" ref="AQ3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2" s="10" t="n">
        <v>5</v>
      </c>
      <c r="AS30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02" s="17">
        <f>tbl_MTG_Set[[#This Row],[Play Booster CardMarket Profit]]/tbl_MTG_Set[[#This Row],[Play Booster Cost]]</f>
        <v/>
      </c>
      <c r="AU302" s="10">
        <f>_xlfn.XLOOKUP(tbl_MTG_Set[[#This Row],[Collector Booster Box Product Id]], tbl_Product[Product Id], tbl_Product[Min Cost])</f>
        <v/>
      </c>
      <c r="AV302" s="10">
        <f>_xlfn.XLOOKUP(tbl_MTG_Set[[#This Row],[Collector Booster Box Product Id]], tbl_Product[Product Id], tbl_Product[Best Source])</f>
        <v/>
      </c>
      <c r="AW302" s="4">
        <f>_xlfn.XLOOKUP(tbl_MTG_Set[[#This Row],[Collector Booster Box Product Id]], tbl_Product[Product Id], tbl_Product[Pack Size])</f>
        <v/>
      </c>
      <c r="AX302" s="10">
        <f>(tbl_MTG_Set[[#This Row],[Collector Booster Box Cost]] + v_Item_Shipping_Cost_In) / tbl_MTG_Set[[#This Row],[Collector Booster Box Size]]</f>
        <v/>
      </c>
      <c r="AY302" s="10">
        <f t="array" ref="AY3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2" s="10" t="n"/>
      <c r="BA3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2" s="17">
        <f>tbl_MTG_Set[[#This Row],[Collector Booster CardMarket Profit]]/tbl_MTG_Set[[#This Row],[Collector Booster Cost]]</f>
        <v/>
      </c>
      <c r="BC302" s="10" t="n"/>
      <c r="BF302" s="10">
        <f>tbl_MTG_Set[[#This Row],[Play Booster Sell Price CardMarket]]*tbl_MTG_Set[[#This Row],[Play Booster Expected Market Value]]/tbl_MTG_Set[[#This Row],[Play Boost Sealed Market Value]]</f>
        <v/>
      </c>
      <c r="BG3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2" s="17">
        <f>tbl_MTG_Set[[#This Row],[Play Singles CardMarket Profit]]/tbl_MTG_Set[[#This Row],[Play Booster Cost]]</f>
        <v/>
      </c>
      <c r="BI302" s="10">
        <f>tbl_MTG_Set[[#This Row],[Play Singles CardMarket Profit]]&gt;0</f>
        <v/>
      </c>
      <c r="BJ302" s="10" t="n"/>
      <c r="BK302" s="10" t="n"/>
      <c r="BL302" s="10">
        <f>tbl_MTG_Set[[#This Row],[Collector Booster Sell Price CardMarket]]*tbl_MTG_Set[[#This Row],[Collector Booster Expected Market Value]]/tbl_MTG_Set[[#This Row],[Collector Boost Sealed Market Value]]</f>
        <v/>
      </c>
      <c r="BM3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2" s="17">
        <f>tbl_MTG_Set[[#This Row],[Collector Singles CardMarket Profit]]/tbl_MTG_Set[[#This Row],[Collector Booster Cost]]</f>
        <v/>
      </c>
      <c r="BO302" s="10">
        <f>tbl_MTG_Set[[#This Row],[Collector Singles CardMarket Profit]]&gt;0</f>
        <v/>
      </c>
      <c r="BP3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3">
      <c r="A303" t="n">
        <v>301</v>
      </c>
      <c r="B303" t="inlineStr">
        <is>
          <t>Innistrad: Crimson Vow Promos PVOW</t>
        </is>
      </c>
      <c r="C303" t="n">
        <v>121</v>
      </c>
      <c r="D303" s="3" t="n">
        <v>44519</v>
      </c>
      <c r="E303" t="inlineStr">
        <is>
          <t>Standard Expansion</t>
        </is>
      </c>
      <c r="F303" t="inlineStr">
        <is>
          <t>en es fr de it pt ja ko ru 汉语 漢語</t>
        </is>
      </c>
      <c r="G303" t="n">
        <v>548</v>
      </c>
      <c r="H303">
        <f>MONTH(NOW())+12*YEAR(NOW())-MONTH(tbl_MTG_Set[[#This Row],[Released On]])-12*YEAR(tbl_MTG_Set[[#This Row],[Released On]])</f>
        <v/>
      </c>
      <c r="I303">
        <f>_xlfn.XLOOKUP(tbl_MTG_Set[[#This Row],[Type Name]], tbl_MTG_Set_Type[Set Type], tbl_MTG_Set_Type[Index], "(Set Type not found)")</f>
        <v/>
      </c>
      <c r="J303">
        <f>_xlfn.XLOOKUP(tbl_MTG_Set[[#This Row],[Type Name]], tbl_MTG_Set_Type[Set Type], tbl_MTG_Set_Type[Buy Window Month Start], "(Set Type not found)")</f>
        <v/>
      </c>
      <c r="K303" s="3">
        <f>tbl_MTG_Set[[#This Row],[Released On]]+tbl_MTG_Set[[#This Row],[Buy Window Month Start]]*365.25/12</f>
        <v/>
      </c>
      <c r="L303">
        <f>_xlfn.XLOOKUP(tbl_MTG_Set[[#This Row],[Type Name]], tbl_MTG_Set_Type[Set Type], tbl_MTG_Set_Type[Buy Window Month End], "(Set Type not found)", 0, 1)</f>
        <v/>
      </c>
      <c r="M303" s="3">
        <f>tbl_MTG_Set[[#This Row],[Released On]]+tbl_MTG_Set[[#This Row],[Buy Window Month End]]*365.25/12</f>
        <v/>
      </c>
      <c r="N303" s="3">
        <f>AND(NOW()&gt;=tbl_MTG_Set[[#This Row],[Buy Window Start]], NOW()&lt;=tbl_MTG_Set[[#This Row],[Buy Window End]])</f>
        <v/>
      </c>
      <c r="O303">
        <f>_xlfn.XLOOKUP(tbl_MTG_Set[[#This Row],[Type Name]], tbl_MTG_Set_Type[Set Type], tbl_MTG_Set_Type[Heavy Printing Window Month Start], "(Set Type not found)", 0, 1)</f>
        <v/>
      </c>
      <c r="P303" s="3">
        <f>tbl_MTG_Set[[#This Row],[Released On]]+tbl_MTG_Set[[#This Row],[Heavy Printing Window Month Start]]*365.25/12</f>
        <v/>
      </c>
      <c r="Q303">
        <f>_xlfn.XLOOKUP(tbl_MTG_Set[[#This Row],[Type Name]], tbl_MTG_Set_Type[Set Type], tbl_MTG_Set_Type[Heavy Printing Window Month End], "(Set Type not found)", 0, 1)</f>
        <v/>
      </c>
      <c r="R303" s="3">
        <f>tbl_MTG_Set[[#This Row],[Released On]]+tbl_MTG_Set[[#This Row],[Heavy Printing Window Month End]]*365.25/12</f>
        <v/>
      </c>
      <c r="S303" s="3">
        <f>AND(NOW()&gt;=tbl_MTG_Set[[#This Row],[Heavy Printing Window Start]], NOW()&lt;=tbl_MTG_Set[[#This Row],[Heavy Printing Window End]])</f>
        <v/>
      </c>
      <c r="T303">
        <f>_xlfn.XLOOKUP(tbl_MTG_Set[[#This Row],[Type Name]], tbl_MTG_Set_Type[Set Type], tbl_MTG_Set_Type[Sell Window Month Start], "(Set Type not found)", 0, 1)</f>
        <v/>
      </c>
      <c r="U303" s="3">
        <f>tbl_MTG_Set[[#This Row],[Released On]]+tbl_MTG_Set[[#This Row],[Sell Window Month Start]]*365.25/12</f>
        <v/>
      </c>
      <c r="V303">
        <f>_xlfn.XLOOKUP(tbl_MTG_Set[[#This Row],[Type Name]], tbl_MTG_Set_Type[Set Type], tbl_MTG_Set_Type[Sell Window Month End], "(Set Type not found)", 0, 1)</f>
        <v/>
      </c>
      <c r="W303" s="3">
        <f>tbl_MTG_Set[[#This Row],[Released On]]+tbl_MTG_Set[[#This Row],[Sell Window Month End]]*365.25/12</f>
        <v/>
      </c>
      <c r="X303" s="3">
        <f>AND(NOW()&gt;=tbl_MTG_Set[[#This Row],[Sell Window Start]], NOW()&lt;=tbl_MTG_Set[[#This Row],[Sell Window End]])</f>
        <v/>
      </c>
      <c r="AG303" s="10" t="n"/>
      <c r="AH303" s="10" t="n"/>
      <c r="AM303" s="10">
        <f t="array" ref="AM3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3" s="10">
        <f t="array" ref="AN3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3" s="4">
        <f>_xlfn.XLOOKUP(tbl_MTG_Set[[#This Row],[Play Booster Box Product Id]], tbl_Product[Product Id], tbl_Product[Pack Size])</f>
        <v/>
      </c>
      <c r="AP303" s="10">
        <f>(tbl_MTG_Set[[#This Row],[Play Booster Box Cost]]+v_Item_Shipping_Cost_In)/tbl_MTG_Set[[#This Row],[Play Booster Box Size]]</f>
        <v/>
      </c>
      <c r="AQ303" s="10">
        <f t="array" ref="AQ3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3" s="10" t="n"/>
      <c r="AS303" s="10" t="n"/>
      <c r="AT303" s="17">
        <f>tbl_MTG_Set[[#This Row],[Play Booster CardMarket Profit]]/tbl_MTG_Set[[#This Row],[Play Booster Cost]]</f>
        <v/>
      </c>
      <c r="AU303" s="10">
        <f>_xlfn.XLOOKUP(tbl_MTG_Set[[#This Row],[Collector Booster Box Product Id]], tbl_Product[Product Id], tbl_Product[Min Cost])</f>
        <v/>
      </c>
      <c r="AV303" s="10">
        <f>_xlfn.XLOOKUP(tbl_MTG_Set[[#This Row],[Collector Booster Box Product Id]], tbl_Product[Product Id], tbl_Product[Best Source])</f>
        <v/>
      </c>
      <c r="AW303" s="4">
        <f>_xlfn.XLOOKUP(tbl_MTG_Set[[#This Row],[Collector Booster Box Product Id]], tbl_Product[Product Id], tbl_Product[Pack Size])</f>
        <v/>
      </c>
      <c r="AX303" s="10">
        <f>(tbl_MTG_Set[[#This Row],[Collector Booster Box Cost]] + v_Item_Shipping_Cost_In) / tbl_MTG_Set[[#This Row],[Collector Booster Box Size]]</f>
        <v/>
      </c>
      <c r="AY303" s="10">
        <f t="array" ref="AY3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3" s="10" t="n"/>
      <c r="BA3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3" s="17">
        <f>tbl_MTG_Set[[#This Row],[Collector Booster CardMarket Profit]]/tbl_MTG_Set[[#This Row],[Collector Booster Cost]]</f>
        <v/>
      </c>
      <c r="BC303" s="10" t="n"/>
      <c r="BF303" s="10">
        <f>tbl_MTG_Set[[#This Row],[Play Booster Sell Price CardMarket]]*tbl_MTG_Set[[#This Row],[Play Booster Expected Market Value]]/tbl_MTG_Set[[#This Row],[Play Boost Sealed Market Value]]</f>
        <v/>
      </c>
      <c r="BG3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3" s="10">
        <f>tbl_MTG_Set[[#This Row],[Play Singles CardMarket Profit]]/tbl_MTG_Set[[#This Row],[Play Booster Cost]]</f>
        <v/>
      </c>
      <c r="BI303" s="10">
        <f>tbl_MTG_Set[[#This Row],[Play Singles CardMarket Profit]]&gt;0</f>
        <v/>
      </c>
      <c r="BJ303" s="10" t="n"/>
      <c r="BK303" s="10" t="n"/>
      <c r="BL303" s="10">
        <f>tbl_MTG_Set[[#This Row],[Collector Booster Sell Price CardMarket]]*tbl_MTG_Set[[#This Row],[Collector Booster Expected Market Value]]/tbl_MTG_Set[[#This Row],[Collector Boost Sealed Market Value]]</f>
        <v/>
      </c>
      <c r="BM3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3" s="10">
        <f>tbl_MTG_Set[[#This Row],[Collector Singles CardMarket Profit]]/tbl_MTG_Set[[#This Row],[Collector Booster Cost]]</f>
        <v/>
      </c>
      <c r="BO303" s="10">
        <f>tbl_MTG_Set[[#This Row],[Collector Singles CardMarket Profit]]&gt;0</f>
        <v/>
      </c>
      <c r="BP3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4">
      <c r="A304" t="n">
        <v>302</v>
      </c>
      <c r="B304" t="inlineStr">
        <is>
          <t>Innistrad: Crimson Vow Tokens TVOW</t>
        </is>
      </c>
      <c r="C304" t="n">
        <v>21</v>
      </c>
      <c r="D304" s="3" t="n">
        <v>44519</v>
      </c>
      <c r="E304" t="inlineStr">
        <is>
          <t>Standard Expansion</t>
        </is>
      </c>
      <c r="F304" t="inlineStr">
        <is>
          <t>en es fr de it pt ja ko ru 汉语 漢語</t>
        </is>
      </c>
      <c r="G304" t="n">
        <v>550</v>
      </c>
      <c r="H304">
        <f>MONTH(NOW())+12*YEAR(NOW())-MONTH(tbl_MTG_Set[[#This Row],[Released On]])-12*YEAR(tbl_MTG_Set[[#This Row],[Released On]])</f>
        <v/>
      </c>
      <c r="I304">
        <f>_xlfn.XLOOKUP(tbl_MTG_Set[[#This Row],[Type Name]], tbl_MTG_Set_Type[Set Type], tbl_MTG_Set_Type[Index], "(Set Type not found)")</f>
        <v/>
      </c>
      <c r="J304">
        <f>_xlfn.XLOOKUP(tbl_MTG_Set[[#This Row],[Type Name]], tbl_MTG_Set_Type[Set Type], tbl_MTG_Set_Type[Buy Window Month Start], "(Set Type not found)")</f>
        <v/>
      </c>
      <c r="K304" s="3">
        <f>tbl_MTG_Set[[#This Row],[Released On]]+tbl_MTG_Set[[#This Row],[Buy Window Month Start]]*365.25/12</f>
        <v/>
      </c>
      <c r="L304">
        <f>_xlfn.XLOOKUP(tbl_MTG_Set[[#This Row],[Type Name]], tbl_MTG_Set_Type[Set Type], tbl_MTG_Set_Type[Buy Window Month End], "(Set Type not found)", 0, 1)</f>
        <v/>
      </c>
      <c r="M304" s="3">
        <f>tbl_MTG_Set[[#This Row],[Released On]]+tbl_MTG_Set[[#This Row],[Buy Window Month End]]*365.25/12</f>
        <v/>
      </c>
      <c r="N304" s="3">
        <f>AND(NOW()&gt;=tbl_MTG_Set[[#This Row],[Buy Window Start]], NOW()&lt;=tbl_MTG_Set[[#This Row],[Buy Window End]])</f>
        <v/>
      </c>
      <c r="O304">
        <f>_xlfn.XLOOKUP(tbl_MTG_Set[[#This Row],[Type Name]], tbl_MTG_Set_Type[Set Type], tbl_MTG_Set_Type[Heavy Printing Window Month Start], "(Set Type not found)", 0, 1)</f>
        <v/>
      </c>
      <c r="P304" s="3">
        <f>tbl_MTG_Set[[#This Row],[Released On]]+tbl_MTG_Set[[#This Row],[Heavy Printing Window Month Start]]*365.25/12</f>
        <v/>
      </c>
      <c r="Q304">
        <f>_xlfn.XLOOKUP(tbl_MTG_Set[[#This Row],[Type Name]], tbl_MTG_Set_Type[Set Type], tbl_MTG_Set_Type[Heavy Printing Window Month End], "(Set Type not found)", 0, 1)</f>
        <v/>
      </c>
      <c r="R304" s="3">
        <f>tbl_MTG_Set[[#This Row],[Released On]]+tbl_MTG_Set[[#This Row],[Heavy Printing Window Month End]]*365.25/12</f>
        <v/>
      </c>
      <c r="S304" s="3">
        <f>AND(NOW()&gt;=tbl_MTG_Set[[#This Row],[Heavy Printing Window Start]], NOW()&lt;=tbl_MTG_Set[[#This Row],[Heavy Printing Window End]])</f>
        <v/>
      </c>
      <c r="T304">
        <f>_xlfn.XLOOKUP(tbl_MTG_Set[[#This Row],[Type Name]], tbl_MTG_Set_Type[Set Type], tbl_MTG_Set_Type[Sell Window Month Start], "(Set Type not found)", 0, 1)</f>
        <v/>
      </c>
      <c r="U304" s="3">
        <f>tbl_MTG_Set[[#This Row],[Released On]]+tbl_MTG_Set[[#This Row],[Sell Window Month Start]]*365.25/12</f>
        <v/>
      </c>
      <c r="V304">
        <f>_xlfn.XLOOKUP(tbl_MTG_Set[[#This Row],[Type Name]], tbl_MTG_Set_Type[Set Type], tbl_MTG_Set_Type[Sell Window Month End], "(Set Type not found)", 0, 1)</f>
        <v/>
      </c>
      <c r="W304" s="3">
        <f>tbl_MTG_Set[[#This Row],[Released On]]+tbl_MTG_Set[[#This Row],[Sell Window Month End]]*365.25/12</f>
        <v/>
      </c>
      <c r="X304" s="3">
        <f>AND(NOW()&gt;=tbl_MTG_Set[[#This Row],[Sell Window Start]], NOW()&lt;=tbl_MTG_Set[[#This Row],[Sell Window End]])</f>
        <v/>
      </c>
      <c r="AG304" s="10" t="n"/>
      <c r="AH304" s="10" t="n"/>
      <c r="AM304" s="10">
        <f t="array" ref="AM3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4" s="10">
        <f t="array" ref="AN3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4" s="4">
        <f>_xlfn.XLOOKUP(tbl_MTG_Set[[#This Row],[Play Booster Box Product Id]], tbl_Product[Product Id], tbl_Product[Pack Size])</f>
        <v/>
      </c>
      <c r="AP304" s="10">
        <f>(tbl_MTG_Set[[#This Row],[Play Booster Box Cost]]+v_Item_Shipping_Cost_In)/tbl_MTG_Set[[#This Row],[Play Booster Box Size]]</f>
        <v/>
      </c>
      <c r="AQ304" s="10">
        <f t="array" ref="AQ3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4" s="10" t="n"/>
      <c r="AS304" s="10" t="n"/>
      <c r="AT304" s="17">
        <f>tbl_MTG_Set[[#This Row],[Play Booster CardMarket Profit]]/tbl_MTG_Set[[#This Row],[Play Booster Cost]]</f>
        <v/>
      </c>
      <c r="AU304" s="10">
        <f>_xlfn.XLOOKUP(tbl_MTG_Set[[#This Row],[Collector Booster Box Product Id]], tbl_Product[Product Id], tbl_Product[Min Cost])</f>
        <v/>
      </c>
      <c r="AV304" s="10">
        <f>_xlfn.XLOOKUP(tbl_MTG_Set[[#This Row],[Collector Booster Box Product Id]], tbl_Product[Product Id], tbl_Product[Best Source])</f>
        <v/>
      </c>
      <c r="AW304" s="4">
        <f>_xlfn.XLOOKUP(tbl_MTG_Set[[#This Row],[Collector Booster Box Product Id]], tbl_Product[Product Id], tbl_Product[Pack Size])</f>
        <v/>
      </c>
      <c r="AX304" s="10">
        <f>(tbl_MTG_Set[[#This Row],[Collector Booster Box Cost]] + v_Item_Shipping_Cost_In) / tbl_MTG_Set[[#This Row],[Collector Booster Box Size]]</f>
        <v/>
      </c>
      <c r="AY304" s="10">
        <f t="array" ref="AY3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4" s="10" t="n"/>
      <c r="BA3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4" s="17">
        <f>tbl_MTG_Set[[#This Row],[Collector Booster CardMarket Profit]]/tbl_MTG_Set[[#This Row],[Collector Booster Cost]]</f>
        <v/>
      </c>
      <c r="BC304" s="10" t="n"/>
      <c r="BF304" s="10">
        <f>tbl_MTG_Set[[#This Row],[Play Booster Sell Price CardMarket]]*tbl_MTG_Set[[#This Row],[Play Booster Expected Market Value]]/tbl_MTG_Set[[#This Row],[Play Boost Sealed Market Value]]</f>
        <v/>
      </c>
      <c r="BG3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4" s="10">
        <f>tbl_MTG_Set[[#This Row],[Play Singles CardMarket Profit]]/tbl_MTG_Set[[#This Row],[Play Booster Cost]]</f>
        <v/>
      </c>
      <c r="BI304" s="10">
        <f>tbl_MTG_Set[[#This Row],[Play Singles CardMarket Profit]]&gt;0</f>
        <v/>
      </c>
      <c r="BJ304" s="10" t="n"/>
      <c r="BK304" s="10" t="n"/>
      <c r="BL304" s="10">
        <f>tbl_MTG_Set[[#This Row],[Collector Booster Sell Price CardMarket]]*tbl_MTG_Set[[#This Row],[Collector Booster Expected Market Value]]/tbl_MTG_Set[[#This Row],[Collector Boost Sealed Market Value]]</f>
        <v/>
      </c>
      <c r="BM3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4" s="10">
        <f>tbl_MTG_Set[[#This Row],[Collector Singles CardMarket Profit]]/tbl_MTG_Set[[#This Row],[Collector Booster Cost]]</f>
        <v/>
      </c>
      <c r="BO304" s="10">
        <f>tbl_MTG_Set[[#This Row],[Collector Singles CardMarket Profit]]&gt;0</f>
        <v/>
      </c>
      <c r="BP3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5">
      <c r="A305" t="n">
        <v>303</v>
      </c>
      <c r="B305" t="inlineStr">
        <is>
          <t>Innistrad: Crimson Vow Minigames MVOW</t>
        </is>
      </c>
      <c r="C305" t="n">
        <v>3</v>
      </c>
      <c r="D305" s="3" t="n">
        <v>44519</v>
      </c>
      <c r="E305" t="inlineStr">
        <is>
          <t>Standard Expansion</t>
        </is>
      </c>
      <c r="F305" t="inlineStr">
        <is>
          <t>en es fr de it pt ja ko ru 汉语 漢語</t>
        </is>
      </c>
      <c r="G305" t="n">
        <v>552</v>
      </c>
      <c r="H305">
        <f>MONTH(NOW())+12*YEAR(NOW())-MONTH(tbl_MTG_Set[[#This Row],[Released On]])-12*YEAR(tbl_MTG_Set[[#This Row],[Released On]])</f>
        <v/>
      </c>
      <c r="I305">
        <f>_xlfn.XLOOKUP(tbl_MTG_Set[[#This Row],[Type Name]], tbl_MTG_Set_Type[Set Type], tbl_MTG_Set_Type[Index], "(Set Type not found)")</f>
        <v/>
      </c>
      <c r="J305">
        <f>_xlfn.XLOOKUP(tbl_MTG_Set[[#This Row],[Type Name]], tbl_MTG_Set_Type[Set Type], tbl_MTG_Set_Type[Buy Window Month Start], "(Set Type not found)")</f>
        <v/>
      </c>
      <c r="K305" s="3">
        <f>tbl_MTG_Set[[#This Row],[Released On]]+tbl_MTG_Set[[#This Row],[Buy Window Month Start]]*365.25/12</f>
        <v/>
      </c>
      <c r="L305">
        <f>_xlfn.XLOOKUP(tbl_MTG_Set[[#This Row],[Type Name]], tbl_MTG_Set_Type[Set Type], tbl_MTG_Set_Type[Buy Window Month End], "(Set Type not found)", 0, 1)</f>
        <v/>
      </c>
      <c r="M305" s="3">
        <f>tbl_MTG_Set[[#This Row],[Released On]]+tbl_MTG_Set[[#This Row],[Buy Window Month End]]*365.25/12</f>
        <v/>
      </c>
      <c r="N305" s="3">
        <f>AND(NOW()&gt;=tbl_MTG_Set[[#This Row],[Buy Window Start]], NOW()&lt;=tbl_MTG_Set[[#This Row],[Buy Window End]])</f>
        <v/>
      </c>
      <c r="O305">
        <f>_xlfn.XLOOKUP(tbl_MTG_Set[[#This Row],[Type Name]], tbl_MTG_Set_Type[Set Type], tbl_MTG_Set_Type[Heavy Printing Window Month Start], "(Set Type not found)", 0, 1)</f>
        <v/>
      </c>
      <c r="P305" s="3">
        <f>tbl_MTG_Set[[#This Row],[Released On]]+tbl_MTG_Set[[#This Row],[Heavy Printing Window Month Start]]*365.25/12</f>
        <v/>
      </c>
      <c r="Q305">
        <f>_xlfn.XLOOKUP(tbl_MTG_Set[[#This Row],[Type Name]], tbl_MTG_Set_Type[Set Type], tbl_MTG_Set_Type[Heavy Printing Window Month End], "(Set Type not found)", 0, 1)</f>
        <v/>
      </c>
      <c r="R305" s="3">
        <f>tbl_MTG_Set[[#This Row],[Released On]]+tbl_MTG_Set[[#This Row],[Heavy Printing Window Month End]]*365.25/12</f>
        <v/>
      </c>
      <c r="S305" s="3">
        <f>AND(NOW()&gt;=tbl_MTG_Set[[#This Row],[Heavy Printing Window Start]], NOW()&lt;=tbl_MTG_Set[[#This Row],[Heavy Printing Window End]])</f>
        <v/>
      </c>
      <c r="T305">
        <f>_xlfn.XLOOKUP(tbl_MTG_Set[[#This Row],[Type Name]], tbl_MTG_Set_Type[Set Type], tbl_MTG_Set_Type[Sell Window Month Start], "(Set Type not found)", 0, 1)</f>
        <v/>
      </c>
      <c r="U305" s="3">
        <f>tbl_MTG_Set[[#This Row],[Released On]]+tbl_MTG_Set[[#This Row],[Sell Window Month Start]]*365.25/12</f>
        <v/>
      </c>
      <c r="V305">
        <f>_xlfn.XLOOKUP(tbl_MTG_Set[[#This Row],[Type Name]], tbl_MTG_Set_Type[Set Type], tbl_MTG_Set_Type[Sell Window Month End], "(Set Type not found)", 0, 1)</f>
        <v/>
      </c>
      <c r="W305" s="3">
        <f>tbl_MTG_Set[[#This Row],[Released On]]+tbl_MTG_Set[[#This Row],[Sell Window Month End]]*365.25/12</f>
        <v/>
      </c>
      <c r="X305" s="3">
        <f>AND(NOW()&gt;=tbl_MTG_Set[[#This Row],[Sell Window Start]], NOW()&lt;=tbl_MTG_Set[[#This Row],[Sell Window End]])</f>
        <v/>
      </c>
      <c r="AG305" s="10" t="n"/>
      <c r="AH305" s="10" t="n"/>
      <c r="AM305" s="10">
        <f t="array" ref="AM3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5" s="10">
        <f t="array" ref="AN3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5" s="4">
        <f>_xlfn.XLOOKUP(tbl_MTG_Set[[#This Row],[Play Booster Box Product Id]], tbl_Product[Product Id], tbl_Product[Pack Size])</f>
        <v/>
      </c>
      <c r="AP305" s="10">
        <f>(tbl_MTG_Set[[#This Row],[Play Booster Box Cost]]+v_Item_Shipping_Cost_In)/tbl_MTG_Set[[#This Row],[Play Booster Box Size]]</f>
        <v/>
      </c>
      <c r="AQ305" s="10">
        <f t="array" ref="AQ3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5" s="10" t="n"/>
      <c r="AS305" s="10" t="n"/>
      <c r="AT305" s="17">
        <f>tbl_MTG_Set[[#This Row],[Play Booster CardMarket Profit]]/tbl_MTG_Set[[#This Row],[Play Booster Cost]]</f>
        <v/>
      </c>
      <c r="AU305" s="10">
        <f>_xlfn.XLOOKUP(tbl_MTG_Set[[#This Row],[Collector Booster Box Product Id]], tbl_Product[Product Id], tbl_Product[Min Cost])</f>
        <v/>
      </c>
      <c r="AV305" s="10">
        <f>_xlfn.XLOOKUP(tbl_MTG_Set[[#This Row],[Collector Booster Box Product Id]], tbl_Product[Product Id], tbl_Product[Best Source])</f>
        <v/>
      </c>
      <c r="AW305" s="4">
        <f>_xlfn.XLOOKUP(tbl_MTG_Set[[#This Row],[Collector Booster Box Product Id]], tbl_Product[Product Id], tbl_Product[Pack Size])</f>
        <v/>
      </c>
      <c r="AX305" s="10">
        <f>(tbl_MTG_Set[[#This Row],[Collector Booster Box Cost]] + v_Item_Shipping_Cost_In) / tbl_MTG_Set[[#This Row],[Collector Booster Box Size]]</f>
        <v/>
      </c>
      <c r="AY305" s="10">
        <f t="array" ref="AY3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5" s="10" t="n"/>
      <c r="BA3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5" s="17">
        <f>tbl_MTG_Set[[#This Row],[Collector Booster CardMarket Profit]]/tbl_MTG_Set[[#This Row],[Collector Booster Cost]]</f>
        <v/>
      </c>
      <c r="BC305" s="10" t="n"/>
      <c r="BF305" s="10">
        <f>tbl_MTG_Set[[#This Row],[Play Booster Sell Price CardMarket]]*tbl_MTG_Set[[#This Row],[Play Booster Expected Market Value]]/tbl_MTG_Set[[#This Row],[Play Boost Sealed Market Value]]</f>
        <v/>
      </c>
      <c r="BG3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5" s="10">
        <f>tbl_MTG_Set[[#This Row],[Play Singles CardMarket Profit]]/tbl_MTG_Set[[#This Row],[Play Booster Cost]]</f>
        <v/>
      </c>
      <c r="BI305" s="10">
        <f>tbl_MTG_Set[[#This Row],[Play Singles CardMarket Profit]]&gt;0</f>
        <v/>
      </c>
      <c r="BJ305" s="10" t="n"/>
      <c r="BK305" s="10" t="n"/>
      <c r="BL305" s="10">
        <f>tbl_MTG_Set[[#This Row],[Collector Booster Sell Price CardMarket]]*tbl_MTG_Set[[#This Row],[Collector Booster Expected Market Value]]/tbl_MTG_Set[[#This Row],[Collector Boost Sealed Market Value]]</f>
        <v/>
      </c>
      <c r="BM3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5" s="10">
        <f>tbl_MTG_Set[[#This Row],[Collector Singles CardMarket Profit]]/tbl_MTG_Set[[#This Row],[Collector Booster Cost]]</f>
        <v/>
      </c>
      <c r="BO305" s="10">
        <f>tbl_MTG_Set[[#This Row],[Collector Singles CardMarket Profit]]&gt;0</f>
        <v/>
      </c>
      <c r="BP3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6">
      <c r="A306" t="n">
        <v>304</v>
      </c>
      <c r="B306" t="inlineStr">
        <is>
          <t>Innistrad: Crimson Vow Substitute Cards SVOW</t>
        </is>
      </c>
      <c r="C306" t="n">
        <v>9</v>
      </c>
      <c r="D306" s="3" t="n">
        <v>44519</v>
      </c>
      <c r="E306" t="inlineStr">
        <is>
          <t>Standard Expansion</t>
        </is>
      </c>
      <c r="F306" t="inlineStr">
        <is>
          <t>en es fr de it pt ja ko ru 汉语 漢語</t>
        </is>
      </c>
      <c r="G306" t="n">
        <v>554</v>
      </c>
      <c r="H306">
        <f>MONTH(NOW())+12*YEAR(NOW())-MONTH(tbl_MTG_Set[[#This Row],[Released On]])-12*YEAR(tbl_MTG_Set[[#This Row],[Released On]])</f>
        <v/>
      </c>
      <c r="I306">
        <f>_xlfn.XLOOKUP(tbl_MTG_Set[[#This Row],[Type Name]], tbl_MTG_Set_Type[Set Type], tbl_MTG_Set_Type[Index], "(Set Type not found)")</f>
        <v/>
      </c>
      <c r="J306">
        <f>_xlfn.XLOOKUP(tbl_MTG_Set[[#This Row],[Type Name]], tbl_MTG_Set_Type[Set Type], tbl_MTG_Set_Type[Buy Window Month Start], "(Set Type not found)")</f>
        <v/>
      </c>
      <c r="K306" s="3">
        <f>tbl_MTG_Set[[#This Row],[Released On]]+tbl_MTG_Set[[#This Row],[Buy Window Month Start]]*365.25/12</f>
        <v/>
      </c>
      <c r="L306">
        <f>_xlfn.XLOOKUP(tbl_MTG_Set[[#This Row],[Type Name]], tbl_MTG_Set_Type[Set Type], tbl_MTG_Set_Type[Buy Window Month End], "(Set Type not found)", 0, 1)</f>
        <v/>
      </c>
      <c r="M306" s="3">
        <f>tbl_MTG_Set[[#This Row],[Released On]]+tbl_MTG_Set[[#This Row],[Buy Window Month End]]*365.25/12</f>
        <v/>
      </c>
      <c r="N306" s="3">
        <f>AND(NOW()&gt;=tbl_MTG_Set[[#This Row],[Buy Window Start]], NOW()&lt;=tbl_MTG_Set[[#This Row],[Buy Window End]])</f>
        <v/>
      </c>
      <c r="O306">
        <f>_xlfn.XLOOKUP(tbl_MTG_Set[[#This Row],[Type Name]], tbl_MTG_Set_Type[Set Type], tbl_MTG_Set_Type[Heavy Printing Window Month Start], "(Set Type not found)", 0, 1)</f>
        <v/>
      </c>
      <c r="P306" s="3">
        <f>tbl_MTG_Set[[#This Row],[Released On]]+tbl_MTG_Set[[#This Row],[Heavy Printing Window Month Start]]*365.25/12</f>
        <v/>
      </c>
      <c r="Q306">
        <f>_xlfn.XLOOKUP(tbl_MTG_Set[[#This Row],[Type Name]], tbl_MTG_Set_Type[Set Type], tbl_MTG_Set_Type[Heavy Printing Window Month End], "(Set Type not found)", 0, 1)</f>
        <v/>
      </c>
      <c r="R306" s="3">
        <f>tbl_MTG_Set[[#This Row],[Released On]]+tbl_MTG_Set[[#This Row],[Heavy Printing Window Month End]]*365.25/12</f>
        <v/>
      </c>
      <c r="S306" s="3">
        <f>AND(NOW()&gt;=tbl_MTG_Set[[#This Row],[Heavy Printing Window Start]], NOW()&lt;=tbl_MTG_Set[[#This Row],[Heavy Printing Window End]])</f>
        <v/>
      </c>
      <c r="T306">
        <f>_xlfn.XLOOKUP(tbl_MTG_Set[[#This Row],[Type Name]], tbl_MTG_Set_Type[Set Type], tbl_MTG_Set_Type[Sell Window Month Start], "(Set Type not found)", 0, 1)</f>
        <v/>
      </c>
      <c r="U306" s="3">
        <f>tbl_MTG_Set[[#This Row],[Released On]]+tbl_MTG_Set[[#This Row],[Sell Window Month Start]]*365.25/12</f>
        <v/>
      </c>
      <c r="V306">
        <f>_xlfn.XLOOKUP(tbl_MTG_Set[[#This Row],[Type Name]], tbl_MTG_Set_Type[Set Type], tbl_MTG_Set_Type[Sell Window Month End], "(Set Type not found)", 0, 1)</f>
        <v/>
      </c>
      <c r="W306" s="3">
        <f>tbl_MTG_Set[[#This Row],[Released On]]+tbl_MTG_Set[[#This Row],[Sell Window Month End]]*365.25/12</f>
        <v/>
      </c>
      <c r="X306" s="3">
        <f>AND(NOW()&gt;=tbl_MTG_Set[[#This Row],[Sell Window Start]], NOW()&lt;=tbl_MTG_Set[[#This Row],[Sell Window End]])</f>
        <v/>
      </c>
      <c r="AG306" s="10" t="n"/>
      <c r="AH306" s="10" t="n"/>
      <c r="AM306" s="10">
        <f t="array" ref="AM3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6" s="10">
        <f t="array" ref="AN3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6" s="4">
        <f>_xlfn.XLOOKUP(tbl_MTG_Set[[#This Row],[Play Booster Box Product Id]], tbl_Product[Product Id], tbl_Product[Pack Size])</f>
        <v/>
      </c>
      <c r="AP306" s="10">
        <f>(tbl_MTG_Set[[#This Row],[Play Booster Box Cost]]+v_Item_Shipping_Cost_In)/tbl_MTG_Set[[#This Row],[Play Booster Box Size]]</f>
        <v/>
      </c>
      <c r="AQ306" s="10">
        <f t="array" ref="AQ3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6" s="10" t="n"/>
      <c r="AS306" s="10" t="n"/>
      <c r="AT306" s="17">
        <f>tbl_MTG_Set[[#This Row],[Play Booster CardMarket Profit]]/tbl_MTG_Set[[#This Row],[Play Booster Cost]]</f>
        <v/>
      </c>
      <c r="AU306" s="10">
        <f>_xlfn.XLOOKUP(tbl_MTG_Set[[#This Row],[Collector Booster Box Product Id]], tbl_Product[Product Id], tbl_Product[Min Cost])</f>
        <v/>
      </c>
      <c r="AV306" s="10">
        <f>_xlfn.XLOOKUP(tbl_MTG_Set[[#This Row],[Collector Booster Box Product Id]], tbl_Product[Product Id], tbl_Product[Best Source])</f>
        <v/>
      </c>
      <c r="AW306" s="4">
        <f>_xlfn.XLOOKUP(tbl_MTG_Set[[#This Row],[Collector Booster Box Product Id]], tbl_Product[Product Id], tbl_Product[Pack Size])</f>
        <v/>
      </c>
      <c r="AX306" s="10">
        <f>(tbl_MTG_Set[[#This Row],[Collector Booster Box Cost]] + v_Item_Shipping_Cost_In) / tbl_MTG_Set[[#This Row],[Collector Booster Box Size]]</f>
        <v/>
      </c>
      <c r="AY306" s="10">
        <f t="array" ref="AY3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6" s="10" t="n"/>
      <c r="BA3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6" s="17">
        <f>tbl_MTG_Set[[#This Row],[Collector Booster CardMarket Profit]]/tbl_MTG_Set[[#This Row],[Collector Booster Cost]]</f>
        <v/>
      </c>
      <c r="BC306" s="10" t="n"/>
      <c r="BF306" s="10">
        <f>tbl_MTG_Set[[#This Row],[Play Booster Sell Price CardMarket]]*tbl_MTG_Set[[#This Row],[Play Booster Expected Market Value]]/tbl_MTG_Set[[#This Row],[Play Boost Sealed Market Value]]</f>
        <v/>
      </c>
      <c r="BG3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6" s="10">
        <f>tbl_MTG_Set[[#This Row],[Play Singles CardMarket Profit]]/tbl_MTG_Set[[#This Row],[Play Booster Cost]]</f>
        <v/>
      </c>
      <c r="BI306" s="10">
        <f>tbl_MTG_Set[[#This Row],[Play Singles CardMarket Profit]]&gt;0</f>
        <v/>
      </c>
      <c r="BJ306" s="10" t="n"/>
      <c r="BK306" s="10" t="n"/>
      <c r="BL306" s="10">
        <f>tbl_MTG_Set[[#This Row],[Collector Booster Sell Price CardMarket]]*tbl_MTG_Set[[#This Row],[Collector Booster Expected Market Value]]/tbl_MTG_Set[[#This Row],[Collector Boost Sealed Market Value]]</f>
        <v/>
      </c>
      <c r="BM3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6" s="10">
        <f>tbl_MTG_Set[[#This Row],[Collector Singles CardMarket Profit]]/tbl_MTG_Set[[#This Row],[Collector Booster Cost]]</f>
        <v/>
      </c>
      <c r="BO306" s="10">
        <f>tbl_MTG_Set[[#This Row],[Collector Singles CardMarket Profit]]&gt;0</f>
        <v/>
      </c>
      <c r="BP3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7">
      <c r="A307" t="n">
        <v>305</v>
      </c>
      <c r="B307" t="inlineStr">
        <is>
          <t>Crimson Vow Art Series AVOW</t>
        </is>
      </c>
      <c r="C307" t="n">
        <v>81</v>
      </c>
      <c r="D307" s="3" t="n">
        <v>44519</v>
      </c>
      <c r="F307" t="inlineStr">
        <is>
          <t>en es fr de it pt ja ko ru 汉语 漢語</t>
        </is>
      </c>
      <c r="G307" t="n">
        <v>556</v>
      </c>
      <c r="H307">
        <f>MONTH(NOW())+12*YEAR(NOW())-MONTH(tbl_MTG_Set[[#This Row],[Released On]])-12*YEAR(tbl_MTG_Set[[#This Row],[Released On]])</f>
        <v/>
      </c>
      <c r="I307">
        <f>_xlfn.XLOOKUP(tbl_MTG_Set[[#This Row],[Type Name]], tbl_MTG_Set_Type[Set Type], tbl_MTG_Set_Type[Index], "(Set Type not found)")</f>
        <v/>
      </c>
      <c r="J307">
        <f>_xlfn.XLOOKUP(tbl_MTG_Set[[#This Row],[Type Name]], tbl_MTG_Set_Type[Set Type], tbl_MTG_Set_Type[Buy Window Month Start], "(Set Type not found)")</f>
        <v/>
      </c>
      <c r="K307" s="3">
        <f>tbl_MTG_Set[[#This Row],[Released On]]+tbl_MTG_Set[[#This Row],[Buy Window Month Start]]*365.25/12</f>
        <v/>
      </c>
      <c r="L307">
        <f>_xlfn.XLOOKUP(tbl_MTG_Set[[#This Row],[Type Name]], tbl_MTG_Set_Type[Set Type], tbl_MTG_Set_Type[Buy Window Month End], "(Set Type not found)", 0, 1)</f>
        <v/>
      </c>
      <c r="M307" s="3">
        <f>tbl_MTG_Set[[#This Row],[Released On]]+tbl_MTG_Set[[#This Row],[Buy Window Month End]]*365.25/12</f>
        <v/>
      </c>
      <c r="N307" s="3">
        <f>AND(NOW()&gt;=tbl_MTG_Set[[#This Row],[Buy Window Start]], NOW()&lt;=tbl_MTG_Set[[#This Row],[Buy Window End]])</f>
        <v/>
      </c>
      <c r="O307">
        <f>_xlfn.XLOOKUP(tbl_MTG_Set[[#This Row],[Type Name]], tbl_MTG_Set_Type[Set Type], tbl_MTG_Set_Type[Heavy Printing Window Month Start], "(Set Type not found)", 0, 1)</f>
        <v/>
      </c>
      <c r="P307" s="3">
        <f>tbl_MTG_Set[[#This Row],[Released On]]+tbl_MTG_Set[[#This Row],[Heavy Printing Window Month Start]]*365.25/12</f>
        <v/>
      </c>
      <c r="Q307">
        <f>_xlfn.XLOOKUP(tbl_MTG_Set[[#This Row],[Type Name]], tbl_MTG_Set_Type[Set Type], tbl_MTG_Set_Type[Heavy Printing Window Month End], "(Set Type not found)", 0, 1)</f>
        <v/>
      </c>
      <c r="R307" s="3">
        <f>tbl_MTG_Set[[#This Row],[Released On]]+tbl_MTG_Set[[#This Row],[Heavy Printing Window Month End]]*365.25/12</f>
        <v/>
      </c>
      <c r="S307" s="3">
        <f>AND(NOW()&gt;=tbl_MTG_Set[[#This Row],[Heavy Printing Window Start]], NOW()&lt;=tbl_MTG_Set[[#This Row],[Heavy Printing Window End]])</f>
        <v/>
      </c>
      <c r="T307">
        <f>_xlfn.XLOOKUP(tbl_MTG_Set[[#This Row],[Type Name]], tbl_MTG_Set_Type[Set Type], tbl_MTG_Set_Type[Sell Window Month Start], "(Set Type not found)", 0, 1)</f>
        <v/>
      </c>
      <c r="U307" s="3">
        <f>tbl_MTG_Set[[#This Row],[Released On]]+tbl_MTG_Set[[#This Row],[Sell Window Month Start]]*365.25/12</f>
        <v/>
      </c>
      <c r="V307">
        <f>_xlfn.XLOOKUP(tbl_MTG_Set[[#This Row],[Type Name]], tbl_MTG_Set_Type[Set Type], tbl_MTG_Set_Type[Sell Window Month End], "(Set Type not found)", 0, 1)</f>
        <v/>
      </c>
      <c r="W307" s="3">
        <f>tbl_MTG_Set[[#This Row],[Released On]]+tbl_MTG_Set[[#This Row],[Sell Window Month End]]*365.25/12</f>
        <v/>
      </c>
      <c r="X307" s="3">
        <f>AND(NOW()&gt;=tbl_MTG_Set[[#This Row],[Sell Window Start]], NOW()&lt;=tbl_MTG_Set[[#This Row],[Sell Window End]])</f>
        <v/>
      </c>
      <c r="AG307" s="10" t="n"/>
      <c r="AH307" s="10" t="n"/>
      <c r="AM307" s="10">
        <f t="array" ref="AM3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7" s="10">
        <f t="array" ref="AN3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7" s="4">
        <f>_xlfn.XLOOKUP(tbl_MTG_Set[[#This Row],[Play Booster Box Product Id]], tbl_Product[Product Id], tbl_Product[Pack Size])</f>
        <v/>
      </c>
      <c r="AP307" s="10">
        <f>(tbl_MTG_Set[[#This Row],[Play Booster Box Cost]]+v_Item_Shipping_Cost_In)/tbl_MTG_Set[[#This Row],[Play Booster Box Size]]</f>
        <v/>
      </c>
      <c r="AQ307" s="10">
        <f t="array" ref="AQ3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7" s="10" t="n"/>
      <c r="AS307" s="10" t="n"/>
      <c r="AT307" s="17">
        <f>tbl_MTG_Set[[#This Row],[Play Booster CardMarket Profit]]/tbl_MTG_Set[[#This Row],[Play Booster Cost]]</f>
        <v/>
      </c>
      <c r="AU307" s="10">
        <f>_xlfn.XLOOKUP(tbl_MTG_Set[[#This Row],[Collector Booster Box Product Id]], tbl_Product[Product Id], tbl_Product[Min Cost])</f>
        <v/>
      </c>
      <c r="AV307" s="10">
        <f>_xlfn.XLOOKUP(tbl_MTG_Set[[#This Row],[Collector Booster Box Product Id]], tbl_Product[Product Id], tbl_Product[Best Source])</f>
        <v/>
      </c>
      <c r="AW307" s="4">
        <f>_xlfn.XLOOKUP(tbl_MTG_Set[[#This Row],[Collector Booster Box Product Id]], tbl_Product[Product Id], tbl_Product[Pack Size])</f>
        <v/>
      </c>
      <c r="AX307" s="10">
        <f>(tbl_MTG_Set[[#This Row],[Collector Booster Box Cost]] + v_Item_Shipping_Cost_In) / tbl_MTG_Set[[#This Row],[Collector Booster Box Size]]</f>
        <v/>
      </c>
      <c r="AY307" s="10">
        <f t="array" ref="AY3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7" s="10" t="n"/>
      <c r="BA3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7" s="17">
        <f>tbl_MTG_Set[[#This Row],[Collector Booster CardMarket Profit]]/tbl_MTG_Set[[#This Row],[Collector Booster Cost]]</f>
        <v/>
      </c>
      <c r="BC307" s="10" t="n"/>
      <c r="BF307" s="10">
        <f>tbl_MTG_Set[[#This Row],[Play Booster Sell Price CardMarket]]*tbl_MTG_Set[[#This Row],[Play Booster Expected Market Value]]/tbl_MTG_Set[[#This Row],[Play Boost Sealed Market Value]]</f>
        <v/>
      </c>
      <c r="BG3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7" s="10">
        <f>tbl_MTG_Set[[#This Row],[Play Singles CardMarket Profit]]/tbl_MTG_Set[[#This Row],[Play Booster Cost]]</f>
        <v/>
      </c>
      <c r="BI307" s="10">
        <f>tbl_MTG_Set[[#This Row],[Play Singles CardMarket Profit]]&gt;0</f>
        <v/>
      </c>
      <c r="BJ307" s="10" t="n"/>
      <c r="BK307" s="10" t="n"/>
      <c r="BL307" s="10">
        <f>tbl_MTG_Set[[#This Row],[Collector Booster Sell Price CardMarket]]*tbl_MTG_Set[[#This Row],[Collector Booster Expected Market Value]]/tbl_MTG_Set[[#This Row],[Collector Boost Sealed Market Value]]</f>
        <v/>
      </c>
      <c r="BM3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7" s="10">
        <f>tbl_MTG_Set[[#This Row],[Collector Singles CardMarket Profit]]/tbl_MTG_Set[[#This Row],[Collector Booster Cost]]</f>
        <v/>
      </c>
      <c r="BO307" s="10">
        <f>tbl_MTG_Set[[#This Row],[Collector Singles CardMarket Profit]]&gt;0</f>
        <v/>
      </c>
      <c r="BP3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8">
      <c r="A308" t="n">
        <v>306</v>
      </c>
      <c r="B308" t="inlineStr">
        <is>
          <t>Crimson Vow Commander VOC</t>
        </is>
      </c>
      <c r="C308" t="n">
        <v>188</v>
      </c>
      <c r="D308" s="3" t="n">
        <v>44519</v>
      </c>
      <c r="F308" t="inlineStr">
        <is>
          <t>en es fr de it pt ja ko ru 汉语 漢語</t>
        </is>
      </c>
      <c r="G308" t="n">
        <v>558</v>
      </c>
      <c r="H308">
        <f>MONTH(NOW())+12*YEAR(NOW())-MONTH(tbl_MTG_Set[[#This Row],[Released On]])-12*YEAR(tbl_MTG_Set[[#This Row],[Released On]])</f>
        <v/>
      </c>
      <c r="I308">
        <f>_xlfn.XLOOKUP(tbl_MTG_Set[[#This Row],[Type Name]], tbl_MTG_Set_Type[Set Type], tbl_MTG_Set_Type[Index], "(Set Type not found)")</f>
        <v/>
      </c>
      <c r="J308">
        <f>_xlfn.XLOOKUP(tbl_MTG_Set[[#This Row],[Type Name]], tbl_MTG_Set_Type[Set Type], tbl_MTG_Set_Type[Buy Window Month Start], "(Set Type not found)")</f>
        <v/>
      </c>
      <c r="K308" s="3">
        <f>tbl_MTG_Set[[#This Row],[Released On]]+tbl_MTG_Set[[#This Row],[Buy Window Month Start]]*365.25/12</f>
        <v/>
      </c>
      <c r="L308">
        <f>_xlfn.XLOOKUP(tbl_MTG_Set[[#This Row],[Type Name]], tbl_MTG_Set_Type[Set Type], tbl_MTG_Set_Type[Buy Window Month End], "(Set Type not found)", 0, 1)</f>
        <v/>
      </c>
      <c r="M308" s="3">
        <f>tbl_MTG_Set[[#This Row],[Released On]]+tbl_MTG_Set[[#This Row],[Buy Window Month End]]*365.25/12</f>
        <v/>
      </c>
      <c r="N308" s="3">
        <f>AND(NOW()&gt;=tbl_MTG_Set[[#This Row],[Buy Window Start]], NOW()&lt;=tbl_MTG_Set[[#This Row],[Buy Window End]])</f>
        <v/>
      </c>
      <c r="O308">
        <f>_xlfn.XLOOKUP(tbl_MTG_Set[[#This Row],[Type Name]], tbl_MTG_Set_Type[Set Type], tbl_MTG_Set_Type[Heavy Printing Window Month Start], "(Set Type not found)", 0, 1)</f>
        <v/>
      </c>
      <c r="P308" s="3">
        <f>tbl_MTG_Set[[#This Row],[Released On]]+tbl_MTG_Set[[#This Row],[Heavy Printing Window Month Start]]*365.25/12</f>
        <v/>
      </c>
      <c r="Q308">
        <f>_xlfn.XLOOKUP(tbl_MTG_Set[[#This Row],[Type Name]], tbl_MTG_Set_Type[Set Type], tbl_MTG_Set_Type[Heavy Printing Window Month End], "(Set Type not found)", 0, 1)</f>
        <v/>
      </c>
      <c r="R308" s="3">
        <f>tbl_MTG_Set[[#This Row],[Released On]]+tbl_MTG_Set[[#This Row],[Heavy Printing Window Month End]]*365.25/12</f>
        <v/>
      </c>
      <c r="S308" s="3">
        <f>AND(NOW()&gt;=tbl_MTG_Set[[#This Row],[Heavy Printing Window Start]], NOW()&lt;=tbl_MTG_Set[[#This Row],[Heavy Printing Window End]])</f>
        <v/>
      </c>
      <c r="T308">
        <f>_xlfn.XLOOKUP(tbl_MTG_Set[[#This Row],[Type Name]], tbl_MTG_Set_Type[Set Type], tbl_MTG_Set_Type[Sell Window Month Start], "(Set Type not found)", 0, 1)</f>
        <v/>
      </c>
      <c r="U308" s="3">
        <f>tbl_MTG_Set[[#This Row],[Released On]]+tbl_MTG_Set[[#This Row],[Sell Window Month Start]]*365.25/12</f>
        <v/>
      </c>
      <c r="V308">
        <f>_xlfn.XLOOKUP(tbl_MTG_Set[[#This Row],[Type Name]], tbl_MTG_Set_Type[Set Type], tbl_MTG_Set_Type[Sell Window Month End], "(Set Type not found)", 0, 1)</f>
        <v/>
      </c>
      <c r="W308" s="3">
        <f>tbl_MTG_Set[[#This Row],[Released On]]+tbl_MTG_Set[[#This Row],[Sell Window Month End]]*365.25/12</f>
        <v/>
      </c>
      <c r="X308" s="3">
        <f>AND(NOW()&gt;=tbl_MTG_Set[[#This Row],[Sell Window Start]], NOW()&lt;=tbl_MTG_Set[[#This Row],[Sell Window End]])</f>
        <v/>
      </c>
      <c r="AG308" s="10" t="n"/>
      <c r="AH308" s="10" t="n"/>
      <c r="AM308" s="10">
        <f t="array" ref="AM3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8" s="10">
        <f t="array" ref="AN3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8" s="4">
        <f>_xlfn.XLOOKUP(tbl_MTG_Set[[#This Row],[Play Booster Box Product Id]], tbl_Product[Product Id], tbl_Product[Pack Size])</f>
        <v/>
      </c>
      <c r="AP308" s="10">
        <f>(tbl_MTG_Set[[#This Row],[Play Booster Box Cost]]+v_Item_Shipping_Cost_In)/tbl_MTG_Set[[#This Row],[Play Booster Box Size]]</f>
        <v/>
      </c>
      <c r="AQ308" s="10">
        <f t="array" ref="AQ3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8" s="10" t="n"/>
      <c r="AS308" s="10" t="n"/>
      <c r="AT308" s="17">
        <f>tbl_MTG_Set[[#This Row],[Play Booster CardMarket Profit]]/tbl_MTG_Set[[#This Row],[Play Booster Cost]]</f>
        <v/>
      </c>
      <c r="AU308" s="10">
        <f>_xlfn.XLOOKUP(tbl_MTG_Set[[#This Row],[Collector Booster Box Product Id]], tbl_Product[Product Id], tbl_Product[Min Cost])</f>
        <v/>
      </c>
      <c r="AV308" s="10">
        <f>_xlfn.XLOOKUP(tbl_MTG_Set[[#This Row],[Collector Booster Box Product Id]], tbl_Product[Product Id], tbl_Product[Best Source])</f>
        <v/>
      </c>
      <c r="AW308" s="4">
        <f>_xlfn.XLOOKUP(tbl_MTG_Set[[#This Row],[Collector Booster Box Product Id]], tbl_Product[Product Id], tbl_Product[Pack Size])</f>
        <v/>
      </c>
      <c r="AX308" s="10">
        <f>(tbl_MTG_Set[[#This Row],[Collector Booster Box Cost]] + v_Item_Shipping_Cost_In) / tbl_MTG_Set[[#This Row],[Collector Booster Box Size]]</f>
        <v/>
      </c>
      <c r="AY308" s="10">
        <f t="array" ref="AY3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8" s="10" t="n"/>
      <c r="BA3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8" s="17">
        <f>tbl_MTG_Set[[#This Row],[Collector Booster CardMarket Profit]]/tbl_MTG_Set[[#This Row],[Collector Booster Cost]]</f>
        <v/>
      </c>
      <c r="BC308" s="10" t="n"/>
      <c r="BF308" s="10">
        <f>tbl_MTG_Set[[#This Row],[Play Booster Sell Price CardMarket]]*tbl_MTG_Set[[#This Row],[Play Booster Expected Market Value]]/tbl_MTG_Set[[#This Row],[Play Boost Sealed Market Value]]</f>
        <v/>
      </c>
      <c r="BG3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8" s="10">
        <f>tbl_MTG_Set[[#This Row],[Play Singles CardMarket Profit]]/tbl_MTG_Set[[#This Row],[Play Booster Cost]]</f>
        <v/>
      </c>
      <c r="BI308" s="10">
        <f>tbl_MTG_Set[[#This Row],[Play Singles CardMarket Profit]]&gt;0</f>
        <v/>
      </c>
      <c r="BJ308" s="10" t="n"/>
      <c r="BK308" s="10" t="n"/>
      <c r="BL308" s="10">
        <f>tbl_MTG_Set[[#This Row],[Collector Booster Sell Price CardMarket]]*tbl_MTG_Set[[#This Row],[Collector Booster Expected Market Value]]/tbl_MTG_Set[[#This Row],[Collector Boost Sealed Market Value]]</f>
        <v/>
      </c>
      <c r="BM3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8" s="10">
        <f>tbl_MTG_Set[[#This Row],[Collector Singles CardMarket Profit]]/tbl_MTG_Set[[#This Row],[Collector Booster Cost]]</f>
        <v/>
      </c>
      <c r="BO308" s="10">
        <f>tbl_MTG_Set[[#This Row],[Collector Singles CardMarket Profit]]&gt;0</f>
        <v/>
      </c>
      <c r="BP3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9">
      <c r="A309" t="n">
        <v>307</v>
      </c>
      <c r="B309" t="inlineStr">
        <is>
          <t>Crimson Vow Commander Tokens TVOC</t>
        </is>
      </c>
      <c r="C309" t="n">
        <v>6</v>
      </c>
      <c r="D309" s="3" t="n">
        <v>44519</v>
      </c>
      <c r="F309" t="inlineStr">
        <is>
          <t>en es fr de it pt ja ko ru 汉语 漢語</t>
        </is>
      </c>
      <c r="G309" t="n">
        <v>560</v>
      </c>
      <c r="H309">
        <f>MONTH(NOW())+12*YEAR(NOW())-MONTH(tbl_MTG_Set[[#This Row],[Released On]])-12*YEAR(tbl_MTG_Set[[#This Row],[Released On]])</f>
        <v/>
      </c>
      <c r="I309">
        <f>_xlfn.XLOOKUP(tbl_MTG_Set[[#This Row],[Type Name]], tbl_MTG_Set_Type[Set Type], tbl_MTG_Set_Type[Index], "(Set Type not found)")</f>
        <v/>
      </c>
      <c r="J309">
        <f>_xlfn.XLOOKUP(tbl_MTG_Set[[#This Row],[Type Name]], tbl_MTG_Set_Type[Set Type], tbl_MTG_Set_Type[Buy Window Month Start], "(Set Type not found)")</f>
        <v/>
      </c>
      <c r="K309" s="3">
        <f>tbl_MTG_Set[[#This Row],[Released On]]+tbl_MTG_Set[[#This Row],[Buy Window Month Start]]*365.25/12</f>
        <v/>
      </c>
      <c r="L309">
        <f>_xlfn.XLOOKUP(tbl_MTG_Set[[#This Row],[Type Name]], tbl_MTG_Set_Type[Set Type], tbl_MTG_Set_Type[Buy Window Month End], "(Set Type not found)", 0, 1)</f>
        <v/>
      </c>
      <c r="M309" s="3">
        <f>tbl_MTG_Set[[#This Row],[Released On]]+tbl_MTG_Set[[#This Row],[Buy Window Month End]]*365.25/12</f>
        <v/>
      </c>
      <c r="N309" s="3">
        <f>AND(NOW()&gt;=tbl_MTG_Set[[#This Row],[Buy Window Start]], NOW()&lt;=tbl_MTG_Set[[#This Row],[Buy Window End]])</f>
        <v/>
      </c>
      <c r="O309">
        <f>_xlfn.XLOOKUP(tbl_MTG_Set[[#This Row],[Type Name]], tbl_MTG_Set_Type[Set Type], tbl_MTG_Set_Type[Heavy Printing Window Month Start], "(Set Type not found)", 0, 1)</f>
        <v/>
      </c>
      <c r="P309" s="3">
        <f>tbl_MTG_Set[[#This Row],[Released On]]+tbl_MTG_Set[[#This Row],[Heavy Printing Window Month Start]]*365.25/12</f>
        <v/>
      </c>
      <c r="Q309">
        <f>_xlfn.XLOOKUP(tbl_MTG_Set[[#This Row],[Type Name]], tbl_MTG_Set_Type[Set Type], tbl_MTG_Set_Type[Heavy Printing Window Month End], "(Set Type not found)", 0, 1)</f>
        <v/>
      </c>
      <c r="R309" s="3">
        <f>tbl_MTG_Set[[#This Row],[Released On]]+tbl_MTG_Set[[#This Row],[Heavy Printing Window Month End]]*365.25/12</f>
        <v/>
      </c>
      <c r="S309" s="3">
        <f>AND(NOW()&gt;=tbl_MTG_Set[[#This Row],[Heavy Printing Window Start]], NOW()&lt;=tbl_MTG_Set[[#This Row],[Heavy Printing Window End]])</f>
        <v/>
      </c>
      <c r="T309">
        <f>_xlfn.XLOOKUP(tbl_MTG_Set[[#This Row],[Type Name]], tbl_MTG_Set_Type[Set Type], tbl_MTG_Set_Type[Sell Window Month Start], "(Set Type not found)", 0, 1)</f>
        <v/>
      </c>
      <c r="U309" s="3">
        <f>tbl_MTG_Set[[#This Row],[Released On]]+tbl_MTG_Set[[#This Row],[Sell Window Month Start]]*365.25/12</f>
        <v/>
      </c>
      <c r="V309">
        <f>_xlfn.XLOOKUP(tbl_MTG_Set[[#This Row],[Type Name]], tbl_MTG_Set_Type[Set Type], tbl_MTG_Set_Type[Sell Window Month End], "(Set Type not found)", 0, 1)</f>
        <v/>
      </c>
      <c r="W309" s="3">
        <f>tbl_MTG_Set[[#This Row],[Released On]]+tbl_MTG_Set[[#This Row],[Sell Window Month End]]*365.25/12</f>
        <v/>
      </c>
      <c r="X309" s="3">
        <f>AND(NOW()&gt;=tbl_MTG_Set[[#This Row],[Sell Window Start]], NOW()&lt;=tbl_MTG_Set[[#This Row],[Sell Window End]])</f>
        <v/>
      </c>
      <c r="AG309" s="10" t="n"/>
      <c r="AH309" s="10" t="n"/>
      <c r="AM309" s="10">
        <f t="array" ref="AM3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9" s="10">
        <f t="array" ref="AN3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9" s="4">
        <f>_xlfn.XLOOKUP(tbl_MTG_Set[[#This Row],[Play Booster Box Product Id]], tbl_Product[Product Id], tbl_Product[Pack Size])</f>
        <v/>
      </c>
      <c r="AP309" s="10">
        <f>(tbl_MTG_Set[[#This Row],[Play Booster Box Cost]]+v_Item_Shipping_Cost_In)/tbl_MTG_Set[[#This Row],[Play Booster Box Size]]</f>
        <v/>
      </c>
      <c r="AQ309" s="10">
        <f t="array" ref="AQ3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09" s="10" t="n"/>
      <c r="AS309" s="10" t="n"/>
      <c r="AT309" s="17">
        <f>tbl_MTG_Set[[#This Row],[Play Booster CardMarket Profit]]/tbl_MTG_Set[[#This Row],[Play Booster Cost]]</f>
        <v/>
      </c>
      <c r="AU309" s="10">
        <f>_xlfn.XLOOKUP(tbl_MTG_Set[[#This Row],[Collector Booster Box Product Id]], tbl_Product[Product Id], tbl_Product[Min Cost])</f>
        <v/>
      </c>
      <c r="AV309" s="10">
        <f>_xlfn.XLOOKUP(tbl_MTG_Set[[#This Row],[Collector Booster Box Product Id]], tbl_Product[Product Id], tbl_Product[Best Source])</f>
        <v/>
      </c>
      <c r="AW309" s="4">
        <f>_xlfn.XLOOKUP(tbl_MTG_Set[[#This Row],[Collector Booster Box Product Id]], tbl_Product[Product Id], tbl_Product[Pack Size])</f>
        <v/>
      </c>
      <c r="AX309" s="10">
        <f>(tbl_MTG_Set[[#This Row],[Collector Booster Box Cost]] + v_Item_Shipping_Cost_In) / tbl_MTG_Set[[#This Row],[Collector Booster Box Size]]</f>
        <v/>
      </c>
      <c r="AY309" s="10">
        <f t="array" ref="AY3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09" s="10" t="n"/>
      <c r="BA3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9" s="17">
        <f>tbl_MTG_Set[[#This Row],[Collector Booster CardMarket Profit]]/tbl_MTG_Set[[#This Row],[Collector Booster Cost]]</f>
        <v/>
      </c>
      <c r="BC309" s="10" t="n"/>
      <c r="BF309" s="10">
        <f>tbl_MTG_Set[[#This Row],[Play Booster Sell Price CardMarket]]*tbl_MTG_Set[[#This Row],[Play Booster Expected Market Value]]/tbl_MTG_Set[[#This Row],[Play Boost Sealed Market Value]]</f>
        <v/>
      </c>
      <c r="BG3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9" s="10">
        <f>tbl_MTG_Set[[#This Row],[Play Singles CardMarket Profit]]/tbl_MTG_Set[[#This Row],[Play Booster Cost]]</f>
        <v/>
      </c>
      <c r="BI309" s="10">
        <f>tbl_MTG_Set[[#This Row],[Play Singles CardMarket Profit]]&gt;0</f>
        <v/>
      </c>
      <c r="BJ309" s="10" t="n"/>
      <c r="BK309" s="10" t="n"/>
      <c r="BL309" s="10">
        <f>tbl_MTG_Set[[#This Row],[Collector Booster Sell Price CardMarket]]*tbl_MTG_Set[[#This Row],[Collector Booster Expected Market Value]]/tbl_MTG_Set[[#This Row],[Collector Boost Sealed Market Value]]</f>
        <v/>
      </c>
      <c r="BM3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9" s="10">
        <f>tbl_MTG_Set[[#This Row],[Collector Singles CardMarket Profit]]/tbl_MTG_Set[[#This Row],[Collector Booster Cost]]</f>
        <v/>
      </c>
      <c r="BO309" s="10">
        <f>tbl_MTG_Set[[#This Row],[Collector Singles CardMarket Profit]]&gt;0</f>
        <v/>
      </c>
      <c r="BP3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0">
      <c r="A310" t="n">
        <v>308</v>
      </c>
      <c r="B310" t="inlineStr">
        <is>
          <t>Crimson Vow Commander Display Commanders OVOC</t>
        </is>
      </c>
      <c r="C310" t="n">
        <v>2</v>
      </c>
      <c r="D310" s="3" t="n">
        <v>44519</v>
      </c>
      <c r="F310" t="inlineStr">
        <is>
          <t>en es fr de it pt ja ko ru 汉语 漢語</t>
        </is>
      </c>
      <c r="G310" t="n">
        <v>562</v>
      </c>
      <c r="H310">
        <f>MONTH(NOW())+12*YEAR(NOW())-MONTH(tbl_MTG_Set[[#This Row],[Released On]])-12*YEAR(tbl_MTG_Set[[#This Row],[Released On]])</f>
        <v/>
      </c>
      <c r="I310">
        <f>_xlfn.XLOOKUP(tbl_MTG_Set[[#This Row],[Type Name]], tbl_MTG_Set_Type[Set Type], tbl_MTG_Set_Type[Index], "(Set Type not found)")</f>
        <v/>
      </c>
      <c r="J310">
        <f>_xlfn.XLOOKUP(tbl_MTG_Set[[#This Row],[Type Name]], tbl_MTG_Set_Type[Set Type], tbl_MTG_Set_Type[Buy Window Month Start], "(Set Type not found)")</f>
        <v/>
      </c>
      <c r="K310" s="3">
        <f>tbl_MTG_Set[[#This Row],[Released On]]+tbl_MTG_Set[[#This Row],[Buy Window Month Start]]*365.25/12</f>
        <v/>
      </c>
      <c r="L310">
        <f>_xlfn.XLOOKUP(tbl_MTG_Set[[#This Row],[Type Name]], tbl_MTG_Set_Type[Set Type], tbl_MTG_Set_Type[Buy Window Month End], "(Set Type not found)", 0, 1)</f>
        <v/>
      </c>
      <c r="M310" s="3">
        <f>tbl_MTG_Set[[#This Row],[Released On]]+tbl_MTG_Set[[#This Row],[Buy Window Month End]]*365.25/12</f>
        <v/>
      </c>
      <c r="N310" s="3">
        <f>AND(NOW()&gt;=tbl_MTG_Set[[#This Row],[Buy Window Start]], NOW()&lt;=tbl_MTG_Set[[#This Row],[Buy Window End]])</f>
        <v/>
      </c>
      <c r="O310">
        <f>_xlfn.XLOOKUP(tbl_MTG_Set[[#This Row],[Type Name]], tbl_MTG_Set_Type[Set Type], tbl_MTG_Set_Type[Heavy Printing Window Month Start], "(Set Type not found)", 0, 1)</f>
        <v/>
      </c>
      <c r="P310" s="3">
        <f>tbl_MTG_Set[[#This Row],[Released On]]+tbl_MTG_Set[[#This Row],[Heavy Printing Window Month Start]]*365.25/12</f>
        <v/>
      </c>
      <c r="Q310">
        <f>_xlfn.XLOOKUP(tbl_MTG_Set[[#This Row],[Type Name]], tbl_MTG_Set_Type[Set Type], tbl_MTG_Set_Type[Heavy Printing Window Month End], "(Set Type not found)", 0, 1)</f>
        <v/>
      </c>
      <c r="R310" s="3">
        <f>tbl_MTG_Set[[#This Row],[Released On]]+tbl_MTG_Set[[#This Row],[Heavy Printing Window Month End]]*365.25/12</f>
        <v/>
      </c>
      <c r="S310" s="3">
        <f>AND(NOW()&gt;=tbl_MTG_Set[[#This Row],[Heavy Printing Window Start]], NOW()&lt;=tbl_MTG_Set[[#This Row],[Heavy Printing Window End]])</f>
        <v/>
      </c>
      <c r="T310">
        <f>_xlfn.XLOOKUP(tbl_MTG_Set[[#This Row],[Type Name]], tbl_MTG_Set_Type[Set Type], tbl_MTG_Set_Type[Sell Window Month Start], "(Set Type not found)", 0, 1)</f>
        <v/>
      </c>
      <c r="U310" s="3">
        <f>tbl_MTG_Set[[#This Row],[Released On]]+tbl_MTG_Set[[#This Row],[Sell Window Month Start]]*365.25/12</f>
        <v/>
      </c>
      <c r="V310">
        <f>_xlfn.XLOOKUP(tbl_MTG_Set[[#This Row],[Type Name]], tbl_MTG_Set_Type[Set Type], tbl_MTG_Set_Type[Sell Window Month End], "(Set Type not found)", 0, 1)</f>
        <v/>
      </c>
      <c r="W310" s="3">
        <f>tbl_MTG_Set[[#This Row],[Released On]]+tbl_MTG_Set[[#This Row],[Sell Window Month End]]*365.25/12</f>
        <v/>
      </c>
      <c r="X310" s="3">
        <f>AND(NOW()&gt;=tbl_MTG_Set[[#This Row],[Sell Window Start]], NOW()&lt;=tbl_MTG_Set[[#This Row],[Sell Window End]])</f>
        <v/>
      </c>
      <c r="AG310" s="10" t="n"/>
      <c r="AH310" s="10" t="n"/>
      <c r="AM310" s="10">
        <f t="array" ref="AM3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0" s="10">
        <f t="array" ref="AN3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0" s="4">
        <f>_xlfn.XLOOKUP(tbl_MTG_Set[[#This Row],[Play Booster Box Product Id]], tbl_Product[Product Id], tbl_Product[Pack Size])</f>
        <v/>
      </c>
      <c r="AP310" s="10">
        <f>(tbl_MTG_Set[[#This Row],[Play Booster Box Cost]]+v_Item_Shipping_Cost_In)/tbl_MTG_Set[[#This Row],[Play Booster Box Size]]</f>
        <v/>
      </c>
      <c r="AQ310" s="10">
        <f t="array" ref="AQ3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0" s="10" t="n"/>
      <c r="AS310" s="10" t="n"/>
      <c r="AT310" s="17">
        <f>tbl_MTG_Set[[#This Row],[Play Booster CardMarket Profit]]/tbl_MTG_Set[[#This Row],[Play Booster Cost]]</f>
        <v/>
      </c>
      <c r="AU310" s="10">
        <f>_xlfn.XLOOKUP(tbl_MTG_Set[[#This Row],[Collector Booster Box Product Id]], tbl_Product[Product Id], tbl_Product[Min Cost])</f>
        <v/>
      </c>
      <c r="AV310" s="10">
        <f>_xlfn.XLOOKUP(tbl_MTG_Set[[#This Row],[Collector Booster Box Product Id]], tbl_Product[Product Id], tbl_Product[Best Source])</f>
        <v/>
      </c>
      <c r="AW310" s="4">
        <f>_xlfn.XLOOKUP(tbl_MTG_Set[[#This Row],[Collector Booster Box Product Id]], tbl_Product[Product Id], tbl_Product[Pack Size])</f>
        <v/>
      </c>
      <c r="AX310" s="10">
        <f>(tbl_MTG_Set[[#This Row],[Collector Booster Box Cost]] + v_Item_Shipping_Cost_In) / tbl_MTG_Set[[#This Row],[Collector Booster Box Size]]</f>
        <v/>
      </c>
      <c r="AY310" s="10">
        <f t="array" ref="AY3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0" s="10" t="n"/>
      <c r="BA3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0" s="17">
        <f>tbl_MTG_Set[[#This Row],[Collector Booster CardMarket Profit]]/tbl_MTG_Set[[#This Row],[Collector Booster Cost]]</f>
        <v/>
      </c>
      <c r="BC310" s="10" t="n"/>
      <c r="BF310" s="10">
        <f>tbl_MTG_Set[[#This Row],[Play Booster Sell Price CardMarket]]*tbl_MTG_Set[[#This Row],[Play Booster Expected Market Value]]/tbl_MTG_Set[[#This Row],[Play Boost Sealed Market Value]]</f>
        <v/>
      </c>
      <c r="BG3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0" s="10">
        <f>tbl_MTG_Set[[#This Row],[Play Singles CardMarket Profit]]/tbl_MTG_Set[[#This Row],[Play Booster Cost]]</f>
        <v/>
      </c>
      <c r="BI310" s="10">
        <f>tbl_MTG_Set[[#This Row],[Play Singles CardMarket Profit]]&gt;0</f>
        <v/>
      </c>
      <c r="BJ310" s="10" t="n"/>
      <c r="BK310" s="10" t="n"/>
      <c r="BL310" s="10">
        <f>tbl_MTG_Set[[#This Row],[Collector Booster Sell Price CardMarket]]*tbl_MTG_Set[[#This Row],[Collector Booster Expected Market Value]]/tbl_MTG_Set[[#This Row],[Collector Boost Sealed Market Value]]</f>
        <v/>
      </c>
      <c r="BM3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0" s="10">
        <f>tbl_MTG_Set[[#This Row],[Collector Singles CardMarket Profit]]/tbl_MTG_Set[[#This Row],[Collector Booster Cost]]</f>
        <v/>
      </c>
      <c r="BO310" s="10">
        <f>tbl_MTG_Set[[#This Row],[Collector Singles CardMarket Profit]]&gt;0</f>
        <v/>
      </c>
      <c r="BP3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1">
      <c r="A311" t="n">
        <v>309</v>
      </c>
      <c r="B311" t="inlineStr">
        <is>
          <t>Pioneer Challenger Decks 2021 Q06</t>
        </is>
      </c>
      <c r="C311" t="n">
        <v>10</v>
      </c>
      <c r="D311" s="3" t="n">
        <v>44484</v>
      </c>
      <c r="F311" t="inlineStr">
        <is>
          <t>en es fr de it pt ja ko ru 汉语 漢語</t>
        </is>
      </c>
      <c r="G311" t="n">
        <v>564</v>
      </c>
      <c r="H311">
        <f>MONTH(NOW())+12*YEAR(NOW())-MONTH(tbl_MTG_Set[[#This Row],[Released On]])-12*YEAR(tbl_MTG_Set[[#This Row],[Released On]])</f>
        <v/>
      </c>
      <c r="I311">
        <f>_xlfn.XLOOKUP(tbl_MTG_Set[[#This Row],[Type Name]], tbl_MTG_Set_Type[Set Type], tbl_MTG_Set_Type[Index], "(Set Type not found)")</f>
        <v/>
      </c>
      <c r="J311">
        <f>_xlfn.XLOOKUP(tbl_MTG_Set[[#This Row],[Type Name]], tbl_MTG_Set_Type[Set Type], tbl_MTG_Set_Type[Buy Window Month Start], "(Set Type not found)")</f>
        <v/>
      </c>
      <c r="K311" s="3">
        <f>tbl_MTG_Set[[#This Row],[Released On]]+tbl_MTG_Set[[#This Row],[Buy Window Month Start]]*365.25/12</f>
        <v/>
      </c>
      <c r="L311">
        <f>_xlfn.XLOOKUP(tbl_MTG_Set[[#This Row],[Type Name]], tbl_MTG_Set_Type[Set Type], tbl_MTG_Set_Type[Buy Window Month End], "(Set Type not found)", 0, 1)</f>
        <v/>
      </c>
      <c r="M311" s="3">
        <f>tbl_MTG_Set[[#This Row],[Released On]]+tbl_MTG_Set[[#This Row],[Buy Window Month End]]*365.25/12</f>
        <v/>
      </c>
      <c r="N311" s="3">
        <f>AND(NOW()&gt;=tbl_MTG_Set[[#This Row],[Buy Window Start]], NOW()&lt;=tbl_MTG_Set[[#This Row],[Buy Window End]])</f>
        <v/>
      </c>
      <c r="O311">
        <f>_xlfn.XLOOKUP(tbl_MTG_Set[[#This Row],[Type Name]], tbl_MTG_Set_Type[Set Type], tbl_MTG_Set_Type[Heavy Printing Window Month Start], "(Set Type not found)", 0, 1)</f>
        <v/>
      </c>
      <c r="P311" s="3">
        <f>tbl_MTG_Set[[#This Row],[Released On]]+tbl_MTG_Set[[#This Row],[Heavy Printing Window Month Start]]*365.25/12</f>
        <v/>
      </c>
      <c r="Q311">
        <f>_xlfn.XLOOKUP(tbl_MTG_Set[[#This Row],[Type Name]], tbl_MTG_Set_Type[Set Type], tbl_MTG_Set_Type[Heavy Printing Window Month End], "(Set Type not found)", 0, 1)</f>
        <v/>
      </c>
      <c r="R311" s="3">
        <f>tbl_MTG_Set[[#This Row],[Released On]]+tbl_MTG_Set[[#This Row],[Heavy Printing Window Month End]]*365.25/12</f>
        <v/>
      </c>
      <c r="S311" s="3">
        <f>AND(NOW()&gt;=tbl_MTG_Set[[#This Row],[Heavy Printing Window Start]], NOW()&lt;=tbl_MTG_Set[[#This Row],[Heavy Printing Window End]])</f>
        <v/>
      </c>
      <c r="T311">
        <f>_xlfn.XLOOKUP(tbl_MTG_Set[[#This Row],[Type Name]], tbl_MTG_Set_Type[Set Type], tbl_MTG_Set_Type[Sell Window Month Start], "(Set Type not found)", 0, 1)</f>
        <v/>
      </c>
      <c r="U311" s="3">
        <f>tbl_MTG_Set[[#This Row],[Released On]]+tbl_MTG_Set[[#This Row],[Sell Window Month Start]]*365.25/12</f>
        <v/>
      </c>
      <c r="V311">
        <f>_xlfn.XLOOKUP(tbl_MTG_Set[[#This Row],[Type Name]], tbl_MTG_Set_Type[Set Type], tbl_MTG_Set_Type[Sell Window Month End], "(Set Type not found)", 0, 1)</f>
        <v/>
      </c>
      <c r="W311" s="3">
        <f>tbl_MTG_Set[[#This Row],[Released On]]+tbl_MTG_Set[[#This Row],[Sell Window Month End]]*365.25/12</f>
        <v/>
      </c>
      <c r="X311" s="3">
        <f>AND(NOW()&gt;=tbl_MTG_Set[[#This Row],[Sell Window Start]], NOW()&lt;=tbl_MTG_Set[[#This Row],[Sell Window End]])</f>
        <v/>
      </c>
      <c r="AG311" s="10" t="n"/>
      <c r="AH311" s="10" t="n"/>
      <c r="AM311" s="10">
        <f t="array" ref="AM3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1" s="10">
        <f t="array" ref="AN3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1" s="4">
        <f>_xlfn.XLOOKUP(tbl_MTG_Set[[#This Row],[Play Booster Box Product Id]], tbl_Product[Product Id], tbl_Product[Pack Size])</f>
        <v/>
      </c>
      <c r="AP311" s="10">
        <f>(tbl_MTG_Set[[#This Row],[Play Booster Box Cost]]+v_Item_Shipping_Cost_In)/tbl_MTG_Set[[#This Row],[Play Booster Box Size]]</f>
        <v/>
      </c>
      <c r="AQ311" s="10">
        <f t="array" ref="AQ3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1" s="10" t="n"/>
      <c r="AS311" s="10" t="n"/>
      <c r="AT311" s="17">
        <f>tbl_MTG_Set[[#This Row],[Play Booster CardMarket Profit]]/tbl_MTG_Set[[#This Row],[Play Booster Cost]]</f>
        <v/>
      </c>
      <c r="AU311" s="10">
        <f>_xlfn.XLOOKUP(tbl_MTG_Set[[#This Row],[Collector Booster Box Product Id]], tbl_Product[Product Id], tbl_Product[Min Cost])</f>
        <v/>
      </c>
      <c r="AV311" s="10">
        <f>_xlfn.XLOOKUP(tbl_MTG_Set[[#This Row],[Collector Booster Box Product Id]], tbl_Product[Product Id], tbl_Product[Best Source])</f>
        <v/>
      </c>
      <c r="AW311" s="4">
        <f>_xlfn.XLOOKUP(tbl_MTG_Set[[#This Row],[Collector Booster Box Product Id]], tbl_Product[Product Id], tbl_Product[Pack Size])</f>
        <v/>
      </c>
      <c r="AX311" s="10">
        <f>(tbl_MTG_Set[[#This Row],[Collector Booster Box Cost]] + v_Item_Shipping_Cost_In) / tbl_MTG_Set[[#This Row],[Collector Booster Box Size]]</f>
        <v/>
      </c>
      <c r="AY311" s="10">
        <f t="array" ref="AY3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1" s="10" t="n"/>
      <c r="BA3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1" s="17">
        <f>tbl_MTG_Set[[#This Row],[Collector Booster CardMarket Profit]]/tbl_MTG_Set[[#This Row],[Collector Booster Cost]]</f>
        <v/>
      </c>
      <c r="BC311" s="10" t="n"/>
      <c r="BF311" s="10">
        <f>tbl_MTG_Set[[#This Row],[Play Booster Sell Price CardMarket]]*tbl_MTG_Set[[#This Row],[Play Booster Expected Market Value]]/tbl_MTG_Set[[#This Row],[Play Boost Sealed Market Value]]</f>
        <v/>
      </c>
      <c r="BG3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1" s="10">
        <f>tbl_MTG_Set[[#This Row],[Play Singles CardMarket Profit]]/tbl_MTG_Set[[#This Row],[Play Booster Cost]]</f>
        <v/>
      </c>
      <c r="BI311" s="10">
        <f>tbl_MTG_Set[[#This Row],[Play Singles CardMarket Profit]]&gt;0</f>
        <v/>
      </c>
      <c r="BJ311" s="10" t="n"/>
      <c r="BK311" s="10" t="n"/>
      <c r="BL311" s="10">
        <f>tbl_MTG_Set[[#This Row],[Collector Booster Sell Price CardMarket]]*tbl_MTG_Set[[#This Row],[Collector Booster Expected Market Value]]/tbl_MTG_Set[[#This Row],[Collector Boost Sealed Market Value]]</f>
        <v/>
      </c>
      <c r="BM3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1" s="10">
        <f>tbl_MTG_Set[[#This Row],[Collector Singles CardMarket Profit]]/tbl_MTG_Set[[#This Row],[Collector Booster Cost]]</f>
        <v/>
      </c>
      <c r="BO311" s="10">
        <f>tbl_MTG_Set[[#This Row],[Collector Singles CardMarket Profit]]&gt;0</f>
        <v/>
      </c>
      <c r="BP3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2">
      <c r="A312" t="n">
        <v>310</v>
      </c>
      <c r="B312" t="inlineStr">
        <is>
          <t>Innistrad: Midnight Hunt MID</t>
        </is>
      </c>
      <c r="C312" t="n">
        <v>399</v>
      </c>
      <c r="D312" s="3" t="n">
        <v>44463</v>
      </c>
      <c r="E312" t="inlineStr">
        <is>
          <t>Standard Expansion</t>
        </is>
      </c>
      <c r="F312" t="inlineStr">
        <is>
          <t>en es fr de it pt ja ko ru 汉语 漢語</t>
        </is>
      </c>
      <c r="G312" t="n">
        <v>566</v>
      </c>
      <c r="H312">
        <f>MONTH(NOW())+12*YEAR(NOW())-MONTH(tbl_MTG_Set[[#This Row],[Released On]])-12*YEAR(tbl_MTG_Set[[#This Row],[Released On]])</f>
        <v/>
      </c>
      <c r="I312">
        <f>_xlfn.XLOOKUP(tbl_MTG_Set[[#This Row],[Type Name]], tbl_MTG_Set_Type[Set Type], tbl_MTG_Set_Type[Index], "(Set Type not found)")</f>
        <v/>
      </c>
      <c r="J312">
        <f>_xlfn.XLOOKUP(tbl_MTG_Set[[#This Row],[Type Name]], tbl_MTG_Set_Type[Set Type], tbl_MTG_Set_Type[Buy Window Month Start], "(Set Type not found)")</f>
        <v/>
      </c>
      <c r="K312" s="3">
        <f>tbl_MTG_Set[[#This Row],[Released On]]+tbl_MTG_Set[[#This Row],[Buy Window Month Start]]*365.25/12</f>
        <v/>
      </c>
      <c r="L312">
        <f>_xlfn.XLOOKUP(tbl_MTG_Set[[#This Row],[Type Name]], tbl_MTG_Set_Type[Set Type], tbl_MTG_Set_Type[Buy Window Month End], "(Set Type not found)", 0, 1)</f>
        <v/>
      </c>
      <c r="M312" s="3">
        <f>tbl_MTG_Set[[#This Row],[Released On]]+tbl_MTG_Set[[#This Row],[Buy Window Month End]]*365.25/12</f>
        <v/>
      </c>
      <c r="N312" s="3">
        <f>AND(NOW()&gt;=tbl_MTG_Set[[#This Row],[Buy Window Start]], NOW()&lt;=tbl_MTG_Set[[#This Row],[Buy Window End]])</f>
        <v/>
      </c>
      <c r="O312">
        <f>_xlfn.XLOOKUP(tbl_MTG_Set[[#This Row],[Type Name]], tbl_MTG_Set_Type[Set Type], tbl_MTG_Set_Type[Heavy Printing Window Month Start], "(Set Type not found)", 0, 1)</f>
        <v/>
      </c>
      <c r="P312" s="3">
        <f>tbl_MTG_Set[[#This Row],[Released On]]+tbl_MTG_Set[[#This Row],[Heavy Printing Window Month Start]]*365.25/12</f>
        <v/>
      </c>
      <c r="Q312">
        <f>_xlfn.XLOOKUP(tbl_MTG_Set[[#This Row],[Type Name]], tbl_MTG_Set_Type[Set Type], tbl_MTG_Set_Type[Heavy Printing Window Month End], "(Set Type not found)", 0, 1)</f>
        <v/>
      </c>
      <c r="R312" s="3">
        <f>tbl_MTG_Set[[#This Row],[Released On]]+tbl_MTG_Set[[#This Row],[Heavy Printing Window Month End]]*365.25/12</f>
        <v/>
      </c>
      <c r="S312" s="3">
        <f>AND(NOW()&gt;=tbl_MTG_Set[[#This Row],[Heavy Printing Window Start]], NOW()&lt;=tbl_MTG_Set[[#This Row],[Heavy Printing Window End]])</f>
        <v/>
      </c>
      <c r="T312">
        <f>_xlfn.XLOOKUP(tbl_MTG_Set[[#This Row],[Type Name]], tbl_MTG_Set_Type[Set Type], tbl_MTG_Set_Type[Sell Window Month Start], "(Set Type not found)", 0, 1)</f>
        <v/>
      </c>
      <c r="U312" s="3">
        <f>tbl_MTG_Set[[#This Row],[Released On]]+tbl_MTG_Set[[#This Row],[Sell Window Month Start]]*365.25/12</f>
        <v/>
      </c>
      <c r="V312">
        <f>_xlfn.XLOOKUP(tbl_MTG_Set[[#This Row],[Type Name]], tbl_MTG_Set_Type[Set Type], tbl_MTG_Set_Type[Sell Window Month End], "(Set Type not found)", 0, 1)</f>
        <v/>
      </c>
      <c r="W312" s="3">
        <f>tbl_MTG_Set[[#This Row],[Released On]]+tbl_MTG_Set[[#This Row],[Sell Window Month End]]*365.25/12</f>
        <v/>
      </c>
      <c r="X312" s="3">
        <f>AND(NOW()&gt;=tbl_MTG_Set[[#This Row],[Sell Window Start]], NOW()&lt;=tbl_MTG_Set[[#This Row],[Sell Window End]])</f>
        <v/>
      </c>
      <c r="Y312" s="10" t="n">
        <v>98</v>
      </c>
      <c r="Z312" s="10" t="n">
        <v>101</v>
      </c>
      <c r="AD312" s="10">
        <f>(Y312+96/20)/30</f>
        <v/>
      </c>
      <c r="AE312" s="10">
        <f>(Z312+96/20)/30</f>
        <v/>
      </c>
      <c r="AG312" s="10" t="n"/>
      <c r="AH312" s="10" t="n"/>
      <c r="AI312" s="4" t="n">
        <v>50</v>
      </c>
      <c r="AJ312" s="4" t="n">
        <v>5</v>
      </c>
      <c r="AK312" s="4" t="n">
        <v>104</v>
      </c>
      <c r="AL312" s="4" t="n">
        <v>103</v>
      </c>
      <c r="AM312" s="10">
        <f t="array" ref="AM3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2" s="10">
        <f t="array" ref="AN3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2" s="4">
        <f>_xlfn.XLOOKUP(tbl_MTG_Set[[#This Row],[Play Booster Box Product Id]], tbl_Product[Product Id], tbl_Product[Pack Size])</f>
        <v/>
      </c>
      <c r="AP312" s="10">
        <f>(tbl_MTG_Set[[#This Row],[Play Booster Box Cost]]+v_Item_Shipping_Cost_In)/tbl_MTG_Set[[#This Row],[Play Booster Box Size]]</f>
        <v/>
      </c>
      <c r="AQ312" s="10">
        <f t="array" ref="AQ3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2" s="10" t="n">
        <v>5</v>
      </c>
      <c r="AS31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12" s="17">
        <f>tbl_MTG_Set[[#This Row],[Play Booster CardMarket Profit]]/tbl_MTG_Set[[#This Row],[Play Booster Cost]]</f>
        <v/>
      </c>
      <c r="AU312" s="10">
        <f>_xlfn.XLOOKUP(tbl_MTG_Set[[#This Row],[Collector Booster Box Product Id]], tbl_Product[Product Id], tbl_Product[Min Cost])</f>
        <v/>
      </c>
      <c r="AV312" s="10">
        <f>_xlfn.XLOOKUP(tbl_MTG_Set[[#This Row],[Collector Booster Box Product Id]], tbl_Product[Product Id], tbl_Product[Best Source])</f>
        <v/>
      </c>
      <c r="AW312" s="4">
        <f>_xlfn.XLOOKUP(tbl_MTG_Set[[#This Row],[Collector Booster Box Product Id]], tbl_Product[Product Id], tbl_Product[Pack Size])</f>
        <v/>
      </c>
      <c r="AX312" s="10">
        <f>(tbl_MTG_Set[[#This Row],[Collector Booster Box Cost]] + v_Item_Shipping_Cost_In) / tbl_MTG_Set[[#This Row],[Collector Booster Box Size]]</f>
        <v/>
      </c>
      <c r="AY312" s="10">
        <f t="array" ref="AY3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2" s="10" t="n"/>
      <c r="BA3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2" s="17">
        <f>tbl_MTG_Set[[#This Row],[Collector Booster CardMarket Profit]]/tbl_MTG_Set[[#This Row],[Collector Booster Cost]]</f>
        <v/>
      </c>
      <c r="BC312" s="10" t="n"/>
      <c r="BF312" s="10">
        <f>tbl_MTG_Set[[#This Row],[Play Booster Sell Price CardMarket]]*tbl_MTG_Set[[#This Row],[Play Booster Expected Market Value]]/tbl_MTG_Set[[#This Row],[Play Boost Sealed Market Value]]</f>
        <v/>
      </c>
      <c r="BG3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2" s="17">
        <f>tbl_MTG_Set[[#This Row],[Play Singles CardMarket Profit]]/tbl_MTG_Set[[#This Row],[Play Booster Cost]]</f>
        <v/>
      </c>
      <c r="BI312" s="10">
        <f>tbl_MTG_Set[[#This Row],[Play Singles CardMarket Profit]]&gt;0</f>
        <v/>
      </c>
      <c r="BJ312" s="10" t="n"/>
      <c r="BK312" s="10" t="n"/>
      <c r="BL312" s="10">
        <f>tbl_MTG_Set[[#This Row],[Collector Booster Sell Price CardMarket]]*tbl_MTG_Set[[#This Row],[Collector Booster Expected Market Value]]/tbl_MTG_Set[[#This Row],[Collector Boost Sealed Market Value]]</f>
        <v/>
      </c>
      <c r="BM3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2" s="17">
        <f>tbl_MTG_Set[[#This Row],[Collector Singles CardMarket Profit]]/tbl_MTG_Set[[#This Row],[Collector Booster Cost]]</f>
        <v/>
      </c>
      <c r="BO312" s="10">
        <f>tbl_MTG_Set[[#This Row],[Collector Singles CardMarket Profit]]&gt;0</f>
        <v/>
      </c>
      <c r="BP3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3">
      <c r="A313" t="n">
        <v>311</v>
      </c>
      <c r="B313" t="inlineStr">
        <is>
          <t>Innistrad: Midnight Hunt Promos PMID</t>
        </is>
      </c>
      <c r="C313" t="n">
        <v>155</v>
      </c>
      <c r="D313" s="3" t="n">
        <v>44463</v>
      </c>
      <c r="E313" t="inlineStr">
        <is>
          <t>Standard Expansion</t>
        </is>
      </c>
      <c r="F313" t="inlineStr">
        <is>
          <t>en es fr de it pt ja ko ru 汉语 漢語</t>
        </is>
      </c>
      <c r="G313" t="n">
        <v>568</v>
      </c>
      <c r="H313">
        <f>MONTH(NOW())+12*YEAR(NOW())-MONTH(tbl_MTG_Set[[#This Row],[Released On]])-12*YEAR(tbl_MTG_Set[[#This Row],[Released On]])</f>
        <v/>
      </c>
      <c r="I313">
        <f>_xlfn.XLOOKUP(tbl_MTG_Set[[#This Row],[Type Name]], tbl_MTG_Set_Type[Set Type], tbl_MTG_Set_Type[Index], "(Set Type not found)")</f>
        <v/>
      </c>
      <c r="J313">
        <f>_xlfn.XLOOKUP(tbl_MTG_Set[[#This Row],[Type Name]], tbl_MTG_Set_Type[Set Type], tbl_MTG_Set_Type[Buy Window Month Start], "(Set Type not found)")</f>
        <v/>
      </c>
      <c r="K313" s="3">
        <f>tbl_MTG_Set[[#This Row],[Released On]]+tbl_MTG_Set[[#This Row],[Buy Window Month Start]]*365.25/12</f>
        <v/>
      </c>
      <c r="L313">
        <f>_xlfn.XLOOKUP(tbl_MTG_Set[[#This Row],[Type Name]], tbl_MTG_Set_Type[Set Type], tbl_MTG_Set_Type[Buy Window Month End], "(Set Type not found)", 0, 1)</f>
        <v/>
      </c>
      <c r="M313" s="3">
        <f>tbl_MTG_Set[[#This Row],[Released On]]+tbl_MTG_Set[[#This Row],[Buy Window Month End]]*365.25/12</f>
        <v/>
      </c>
      <c r="N313" s="3">
        <f>AND(NOW()&gt;=tbl_MTG_Set[[#This Row],[Buy Window Start]], NOW()&lt;=tbl_MTG_Set[[#This Row],[Buy Window End]])</f>
        <v/>
      </c>
      <c r="O313">
        <f>_xlfn.XLOOKUP(tbl_MTG_Set[[#This Row],[Type Name]], tbl_MTG_Set_Type[Set Type], tbl_MTG_Set_Type[Heavy Printing Window Month Start], "(Set Type not found)", 0, 1)</f>
        <v/>
      </c>
      <c r="P313" s="3">
        <f>tbl_MTG_Set[[#This Row],[Released On]]+tbl_MTG_Set[[#This Row],[Heavy Printing Window Month Start]]*365.25/12</f>
        <v/>
      </c>
      <c r="Q313">
        <f>_xlfn.XLOOKUP(tbl_MTG_Set[[#This Row],[Type Name]], tbl_MTG_Set_Type[Set Type], tbl_MTG_Set_Type[Heavy Printing Window Month End], "(Set Type not found)", 0, 1)</f>
        <v/>
      </c>
      <c r="R313" s="3">
        <f>tbl_MTG_Set[[#This Row],[Released On]]+tbl_MTG_Set[[#This Row],[Heavy Printing Window Month End]]*365.25/12</f>
        <v/>
      </c>
      <c r="S313" s="3">
        <f>AND(NOW()&gt;=tbl_MTG_Set[[#This Row],[Heavy Printing Window Start]], NOW()&lt;=tbl_MTG_Set[[#This Row],[Heavy Printing Window End]])</f>
        <v/>
      </c>
      <c r="T313">
        <f>_xlfn.XLOOKUP(tbl_MTG_Set[[#This Row],[Type Name]], tbl_MTG_Set_Type[Set Type], tbl_MTG_Set_Type[Sell Window Month Start], "(Set Type not found)", 0, 1)</f>
        <v/>
      </c>
      <c r="U313" s="3">
        <f>tbl_MTG_Set[[#This Row],[Released On]]+tbl_MTG_Set[[#This Row],[Sell Window Month Start]]*365.25/12</f>
        <v/>
      </c>
      <c r="V313">
        <f>_xlfn.XLOOKUP(tbl_MTG_Set[[#This Row],[Type Name]], tbl_MTG_Set_Type[Set Type], tbl_MTG_Set_Type[Sell Window Month End], "(Set Type not found)", 0, 1)</f>
        <v/>
      </c>
      <c r="W313" s="3">
        <f>tbl_MTG_Set[[#This Row],[Released On]]+tbl_MTG_Set[[#This Row],[Sell Window Month End]]*365.25/12</f>
        <v/>
      </c>
      <c r="X313" s="3">
        <f>AND(NOW()&gt;=tbl_MTG_Set[[#This Row],[Sell Window Start]], NOW()&lt;=tbl_MTG_Set[[#This Row],[Sell Window End]])</f>
        <v/>
      </c>
      <c r="AG313" s="10" t="n"/>
      <c r="AH313" s="10" t="n"/>
      <c r="AM313" s="10">
        <f t="array" ref="AM3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3" s="10">
        <f t="array" ref="AN3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3" s="4">
        <f>_xlfn.XLOOKUP(tbl_MTG_Set[[#This Row],[Play Booster Box Product Id]], tbl_Product[Product Id], tbl_Product[Pack Size])</f>
        <v/>
      </c>
      <c r="AP313" s="10">
        <f>(tbl_MTG_Set[[#This Row],[Play Booster Box Cost]]+v_Item_Shipping_Cost_In)/tbl_MTG_Set[[#This Row],[Play Booster Box Size]]</f>
        <v/>
      </c>
      <c r="AQ313" s="10">
        <f t="array" ref="AQ3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3" s="10" t="n"/>
      <c r="AS313" s="10" t="n"/>
      <c r="AT313" s="17">
        <f>tbl_MTG_Set[[#This Row],[Play Booster CardMarket Profit]]/tbl_MTG_Set[[#This Row],[Play Booster Cost]]</f>
        <v/>
      </c>
      <c r="AU313" s="10">
        <f>_xlfn.XLOOKUP(tbl_MTG_Set[[#This Row],[Collector Booster Box Product Id]], tbl_Product[Product Id], tbl_Product[Min Cost])</f>
        <v/>
      </c>
      <c r="AV313" s="10">
        <f>_xlfn.XLOOKUP(tbl_MTG_Set[[#This Row],[Collector Booster Box Product Id]], tbl_Product[Product Id], tbl_Product[Best Source])</f>
        <v/>
      </c>
      <c r="AW313" s="4">
        <f>_xlfn.XLOOKUP(tbl_MTG_Set[[#This Row],[Collector Booster Box Product Id]], tbl_Product[Product Id], tbl_Product[Pack Size])</f>
        <v/>
      </c>
      <c r="AX313" s="10">
        <f>(tbl_MTG_Set[[#This Row],[Collector Booster Box Cost]] + v_Item_Shipping_Cost_In) / tbl_MTG_Set[[#This Row],[Collector Booster Box Size]]</f>
        <v/>
      </c>
      <c r="AY313" s="10">
        <f t="array" ref="AY3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3" s="10" t="n"/>
      <c r="BA3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3" s="17">
        <f>tbl_MTG_Set[[#This Row],[Collector Booster CardMarket Profit]]/tbl_MTG_Set[[#This Row],[Collector Booster Cost]]</f>
        <v/>
      </c>
      <c r="BC313" s="10" t="n"/>
      <c r="BF313" s="10">
        <f>tbl_MTG_Set[[#This Row],[Play Booster Sell Price CardMarket]]*tbl_MTG_Set[[#This Row],[Play Booster Expected Market Value]]/tbl_MTG_Set[[#This Row],[Play Boost Sealed Market Value]]</f>
        <v/>
      </c>
      <c r="BG3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3" s="10">
        <f>tbl_MTG_Set[[#This Row],[Play Singles CardMarket Profit]]/tbl_MTG_Set[[#This Row],[Play Booster Cost]]</f>
        <v/>
      </c>
      <c r="BI313" s="10">
        <f>tbl_MTG_Set[[#This Row],[Play Singles CardMarket Profit]]&gt;0</f>
        <v/>
      </c>
      <c r="BJ313" s="10" t="n"/>
      <c r="BK313" s="10" t="n"/>
      <c r="BL313" s="10">
        <f>tbl_MTG_Set[[#This Row],[Collector Booster Sell Price CardMarket]]*tbl_MTG_Set[[#This Row],[Collector Booster Expected Market Value]]/tbl_MTG_Set[[#This Row],[Collector Boost Sealed Market Value]]</f>
        <v/>
      </c>
      <c r="BM3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3" s="10">
        <f>tbl_MTG_Set[[#This Row],[Collector Singles CardMarket Profit]]/tbl_MTG_Set[[#This Row],[Collector Booster Cost]]</f>
        <v/>
      </c>
      <c r="BO313" s="10">
        <f>tbl_MTG_Set[[#This Row],[Collector Singles CardMarket Profit]]&gt;0</f>
        <v/>
      </c>
      <c r="BP3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4">
      <c r="A314" t="n">
        <v>312</v>
      </c>
      <c r="B314" t="inlineStr">
        <is>
          <t>Innistrad: Midnight Hunt Tokens TMID</t>
        </is>
      </c>
      <c r="C314" t="n">
        <v>19</v>
      </c>
      <c r="D314" s="3" t="n">
        <v>44463</v>
      </c>
      <c r="E314" t="inlineStr">
        <is>
          <t>Standard Expansion</t>
        </is>
      </c>
      <c r="F314" t="inlineStr">
        <is>
          <t>en es fr de it pt ja ko ru 汉语 漢語</t>
        </is>
      </c>
      <c r="G314" t="n">
        <v>570</v>
      </c>
      <c r="H314">
        <f>MONTH(NOW())+12*YEAR(NOW())-MONTH(tbl_MTG_Set[[#This Row],[Released On]])-12*YEAR(tbl_MTG_Set[[#This Row],[Released On]])</f>
        <v/>
      </c>
      <c r="I314">
        <f>_xlfn.XLOOKUP(tbl_MTG_Set[[#This Row],[Type Name]], tbl_MTG_Set_Type[Set Type], tbl_MTG_Set_Type[Index], "(Set Type not found)")</f>
        <v/>
      </c>
      <c r="J314">
        <f>_xlfn.XLOOKUP(tbl_MTG_Set[[#This Row],[Type Name]], tbl_MTG_Set_Type[Set Type], tbl_MTG_Set_Type[Buy Window Month Start], "(Set Type not found)")</f>
        <v/>
      </c>
      <c r="K314" s="3">
        <f>tbl_MTG_Set[[#This Row],[Released On]]+tbl_MTG_Set[[#This Row],[Buy Window Month Start]]*365.25/12</f>
        <v/>
      </c>
      <c r="L314">
        <f>_xlfn.XLOOKUP(tbl_MTG_Set[[#This Row],[Type Name]], tbl_MTG_Set_Type[Set Type], tbl_MTG_Set_Type[Buy Window Month End], "(Set Type not found)", 0, 1)</f>
        <v/>
      </c>
      <c r="M314" s="3">
        <f>tbl_MTG_Set[[#This Row],[Released On]]+tbl_MTG_Set[[#This Row],[Buy Window Month End]]*365.25/12</f>
        <v/>
      </c>
      <c r="N314" s="3">
        <f>AND(NOW()&gt;=tbl_MTG_Set[[#This Row],[Buy Window Start]], NOW()&lt;=tbl_MTG_Set[[#This Row],[Buy Window End]])</f>
        <v/>
      </c>
      <c r="O314">
        <f>_xlfn.XLOOKUP(tbl_MTG_Set[[#This Row],[Type Name]], tbl_MTG_Set_Type[Set Type], tbl_MTG_Set_Type[Heavy Printing Window Month Start], "(Set Type not found)", 0, 1)</f>
        <v/>
      </c>
      <c r="P314" s="3">
        <f>tbl_MTG_Set[[#This Row],[Released On]]+tbl_MTG_Set[[#This Row],[Heavy Printing Window Month Start]]*365.25/12</f>
        <v/>
      </c>
      <c r="Q314">
        <f>_xlfn.XLOOKUP(tbl_MTG_Set[[#This Row],[Type Name]], tbl_MTG_Set_Type[Set Type], tbl_MTG_Set_Type[Heavy Printing Window Month End], "(Set Type not found)", 0, 1)</f>
        <v/>
      </c>
      <c r="R314" s="3">
        <f>tbl_MTG_Set[[#This Row],[Released On]]+tbl_MTG_Set[[#This Row],[Heavy Printing Window Month End]]*365.25/12</f>
        <v/>
      </c>
      <c r="S314" s="3">
        <f>AND(NOW()&gt;=tbl_MTG_Set[[#This Row],[Heavy Printing Window Start]], NOW()&lt;=tbl_MTG_Set[[#This Row],[Heavy Printing Window End]])</f>
        <v/>
      </c>
      <c r="T314">
        <f>_xlfn.XLOOKUP(tbl_MTG_Set[[#This Row],[Type Name]], tbl_MTG_Set_Type[Set Type], tbl_MTG_Set_Type[Sell Window Month Start], "(Set Type not found)", 0, 1)</f>
        <v/>
      </c>
      <c r="U314" s="3">
        <f>tbl_MTG_Set[[#This Row],[Released On]]+tbl_MTG_Set[[#This Row],[Sell Window Month Start]]*365.25/12</f>
        <v/>
      </c>
      <c r="V314">
        <f>_xlfn.XLOOKUP(tbl_MTG_Set[[#This Row],[Type Name]], tbl_MTG_Set_Type[Set Type], tbl_MTG_Set_Type[Sell Window Month End], "(Set Type not found)", 0, 1)</f>
        <v/>
      </c>
      <c r="W314" s="3">
        <f>tbl_MTG_Set[[#This Row],[Released On]]+tbl_MTG_Set[[#This Row],[Sell Window Month End]]*365.25/12</f>
        <v/>
      </c>
      <c r="X314" s="3">
        <f>AND(NOW()&gt;=tbl_MTG_Set[[#This Row],[Sell Window Start]], NOW()&lt;=tbl_MTG_Set[[#This Row],[Sell Window End]])</f>
        <v/>
      </c>
      <c r="AG314" s="10" t="n"/>
      <c r="AH314" s="10" t="n"/>
      <c r="AM314" s="10">
        <f t="array" ref="AM3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4" s="10">
        <f t="array" ref="AN3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4" s="4">
        <f>_xlfn.XLOOKUP(tbl_MTG_Set[[#This Row],[Play Booster Box Product Id]], tbl_Product[Product Id], tbl_Product[Pack Size])</f>
        <v/>
      </c>
      <c r="AP314" s="10">
        <f>(tbl_MTG_Set[[#This Row],[Play Booster Box Cost]]+v_Item_Shipping_Cost_In)/tbl_MTG_Set[[#This Row],[Play Booster Box Size]]</f>
        <v/>
      </c>
      <c r="AQ314" s="10">
        <f t="array" ref="AQ3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4" s="10" t="n"/>
      <c r="AS314" s="10" t="n"/>
      <c r="AT314" s="17">
        <f>tbl_MTG_Set[[#This Row],[Play Booster CardMarket Profit]]/tbl_MTG_Set[[#This Row],[Play Booster Cost]]</f>
        <v/>
      </c>
      <c r="AU314" s="10">
        <f>_xlfn.XLOOKUP(tbl_MTG_Set[[#This Row],[Collector Booster Box Product Id]], tbl_Product[Product Id], tbl_Product[Min Cost])</f>
        <v/>
      </c>
      <c r="AV314" s="10">
        <f>_xlfn.XLOOKUP(tbl_MTG_Set[[#This Row],[Collector Booster Box Product Id]], tbl_Product[Product Id], tbl_Product[Best Source])</f>
        <v/>
      </c>
      <c r="AW314" s="4">
        <f>_xlfn.XLOOKUP(tbl_MTG_Set[[#This Row],[Collector Booster Box Product Id]], tbl_Product[Product Id], tbl_Product[Pack Size])</f>
        <v/>
      </c>
      <c r="AX314" s="10">
        <f>(tbl_MTG_Set[[#This Row],[Collector Booster Box Cost]] + v_Item_Shipping_Cost_In) / tbl_MTG_Set[[#This Row],[Collector Booster Box Size]]</f>
        <v/>
      </c>
      <c r="AY314" s="10">
        <f t="array" ref="AY3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4" s="10" t="n"/>
      <c r="BA3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4" s="17">
        <f>tbl_MTG_Set[[#This Row],[Collector Booster CardMarket Profit]]/tbl_MTG_Set[[#This Row],[Collector Booster Cost]]</f>
        <v/>
      </c>
      <c r="BC314" s="10" t="n"/>
      <c r="BF314" s="10">
        <f>tbl_MTG_Set[[#This Row],[Play Booster Sell Price CardMarket]]*tbl_MTG_Set[[#This Row],[Play Booster Expected Market Value]]/tbl_MTG_Set[[#This Row],[Play Boost Sealed Market Value]]</f>
        <v/>
      </c>
      <c r="BG3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4" s="10">
        <f>tbl_MTG_Set[[#This Row],[Play Singles CardMarket Profit]]/tbl_MTG_Set[[#This Row],[Play Booster Cost]]</f>
        <v/>
      </c>
      <c r="BI314" s="10">
        <f>tbl_MTG_Set[[#This Row],[Play Singles CardMarket Profit]]&gt;0</f>
        <v/>
      </c>
      <c r="BJ314" s="10" t="n"/>
      <c r="BK314" s="10" t="n"/>
      <c r="BL314" s="10">
        <f>tbl_MTG_Set[[#This Row],[Collector Booster Sell Price CardMarket]]*tbl_MTG_Set[[#This Row],[Collector Booster Expected Market Value]]/tbl_MTG_Set[[#This Row],[Collector Boost Sealed Market Value]]</f>
        <v/>
      </c>
      <c r="BM3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4" s="10">
        <f>tbl_MTG_Set[[#This Row],[Collector Singles CardMarket Profit]]/tbl_MTG_Set[[#This Row],[Collector Booster Cost]]</f>
        <v/>
      </c>
      <c r="BO314" s="10">
        <f>tbl_MTG_Set[[#This Row],[Collector Singles CardMarket Profit]]&gt;0</f>
        <v/>
      </c>
      <c r="BP3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5">
      <c r="A315" t="n">
        <v>313</v>
      </c>
      <c r="B315" t="inlineStr">
        <is>
          <t>Innistrad: Midnight Hunt Substitute Cards SMID</t>
        </is>
      </c>
      <c r="C315" t="n">
        <v>9</v>
      </c>
      <c r="D315" s="3" t="n">
        <v>44463</v>
      </c>
      <c r="E315" t="inlineStr">
        <is>
          <t>Standard Expansion</t>
        </is>
      </c>
      <c r="F315" t="inlineStr">
        <is>
          <t>en es fr de it pt ja ko ru 汉语 漢語</t>
        </is>
      </c>
      <c r="G315" t="n">
        <v>572</v>
      </c>
      <c r="H315">
        <f>MONTH(NOW())+12*YEAR(NOW())-MONTH(tbl_MTG_Set[[#This Row],[Released On]])-12*YEAR(tbl_MTG_Set[[#This Row],[Released On]])</f>
        <v/>
      </c>
      <c r="I315">
        <f>_xlfn.XLOOKUP(tbl_MTG_Set[[#This Row],[Type Name]], tbl_MTG_Set_Type[Set Type], tbl_MTG_Set_Type[Index], "(Set Type not found)")</f>
        <v/>
      </c>
      <c r="J315">
        <f>_xlfn.XLOOKUP(tbl_MTG_Set[[#This Row],[Type Name]], tbl_MTG_Set_Type[Set Type], tbl_MTG_Set_Type[Buy Window Month Start], "(Set Type not found)")</f>
        <v/>
      </c>
      <c r="K315" s="3">
        <f>tbl_MTG_Set[[#This Row],[Released On]]+tbl_MTG_Set[[#This Row],[Buy Window Month Start]]*365.25/12</f>
        <v/>
      </c>
      <c r="L315">
        <f>_xlfn.XLOOKUP(tbl_MTG_Set[[#This Row],[Type Name]], tbl_MTG_Set_Type[Set Type], tbl_MTG_Set_Type[Buy Window Month End], "(Set Type not found)", 0, 1)</f>
        <v/>
      </c>
      <c r="M315" s="3">
        <f>tbl_MTG_Set[[#This Row],[Released On]]+tbl_MTG_Set[[#This Row],[Buy Window Month End]]*365.25/12</f>
        <v/>
      </c>
      <c r="N315" s="3">
        <f>AND(NOW()&gt;=tbl_MTG_Set[[#This Row],[Buy Window Start]], NOW()&lt;=tbl_MTG_Set[[#This Row],[Buy Window End]])</f>
        <v/>
      </c>
      <c r="O315">
        <f>_xlfn.XLOOKUP(tbl_MTG_Set[[#This Row],[Type Name]], tbl_MTG_Set_Type[Set Type], tbl_MTG_Set_Type[Heavy Printing Window Month Start], "(Set Type not found)", 0, 1)</f>
        <v/>
      </c>
      <c r="P315" s="3">
        <f>tbl_MTG_Set[[#This Row],[Released On]]+tbl_MTG_Set[[#This Row],[Heavy Printing Window Month Start]]*365.25/12</f>
        <v/>
      </c>
      <c r="Q315">
        <f>_xlfn.XLOOKUP(tbl_MTG_Set[[#This Row],[Type Name]], tbl_MTG_Set_Type[Set Type], tbl_MTG_Set_Type[Heavy Printing Window Month End], "(Set Type not found)", 0, 1)</f>
        <v/>
      </c>
      <c r="R315" s="3">
        <f>tbl_MTG_Set[[#This Row],[Released On]]+tbl_MTG_Set[[#This Row],[Heavy Printing Window Month End]]*365.25/12</f>
        <v/>
      </c>
      <c r="S315" s="3">
        <f>AND(NOW()&gt;=tbl_MTG_Set[[#This Row],[Heavy Printing Window Start]], NOW()&lt;=tbl_MTG_Set[[#This Row],[Heavy Printing Window End]])</f>
        <v/>
      </c>
      <c r="T315">
        <f>_xlfn.XLOOKUP(tbl_MTG_Set[[#This Row],[Type Name]], tbl_MTG_Set_Type[Set Type], tbl_MTG_Set_Type[Sell Window Month Start], "(Set Type not found)", 0, 1)</f>
        <v/>
      </c>
      <c r="U315" s="3">
        <f>tbl_MTG_Set[[#This Row],[Released On]]+tbl_MTG_Set[[#This Row],[Sell Window Month Start]]*365.25/12</f>
        <v/>
      </c>
      <c r="V315">
        <f>_xlfn.XLOOKUP(tbl_MTG_Set[[#This Row],[Type Name]], tbl_MTG_Set_Type[Set Type], tbl_MTG_Set_Type[Sell Window Month End], "(Set Type not found)", 0, 1)</f>
        <v/>
      </c>
      <c r="W315" s="3">
        <f>tbl_MTG_Set[[#This Row],[Released On]]+tbl_MTG_Set[[#This Row],[Sell Window Month End]]*365.25/12</f>
        <v/>
      </c>
      <c r="X315" s="3">
        <f>AND(NOW()&gt;=tbl_MTG_Set[[#This Row],[Sell Window Start]], NOW()&lt;=tbl_MTG_Set[[#This Row],[Sell Window End]])</f>
        <v/>
      </c>
      <c r="AG315" s="10" t="n"/>
      <c r="AH315" s="10" t="n"/>
      <c r="AM315" s="10">
        <f t="array" ref="AM3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5" s="10">
        <f t="array" ref="AN3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5" s="4">
        <f>_xlfn.XLOOKUP(tbl_MTG_Set[[#This Row],[Play Booster Box Product Id]], tbl_Product[Product Id], tbl_Product[Pack Size])</f>
        <v/>
      </c>
      <c r="AP315" s="10">
        <f>(tbl_MTG_Set[[#This Row],[Play Booster Box Cost]]+v_Item_Shipping_Cost_In)/tbl_MTG_Set[[#This Row],[Play Booster Box Size]]</f>
        <v/>
      </c>
      <c r="AQ315" s="10">
        <f t="array" ref="AQ3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5" s="10" t="n"/>
      <c r="AS315" s="10" t="n"/>
      <c r="AT315" s="17">
        <f>tbl_MTG_Set[[#This Row],[Play Booster CardMarket Profit]]/tbl_MTG_Set[[#This Row],[Play Booster Cost]]</f>
        <v/>
      </c>
      <c r="AU315" s="10">
        <f>_xlfn.XLOOKUP(tbl_MTG_Set[[#This Row],[Collector Booster Box Product Id]], tbl_Product[Product Id], tbl_Product[Min Cost])</f>
        <v/>
      </c>
      <c r="AV315" s="10">
        <f>_xlfn.XLOOKUP(tbl_MTG_Set[[#This Row],[Collector Booster Box Product Id]], tbl_Product[Product Id], tbl_Product[Best Source])</f>
        <v/>
      </c>
      <c r="AW315" s="4">
        <f>_xlfn.XLOOKUP(tbl_MTG_Set[[#This Row],[Collector Booster Box Product Id]], tbl_Product[Product Id], tbl_Product[Pack Size])</f>
        <v/>
      </c>
      <c r="AX315" s="10">
        <f>(tbl_MTG_Set[[#This Row],[Collector Booster Box Cost]] + v_Item_Shipping_Cost_In) / tbl_MTG_Set[[#This Row],[Collector Booster Box Size]]</f>
        <v/>
      </c>
      <c r="AY315" s="10">
        <f t="array" ref="AY3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5" s="10" t="n"/>
      <c r="BA3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5" s="17">
        <f>tbl_MTG_Set[[#This Row],[Collector Booster CardMarket Profit]]/tbl_MTG_Set[[#This Row],[Collector Booster Cost]]</f>
        <v/>
      </c>
      <c r="BC315" s="10" t="n"/>
      <c r="BF315" s="10">
        <f>tbl_MTG_Set[[#This Row],[Play Booster Sell Price CardMarket]]*tbl_MTG_Set[[#This Row],[Play Booster Expected Market Value]]/tbl_MTG_Set[[#This Row],[Play Boost Sealed Market Value]]</f>
        <v/>
      </c>
      <c r="BG3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5" s="10">
        <f>tbl_MTG_Set[[#This Row],[Play Singles CardMarket Profit]]/tbl_MTG_Set[[#This Row],[Play Booster Cost]]</f>
        <v/>
      </c>
      <c r="BI315" s="10">
        <f>tbl_MTG_Set[[#This Row],[Play Singles CardMarket Profit]]&gt;0</f>
        <v/>
      </c>
      <c r="BJ315" s="10" t="n"/>
      <c r="BK315" s="10" t="n"/>
      <c r="BL315" s="10">
        <f>tbl_MTG_Set[[#This Row],[Collector Booster Sell Price CardMarket]]*tbl_MTG_Set[[#This Row],[Collector Booster Expected Market Value]]/tbl_MTG_Set[[#This Row],[Collector Boost Sealed Market Value]]</f>
        <v/>
      </c>
      <c r="BM3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5" s="10">
        <f>tbl_MTG_Set[[#This Row],[Collector Singles CardMarket Profit]]/tbl_MTG_Set[[#This Row],[Collector Booster Cost]]</f>
        <v/>
      </c>
      <c r="BO315" s="10">
        <f>tbl_MTG_Set[[#This Row],[Collector Singles CardMarket Profit]]&gt;0</f>
        <v/>
      </c>
      <c r="BP3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6">
      <c r="A316" t="n">
        <v>314</v>
      </c>
      <c r="B316" t="inlineStr">
        <is>
          <t>Midnight Hunt Commander MIC</t>
        </is>
      </c>
      <c r="C316" t="n">
        <v>187</v>
      </c>
      <c r="D316" s="3" t="n">
        <v>44463</v>
      </c>
      <c r="F316" t="inlineStr">
        <is>
          <t>en es fr de it pt ja ko ru 汉语 漢語</t>
        </is>
      </c>
      <c r="G316" t="n">
        <v>574</v>
      </c>
      <c r="H316">
        <f>MONTH(NOW())+12*YEAR(NOW())-MONTH(tbl_MTG_Set[[#This Row],[Released On]])-12*YEAR(tbl_MTG_Set[[#This Row],[Released On]])</f>
        <v/>
      </c>
      <c r="I316">
        <f>_xlfn.XLOOKUP(tbl_MTG_Set[[#This Row],[Type Name]], tbl_MTG_Set_Type[Set Type], tbl_MTG_Set_Type[Index], "(Set Type not found)")</f>
        <v/>
      </c>
      <c r="J316">
        <f>_xlfn.XLOOKUP(tbl_MTG_Set[[#This Row],[Type Name]], tbl_MTG_Set_Type[Set Type], tbl_MTG_Set_Type[Buy Window Month Start], "(Set Type not found)")</f>
        <v/>
      </c>
      <c r="K316" s="3">
        <f>tbl_MTG_Set[[#This Row],[Released On]]+tbl_MTG_Set[[#This Row],[Buy Window Month Start]]*365.25/12</f>
        <v/>
      </c>
      <c r="L316">
        <f>_xlfn.XLOOKUP(tbl_MTG_Set[[#This Row],[Type Name]], tbl_MTG_Set_Type[Set Type], tbl_MTG_Set_Type[Buy Window Month End], "(Set Type not found)", 0, 1)</f>
        <v/>
      </c>
      <c r="M316" s="3">
        <f>tbl_MTG_Set[[#This Row],[Released On]]+tbl_MTG_Set[[#This Row],[Buy Window Month End]]*365.25/12</f>
        <v/>
      </c>
      <c r="N316" s="3">
        <f>AND(NOW()&gt;=tbl_MTG_Set[[#This Row],[Buy Window Start]], NOW()&lt;=tbl_MTG_Set[[#This Row],[Buy Window End]])</f>
        <v/>
      </c>
      <c r="O316">
        <f>_xlfn.XLOOKUP(tbl_MTG_Set[[#This Row],[Type Name]], tbl_MTG_Set_Type[Set Type], tbl_MTG_Set_Type[Heavy Printing Window Month Start], "(Set Type not found)", 0, 1)</f>
        <v/>
      </c>
      <c r="P316" s="3">
        <f>tbl_MTG_Set[[#This Row],[Released On]]+tbl_MTG_Set[[#This Row],[Heavy Printing Window Month Start]]*365.25/12</f>
        <v/>
      </c>
      <c r="Q316">
        <f>_xlfn.XLOOKUP(tbl_MTG_Set[[#This Row],[Type Name]], tbl_MTG_Set_Type[Set Type], tbl_MTG_Set_Type[Heavy Printing Window Month End], "(Set Type not found)", 0, 1)</f>
        <v/>
      </c>
      <c r="R316" s="3">
        <f>tbl_MTG_Set[[#This Row],[Released On]]+tbl_MTG_Set[[#This Row],[Heavy Printing Window Month End]]*365.25/12</f>
        <v/>
      </c>
      <c r="S316" s="3">
        <f>AND(NOW()&gt;=tbl_MTG_Set[[#This Row],[Heavy Printing Window Start]], NOW()&lt;=tbl_MTG_Set[[#This Row],[Heavy Printing Window End]])</f>
        <v/>
      </c>
      <c r="T316">
        <f>_xlfn.XLOOKUP(tbl_MTG_Set[[#This Row],[Type Name]], tbl_MTG_Set_Type[Set Type], tbl_MTG_Set_Type[Sell Window Month Start], "(Set Type not found)", 0, 1)</f>
        <v/>
      </c>
      <c r="U316" s="3">
        <f>tbl_MTG_Set[[#This Row],[Released On]]+tbl_MTG_Set[[#This Row],[Sell Window Month Start]]*365.25/12</f>
        <v/>
      </c>
      <c r="V316">
        <f>_xlfn.XLOOKUP(tbl_MTG_Set[[#This Row],[Type Name]], tbl_MTG_Set_Type[Set Type], tbl_MTG_Set_Type[Sell Window Month End], "(Set Type not found)", 0, 1)</f>
        <v/>
      </c>
      <c r="W316" s="3">
        <f>tbl_MTG_Set[[#This Row],[Released On]]+tbl_MTG_Set[[#This Row],[Sell Window Month End]]*365.25/12</f>
        <v/>
      </c>
      <c r="X316" s="3">
        <f>AND(NOW()&gt;=tbl_MTG_Set[[#This Row],[Sell Window Start]], NOW()&lt;=tbl_MTG_Set[[#This Row],[Sell Window End]])</f>
        <v/>
      </c>
      <c r="AG316" s="10" t="n"/>
      <c r="AH316" s="10" t="n"/>
      <c r="AM316" s="10">
        <f t="array" ref="AM3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6" s="10">
        <f t="array" ref="AN3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6" s="4">
        <f>_xlfn.XLOOKUP(tbl_MTG_Set[[#This Row],[Play Booster Box Product Id]], tbl_Product[Product Id], tbl_Product[Pack Size])</f>
        <v/>
      </c>
      <c r="AP316" s="10">
        <f>(tbl_MTG_Set[[#This Row],[Play Booster Box Cost]]+v_Item_Shipping_Cost_In)/tbl_MTG_Set[[#This Row],[Play Booster Box Size]]</f>
        <v/>
      </c>
      <c r="AQ316" s="10">
        <f t="array" ref="AQ3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6" s="10" t="n"/>
      <c r="AS316" s="10" t="n"/>
      <c r="AT316" s="17">
        <f>tbl_MTG_Set[[#This Row],[Play Booster CardMarket Profit]]/tbl_MTG_Set[[#This Row],[Play Booster Cost]]</f>
        <v/>
      </c>
      <c r="AU316" s="10">
        <f>_xlfn.XLOOKUP(tbl_MTG_Set[[#This Row],[Collector Booster Box Product Id]], tbl_Product[Product Id], tbl_Product[Min Cost])</f>
        <v/>
      </c>
      <c r="AV316" s="10">
        <f>_xlfn.XLOOKUP(tbl_MTG_Set[[#This Row],[Collector Booster Box Product Id]], tbl_Product[Product Id], tbl_Product[Best Source])</f>
        <v/>
      </c>
      <c r="AW316" s="4">
        <f>_xlfn.XLOOKUP(tbl_MTG_Set[[#This Row],[Collector Booster Box Product Id]], tbl_Product[Product Id], tbl_Product[Pack Size])</f>
        <v/>
      </c>
      <c r="AX316" s="10">
        <f>(tbl_MTG_Set[[#This Row],[Collector Booster Box Cost]] + v_Item_Shipping_Cost_In) / tbl_MTG_Set[[#This Row],[Collector Booster Box Size]]</f>
        <v/>
      </c>
      <c r="AY316" s="10">
        <f t="array" ref="AY3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6" s="10" t="n"/>
      <c r="BA3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6" s="17">
        <f>tbl_MTG_Set[[#This Row],[Collector Booster CardMarket Profit]]/tbl_MTG_Set[[#This Row],[Collector Booster Cost]]</f>
        <v/>
      </c>
      <c r="BC316" s="10" t="n"/>
      <c r="BF316" s="10">
        <f>tbl_MTG_Set[[#This Row],[Play Booster Sell Price CardMarket]]*tbl_MTG_Set[[#This Row],[Play Booster Expected Market Value]]/tbl_MTG_Set[[#This Row],[Play Boost Sealed Market Value]]</f>
        <v/>
      </c>
      <c r="BG3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6" s="10">
        <f>tbl_MTG_Set[[#This Row],[Play Singles CardMarket Profit]]/tbl_MTG_Set[[#This Row],[Play Booster Cost]]</f>
        <v/>
      </c>
      <c r="BI316" s="10">
        <f>tbl_MTG_Set[[#This Row],[Play Singles CardMarket Profit]]&gt;0</f>
        <v/>
      </c>
      <c r="BJ316" s="10" t="n"/>
      <c r="BK316" s="10" t="n"/>
      <c r="BL316" s="10">
        <f>tbl_MTG_Set[[#This Row],[Collector Booster Sell Price CardMarket]]*tbl_MTG_Set[[#This Row],[Collector Booster Expected Market Value]]/tbl_MTG_Set[[#This Row],[Collector Boost Sealed Market Value]]</f>
        <v/>
      </c>
      <c r="BM3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6" s="10">
        <f>tbl_MTG_Set[[#This Row],[Collector Singles CardMarket Profit]]/tbl_MTG_Set[[#This Row],[Collector Booster Cost]]</f>
        <v/>
      </c>
      <c r="BO316" s="10">
        <f>tbl_MTG_Set[[#This Row],[Collector Singles CardMarket Profit]]&gt;0</f>
        <v/>
      </c>
      <c r="BP3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7">
      <c r="A317" t="n">
        <v>315</v>
      </c>
      <c r="B317" t="inlineStr">
        <is>
          <t>Midnight Hunt Commander Tokens TMIC</t>
        </is>
      </c>
      <c r="C317" t="n">
        <v>11</v>
      </c>
      <c r="D317" s="3" t="n">
        <v>44463</v>
      </c>
      <c r="F317" t="inlineStr">
        <is>
          <t>en es fr de it pt ja ko ru 汉语 漢語</t>
        </is>
      </c>
      <c r="G317" t="n">
        <v>576</v>
      </c>
      <c r="H317">
        <f>MONTH(NOW())+12*YEAR(NOW())-MONTH(tbl_MTG_Set[[#This Row],[Released On]])-12*YEAR(tbl_MTG_Set[[#This Row],[Released On]])</f>
        <v/>
      </c>
      <c r="I317">
        <f>_xlfn.XLOOKUP(tbl_MTG_Set[[#This Row],[Type Name]], tbl_MTG_Set_Type[Set Type], tbl_MTG_Set_Type[Index], "(Set Type not found)")</f>
        <v/>
      </c>
      <c r="J317">
        <f>_xlfn.XLOOKUP(tbl_MTG_Set[[#This Row],[Type Name]], tbl_MTG_Set_Type[Set Type], tbl_MTG_Set_Type[Buy Window Month Start], "(Set Type not found)")</f>
        <v/>
      </c>
      <c r="K317" s="3">
        <f>tbl_MTG_Set[[#This Row],[Released On]]+tbl_MTG_Set[[#This Row],[Buy Window Month Start]]*365.25/12</f>
        <v/>
      </c>
      <c r="L317">
        <f>_xlfn.XLOOKUP(tbl_MTG_Set[[#This Row],[Type Name]], tbl_MTG_Set_Type[Set Type], tbl_MTG_Set_Type[Buy Window Month End], "(Set Type not found)", 0, 1)</f>
        <v/>
      </c>
      <c r="M317" s="3">
        <f>tbl_MTG_Set[[#This Row],[Released On]]+tbl_MTG_Set[[#This Row],[Buy Window Month End]]*365.25/12</f>
        <v/>
      </c>
      <c r="N317" s="3">
        <f>AND(NOW()&gt;=tbl_MTG_Set[[#This Row],[Buy Window Start]], NOW()&lt;=tbl_MTG_Set[[#This Row],[Buy Window End]])</f>
        <v/>
      </c>
      <c r="O317">
        <f>_xlfn.XLOOKUP(tbl_MTG_Set[[#This Row],[Type Name]], tbl_MTG_Set_Type[Set Type], tbl_MTG_Set_Type[Heavy Printing Window Month Start], "(Set Type not found)", 0, 1)</f>
        <v/>
      </c>
      <c r="P317" s="3">
        <f>tbl_MTG_Set[[#This Row],[Released On]]+tbl_MTG_Set[[#This Row],[Heavy Printing Window Month Start]]*365.25/12</f>
        <v/>
      </c>
      <c r="Q317">
        <f>_xlfn.XLOOKUP(tbl_MTG_Set[[#This Row],[Type Name]], tbl_MTG_Set_Type[Set Type], tbl_MTG_Set_Type[Heavy Printing Window Month End], "(Set Type not found)", 0, 1)</f>
        <v/>
      </c>
      <c r="R317" s="3">
        <f>tbl_MTG_Set[[#This Row],[Released On]]+tbl_MTG_Set[[#This Row],[Heavy Printing Window Month End]]*365.25/12</f>
        <v/>
      </c>
      <c r="S317" s="3">
        <f>AND(NOW()&gt;=tbl_MTG_Set[[#This Row],[Heavy Printing Window Start]], NOW()&lt;=tbl_MTG_Set[[#This Row],[Heavy Printing Window End]])</f>
        <v/>
      </c>
      <c r="T317">
        <f>_xlfn.XLOOKUP(tbl_MTG_Set[[#This Row],[Type Name]], tbl_MTG_Set_Type[Set Type], tbl_MTG_Set_Type[Sell Window Month Start], "(Set Type not found)", 0, 1)</f>
        <v/>
      </c>
      <c r="U317" s="3">
        <f>tbl_MTG_Set[[#This Row],[Released On]]+tbl_MTG_Set[[#This Row],[Sell Window Month Start]]*365.25/12</f>
        <v/>
      </c>
      <c r="V317">
        <f>_xlfn.XLOOKUP(tbl_MTG_Set[[#This Row],[Type Name]], tbl_MTG_Set_Type[Set Type], tbl_MTG_Set_Type[Sell Window Month End], "(Set Type not found)", 0, 1)</f>
        <v/>
      </c>
      <c r="W317" s="3">
        <f>tbl_MTG_Set[[#This Row],[Released On]]+tbl_MTG_Set[[#This Row],[Sell Window Month End]]*365.25/12</f>
        <v/>
      </c>
      <c r="X317" s="3">
        <f>AND(NOW()&gt;=tbl_MTG_Set[[#This Row],[Sell Window Start]], NOW()&lt;=tbl_MTG_Set[[#This Row],[Sell Window End]])</f>
        <v/>
      </c>
      <c r="AG317" s="10" t="n"/>
      <c r="AH317" s="10" t="n"/>
      <c r="AM317" s="10">
        <f t="array" ref="AM3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7" s="10">
        <f t="array" ref="AN3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7" s="4">
        <f>_xlfn.XLOOKUP(tbl_MTG_Set[[#This Row],[Play Booster Box Product Id]], tbl_Product[Product Id], tbl_Product[Pack Size])</f>
        <v/>
      </c>
      <c r="AP317" s="10">
        <f>(tbl_MTG_Set[[#This Row],[Play Booster Box Cost]]+v_Item_Shipping_Cost_In)/tbl_MTG_Set[[#This Row],[Play Booster Box Size]]</f>
        <v/>
      </c>
      <c r="AQ317" s="10">
        <f t="array" ref="AQ3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7" s="10" t="n"/>
      <c r="AS317" s="10" t="n"/>
      <c r="AT317" s="17">
        <f>tbl_MTG_Set[[#This Row],[Play Booster CardMarket Profit]]/tbl_MTG_Set[[#This Row],[Play Booster Cost]]</f>
        <v/>
      </c>
      <c r="AU317" s="10">
        <f>_xlfn.XLOOKUP(tbl_MTG_Set[[#This Row],[Collector Booster Box Product Id]], tbl_Product[Product Id], tbl_Product[Min Cost])</f>
        <v/>
      </c>
      <c r="AV317" s="10">
        <f>_xlfn.XLOOKUP(tbl_MTG_Set[[#This Row],[Collector Booster Box Product Id]], tbl_Product[Product Id], tbl_Product[Best Source])</f>
        <v/>
      </c>
      <c r="AW317" s="4">
        <f>_xlfn.XLOOKUP(tbl_MTG_Set[[#This Row],[Collector Booster Box Product Id]], tbl_Product[Product Id], tbl_Product[Pack Size])</f>
        <v/>
      </c>
      <c r="AX317" s="10">
        <f>(tbl_MTG_Set[[#This Row],[Collector Booster Box Cost]] + v_Item_Shipping_Cost_In) / tbl_MTG_Set[[#This Row],[Collector Booster Box Size]]</f>
        <v/>
      </c>
      <c r="AY317" s="10">
        <f t="array" ref="AY3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7" s="10" t="n"/>
      <c r="BA3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7" s="17">
        <f>tbl_MTG_Set[[#This Row],[Collector Booster CardMarket Profit]]/tbl_MTG_Set[[#This Row],[Collector Booster Cost]]</f>
        <v/>
      </c>
      <c r="BC317" s="10" t="n"/>
      <c r="BF317" s="10">
        <f>tbl_MTG_Set[[#This Row],[Play Booster Sell Price CardMarket]]*tbl_MTG_Set[[#This Row],[Play Booster Expected Market Value]]/tbl_MTG_Set[[#This Row],[Play Boost Sealed Market Value]]</f>
        <v/>
      </c>
      <c r="BG3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7" s="10">
        <f>tbl_MTG_Set[[#This Row],[Play Singles CardMarket Profit]]/tbl_MTG_Set[[#This Row],[Play Booster Cost]]</f>
        <v/>
      </c>
      <c r="BI317" s="10">
        <f>tbl_MTG_Set[[#This Row],[Play Singles CardMarket Profit]]&gt;0</f>
        <v/>
      </c>
      <c r="BJ317" s="10" t="n"/>
      <c r="BK317" s="10" t="n"/>
      <c r="BL317" s="10">
        <f>tbl_MTG_Set[[#This Row],[Collector Booster Sell Price CardMarket]]*tbl_MTG_Set[[#This Row],[Collector Booster Expected Market Value]]/tbl_MTG_Set[[#This Row],[Collector Boost Sealed Market Value]]</f>
        <v/>
      </c>
      <c r="BM3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7" s="10">
        <f>tbl_MTG_Set[[#This Row],[Collector Singles CardMarket Profit]]/tbl_MTG_Set[[#This Row],[Collector Booster Cost]]</f>
        <v/>
      </c>
      <c r="BO317" s="10">
        <f>tbl_MTG_Set[[#This Row],[Collector Singles CardMarket Profit]]&gt;0</f>
        <v/>
      </c>
      <c r="BP3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8">
      <c r="A318" t="n">
        <v>316</v>
      </c>
      <c r="B318" t="inlineStr">
        <is>
          <t>Midnight Hunt Commander Display Commanders OMIC</t>
        </is>
      </c>
      <c r="C318" t="n">
        <v>2</v>
      </c>
      <c r="D318" s="3" t="n">
        <v>44463</v>
      </c>
      <c r="F318" t="inlineStr">
        <is>
          <t>en es fr de it pt ja ko ru 汉语 漢語</t>
        </is>
      </c>
      <c r="G318" t="n">
        <v>578</v>
      </c>
      <c r="H318">
        <f>MONTH(NOW())+12*YEAR(NOW())-MONTH(tbl_MTG_Set[[#This Row],[Released On]])-12*YEAR(tbl_MTG_Set[[#This Row],[Released On]])</f>
        <v/>
      </c>
      <c r="I318">
        <f>_xlfn.XLOOKUP(tbl_MTG_Set[[#This Row],[Type Name]], tbl_MTG_Set_Type[Set Type], tbl_MTG_Set_Type[Index], "(Set Type not found)")</f>
        <v/>
      </c>
      <c r="J318">
        <f>_xlfn.XLOOKUP(tbl_MTG_Set[[#This Row],[Type Name]], tbl_MTG_Set_Type[Set Type], tbl_MTG_Set_Type[Buy Window Month Start], "(Set Type not found)")</f>
        <v/>
      </c>
      <c r="K318" s="3">
        <f>tbl_MTG_Set[[#This Row],[Released On]]+tbl_MTG_Set[[#This Row],[Buy Window Month Start]]*365.25/12</f>
        <v/>
      </c>
      <c r="L318">
        <f>_xlfn.XLOOKUP(tbl_MTG_Set[[#This Row],[Type Name]], tbl_MTG_Set_Type[Set Type], tbl_MTG_Set_Type[Buy Window Month End], "(Set Type not found)", 0, 1)</f>
        <v/>
      </c>
      <c r="M318" s="3">
        <f>tbl_MTG_Set[[#This Row],[Released On]]+tbl_MTG_Set[[#This Row],[Buy Window Month End]]*365.25/12</f>
        <v/>
      </c>
      <c r="N318" s="3">
        <f>AND(NOW()&gt;=tbl_MTG_Set[[#This Row],[Buy Window Start]], NOW()&lt;=tbl_MTG_Set[[#This Row],[Buy Window End]])</f>
        <v/>
      </c>
      <c r="O318">
        <f>_xlfn.XLOOKUP(tbl_MTG_Set[[#This Row],[Type Name]], tbl_MTG_Set_Type[Set Type], tbl_MTG_Set_Type[Heavy Printing Window Month Start], "(Set Type not found)", 0, 1)</f>
        <v/>
      </c>
      <c r="P318" s="3">
        <f>tbl_MTG_Set[[#This Row],[Released On]]+tbl_MTG_Set[[#This Row],[Heavy Printing Window Month Start]]*365.25/12</f>
        <v/>
      </c>
      <c r="Q318">
        <f>_xlfn.XLOOKUP(tbl_MTG_Set[[#This Row],[Type Name]], tbl_MTG_Set_Type[Set Type], tbl_MTG_Set_Type[Heavy Printing Window Month End], "(Set Type not found)", 0, 1)</f>
        <v/>
      </c>
      <c r="R318" s="3">
        <f>tbl_MTG_Set[[#This Row],[Released On]]+tbl_MTG_Set[[#This Row],[Heavy Printing Window Month End]]*365.25/12</f>
        <v/>
      </c>
      <c r="S318" s="3">
        <f>AND(NOW()&gt;=tbl_MTG_Set[[#This Row],[Heavy Printing Window Start]], NOW()&lt;=tbl_MTG_Set[[#This Row],[Heavy Printing Window End]])</f>
        <v/>
      </c>
      <c r="T318">
        <f>_xlfn.XLOOKUP(tbl_MTG_Set[[#This Row],[Type Name]], tbl_MTG_Set_Type[Set Type], tbl_MTG_Set_Type[Sell Window Month Start], "(Set Type not found)", 0, 1)</f>
        <v/>
      </c>
      <c r="U318" s="3">
        <f>tbl_MTG_Set[[#This Row],[Released On]]+tbl_MTG_Set[[#This Row],[Sell Window Month Start]]*365.25/12</f>
        <v/>
      </c>
      <c r="V318">
        <f>_xlfn.XLOOKUP(tbl_MTG_Set[[#This Row],[Type Name]], tbl_MTG_Set_Type[Set Type], tbl_MTG_Set_Type[Sell Window Month End], "(Set Type not found)", 0, 1)</f>
        <v/>
      </c>
      <c r="W318" s="3">
        <f>tbl_MTG_Set[[#This Row],[Released On]]+tbl_MTG_Set[[#This Row],[Sell Window Month End]]*365.25/12</f>
        <v/>
      </c>
      <c r="X318" s="3">
        <f>AND(NOW()&gt;=tbl_MTG_Set[[#This Row],[Sell Window Start]], NOW()&lt;=tbl_MTG_Set[[#This Row],[Sell Window End]])</f>
        <v/>
      </c>
      <c r="AG318" s="10" t="n"/>
      <c r="AH318" s="10" t="n"/>
      <c r="AM318" s="10">
        <f t="array" ref="AM3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8" s="10">
        <f t="array" ref="AN3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8" s="4">
        <f>_xlfn.XLOOKUP(tbl_MTG_Set[[#This Row],[Play Booster Box Product Id]], tbl_Product[Product Id], tbl_Product[Pack Size])</f>
        <v/>
      </c>
      <c r="AP318" s="10">
        <f>(tbl_MTG_Set[[#This Row],[Play Booster Box Cost]]+v_Item_Shipping_Cost_In)/tbl_MTG_Set[[#This Row],[Play Booster Box Size]]</f>
        <v/>
      </c>
      <c r="AQ318" s="10">
        <f t="array" ref="AQ3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8" s="10" t="n"/>
      <c r="AS318" s="10" t="n"/>
      <c r="AT318" s="17">
        <f>tbl_MTG_Set[[#This Row],[Play Booster CardMarket Profit]]/tbl_MTG_Set[[#This Row],[Play Booster Cost]]</f>
        <v/>
      </c>
      <c r="AU318" s="10">
        <f>_xlfn.XLOOKUP(tbl_MTG_Set[[#This Row],[Collector Booster Box Product Id]], tbl_Product[Product Id], tbl_Product[Min Cost])</f>
        <v/>
      </c>
      <c r="AV318" s="10">
        <f>_xlfn.XLOOKUP(tbl_MTG_Set[[#This Row],[Collector Booster Box Product Id]], tbl_Product[Product Id], tbl_Product[Best Source])</f>
        <v/>
      </c>
      <c r="AW318" s="4">
        <f>_xlfn.XLOOKUP(tbl_MTG_Set[[#This Row],[Collector Booster Box Product Id]], tbl_Product[Product Id], tbl_Product[Pack Size])</f>
        <v/>
      </c>
      <c r="AX318" s="10">
        <f>(tbl_MTG_Set[[#This Row],[Collector Booster Box Cost]] + v_Item_Shipping_Cost_In) / tbl_MTG_Set[[#This Row],[Collector Booster Box Size]]</f>
        <v/>
      </c>
      <c r="AY318" s="10">
        <f t="array" ref="AY3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8" s="10" t="n"/>
      <c r="BA3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8" s="17">
        <f>tbl_MTG_Set[[#This Row],[Collector Booster CardMarket Profit]]/tbl_MTG_Set[[#This Row],[Collector Booster Cost]]</f>
        <v/>
      </c>
      <c r="BC318" s="10" t="n"/>
      <c r="BF318" s="10">
        <f>tbl_MTG_Set[[#This Row],[Play Booster Sell Price CardMarket]]*tbl_MTG_Set[[#This Row],[Play Booster Expected Market Value]]/tbl_MTG_Set[[#This Row],[Play Boost Sealed Market Value]]</f>
        <v/>
      </c>
      <c r="BG3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8" s="10">
        <f>tbl_MTG_Set[[#This Row],[Play Singles CardMarket Profit]]/tbl_MTG_Set[[#This Row],[Play Booster Cost]]</f>
        <v/>
      </c>
      <c r="BI318" s="10">
        <f>tbl_MTG_Set[[#This Row],[Play Singles CardMarket Profit]]&gt;0</f>
        <v/>
      </c>
      <c r="BJ318" s="10" t="n"/>
      <c r="BK318" s="10" t="n"/>
      <c r="BL318" s="10">
        <f>tbl_MTG_Set[[#This Row],[Collector Booster Sell Price CardMarket]]*tbl_MTG_Set[[#This Row],[Collector Booster Expected Market Value]]/tbl_MTG_Set[[#This Row],[Collector Boost Sealed Market Value]]</f>
        <v/>
      </c>
      <c r="BM3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8" s="10">
        <f>tbl_MTG_Set[[#This Row],[Collector Singles CardMarket Profit]]/tbl_MTG_Set[[#This Row],[Collector Booster Cost]]</f>
        <v/>
      </c>
      <c r="BO318" s="10">
        <f>tbl_MTG_Set[[#This Row],[Collector Singles CardMarket Profit]]&gt;0</f>
        <v/>
      </c>
      <c r="BP3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9">
      <c r="A319" t="n">
        <v>317</v>
      </c>
      <c r="B319" t="inlineStr">
        <is>
          <t>Midnight Hunt Art Series AMID</t>
        </is>
      </c>
      <c r="C319" t="n">
        <v>81</v>
      </c>
      <c r="D319" s="3" t="n">
        <v>44463</v>
      </c>
      <c r="F319" t="inlineStr">
        <is>
          <t>en es fr de it pt ja ko ru 汉语 漢語</t>
        </is>
      </c>
      <c r="G319" t="n">
        <v>580</v>
      </c>
      <c r="H319">
        <f>MONTH(NOW())+12*YEAR(NOW())-MONTH(tbl_MTG_Set[[#This Row],[Released On]])-12*YEAR(tbl_MTG_Set[[#This Row],[Released On]])</f>
        <v/>
      </c>
      <c r="I319">
        <f>_xlfn.XLOOKUP(tbl_MTG_Set[[#This Row],[Type Name]], tbl_MTG_Set_Type[Set Type], tbl_MTG_Set_Type[Index], "(Set Type not found)")</f>
        <v/>
      </c>
      <c r="J319">
        <f>_xlfn.XLOOKUP(tbl_MTG_Set[[#This Row],[Type Name]], tbl_MTG_Set_Type[Set Type], tbl_MTG_Set_Type[Buy Window Month Start], "(Set Type not found)")</f>
        <v/>
      </c>
      <c r="K319" s="3">
        <f>tbl_MTG_Set[[#This Row],[Released On]]+tbl_MTG_Set[[#This Row],[Buy Window Month Start]]*365.25/12</f>
        <v/>
      </c>
      <c r="L319">
        <f>_xlfn.XLOOKUP(tbl_MTG_Set[[#This Row],[Type Name]], tbl_MTG_Set_Type[Set Type], tbl_MTG_Set_Type[Buy Window Month End], "(Set Type not found)", 0, 1)</f>
        <v/>
      </c>
      <c r="M319" s="3">
        <f>tbl_MTG_Set[[#This Row],[Released On]]+tbl_MTG_Set[[#This Row],[Buy Window Month End]]*365.25/12</f>
        <v/>
      </c>
      <c r="N319" s="3">
        <f>AND(NOW()&gt;=tbl_MTG_Set[[#This Row],[Buy Window Start]], NOW()&lt;=tbl_MTG_Set[[#This Row],[Buy Window End]])</f>
        <v/>
      </c>
      <c r="O319">
        <f>_xlfn.XLOOKUP(tbl_MTG_Set[[#This Row],[Type Name]], tbl_MTG_Set_Type[Set Type], tbl_MTG_Set_Type[Heavy Printing Window Month Start], "(Set Type not found)", 0, 1)</f>
        <v/>
      </c>
      <c r="P319" s="3">
        <f>tbl_MTG_Set[[#This Row],[Released On]]+tbl_MTG_Set[[#This Row],[Heavy Printing Window Month Start]]*365.25/12</f>
        <v/>
      </c>
      <c r="Q319">
        <f>_xlfn.XLOOKUP(tbl_MTG_Set[[#This Row],[Type Name]], tbl_MTG_Set_Type[Set Type], tbl_MTG_Set_Type[Heavy Printing Window Month End], "(Set Type not found)", 0, 1)</f>
        <v/>
      </c>
      <c r="R319" s="3">
        <f>tbl_MTG_Set[[#This Row],[Released On]]+tbl_MTG_Set[[#This Row],[Heavy Printing Window Month End]]*365.25/12</f>
        <v/>
      </c>
      <c r="S319" s="3">
        <f>AND(NOW()&gt;=tbl_MTG_Set[[#This Row],[Heavy Printing Window Start]], NOW()&lt;=tbl_MTG_Set[[#This Row],[Heavy Printing Window End]])</f>
        <v/>
      </c>
      <c r="T319">
        <f>_xlfn.XLOOKUP(tbl_MTG_Set[[#This Row],[Type Name]], tbl_MTG_Set_Type[Set Type], tbl_MTG_Set_Type[Sell Window Month Start], "(Set Type not found)", 0, 1)</f>
        <v/>
      </c>
      <c r="U319" s="3">
        <f>tbl_MTG_Set[[#This Row],[Released On]]+tbl_MTG_Set[[#This Row],[Sell Window Month Start]]*365.25/12</f>
        <v/>
      </c>
      <c r="V319">
        <f>_xlfn.XLOOKUP(tbl_MTG_Set[[#This Row],[Type Name]], tbl_MTG_Set_Type[Set Type], tbl_MTG_Set_Type[Sell Window Month End], "(Set Type not found)", 0, 1)</f>
        <v/>
      </c>
      <c r="W319" s="3">
        <f>tbl_MTG_Set[[#This Row],[Released On]]+tbl_MTG_Set[[#This Row],[Sell Window Month End]]*365.25/12</f>
        <v/>
      </c>
      <c r="X319" s="3">
        <f>AND(NOW()&gt;=tbl_MTG_Set[[#This Row],[Sell Window Start]], NOW()&lt;=tbl_MTG_Set[[#This Row],[Sell Window End]])</f>
        <v/>
      </c>
      <c r="AG319" s="10" t="n"/>
      <c r="AH319" s="10" t="n"/>
      <c r="AM319" s="10">
        <f t="array" ref="AM3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9" s="10">
        <f t="array" ref="AN3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9" s="4">
        <f>_xlfn.XLOOKUP(tbl_MTG_Set[[#This Row],[Play Booster Box Product Id]], tbl_Product[Product Id], tbl_Product[Pack Size])</f>
        <v/>
      </c>
      <c r="AP319" s="10">
        <f>(tbl_MTG_Set[[#This Row],[Play Booster Box Cost]]+v_Item_Shipping_Cost_In)/tbl_MTG_Set[[#This Row],[Play Booster Box Size]]</f>
        <v/>
      </c>
      <c r="AQ319" s="10">
        <f t="array" ref="AQ3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19" s="10" t="n"/>
      <c r="AS319" s="10" t="n"/>
      <c r="AT319" s="17">
        <f>tbl_MTG_Set[[#This Row],[Play Booster CardMarket Profit]]/tbl_MTG_Set[[#This Row],[Play Booster Cost]]</f>
        <v/>
      </c>
      <c r="AU319" s="10">
        <f>_xlfn.XLOOKUP(tbl_MTG_Set[[#This Row],[Collector Booster Box Product Id]], tbl_Product[Product Id], tbl_Product[Min Cost])</f>
        <v/>
      </c>
      <c r="AV319" s="10">
        <f>_xlfn.XLOOKUP(tbl_MTG_Set[[#This Row],[Collector Booster Box Product Id]], tbl_Product[Product Id], tbl_Product[Best Source])</f>
        <v/>
      </c>
      <c r="AW319" s="4">
        <f>_xlfn.XLOOKUP(tbl_MTG_Set[[#This Row],[Collector Booster Box Product Id]], tbl_Product[Product Id], tbl_Product[Pack Size])</f>
        <v/>
      </c>
      <c r="AX319" s="10">
        <f>(tbl_MTG_Set[[#This Row],[Collector Booster Box Cost]] + v_Item_Shipping_Cost_In) / tbl_MTG_Set[[#This Row],[Collector Booster Box Size]]</f>
        <v/>
      </c>
      <c r="AY319" s="10">
        <f t="array" ref="AY3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19" s="10" t="n"/>
      <c r="BA3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9" s="17">
        <f>tbl_MTG_Set[[#This Row],[Collector Booster CardMarket Profit]]/tbl_MTG_Set[[#This Row],[Collector Booster Cost]]</f>
        <v/>
      </c>
      <c r="BC319" s="10" t="n"/>
      <c r="BF319" s="10">
        <f>tbl_MTG_Set[[#This Row],[Play Booster Sell Price CardMarket]]*tbl_MTG_Set[[#This Row],[Play Booster Expected Market Value]]/tbl_MTG_Set[[#This Row],[Play Boost Sealed Market Value]]</f>
        <v/>
      </c>
      <c r="BG3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9" s="10">
        <f>tbl_MTG_Set[[#This Row],[Play Singles CardMarket Profit]]/tbl_MTG_Set[[#This Row],[Play Booster Cost]]</f>
        <v/>
      </c>
      <c r="BI319" s="10">
        <f>tbl_MTG_Set[[#This Row],[Play Singles CardMarket Profit]]&gt;0</f>
        <v/>
      </c>
      <c r="BJ319" s="10" t="n"/>
      <c r="BK319" s="10" t="n"/>
      <c r="BL319" s="10">
        <f>tbl_MTG_Set[[#This Row],[Collector Booster Sell Price CardMarket]]*tbl_MTG_Set[[#This Row],[Collector Booster Expected Market Value]]/tbl_MTG_Set[[#This Row],[Collector Boost Sealed Market Value]]</f>
        <v/>
      </c>
      <c r="BM3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9" s="10">
        <f>tbl_MTG_Set[[#This Row],[Collector Singles CardMarket Profit]]/tbl_MTG_Set[[#This Row],[Collector Booster Cost]]</f>
        <v/>
      </c>
      <c r="BO319" s="10">
        <f>tbl_MTG_Set[[#This Row],[Collector Singles CardMarket Profit]]&gt;0</f>
        <v/>
      </c>
      <c r="BP3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0">
      <c r="A320" t="n">
        <v>318</v>
      </c>
      <c r="B320" t="inlineStr">
        <is>
          <t>Innistrad: Midnight Hunt Minigames MMID</t>
        </is>
      </c>
      <c r="C320" t="n">
        <v>3</v>
      </c>
      <c r="D320" s="3" t="n">
        <v>44463</v>
      </c>
      <c r="E320" t="inlineStr">
        <is>
          <t>Standard Expansion</t>
        </is>
      </c>
      <c r="F320" t="inlineStr">
        <is>
          <t>en es fr de it pt ja ko ru 汉语 漢語</t>
        </is>
      </c>
      <c r="G320" t="n">
        <v>582</v>
      </c>
      <c r="H320">
        <f>MONTH(NOW())+12*YEAR(NOW())-MONTH(tbl_MTG_Set[[#This Row],[Released On]])-12*YEAR(tbl_MTG_Set[[#This Row],[Released On]])</f>
        <v/>
      </c>
      <c r="I320">
        <f>_xlfn.XLOOKUP(tbl_MTG_Set[[#This Row],[Type Name]], tbl_MTG_Set_Type[Set Type], tbl_MTG_Set_Type[Index], "(Set Type not found)")</f>
        <v/>
      </c>
      <c r="J320">
        <f>_xlfn.XLOOKUP(tbl_MTG_Set[[#This Row],[Type Name]], tbl_MTG_Set_Type[Set Type], tbl_MTG_Set_Type[Buy Window Month Start], "(Set Type not found)")</f>
        <v/>
      </c>
      <c r="K320" s="3">
        <f>tbl_MTG_Set[[#This Row],[Released On]]+tbl_MTG_Set[[#This Row],[Buy Window Month Start]]*365.25/12</f>
        <v/>
      </c>
      <c r="L320">
        <f>_xlfn.XLOOKUP(tbl_MTG_Set[[#This Row],[Type Name]], tbl_MTG_Set_Type[Set Type], tbl_MTG_Set_Type[Buy Window Month End], "(Set Type not found)", 0, 1)</f>
        <v/>
      </c>
      <c r="M320" s="3">
        <f>tbl_MTG_Set[[#This Row],[Released On]]+tbl_MTG_Set[[#This Row],[Buy Window Month End]]*365.25/12</f>
        <v/>
      </c>
      <c r="N320" s="3">
        <f>AND(NOW()&gt;=tbl_MTG_Set[[#This Row],[Buy Window Start]], NOW()&lt;=tbl_MTG_Set[[#This Row],[Buy Window End]])</f>
        <v/>
      </c>
      <c r="O320">
        <f>_xlfn.XLOOKUP(tbl_MTG_Set[[#This Row],[Type Name]], tbl_MTG_Set_Type[Set Type], tbl_MTG_Set_Type[Heavy Printing Window Month Start], "(Set Type not found)", 0, 1)</f>
        <v/>
      </c>
      <c r="P320" s="3">
        <f>tbl_MTG_Set[[#This Row],[Released On]]+tbl_MTG_Set[[#This Row],[Heavy Printing Window Month Start]]*365.25/12</f>
        <v/>
      </c>
      <c r="Q320">
        <f>_xlfn.XLOOKUP(tbl_MTG_Set[[#This Row],[Type Name]], tbl_MTG_Set_Type[Set Type], tbl_MTG_Set_Type[Heavy Printing Window Month End], "(Set Type not found)", 0, 1)</f>
        <v/>
      </c>
      <c r="R320" s="3">
        <f>tbl_MTG_Set[[#This Row],[Released On]]+tbl_MTG_Set[[#This Row],[Heavy Printing Window Month End]]*365.25/12</f>
        <v/>
      </c>
      <c r="S320" s="3">
        <f>AND(NOW()&gt;=tbl_MTG_Set[[#This Row],[Heavy Printing Window Start]], NOW()&lt;=tbl_MTG_Set[[#This Row],[Heavy Printing Window End]])</f>
        <v/>
      </c>
      <c r="T320">
        <f>_xlfn.XLOOKUP(tbl_MTG_Set[[#This Row],[Type Name]], tbl_MTG_Set_Type[Set Type], tbl_MTG_Set_Type[Sell Window Month Start], "(Set Type not found)", 0, 1)</f>
        <v/>
      </c>
      <c r="U320" s="3">
        <f>tbl_MTG_Set[[#This Row],[Released On]]+tbl_MTG_Set[[#This Row],[Sell Window Month Start]]*365.25/12</f>
        <v/>
      </c>
      <c r="V320">
        <f>_xlfn.XLOOKUP(tbl_MTG_Set[[#This Row],[Type Name]], tbl_MTG_Set_Type[Set Type], tbl_MTG_Set_Type[Sell Window Month End], "(Set Type not found)", 0, 1)</f>
        <v/>
      </c>
      <c r="W320" s="3">
        <f>tbl_MTG_Set[[#This Row],[Released On]]+tbl_MTG_Set[[#This Row],[Sell Window Month End]]*365.25/12</f>
        <v/>
      </c>
      <c r="X320" s="3">
        <f>AND(NOW()&gt;=tbl_MTG_Set[[#This Row],[Sell Window Start]], NOW()&lt;=tbl_MTG_Set[[#This Row],[Sell Window End]])</f>
        <v/>
      </c>
      <c r="AG320" s="10" t="n"/>
      <c r="AH320" s="10" t="n"/>
      <c r="AM320" s="10">
        <f t="array" ref="AM3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0" s="10">
        <f t="array" ref="AN3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0" s="4">
        <f>_xlfn.XLOOKUP(tbl_MTG_Set[[#This Row],[Play Booster Box Product Id]], tbl_Product[Product Id], tbl_Product[Pack Size])</f>
        <v/>
      </c>
      <c r="AP320" s="10">
        <f>(tbl_MTG_Set[[#This Row],[Play Booster Box Cost]]+v_Item_Shipping_Cost_In)/tbl_MTG_Set[[#This Row],[Play Booster Box Size]]</f>
        <v/>
      </c>
      <c r="AQ320" s="10">
        <f t="array" ref="AQ3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0" s="10" t="n"/>
      <c r="AS320" s="10" t="n"/>
      <c r="AT320" s="17">
        <f>tbl_MTG_Set[[#This Row],[Play Booster CardMarket Profit]]/tbl_MTG_Set[[#This Row],[Play Booster Cost]]</f>
        <v/>
      </c>
      <c r="AU320" s="10">
        <f>_xlfn.XLOOKUP(tbl_MTG_Set[[#This Row],[Collector Booster Box Product Id]], tbl_Product[Product Id], tbl_Product[Min Cost])</f>
        <v/>
      </c>
      <c r="AV320" s="10">
        <f>_xlfn.XLOOKUP(tbl_MTG_Set[[#This Row],[Collector Booster Box Product Id]], tbl_Product[Product Id], tbl_Product[Best Source])</f>
        <v/>
      </c>
      <c r="AW320" s="4">
        <f>_xlfn.XLOOKUP(tbl_MTG_Set[[#This Row],[Collector Booster Box Product Id]], tbl_Product[Product Id], tbl_Product[Pack Size])</f>
        <v/>
      </c>
      <c r="AX320" s="10">
        <f>(tbl_MTG_Set[[#This Row],[Collector Booster Box Cost]] + v_Item_Shipping_Cost_In) / tbl_MTG_Set[[#This Row],[Collector Booster Box Size]]</f>
        <v/>
      </c>
      <c r="AY320" s="10">
        <f t="array" ref="AY3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0" s="10" t="n"/>
      <c r="BA3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0" s="17">
        <f>tbl_MTG_Set[[#This Row],[Collector Booster CardMarket Profit]]/tbl_MTG_Set[[#This Row],[Collector Booster Cost]]</f>
        <v/>
      </c>
      <c r="BC320" s="10" t="n"/>
      <c r="BF320" s="10">
        <f>tbl_MTG_Set[[#This Row],[Play Booster Sell Price CardMarket]]*tbl_MTG_Set[[#This Row],[Play Booster Expected Market Value]]/tbl_MTG_Set[[#This Row],[Play Boost Sealed Market Value]]</f>
        <v/>
      </c>
      <c r="BG3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0" s="10">
        <f>tbl_MTG_Set[[#This Row],[Play Singles CardMarket Profit]]/tbl_MTG_Set[[#This Row],[Play Booster Cost]]</f>
        <v/>
      </c>
      <c r="BI320" s="10">
        <f>tbl_MTG_Set[[#This Row],[Play Singles CardMarket Profit]]&gt;0</f>
        <v/>
      </c>
      <c r="BJ320" s="10" t="n"/>
      <c r="BK320" s="10" t="n"/>
      <c r="BL320" s="10">
        <f>tbl_MTG_Set[[#This Row],[Collector Booster Sell Price CardMarket]]*tbl_MTG_Set[[#This Row],[Collector Booster Expected Market Value]]/tbl_MTG_Set[[#This Row],[Collector Boost Sealed Market Value]]</f>
        <v/>
      </c>
      <c r="BM3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0" s="10">
        <f>tbl_MTG_Set[[#This Row],[Collector Singles CardMarket Profit]]/tbl_MTG_Set[[#This Row],[Collector Booster Cost]]</f>
        <v/>
      </c>
      <c r="BO320" s="10">
        <f>tbl_MTG_Set[[#This Row],[Collector Singles CardMarket Profit]]&gt;0</f>
        <v/>
      </c>
      <c r="BP3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1">
      <c r="A321" t="n">
        <v>319</v>
      </c>
      <c r="B321" t="inlineStr">
        <is>
          <t>Jumpstart: Historic Horizons J21</t>
        </is>
      </c>
      <c r="C321" t="n">
        <v>389</v>
      </c>
      <c r="D321" s="3" t="n">
        <v>44434</v>
      </c>
      <c r="F321" t="inlineStr">
        <is>
          <t>en es fr de it pt ja ko ru 汉语 漢語</t>
        </is>
      </c>
      <c r="G321" t="n">
        <v>584</v>
      </c>
      <c r="H321">
        <f>MONTH(NOW())+12*YEAR(NOW())-MONTH(tbl_MTG_Set[[#This Row],[Released On]])-12*YEAR(tbl_MTG_Set[[#This Row],[Released On]])</f>
        <v/>
      </c>
      <c r="I321">
        <f>_xlfn.XLOOKUP(tbl_MTG_Set[[#This Row],[Type Name]], tbl_MTG_Set_Type[Set Type], tbl_MTG_Set_Type[Index], "(Set Type not found)")</f>
        <v/>
      </c>
      <c r="J321">
        <f>_xlfn.XLOOKUP(tbl_MTG_Set[[#This Row],[Type Name]], tbl_MTG_Set_Type[Set Type], tbl_MTG_Set_Type[Buy Window Month Start], "(Set Type not found)")</f>
        <v/>
      </c>
      <c r="K321" s="3">
        <f>tbl_MTG_Set[[#This Row],[Released On]]+tbl_MTG_Set[[#This Row],[Buy Window Month Start]]*365.25/12</f>
        <v/>
      </c>
      <c r="L321">
        <f>_xlfn.XLOOKUP(tbl_MTG_Set[[#This Row],[Type Name]], tbl_MTG_Set_Type[Set Type], tbl_MTG_Set_Type[Buy Window Month End], "(Set Type not found)", 0, 1)</f>
        <v/>
      </c>
      <c r="M321" s="3">
        <f>tbl_MTG_Set[[#This Row],[Released On]]+tbl_MTG_Set[[#This Row],[Buy Window Month End]]*365.25/12</f>
        <v/>
      </c>
      <c r="N321" s="3">
        <f>AND(NOW()&gt;=tbl_MTG_Set[[#This Row],[Buy Window Start]], NOW()&lt;=tbl_MTG_Set[[#This Row],[Buy Window End]])</f>
        <v/>
      </c>
      <c r="O321">
        <f>_xlfn.XLOOKUP(tbl_MTG_Set[[#This Row],[Type Name]], tbl_MTG_Set_Type[Set Type], tbl_MTG_Set_Type[Heavy Printing Window Month Start], "(Set Type not found)", 0, 1)</f>
        <v/>
      </c>
      <c r="P321" s="3">
        <f>tbl_MTG_Set[[#This Row],[Released On]]+tbl_MTG_Set[[#This Row],[Heavy Printing Window Month Start]]*365.25/12</f>
        <v/>
      </c>
      <c r="Q321">
        <f>_xlfn.XLOOKUP(tbl_MTG_Set[[#This Row],[Type Name]], tbl_MTG_Set_Type[Set Type], tbl_MTG_Set_Type[Heavy Printing Window Month End], "(Set Type not found)", 0, 1)</f>
        <v/>
      </c>
      <c r="R321" s="3">
        <f>tbl_MTG_Set[[#This Row],[Released On]]+tbl_MTG_Set[[#This Row],[Heavy Printing Window Month End]]*365.25/12</f>
        <v/>
      </c>
      <c r="S321" s="3">
        <f>AND(NOW()&gt;=tbl_MTG_Set[[#This Row],[Heavy Printing Window Start]], NOW()&lt;=tbl_MTG_Set[[#This Row],[Heavy Printing Window End]])</f>
        <v/>
      </c>
      <c r="T321">
        <f>_xlfn.XLOOKUP(tbl_MTG_Set[[#This Row],[Type Name]], tbl_MTG_Set_Type[Set Type], tbl_MTG_Set_Type[Sell Window Month Start], "(Set Type not found)", 0, 1)</f>
        <v/>
      </c>
      <c r="U321" s="3">
        <f>tbl_MTG_Set[[#This Row],[Released On]]+tbl_MTG_Set[[#This Row],[Sell Window Month Start]]*365.25/12</f>
        <v/>
      </c>
      <c r="V321">
        <f>_xlfn.XLOOKUP(tbl_MTG_Set[[#This Row],[Type Name]], tbl_MTG_Set_Type[Set Type], tbl_MTG_Set_Type[Sell Window Month End], "(Set Type not found)", 0, 1)</f>
        <v/>
      </c>
      <c r="W321" s="3">
        <f>tbl_MTG_Set[[#This Row],[Released On]]+tbl_MTG_Set[[#This Row],[Sell Window Month End]]*365.25/12</f>
        <v/>
      </c>
      <c r="X321" s="3">
        <f>AND(NOW()&gt;=tbl_MTG_Set[[#This Row],[Sell Window Start]], NOW()&lt;=tbl_MTG_Set[[#This Row],[Sell Window End]])</f>
        <v/>
      </c>
      <c r="AG321" s="10" t="n"/>
      <c r="AH321" s="10" t="n"/>
      <c r="AM321" s="10">
        <f t="array" ref="AM3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1" s="10">
        <f t="array" ref="AN3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1" s="4">
        <f>_xlfn.XLOOKUP(tbl_MTG_Set[[#This Row],[Play Booster Box Product Id]], tbl_Product[Product Id], tbl_Product[Pack Size])</f>
        <v/>
      </c>
      <c r="AP321" s="10">
        <f>(tbl_MTG_Set[[#This Row],[Play Booster Box Cost]]+v_Item_Shipping_Cost_In)/tbl_MTG_Set[[#This Row],[Play Booster Box Size]]</f>
        <v/>
      </c>
      <c r="AQ321" s="10">
        <f t="array" ref="AQ3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1" s="10" t="n"/>
      <c r="AS321" s="10" t="n"/>
      <c r="AT321" s="17">
        <f>tbl_MTG_Set[[#This Row],[Play Booster CardMarket Profit]]/tbl_MTG_Set[[#This Row],[Play Booster Cost]]</f>
        <v/>
      </c>
      <c r="AU321" s="10">
        <f>_xlfn.XLOOKUP(tbl_MTG_Set[[#This Row],[Collector Booster Box Product Id]], tbl_Product[Product Id], tbl_Product[Min Cost])</f>
        <v/>
      </c>
      <c r="AV321" s="10">
        <f>_xlfn.XLOOKUP(tbl_MTG_Set[[#This Row],[Collector Booster Box Product Id]], tbl_Product[Product Id], tbl_Product[Best Source])</f>
        <v/>
      </c>
      <c r="AW321" s="4">
        <f>_xlfn.XLOOKUP(tbl_MTG_Set[[#This Row],[Collector Booster Box Product Id]], tbl_Product[Product Id], tbl_Product[Pack Size])</f>
        <v/>
      </c>
      <c r="AX321" s="10">
        <f>(tbl_MTG_Set[[#This Row],[Collector Booster Box Cost]] + v_Item_Shipping_Cost_In) / tbl_MTG_Set[[#This Row],[Collector Booster Box Size]]</f>
        <v/>
      </c>
      <c r="AY321" s="10">
        <f t="array" ref="AY3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1" s="10" t="n"/>
      <c r="BA3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1" s="17">
        <f>tbl_MTG_Set[[#This Row],[Collector Booster CardMarket Profit]]/tbl_MTG_Set[[#This Row],[Collector Booster Cost]]</f>
        <v/>
      </c>
      <c r="BC321" s="10" t="n"/>
      <c r="BF321" s="10">
        <f>tbl_MTG_Set[[#This Row],[Play Booster Sell Price CardMarket]]*tbl_MTG_Set[[#This Row],[Play Booster Expected Market Value]]/tbl_MTG_Set[[#This Row],[Play Boost Sealed Market Value]]</f>
        <v/>
      </c>
      <c r="BG3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1" s="10">
        <f>tbl_MTG_Set[[#This Row],[Play Singles CardMarket Profit]]/tbl_MTG_Set[[#This Row],[Play Booster Cost]]</f>
        <v/>
      </c>
      <c r="BI321" s="10">
        <f>tbl_MTG_Set[[#This Row],[Play Singles CardMarket Profit]]&gt;0</f>
        <v/>
      </c>
      <c r="BJ321" s="10" t="n"/>
      <c r="BK321" s="10" t="n"/>
      <c r="BL321" s="10">
        <f>tbl_MTG_Set[[#This Row],[Collector Booster Sell Price CardMarket]]*tbl_MTG_Set[[#This Row],[Collector Booster Expected Market Value]]/tbl_MTG_Set[[#This Row],[Collector Boost Sealed Market Value]]</f>
        <v/>
      </c>
      <c r="BM3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1" s="10">
        <f>tbl_MTG_Set[[#This Row],[Collector Singles CardMarket Profit]]/tbl_MTG_Set[[#This Row],[Collector Booster Cost]]</f>
        <v/>
      </c>
      <c r="BO321" s="10">
        <f>tbl_MTG_Set[[#This Row],[Collector Singles CardMarket Profit]]&gt;0</f>
        <v/>
      </c>
      <c r="BP3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2">
      <c r="A322" t="n">
        <v>320</v>
      </c>
      <c r="B322" t="inlineStr">
        <is>
          <t>Mystery Booster Playtest Cards 2021 CMB2</t>
        </is>
      </c>
      <c r="C322" t="n">
        <v>121</v>
      </c>
      <c r="D322" s="3" t="n">
        <v>44428</v>
      </c>
      <c r="F322" t="inlineStr">
        <is>
          <t>en es fr de it pt ja ko ru 汉语 漢語</t>
        </is>
      </c>
      <c r="G322" t="n">
        <v>586</v>
      </c>
      <c r="H322">
        <f>MONTH(NOW())+12*YEAR(NOW())-MONTH(tbl_MTG_Set[[#This Row],[Released On]])-12*YEAR(tbl_MTG_Set[[#This Row],[Released On]])</f>
        <v/>
      </c>
      <c r="I322">
        <f>_xlfn.XLOOKUP(tbl_MTG_Set[[#This Row],[Type Name]], tbl_MTG_Set_Type[Set Type], tbl_MTG_Set_Type[Index], "(Set Type not found)")</f>
        <v/>
      </c>
      <c r="J322">
        <f>_xlfn.XLOOKUP(tbl_MTG_Set[[#This Row],[Type Name]], tbl_MTG_Set_Type[Set Type], tbl_MTG_Set_Type[Buy Window Month Start], "(Set Type not found)")</f>
        <v/>
      </c>
      <c r="K322" s="3">
        <f>tbl_MTG_Set[[#This Row],[Released On]]+tbl_MTG_Set[[#This Row],[Buy Window Month Start]]*365.25/12</f>
        <v/>
      </c>
      <c r="L322">
        <f>_xlfn.XLOOKUP(tbl_MTG_Set[[#This Row],[Type Name]], tbl_MTG_Set_Type[Set Type], tbl_MTG_Set_Type[Buy Window Month End], "(Set Type not found)", 0, 1)</f>
        <v/>
      </c>
      <c r="M322" s="3">
        <f>tbl_MTG_Set[[#This Row],[Released On]]+tbl_MTG_Set[[#This Row],[Buy Window Month End]]*365.25/12</f>
        <v/>
      </c>
      <c r="N322" s="3">
        <f>AND(NOW()&gt;=tbl_MTG_Set[[#This Row],[Buy Window Start]], NOW()&lt;=tbl_MTG_Set[[#This Row],[Buy Window End]])</f>
        <v/>
      </c>
      <c r="O322">
        <f>_xlfn.XLOOKUP(tbl_MTG_Set[[#This Row],[Type Name]], tbl_MTG_Set_Type[Set Type], tbl_MTG_Set_Type[Heavy Printing Window Month Start], "(Set Type not found)", 0, 1)</f>
        <v/>
      </c>
      <c r="P322" s="3">
        <f>tbl_MTG_Set[[#This Row],[Released On]]+tbl_MTG_Set[[#This Row],[Heavy Printing Window Month Start]]*365.25/12</f>
        <v/>
      </c>
      <c r="Q322">
        <f>_xlfn.XLOOKUP(tbl_MTG_Set[[#This Row],[Type Name]], tbl_MTG_Set_Type[Set Type], tbl_MTG_Set_Type[Heavy Printing Window Month End], "(Set Type not found)", 0, 1)</f>
        <v/>
      </c>
      <c r="R322" s="3">
        <f>tbl_MTG_Set[[#This Row],[Released On]]+tbl_MTG_Set[[#This Row],[Heavy Printing Window Month End]]*365.25/12</f>
        <v/>
      </c>
      <c r="S322" s="3">
        <f>AND(NOW()&gt;=tbl_MTG_Set[[#This Row],[Heavy Printing Window Start]], NOW()&lt;=tbl_MTG_Set[[#This Row],[Heavy Printing Window End]])</f>
        <v/>
      </c>
      <c r="T322">
        <f>_xlfn.XLOOKUP(tbl_MTG_Set[[#This Row],[Type Name]], tbl_MTG_Set_Type[Set Type], tbl_MTG_Set_Type[Sell Window Month Start], "(Set Type not found)", 0, 1)</f>
        <v/>
      </c>
      <c r="U322" s="3">
        <f>tbl_MTG_Set[[#This Row],[Released On]]+tbl_MTG_Set[[#This Row],[Sell Window Month Start]]*365.25/12</f>
        <v/>
      </c>
      <c r="V322">
        <f>_xlfn.XLOOKUP(tbl_MTG_Set[[#This Row],[Type Name]], tbl_MTG_Set_Type[Set Type], tbl_MTG_Set_Type[Sell Window Month End], "(Set Type not found)", 0, 1)</f>
        <v/>
      </c>
      <c r="W322" s="3">
        <f>tbl_MTG_Set[[#This Row],[Released On]]+tbl_MTG_Set[[#This Row],[Sell Window Month End]]*365.25/12</f>
        <v/>
      </c>
      <c r="X322" s="3">
        <f>AND(NOW()&gt;=tbl_MTG_Set[[#This Row],[Sell Window Start]], NOW()&lt;=tbl_MTG_Set[[#This Row],[Sell Window End]])</f>
        <v/>
      </c>
      <c r="AG322" s="10" t="n"/>
      <c r="AH322" s="10" t="n"/>
      <c r="AM322" s="10">
        <f t="array" ref="AM3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2" s="10">
        <f t="array" ref="AN3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2" s="4">
        <f>_xlfn.XLOOKUP(tbl_MTG_Set[[#This Row],[Play Booster Box Product Id]], tbl_Product[Product Id], tbl_Product[Pack Size])</f>
        <v/>
      </c>
      <c r="AP322" s="10">
        <f>(tbl_MTG_Set[[#This Row],[Play Booster Box Cost]]+v_Item_Shipping_Cost_In)/tbl_MTG_Set[[#This Row],[Play Booster Box Size]]</f>
        <v/>
      </c>
      <c r="AQ322" s="10">
        <f t="array" ref="AQ3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2" s="10" t="n"/>
      <c r="AS322" s="10" t="n"/>
      <c r="AT322" s="17">
        <f>tbl_MTG_Set[[#This Row],[Play Booster CardMarket Profit]]/tbl_MTG_Set[[#This Row],[Play Booster Cost]]</f>
        <v/>
      </c>
      <c r="AU322" s="10">
        <f>_xlfn.XLOOKUP(tbl_MTG_Set[[#This Row],[Collector Booster Box Product Id]], tbl_Product[Product Id], tbl_Product[Min Cost])</f>
        <v/>
      </c>
      <c r="AV322" s="10">
        <f>_xlfn.XLOOKUP(tbl_MTG_Set[[#This Row],[Collector Booster Box Product Id]], tbl_Product[Product Id], tbl_Product[Best Source])</f>
        <v/>
      </c>
      <c r="AW322" s="4">
        <f>_xlfn.XLOOKUP(tbl_MTG_Set[[#This Row],[Collector Booster Box Product Id]], tbl_Product[Product Id], tbl_Product[Pack Size])</f>
        <v/>
      </c>
      <c r="AX322" s="10">
        <f>(tbl_MTG_Set[[#This Row],[Collector Booster Box Cost]] + v_Item_Shipping_Cost_In) / tbl_MTG_Set[[#This Row],[Collector Booster Box Size]]</f>
        <v/>
      </c>
      <c r="AY322" s="10">
        <f t="array" ref="AY3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2" s="10" t="n"/>
      <c r="BA3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2" s="17">
        <f>tbl_MTG_Set[[#This Row],[Collector Booster CardMarket Profit]]/tbl_MTG_Set[[#This Row],[Collector Booster Cost]]</f>
        <v/>
      </c>
      <c r="BC322" s="10" t="n"/>
      <c r="BF322" s="10">
        <f>tbl_MTG_Set[[#This Row],[Play Booster Sell Price CardMarket]]*tbl_MTG_Set[[#This Row],[Play Booster Expected Market Value]]/tbl_MTG_Set[[#This Row],[Play Boost Sealed Market Value]]</f>
        <v/>
      </c>
      <c r="BG3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2" s="10">
        <f>tbl_MTG_Set[[#This Row],[Play Singles CardMarket Profit]]/tbl_MTG_Set[[#This Row],[Play Booster Cost]]</f>
        <v/>
      </c>
      <c r="BI322" s="10">
        <f>tbl_MTG_Set[[#This Row],[Play Singles CardMarket Profit]]&gt;0</f>
        <v/>
      </c>
      <c r="BJ322" s="10" t="n"/>
      <c r="BK322" s="10" t="n"/>
      <c r="BL322" s="10">
        <f>tbl_MTG_Set[[#This Row],[Collector Booster Sell Price CardMarket]]*tbl_MTG_Set[[#This Row],[Collector Booster Expected Market Value]]/tbl_MTG_Set[[#This Row],[Collector Boost Sealed Market Value]]</f>
        <v/>
      </c>
      <c r="BM3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2" s="10">
        <f>tbl_MTG_Set[[#This Row],[Collector Singles CardMarket Profit]]/tbl_MTG_Set[[#This Row],[Collector Booster Cost]]</f>
        <v/>
      </c>
      <c r="BO322" s="10">
        <f>tbl_MTG_Set[[#This Row],[Collector Singles CardMarket Profit]]&gt;0</f>
        <v/>
      </c>
      <c r="BP3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3">
      <c r="A323" t="n">
        <v>321</v>
      </c>
      <c r="B323" t="inlineStr">
        <is>
          <t>2020 Heroes of the Realm PH20</t>
        </is>
      </c>
      <c r="C323" t="n">
        <v>3</v>
      </c>
      <c r="D323" s="3" t="n">
        <v>44409</v>
      </c>
      <c r="F323" t="inlineStr">
        <is>
          <t>en es fr de it pt ja ko ru 汉语 漢語</t>
        </is>
      </c>
      <c r="G323" t="n">
        <v>588</v>
      </c>
      <c r="H323">
        <f>MONTH(NOW())+12*YEAR(NOW())-MONTH(tbl_MTG_Set[[#This Row],[Released On]])-12*YEAR(tbl_MTG_Set[[#This Row],[Released On]])</f>
        <v/>
      </c>
      <c r="I323">
        <f>_xlfn.XLOOKUP(tbl_MTG_Set[[#This Row],[Type Name]], tbl_MTG_Set_Type[Set Type], tbl_MTG_Set_Type[Index], "(Set Type not found)")</f>
        <v/>
      </c>
      <c r="J323">
        <f>_xlfn.XLOOKUP(tbl_MTG_Set[[#This Row],[Type Name]], tbl_MTG_Set_Type[Set Type], tbl_MTG_Set_Type[Buy Window Month Start], "(Set Type not found)")</f>
        <v/>
      </c>
      <c r="K323" s="3">
        <f>tbl_MTG_Set[[#This Row],[Released On]]+tbl_MTG_Set[[#This Row],[Buy Window Month Start]]*365.25/12</f>
        <v/>
      </c>
      <c r="L323">
        <f>_xlfn.XLOOKUP(tbl_MTG_Set[[#This Row],[Type Name]], tbl_MTG_Set_Type[Set Type], tbl_MTG_Set_Type[Buy Window Month End], "(Set Type not found)", 0, 1)</f>
        <v/>
      </c>
      <c r="M323" s="3">
        <f>tbl_MTG_Set[[#This Row],[Released On]]+tbl_MTG_Set[[#This Row],[Buy Window Month End]]*365.25/12</f>
        <v/>
      </c>
      <c r="N323" s="3">
        <f>AND(NOW()&gt;=tbl_MTG_Set[[#This Row],[Buy Window Start]], NOW()&lt;=tbl_MTG_Set[[#This Row],[Buy Window End]])</f>
        <v/>
      </c>
      <c r="O323">
        <f>_xlfn.XLOOKUP(tbl_MTG_Set[[#This Row],[Type Name]], tbl_MTG_Set_Type[Set Type], tbl_MTG_Set_Type[Heavy Printing Window Month Start], "(Set Type not found)", 0, 1)</f>
        <v/>
      </c>
      <c r="P323" s="3">
        <f>tbl_MTG_Set[[#This Row],[Released On]]+tbl_MTG_Set[[#This Row],[Heavy Printing Window Month Start]]*365.25/12</f>
        <v/>
      </c>
      <c r="Q323">
        <f>_xlfn.XLOOKUP(tbl_MTG_Set[[#This Row],[Type Name]], tbl_MTG_Set_Type[Set Type], tbl_MTG_Set_Type[Heavy Printing Window Month End], "(Set Type not found)", 0, 1)</f>
        <v/>
      </c>
      <c r="R323" s="3">
        <f>tbl_MTG_Set[[#This Row],[Released On]]+tbl_MTG_Set[[#This Row],[Heavy Printing Window Month End]]*365.25/12</f>
        <v/>
      </c>
      <c r="S323" s="3">
        <f>AND(NOW()&gt;=tbl_MTG_Set[[#This Row],[Heavy Printing Window Start]], NOW()&lt;=tbl_MTG_Set[[#This Row],[Heavy Printing Window End]])</f>
        <v/>
      </c>
      <c r="T323">
        <f>_xlfn.XLOOKUP(tbl_MTG_Set[[#This Row],[Type Name]], tbl_MTG_Set_Type[Set Type], tbl_MTG_Set_Type[Sell Window Month Start], "(Set Type not found)", 0, 1)</f>
        <v/>
      </c>
      <c r="U323" s="3">
        <f>tbl_MTG_Set[[#This Row],[Released On]]+tbl_MTG_Set[[#This Row],[Sell Window Month Start]]*365.25/12</f>
        <v/>
      </c>
      <c r="V323">
        <f>_xlfn.XLOOKUP(tbl_MTG_Set[[#This Row],[Type Name]], tbl_MTG_Set_Type[Set Type], tbl_MTG_Set_Type[Sell Window Month End], "(Set Type not found)", 0, 1)</f>
        <v/>
      </c>
      <c r="W323" s="3">
        <f>tbl_MTG_Set[[#This Row],[Released On]]+tbl_MTG_Set[[#This Row],[Sell Window Month End]]*365.25/12</f>
        <v/>
      </c>
      <c r="X323" s="3">
        <f>AND(NOW()&gt;=tbl_MTG_Set[[#This Row],[Sell Window Start]], NOW()&lt;=tbl_MTG_Set[[#This Row],[Sell Window End]])</f>
        <v/>
      </c>
      <c r="AG323" s="10" t="n"/>
      <c r="AH323" s="10" t="n"/>
      <c r="AM323" s="10">
        <f t="array" ref="AM3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3" s="10">
        <f t="array" ref="AN3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3" s="4">
        <f>_xlfn.XLOOKUP(tbl_MTG_Set[[#This Row],[Play Booster Box Product Id]], tbl_Product[Product Id], tbl_Product[Pack Size])</f>
        <v/>
      </c>
      <c r="AP323" s="10">
        <f>(tbl_MTG_Set[[#This Row],[Play Booster Box Cost]]+v_Item_Shipping_Cost_In)/tbl_MTG_Set[[#This Row],[Play Booster Box Size]]</f>
        <v/>
      </c>
      <c r="AQ323" s="10">
        <f t="array" ref="AQ3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3" s="10" t="n"/>
      <c r="AS323" s="10" t="n"/>
      <c r="AT323" s="17">
        <f>tbl_MTG_Set[[#This Row],[Play Booster CardMarket Profit]]/tbl_MTG_Set[[#This Row],[Play Booster Cost]]</f>
        <v/>
      </c>
      <c r="AU323" s="10">
        <f>_xlfn.XLOOKUP(tbl_MTG_Set[[#This Row],[Collector Booster Box Product Id]], tbl_Product[Product Id], tbl_Product[Min Cost])</f>
        <v/>
      </c>
      <c r="AV323" s="10">
        <f>_xlfn.XLOOKUP(tbl_MTG_Set[[#This Row],[Collector Booster Box Product Id]], tbl_Product[Product Id], tbl_Product[Best Source])</f>
        <v/>
      </c>
      <c r="AW323" s="4">
        <f>_xlfn.XLOOKUP(tbl_MTG_Set[[#This Row],[Collector Booster Box Product Id]], tbl_Product[Product Id], tbl_Product[Pack Size])</f>
        <v/>
      </c>
      <c r="AX323" s="10">
        <f>(tbl_MTG_Set[[#This Row],[Collector Booster Box Cost]] + v_Item_Shipping_Cost_In) / tbl_MTG_Set[[#This Row],[Collector Booster Box Size]]</f>
        <v/>
      </c>
      <c r="AY323" s="10">
        <f t="array" ref="AY3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3" s="10" t="n"/>
      <c r="BA3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3" s="17">
        <f>tbl_MTG_Set[[#This Row],[Collector Booster CardMarket Profit]]/tbl_MTG_Set[[#This Row],[Collector Booster Cost]]</f>
        <v/>
      </c>
      <c r="BC323" s="10" t="n"/>
      <c r="BF323" s="10">
        <f>tbl_MTG_Set[[#This Row],[Play Booster Sell Price CardMarket]]*tbl_MTG_Set[[#This Row],[Play Booster Expected Market Value]]/tbl_MTG_Set[[#This Row],[Play Boost Sealed Market Value]]</f>
        <v/>
      </c>
      <c r="BG3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3" s="10">
        <f>tbl_MTG_Set[[#This Row],[Play Singles CardMarket Profit]]/tbl_MTG_Set[[#This Row],[Play Booster Cost]]</f>
        <v/>
      </c>
      <c r="BI323" s="10">
        <f>tbl_MTG_Set[[#This Row],[Play Singles CardMarket Profit]]&gt;0</f>
        <v/>
      </c>
      <c r="BJ323" s="10" t="n"/>
      <c r="BK323" s="10" t="n"/>
      <c r="BL323" s="10">
        <f>tbl_MTG_Set[[#This Row],[Collector Booster Sell Price CardMarket]]*tbl_MTG_Set[[#This Row],[Collector Booster Expected Market Value]]/tbl_MTG_Set[[#This Row],[Collector Boost Sealed Market Value]]</f>
        <v/>
      </c>
      <c r="BM3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3" s="10">
        <f>tbl_MTG_Set[[#This Row],[Collector Singles CardMarket Profit]]/tbl_MTG_Set[[#This Row],[Collector Booster Cost]]</f>
        <v/>
      </c>
      <c r="BO323" s="10">
        <f>tbl_MTG_Set[[#This Row],[Collector Singles CardMarket Profit]]&gt;0</f>
        <v/>
      </c>
      <c r="BP3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4">
      <c r="A324" t="n">
        <v>322</v>
      </c>
      <c r="B324" t="inlineStr">
        <is>
          <t>Adventures in the Forgotten Realms AFR</t>
        </is>
      </c>
      <c r="C324" t="n">
        <v>424</v>
      </c>
      <c r="D324" s="3" t="n">
        <v>44400</v>
      </c>
      <c r="F324" t="inlineStr">
        <is>
          <t>en es fr de it pt ja ko ru 汉语 漢語</t>
        </is>
      </c>
      <c r="G324" t="n">
        <v>590</v>
      </c>
      <c r="H324">
        <f>MONTH(NOW())+12*YEAR(NOW())-MONTH(tbl_MTG_Set[[#This Row],[Released On]])-12*YEAR(tbl_MTG_Set[[#This Row],[Released On]])</f>
        <v/>
      </c>
      <c r="I324">
        <f>_xlfn.XLOOKUP(tbl_MTG_Set[[#This Row],[Type Name]], tbl_MTG_Set_Type[Set Type], tbl_MTG_Set_Type[Index], "(Set Type not found)")</f>
        <v/>
      </c>
      <c r="J324">
        <f>_xlfn.XLOOKUP(tbl_MTG_Set[[#This Row],[Type Name]], tbl_MTG_Set_Type[Set Type], tbl_MTG_Set_Type[Buy Window Month Start], "(Set Type not found)")</f>
        <v/>
      </c>
      <c r="K324" s="3">
        <f>tbl_MTG_Set[[#This Row],[Released On]]+tbl_MTG_Set[[#This Row],[Buy Window Month Start]]*365.25/12</f>
        <v/>
      </c>
      <c r="L324">
        <f>_xlfn.XLOOKUP(tbl_MTG_Set[[#This Row],[Type Name]], tbl_MTG_Set_Type[Set Type], tbl_MTG_Set_Type[Buy Window Month End], "(Set Type not found)", 0, 1)</f>
        <v/>
      </c>
      <c r="M324" s="3">
        <f>tbl_MTG_Set[[#This Row],[Released On]]+tbl_MTG_Set[[#This Row],[Buy Window Month End]]*365.25/12</f>
        <v/>
      </c>
      <c r="N324" s="3">
        <f>AND(NOW()&gt;=tbl_MTG_Set[[#This Row],[Buy Window Start]], NOW()&lt;=tbl_MTG_Set[[#This Row],[Buy Window End]])</f>
        <v/>
      </c>
      <c r="O324">
        <f>_xlfn.XLOOKUP(tbl_MTG_Set[[#This Row],[Type Name]], tbl_MTG_Set_Type[Set Type], tbl_MTG_Set_Type[Heavy Printing Window Month Start], "(Set Type not found)", 0, 1)</f>
        <v/>
      </c>
      <c r="P324" s="3">
        <f>tbl_MTG_Set[[#This Row],[Released On]]+tbl_MTG_Set[[#This Row],[Heavy Printing Window Month Start]]*365.25/12</f>
        <v/>
      </c>
      <c r="Q324">
        <f>_xlfn.XLOOKUP(tbl_MTG_Set[[#This Row],[Type Name]], tbl_MTG_Set_Type[Set Type], tbl_MTG_Set_Type[Heavy Printing Window Month End], "(Set Type not found)", 0, 1)</f>
        <v/>
      </c>
      <c r="R324" s="3">
        <f>tbl_MTG_Set[[#This Row],[Released On]]+tbl_MTG_Set[[#This Row],[Heavy Printing Window Month End]]*365.25/12</f>
        <v/>
      </c>
      <c r="S324" s="3">
        <f>AND(NOW()&gt;=tbl_MTG_Set[[#This Row],[Heavy Printing Window Start]], NOW()&lt;=tbl_MTG_Set[[#This Row],[Heavy Printing Window End]])</f>
        <v/>
      </c>
      <c r="T324">
        <f>_xlfn.XLOOKUP(tbl_MTG_Set[[#This Row],[Type Name]], tbl_MTG_Set_Type[Set Type], tbl_MTG_Set_Type[Sell Window Month Start], "(Set Type not found)", 0, 1)</f>
        <v/>
      </c>
      <c r="U324" s="3">
        <f>tbl_MTG_Set[[#This Row],[Released On]]+tbl_MTG_Set[[#This Row],[Sell Window Month Start]]*365.25/12</f>
        <v/>
      </c>
      <c r="V324">
        <f>_xlfn.XLOOKUP(tbl_MTG_Set[[#This Row],[Type Name]], tbl_MTG_Set_Type[Set Type], tbl_MTG_Set_Type[Sell Window Month End], "(Set Type not found)", 0, 1)</f>
        <v/>
      </c>
      <c r="W324" s="3">
        <f>tbl_MTG_Set[[#This Row],[Released On]]+tbl_MTG_Set[[#This Row],[Sell Window Month End]]*365.25/12</f>
        <v/>
      </c>
      <c r="X324" s="3">
        <f>AND(NOW()&gt;=tbl_MTG_Set[[#This Row],[Sell Window Start]], NOW()&lt;=tbl_MTG_Set[[#This Row],[Sell Window End]])</f>
        <v/>
      </c>
      <c r="AG324" s="10" t="n"/>
      <c r="AH324" s="10" t="n"/>
      <c r="AM324" s="10">
        <f t="array" ref="AM3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4" s="10">
        <f t="array" ref="AN3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4" s="4">
        <f>_xlfn.XLOOKUP(tbl_MTG_Set[[#This Row],[Play Booster Box Product Id]], tbl_Product[Product Id], tbl_Product[Pack Size])</f>
        <v/>
      </c>
      <c r="AP324" s="10">
        <f>(tbl_MTG_Set[[#This Row],[Play Booster Box Cost]]+v_Item_Shipping_Cost_In)/tbl_MTG_Set[[#This Row],[Play Booster Box Size]]</f>
        <v/>
      </c>
      <c r="AQ324" s="10">
        <f t="array" ref="AQ3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4" s="10" t="n"/>
      <c r="AS324" s="10" t="n"/>
      <c r="AT324" s="17">
        <f>tbl_MTG_Set[[#This Row],[Play Booster CardMarket Profit]]/tbl_MTG_Set[[#This Row],[Play Booster Cost]]</f>
        <v/>
      </c>
      <c r="AU324" s="10">
        <f>_xlfn.XLOOKUP(tbl_MTG_Set[[#This Row],[Collector Booster Box Product Id]], tbl_Product[Product Id], tbl_Product[Min Cost])</f>
        <v/>
      </c>
      <c r="AV324" s="10">
        <f>_xlfn.XLOOKUP(tbl_MTG_Set[[#This Row],[Collector Booster Box Product Id]], tbl_Product[Product Id], tbl_Product[Best Source])</f>
        <v/>
      </c>
      <c r="AW324" s="4">
        <f>_xlfn.XLOOKUP(tbl_MTG_Set[[#This Row],[Collector Booster Box Product Id]], tbl_Product[Product Id], tbl_Product[Pack Size])</f>
        <v/>
      </c>
      <c r="AX324" s="10">
        <f>(tbl_MTG_Set[[#This Row],[Collector Booster Box Cost]] + v_Item_Shipping_Cost_In) / tbl_MTG_Set[[#This Row],[Collector Booster Box Size]]</f>
        <v/>
      </c>
      <c r="AY324" s="10">
        <f t="array" ref="AY3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4" s="10" t="n"/>
      <c r="BA3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4" s="17">
        <f>tbl_MTG_Set[[#This Row],[Collector Booster CardMarket Profit]]/tbl_MTG_Set[[#This Row],[Collector Booster Cost]]</f>
        <v/>
      </c>
      <c r="BC324" s="10" t="n"/>
      <c r="BF324" s="10">
        <f>tbl_MTG_Set[[#This Row],[Play Booster Sell Price CardMarket]]*tbl_MTG_Set[[#This Row],[Play Booster Expected Market Value]]/tbl_MTG_Set[[#This Row],[Play Boost Sealed Market Value]]</f>
        <v/>
      </c>
      <c r="BG3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4" s="10">
        <f>tbl_MTG_Set[[#This Row],[Play Singles CardMarket Profit]]/tbl_MTG_Set[[#This Row],[Play Booster Cost]]</f>
        <v/>
      </c>
      <c r="BI324" s="10">
        <f>tbl_MTG_Set[[#This Row],[Play Singles CardMarket Profit]]&gt;0</f>
        <v/>
      </c>
      <c r="BJ324" s="10" t="n"/>
      <c r="BK324" s="10" t="n"/>
      <c r="BL324" s="10">
        <f>tbl_MTG_Set[[#This Row],[Collector Booster Sell Price CardMarket]]*tbl_MTG_Set[[#This Row],[Collector Booster Expected Market Value]]/tbl_MTG_Set[[#This Row],[Collector Boost Sealed Market Value]]</f>
        <v/>
      </c>
      <c r="BM3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4" s="10">
        <f>tbl_MTG_Set[[#This Row],[Collector Singles CardMarket Profit]]/tbl_MTG_Set[[#This Row],[Collector Booster Cost]]</f>
        <v/>
      </c>
      <c r="BO324" s="10">
        <f>tbl_MTG_Set[[#This Row],[Collector Singles CardMarket Profit]]&gt;0</f>
        <v/>
      </c>
      <c r="BP3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5">
      <c r="A325" t="n">
        <v>323</v>
      </c>
      <c r="B325" t="inlineStr">
        <is>
          <t>Adventures in the Forgotten Realms Promos PAFR</t>
        </is>
      </c>
      <c r="C325" t="n">
        <v>241</v>
      </c>
      <c r="D325" s="3" t="n">
        <v>44400</v>
      </c>
      <c r="F325" t="inlineStr">
        <is>
          <t>en es fr de it pt ja ko ru 汉语 漢語</t>
        </is>
      </c>
      <c r="G325" t="n">
        <v>592</v>
      </c>
      <c r="H325">
        <f>MONTH(NOW())+12*YEAR(NOW())-MONTH(tbl_MTG_Set[[#This Row],[Released On]])-12*YEAR(tbl_MTG_Set[[#This Row],[Released On]])</f>
        <v/>
      </c>
      <c r="I325">
        <f>_xlfn.XLOOKUP(tbl_MTG_Set[[#This Row],[Type Name]], tbl_MTG_Set_Type[Set Type], tbl_MTG_Set_Type[Index], "(Set Type not found)")</f>
        <v/>
      </c>
      <c r="J325">
        <f>_xlfn.XLOOKUP(tbl_MTG_Set[[#This Row],[Type Name]], tbl_MTG_Set_Type[Set Type], tbl_MTG_Set_Type[Buy Window Month Start], "(Set Type not found)")</f>
        <v/>
      </c>
      <c r="K325" s="3">
        <f>tbl_MTG_Set[[#This Row],[Released On]]+tbl_MTG_Set[[#This Row],[Buy Window Month Start]]*365.25/12</f>
        <v/>
      </c>
      <c r="L325">
        <f>_xlfn.XLOOKUP(tbl_MTG_Set[[#This Row],[Type Name]], tbl_MTG_Set_Type[Set Type], tbl_MTG_Set_Type[Buy Window Month End], "(Set Type not found)", 0, 1)</f>
        <v/>
      </c>
      <c r="M325" s="3">
        <f>tbl_MTG_Set[[#This Row],[Released On]]+tbl_MTG_Set[[#This Row],[Buy Window Month End]]*365.25/12</f>
        <v/>
      </c>
      <c r="N325" s="3">
        <f>AND(NOW()&gt;=tbl_MTG_Set[[#This Row],[Buy Window Start]], NOW()&lt;=tbl_MTG_Set[[#This Row],[Buy Window End]])</f>
        <v/>
      </c>
      <c r="O325">
        <f>_xlfn.XLOOKUP(tbl_MTG_Set[[#This Row],[Type Name]], tbl_MTG_Set_Type[Set Type], tbl_MTG_Set_Type[Heavy Printing Window Month Start], "(Set Type not found)", 0, 1)</f>
        <v/>
      </c>
      <c r="P325" s="3">
        <f>tbl_MTG_Set[[#This Row],[Released On]]+tbl_MTG_Set[[#This Row],[Heavy Printing Window Month Start]]*365.25/12</f>
        <v/>
      </c>
      <c r="Q325">
        <f>_xlfn.XLOOKUP(tbl_MTG_Set[[#This Row],[Type Name]], tbl_MTG_Set_Type[Set Type], tbl_MTG_Set_Type[Heavy Printing Window Month End], "(Set Type not found)", 0, 1)</f>
        <v/>
      </c>
      <c r="R325" s="3">
        <f>tbl_MTG_Set[[#This Row],[Released On]]+tbl_MTG_Set[[#This Row],[Heavy Printing Window Month End]]*365.25/12</f>
        <v/>
      </c>
      <c r="S325" s="3">
        <f>AND(NOW()&gt;=tbl_MTG_Set[[#This Row],[Heavy Printing Window Start]], NOW()&lt;=tbl_MTG_Set[[#This Row],[Heavy Printing Window End]])</f>
        <v/>
      </c>
      <c r="T325">
        <f>_xlfn.XLOOKUP(tbl_MTG_Set[[#This Row],[Type Name]], tbl_MTG_Set_Type[Set Type], tbl_MTG_Set_Type[Sell Window Month Start], "(Set Type not found)", 0, 1)</f>
        <v/>
      </c>
      <c r="U325" s="3">
        <f>tbl_MTG_Set[[#This Row],[Released On]]+tbl_MTG_Set[[#This Row],[Sell Window Month Start]]*365.25/12</f>
        <v/>
      </c>
      <c r="V325">
        <f>_xlfn.XLOOKUP(tbl_MTG_Set[[#This Row],[Type Name]], tbl_MTG_Set_Type[Set Type], tbl_MTG_Set_Type[Sell Window Month End], "(Set Type not found)", 0, 1)</f>
        <v/>
      </c>
      <c r="W325" s="3">
        <f>tbl_MTG_Set[[#This Row],[Released On]]+tbl_MTG_Set[[#This Row],[Sell Window Month End]]*365.25/12</f>
        <v/>
      </c>
      <c r="X325" s="3">
        <f>AND(NOW()&gt;=tbl_MTG_Set[[#This Row],[Sell Window Start]], NOW()&lt;=tbl_MTG_Set[[#This Row],[Sell Window End]])</f>
        <v/>
      </c>
      <c r="AG325" s="10" t="n"/>
      <c r="AH325" s="10" t="n"/>
      <c r="AM325" s="10">
        <f t="array" ref="AM3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5" s="10">
        <f t="array" ref="AN3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5" s="4">
        <f>_xlfn.XLOOKUP(tbl_MTG_Set[[#This Row],[Play Booster Box Product Id]], tbl_Product[Product Id], tbl_Product[Pack Size])</f>
        <v/>
      </c>
      <c r="AP325" s="10">
        <f>(tbl_MTG_Set[[#This Row],[Play Booster Box Cost]]+v_Item_Shipping_Cost_In)/tbl_MTG_Set[[#This Row],[Play Booster Box Size]]</f>
        <v/>
      </c>
      <c r="AQ325" s="10">
        <f t="array" ref="AQ3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5" s="10" t="n"/>
      <c r="AS325" s="10" t="n"/>
      <c r="AT325" s="17">
        <f>tbl_MTG_Set[[#This Row],[Play Booster CardMarket Profit]]/tbl_MTG_Set[[#This Row],[Play Booster Cost]]</f>
        <v/>
      </c>
      <c r="AU325" s="10">
        <f>_xlfn.XLOOKUP(tbl_MTG_Set[[#This Row],[Collector Booster Box Product Id]], tbl_Product[Product Id], tbl_Product[Min Cost])</f>
        <v/>
      </c>
      <c r="AV325" s="10">
        <f>_xlfn.XLOOKUP(tbl_MTG_Set[[#This Row],[Collector Booster Box Product Id]], tbl_Product[Product Id], tbl_Product[Best Source])</f>
        <v/>
      </c>
      <c r="AW325" s="4">
        <f>_xlfn.XLOOKUP(tbl_MTG_Set[[#This Row],[Collector Booster Box Product Id]], tbl_Product[Product Id], tbl_Product[Pack Size])</f>
        <v/>
      </c>
      <c r="AX325" s="10">
        <f>(tbl_MTG_Set[[#This Row],[Collector Booster Box Cost]] + v_Item_Shipping_Cost_In) / tbl_MTG_Set[[#This Row],[Collector Booster Box Size]]</f>
        <v/>
      </c>
      <c r="AY325" s="10">
        <f t="array" ref="AY3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5" s="10" t="n"/>
      <c r="BA3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5" s="17">
        <f>tbl_MTG_Set[[#This Row],[Collector Booster CardMarket Profit]]/tbl_MTG_Set[[#This Row],[Collector Booster Cost]]</f>
        <v/>
      </c>
      <c r="BC325" s="10" t="n"/>
      <c r="BF325" s="10">
        <f>tbl_MTG_Set[[#This Row],[Play Booster Sell Price CardMarket]]*tbl_MTG_Set[[#This Row],[Play Booster Expected Market Value]]/tbl_MTG_Set[[#This Row],[Play Boost Sealed Market Value]]</f>
        <v/>
      </c>
      <c r="BG3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5" s="10">
        <f>tbl_MTG_Set[[#This Row],[Play Singles CardMarket Profit]]/tbl_MTG_Set[[#This Row],[Play Booster Cost]]</f>
        <v/>
      </c>
      <c r="BI325" s="10">
        <f>tbl_MTG_Set[[#This Row],[Play Singles CardMarket Profit]]&gt;0</f>
        <v/>
      </c>
      <c r="BJ325" s="10" t="n"/>
      <c r="BK325" s="10" t="n"/>
      <c r="BL325" s="10">
        <f>tbl_MTG_Set[[#This Row],[Collector Booster Sell Price CardMarket]]*tbl_MTG_Set[[#This Row],[Collector Booster Expected Market Value]]/tbl_MTG_Set[[#This Row],[Collector Boost Sealed Market Value]]</f>
        <v/>
      </c>
      <c r="BM3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5" s="10">
        <f>tbl_MTG_Set[[#This Row],[Collector Singles CardMarket Profit]]/tbl_MTG_Set[[#This Row],[Collector Booster Cost]]</f>
        <v/>
      </c>
      <c r="BO325" s="10">
        <f>tbl_MTG_Set[[#This Row],[Collector Singles CardMarket Profit]]&gt;0</f>
        <v/>
      </c>
      <c r="BP3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6">
      <c r="A326" t="n">
        <v>324</v>
      </c>
      <c r="B326" t="inlineStr">
        <is>
          <t>Adventures in the Forgotten Realms Tokens TAFR</t>
        </is>
      </c>
      <c r="C326" t="n">
        <v>22</v>
      </c>
      <c r="D326" s="3" t="n">
        <v>44400</v>
      </c>
      <c r="F326" t="inlineStr">
        <is>
          <t>en es fr de it pt ja ko ru 汉语 漢語</t>
        </is>
      </c>
      <c r="G326" t="n">
        <v>594</v>
      </c>
      <c r="H326">
        <f>MONTH(NOW())+12*YEAR(NOW())-MONTH(tbl_MTG_Set[[#This Row],[Released On]])-12*YEAR(tbl_MTG_Set[[#This Row],[Released On]])</f>
        <v/>
      </c>
      <c r="I326">
        <f>_xlfn.XLOOKUP(tbl_MTG_Set[[#This Row],[Type Name]], tbl_MTG_Set_Type[Set Type], tbl_MTG_Set_Type[Index], "(Set Type not found)")</f>
        <v/>
      </c>
      <c r="J326">
        <f>_xlfn.XLOOKUP(tbl_MTG_Set[[#This Row],[Type Name]], tbl_MTG_Set_Type[Set Type], tbl_MTG_Set_Type[Buy Window Month Start], "(Set Type not found)")</f>
        <v/>
      </c>
      <c r="K326" s="3">
        <f>tbl_MTG_Set[[#This Row],[Released On]]+tbl_MTG_Set[[#This Row],[Buy Window Month Start]]*365.25/12</f>
        <v/>
      </c>
      <c r="L326">
        <f>_xlfn.XLOOKUP(tbl_MTG_Set[[#This Row],[Type Name]], tbl_MTG_Set_Type[Set Type], tbl_MTG_Set_Type[Buy Window Month End], "(Set Type not found)", 0, 1)</f>
        <v/>
      </c>
      <c r="M326" s="3">
        <f>tbl_MTG_Set[[#This Row],[Released On]]+tbl_MTG_Set[[#This Row],[Buy Window Month End]]*365.25/12</f>
        <v/>
      </c>
      <c r="N326" s="3">
        <f>AND(NOW()&gt;=tbl_MTG_Set[[#This Row],[Buy Window Start]], NOW()&lt;=tbl_MTG_Set[[#This Row],[Buy Window End]])</f>
        <v/>
      </c>
      <c r="O326">
        <f>_xlfn.XLOOKUP(tbl_MTG_Set[[#This Row],[Type Name]], tbl_MTG_Set_Type[Set Type], tbl_MTG_Set_Type[Heavy Printing Window Month Start], "(Set Type not found)", 0, 1)</f>
        <v/>
      </c>
      <c r="P326" s="3">
        <f>tbl_MTG_Set[[#This Row],[Released On]]+tbl_MTG_Set[[#This Row],[Heavy Printing Window Month Start]]*365.25/12</f>
        <v/>
      </c>
      <c r="Q326">
        <f>_xlfn.XLOOKUP(tbl_MTG_Set[[#This Row],[Type Name]], tbl_MTG_Set_Type[Set Type], tbl_MTG_Set_Type[Heavy Printing Window Month End], "(Set Type not found)", 0, 1)</f>
        <v/>
      </c>
      <c r="R326" s="3">
        <f>tbl_MTG_Set[[#This Row],[Released On]]+tbl_MTG_Set[[#This Row],[Heavy Printing Window Month End]]*365.25/12</f>
        <v/>
      </c>
      <c r="S326" s="3">
        <f>AND(NOW()&gt;=tbl_MTG_Set[[#This Row],[Heavy Printing Window Start]], NOW()&lt;=tbl_MTG_Set[[#This Row],[Heavy Printing Window End]])</f>
        <v/>
      </c>
      <c r="T326">
        <f>_xlfn.XLOOKUP(tbl_MTG_Set[[#This Row],[Type Name]], tbl_MTG_Set_Type[Set Type], tbl_MTG_Set_Type[Sell Window Month Start], "(Set Type not found)", 0, 1)</f>
        <v/>
      </c>
      <c r="U326" s="3">
        <f>tbl_MTG_Set[[#This Row],[Released On]]+tbl_MTG_Set[[#This Row],[Sell Window Month Start]]*365.25/12</f>
        <v/>
      </c>
      <c r="V326">
        <f>_xlfn.XLOOKUP(tbl_MTG_Set[[#This Row],[Type Name]], tbl_MTG_Set_Type[Set Type], tbl_MTG_Set_Type[Sell Window Month End], "(Set Type not found)", 0, 1)</f>
        <v/>
      </c>
      <c r="W326" s="3">
        <f>tbl_MTG_Set[[#This Row],[Released On]]+tbl_MTG_Set[[#This Row],[Sell Window Month End]]*365.25/12</f>
        <v/>
      </c>
      <c r="X326" s="3">
        <f>AND(NOW()&gt;=tbl_MTG_Set[[#This Row],[Sell Window Start]], NOW()&lt;=tbl_MTG_Set[[#This Row],[Sell Window End]])</f>
        <v/>
      </c>
      <c r="AG326" s="10" t="n"/>
      <c r="AH326" s="10" t="n"/>
      <c r="AM326" s="10">
        <f t="array" ref="AM3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6" s="10">
        <f t="array" ref="AN3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6" s="4">
        <f>_xlfn.XLOOKUP(tbl_MTG_Set[[#This Row],[Play Booster Box Product Id]], tbl_Product[Product Id], tbl_Product[Pack Size])</f>
        <v/>
      </c>
      <c r="AP326" s="10">
        <f>(tbl_MTG_Set[[#This Row],[Play Booster Box Cost]]+v_Item_Shipping_Cost_In)/tbl_MTG_Set[[#This Row],[Play Booster Box Size]]</f>
        <v/>
      </c>
      <c r="AQ326" s="10">
        <f t="array" ref="AQ3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6" s="10" t="n"/>
      <c r="AS326" s="10" t="n"/>
      <c r="AT326" s="17">
        <f>tbl_MTG_Set[[#This Row],[Play Booster CardMarket Profit]]/tbl_MTG_Set[[#This Row],[Play Booster Cost]]</f>
        <v/>
      </c>
      <c r="AU326" s="10">
        <f>_xlfn.XLOOKUP(tbl_MTG_Set[[#This Row],[Collector Booster Box Product Id]], tbl_Product[Product Id], tbl_Product[Min Cost])</f>
        <v/>
      </c>
      <c r="AV326" s="10">
        <f>_xlfn.XLOOKUP(tbl_MTG_Set[[#This Row],[Collector Booster Box Product Id]], tbl_Product[Product Id], tbl_Product[Best Source])</f>
        <v/>
      </c>
      <c r="AW326" s="4">
        <f>_xlfn.XLOOKUP(tbl_MTG_Set[[#This Row],[Collector Booster Box Product Id]], tbl_Product[Product Id], tbl_Product[Pack Size])</f>
        <v/>
      </c>
      <c r="AX326" s="10">
        <f>(tbl_MTG_Set[[#This Row],[Collector Booster Box Cost]] + v_Item_Shipping_Cost_In) / tbl_MTG_Set[[#This Row],[Collector Booster Box Size]]</f>
        <v/>
      </c>
      <c r="AY326" s="10">
        <f t="array" ref="AY3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6" s="10" t="n"/>
      <c r="BA3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6" s="17">
        <f>tbl_MTG_Set[[#This Row],[Collector Booster CardMarket Profit]]/tbl_MTG_Set[[#This Row],[Collector Booster Cost]]</f>
        <v/>
      </c>
      <c r="BC326" s="10" t="n"/>
      <c r="BF326" s="10">
        <f>tbl_MTG_Set[[#This Row],[Play Booster Sell Price CardMarket]]*tbl_MTG_Set[[#This Row],[Play Booster Expected Market Value]]/tbl_MTG_Set[[#This Row],[Play Boost Sealed Market Value]]</f>
        <v/>
      </c>
      <c r="BG3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6" s="10">
        <f>tbl_MTG_Set[[#This Row],[Play Singles CardMarket Profit]]/tbl_MTG_Set[[#This Row],[Play Booster Cost]]</f>
        <v/>
      </c>
      <c r="BI326" s="10">
        <f>tbl_MTG_Set[[#This Row],[Play Singles CardMarket Profit]]&gt;0</f>
        <v/>
      </c>
      <c r="BJ326" s="10" t="n"/>
      <c r="BK326" s="10" t="n"/>
      <c r="BL326" s="10">
        <f>tbl_MTG_Set[[#This Row],[Collector Booster Sell Price CardMarket]]*tbl_MTG_Set[[#This Row],[Collector Booster Expected Market Value]]/tbl_MTG_Set[[#This Row],[Collector Boost Sealed Market Value]]</f>
        <v/>
      </c>
      <c r="BM3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6" s="10">
        <f>tbl_MTG_Set[[#This Row],[Collector Singles CardMarket Profit]]/tbl_MTG_Set[[#This Row],[Collector Booster Cost]]</f>
        <v/>
      </c>
      <c r="BO326" s="10">
        <f>tbl_MTG_Set[[#This Row],[Collector Singles CardMarket Profit]]&gt;0</f>
        <v/>
      </c>
      <c r="BP3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7">
      <c r="A327" t="n">
        <v>325</v>
      </c>
      <c r="B327" t="inlineStr">
        <is>
          <t>Forgotten Realms Oversized Cards OAFR</t>
        </is>
      </c>
      <c r="C327" t="n">
        <v>3</v>
      </c>
      <c r="D327" s="3" t="n">
        <v>44400</v>
      </c>
      <c r="F327" t="inlineStr">
        <is>
          <t>en es fr de it pt ja ko ru 汉语 漢語</t>
        </is>
      </c>
      <c r="G327" t="n">
        <v>596</v>
      </c>
      <c r="H327">
        <f>MONTH(NOW())+12*YEAR(NOW())-MONTH(tbl_MTG_Set[[#This Row],[Released On]])-12*YEAR(tbl_MTG_Set[[#This Row],[Released On]])</f>
        <v/>
      </c>
      <c r="I327">
        <f>_xlfn.XLOOKUP(tbl_MTG_Set[[#This Row],[Type Name]], tbl_MTG_Set_Type[Set Type], tbl_MTG_Set_Type[Index], "(Set Type not found)")</f>
        <v/>
      </c>
      <c r="J327">
        <f>_xlfn.XLOOKUP(tbl_MTG_Set[[#This Row],[Type Name]], tbl_MTG_Set_Type[Set Type], tbl_MTG_Set_Type[Buy Window Month Start], "(Set Type not found)")</f>
        <v/>
      </c>
      <c r="K327" s="3">
        <f>tbl_MTG_Set[[#This Row],[Released On]]+tbl_MTG_Set[[#This Row],[Buy Window Month Start]]*365.25/12</f>
        <v/>
      </c>
      <c r="L327">
        <f>_xlfn.XLOOKUP(tbl_MTG_Set[[#This Row],[Type Name]], tbl_MTG_Set_Type[Set Type], tbl_MTG_Set_Type[Buy Window Month End], "(Set Type not found)", 0, 1)</f>
        <v/>
      </c>
      <c r="M327" s="3">
        <f>tbl_MTG_Set[[#This Row],[Released On]]+tbl_MTG_Set[[#This Row],[Buy Window Month End]]*365.25/12</f>
        <v/>
      </c>
      <c r="N327" s="3">
        <f>AND(NOW()&gt;=tbl_MTG_Set[[#This Row],[Buy Window Start]], NOW()&lt;=tbl_MTG_Set[[#This Row],[Buy Window End]])</f>
        <v/>
      </c>
      <c r="O327">
        <f>_xlfn.XLOOKUP(tbl_MTG_Set[[#This Row],[Type Name]], tbl_MTG_Set_Type[Set Type], tbl_MTG_Set_Type[Heavy Printing Window Month Start], "(Set Type not found)", 0, 1)</f>
        <v/>
      </c>
      <c r="P327" s="3">
        <f>tbl_MTG_Set[[#This Row],[Released On]]+tbl_MTG_Set[[#This Row],[Heavy Printing Window Month Start]]*365.25/12</f>
        <v/>
      </c>
      <c r="Q327">
        <f>_xlfn.XLOOKUP(tbl_MTG_Set[[#This Row],[Type Name]], tbl_MTG_Set_Type[Set Type], tbl_MTG_Set_Type[Heavy Printing Window Month End], "(Set Type not found)", 0, 1)</f>
        <v/>
      </c>
      <c r="R327" s="3">
        <f>tbl_MTG_Set[[#This Row],[Released On]]+tbl_MTG_Set[[#This Row],[Heavy Printing Window Month End]]*365.25/12</f>
        <v/>
      </c>
      <c r="S327" s="3">
        <f>AND(NOW()&gt;=tbl_MTG_Set[[#This Row],[Heavy Printing Window Start]], NOW()&lt;=tbl_MTG_Set[[#This Row],[Heavy Printing Window End]])</f>
        <v/>
      </c>
      <c r="T327">
        <f>_xlfn.XLOOKUP(tbl_MTG_Set[[#This Row],[Type Name]], tbl_MTG_Set_Type[Set Type], tbl_MTG_Set_Type[Sell Window Month Start], "(Set Type not found)", 0, 1)</f>
        <v/>
      </c>
      <c r="U327" s="3">
        <f>tbl_MTG_Set[[#This Row],[Released On]]+tbl_MTG_Set[[#This Row],[Sell Window Month Start]]*365.25/12</f>
        <v/>
      </c>
      <c r="V327">
        <f>_xlfn.XLOOKUP(tbl_MTG_Set[[#This Row],[Type Name]], tbl_MTG_Set_Type[Set Type], tbl_MTG_Set_Type[Sell Window Month End], "(Set Type not found)", 0, 1)</f>
        <v/>
      </c>
      <c r="W327" s="3">
        <f>tbl_MTG_Set[[#This Row],[Released On]]+tbl_MTG_Set[[#This Row],[Sell Window Month End]]*365.25/12</f>
        <v/>
      </c>
      <c r="X327" s="3">
        <f>AND(NOW()&gt;=tbl_MTG_Set[[#This Row],[Sell Window Start]], NOW()&lt;=tbl_MTG_Set[[#This Row],[Sell Window End]])</f>
        <v/>
      </c>
      <c r="AG327" s="10" t="n"/>
      <c r="AH327" s="10" t="n"/>
      <c r="AM327" s="10">
        <f t="array" ref="AM3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7" s="10">
        <f t="array" ref="AN3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7" s="4">
        <f>_xlfn.XLOOKUP(tbl_MTG_Set[[#This Row],[Play Booster Box Product Id]], tbl_Product[Product Id], tbl_Product[Pack Size])</f>
        <v/>
      </c>
      <c r="AP327" s="10">
        <f>(tbl_MTG_Set[[#This Row],[Play Booster Box Cost]]+v_Item_Shipping_Cost_In)/tbl_MTG_Set[[#This Row],[Play Booster Box Size]]</f>
        <v/>
      </c>
      <c r="AQ327" s="10">
        <f t="array" ref="AQ3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7" s="10" t="n"/>
      <c r="AS327" s="10" t="n"/>
      <c r="AT327" s="17">
        <f>tbl_MTG_Set[[#This Row],[Play Booster CardMarket Profit]]/tbl_MTG_Set[[#This Row],[Play Booster Cost]]</f>
        <v/>
      </c>
      <c r="AU327" s="10">
        <f>_xlfn.XLOOKUP(tbl_MTG_Set[[#This Row],[Collector Booster Box Product Id]], tbl_Product[Product Id], tbl_Product[Min Cost])</f>
        <v/>
      </c>
      <c r="AV327" s="10">
        <f>_xlfn.XLOOKUP(tbl_MTG_Set[[#This Row],[Collector Booster Box Product Id]], tbl_Product[Product Id], tbl_Product[Best Source])</f>
        <v/>
      </c>
      <c r="AW327" s="4">
        <f>_xlfn.XLOOKUP(tbl_MTG_Set[[#This Row],[Collector Booster Box Product Id]], tbl_Product[Product Id], tbl_Product[Pack Size])</f>
        <v/>
      </c>
      <c r="AX327" s="10">
        <f>(tbl_MTG_Set[[#This Row],[Collector Booster Box Cost]] + v_Item_Shipping_Cost_In) / tbl_MTG_Set[[#This Row],[Collector Booster Box Size]]</f>
        <v/>
      </c>
      <c r="AY327" s="10">
        <f t="array" ref="AY3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7" s="10" t="n"/>
      <c r="BA3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7" s="17">
        <f>tbl_MTG_Set[[#This Row],[Collector Booster CardMarket Profit]]/tbl_MTG_Set[[#This Row],[Collector Booster Cost]]</f>
        <v/>
      </c>
      <c r="BC327" s="10" t="n"/>
      <c r="BF327" s="10">
        <f>tbl_MTG_Set[[#This Row],[Play Booster Sell Price CardMarket]]*tbl_MTG_Set[[#This Row],[Play Booster Expected Market Value]]/tbl_MTG_Set[[#This Row],[Play Boost Sealed Market Value]]</f>
        <v/>
      </c>
      <c r="BG3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7" s="10">
        <f>tbl_MTG_Set[[#This Row],[Play Singles CardMarket Profit]]/tbl_MTG_Set[[#This Row],[Play Booster Cost]]</f>
        <v/>
      </c>
      <c r="BI327" s="10">
        <f>tbl_MTG_Set[[#This Row],[Play Singles CardMarket Profit]]&gt;0</f>
        <v/>
      </c>
      <c r="BJ327" s="10" t="n"/>
      <c r="BK327" s="10" t="n"/>
      <c r="BL327" s="10">
        <f>tbl_MTG_Set[[#This Row],[Collector Booster Sell Price CardMarket]]*tbl_MTG_Set[[#This Row],[Collector Booster Expected Market Value]]/tbl_MTG_Set[[#This Row],[Collector Boost Sealed Market Value]]</f>
        <v/>
      </c>
      <c r="BM3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7" s="10">
        <f>tbl_MTG_Set[[#This Row],[Collector Singles CardMarket Profit]]/tbl_MTG_Set[[#This Row],[Collector Booster Cost]]</f>
        <v/>
      </c>
      <c r="BO327" s="10">
        <f>tbl_MTG_Set[[#This Row],[Collector Singles CardMarket Profit]]&gt;0</f>
        <v/>
      </c>
      <c r="BP3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8">
      <c r="A328" t="n">
        <v>326</v>
      </c>
      <c r="B328" t="inlineStr">
        <is>
          <t>Adventures in the Forgotten Realms Art Series AAFR</t>
        </is>
      </c>
      <c r="C328" t="n">
        <v>81</v>
      </c>
      <c r="D328" s="3" t="n">
        <v>44400</v>
      </c>
      <c r="F328" t="inlineStr">
        <is>
          <t>en es fr de it pt ja ko ru 汉语 漢語</t>
        </is>
      </c>
      <c r="G328" t="n">
        <v>598</v>
      </c>
      <c r="H328">
        <f>MONTH(NOW())+12*YEAR(NOW())-MONTH(tbl_MTG_Set[[#This Row],[Released On]])-12*YEAR(tbl_MTG_Set[[#This Row],[Released On]])</f>
        <v/>
      </c>
      <c r="I328">
        <f>_xlfn.XLOOKUP(tbl_MTG_Set[[#This Row],[Type Name]], tbl_MTG_Set_Type[Set Type], tbl_MTG_Set_Type[Index], "(Set Type not found)")</f>
        <v/>
      </c>
      <c r="J328">
        <f>_xlfn.XLOOKUP(tbl_MTG_Set[[#This Row],[Type Name]], tbl_MTG_Set_Type[Set Type], tbl_MTG_Set_Type[Buy Window Month Start], "(Set Type not found)")</f>
        <v/>
      </c>
      <c r="K328" s="3">
        <f>tbl_MTG_Set[[#This Row],[Released On]]+tbl_MTG_Set[[#This Row],[Buy Window Month Start]]*365.25/12</f>
        <v/>
      </c>
      <c r="L328">
        <f>_xlfn.XLOOKUP(tbl_MTG_Set[[#This Row],[Type Name]], tbl_MTG_Set_Type[Set Type], tbl_MTG_Set_Type[Buy Window Month End], "(Set Type not found)", 0, 1)</f>
        <v/>
      </c>
      <c r="M328" s="3">
        <f>tbl_MTG_Set[[#This Row],[Released On]]+tbl_MTG_Set[[#This Row],[Buy Window Month End]]*365.25/12</f>
        <v/>
      </c>
      <c r="N328" s="3">
        <f>AND(NOW()&gt;=tbl_MTG_Set[[#This Row],[Buy Window Start]], NOW()&lt;=tbl_MTG_Set[[#This Row],[Buy Window End]])</f>
        <v/>
      </c>
      <c r="O328">
        <f>_xlfn.XLOOKUP(tbl_MTG_Set[[#This Row],[Type Name]], tbl_MTG_Set_Type[Set Type], tbl_MTG_Set_Type[Heavy Printing Window Month Start], "(Set Type not found)", 0, 1)</f>
        <v/>
      </c>
      <c r="P328" s="3">
        <f>tbl_MTG_Set[[#This Row],[Released On]]+tbl_MTG_Set[[#This Row],[Heavy Printing Window Month Start]]*365.25/12</f>
        <v/>
      </c>
      <c r="Q328">
        <f>_xlfn.XLOOKUP(tbl_MTG_Set[[#This Row],[Type Name]], tbl_MTG_Set_Type[Set Type], tbl_MTG_Set_Type[Heavy Printing Window Month End], "(Set Type not found)", 0, 1)</f>
        <v/>
      </c>
      <c r="R328" s="3">
        <f>tbl_MTG_Set[[#This Row],[Released On]]+tbl_MTG_Set[[#This Row],[Heavy Printing Window Month End]]*365.25/12</f>
        <v/>
      </c>
      <c r="S328" s="3">
        <f>AND(NOW()&gt;=tbl_MTG_Set[[#This Row],[Heavy Printing Window Start]], NOW()&lt;=tbl_MTG_Set[[#This Row],[Heavy Printing Window End]])</f>
        <v/>
      </c>
      <c r="T328">
        <f>_xlfn.XLOOKUP(tbl_MTG_Set[[#This Row],[Type Name]], tbl_MTG_Set_Type[Set Type], tbl_MTG_Set_Type[Sell Window Month Start], "(Set Type not found)", 0, 1)</f>
        <v/>
      </c>
      <c r="U328" s="3">
        <f>tbl_MTG_Set[[#This Row],[Released On]]+tbl_MTG_Set[[#This Row],[Sell Window Month Start]]*365.25/12</f>
        <v/>
      </c>
      <c r="V328">
        <f>_xlfn.XLOOKUP(tbl_MTG_Set[[#This Row],[Type Name]], tbl_MTG_Set_Type[Set Type], tbl_MTG_Set_Type[Sell Window Month End], "(Set Type not found)", 0, 1)</f>
        <v/>
      </c>
      <c r="W328" s="3">
        <f>tbl_MTG_Set[[#This Row],[Released On]]+tbl_MTG_Set[[#This Row],[Sell Window Month End]]*365.25/12</f>
        <v/>
      </c>
      <c r="X328" s="3">
        <f>AND(NOW()&gt;=tbl_MTG_Set[[#This Row],[Sell Window Start]], NOW()&lt;=tbl_MTG_Set[[#This Row],[Sell Window End]])</f>
        <v/>
      </c>
      <c r="AG328" s="10" t="n"/>
      <c r="AH328" s="10" t="n"/>
      <c r="AM328" s="10">
        <f t="array" ref="AM3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8" s="10">
        <f t="array" ref="AN3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8" s="4">
        <f>_xlfn.XLOOKUP(tbl_MTG_Set[[#This Row],[Play Booster Box Product Id]], tbl_Product[Product Id], tbl_Product[Pack Size])</f>
        <v/>
      </c>
      <c r="AP328" s="10">
        <f>(tbl_MTG_Set[[#This Row],[Play Booster Box Cost]]+v_Item_Shipping_Cost_In)/tbl_MTG_Set[[#This Row],[Play Booster Box Size]]</f>
        <v/>
      </c>
      <c r="AQ328" s="10">
        <f t="array" ref="AQ3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8" s="10" t="n"/>
      <c r="AS328" s="10" t="n"/>
      <c r="AT328" s="17">
        <f>tbl_MTG_Set[[#This Row],[Play Booster CardMarket Profit]]/tbl_MTG_Set[[#This Row],[Play Booster Cost]]</f>
        <v/>
      </c>
      <c r="AU328" s="10">
        <f>_xlfn.XLOOKUP(tbl_MTG_Set[[#This Row],[Collector Booster Box Product Id]], tbl_Product[Product Id], tbl_Product[Min Cost])</f>
        <v/>
      </c>
      <c r="AV328" s="10">
        <f>_xlfn.XLOOKUP(tbl_MTG_Set[[#This Row],[Collector Booster Box Product Id]], tbl_Product[Product Id], tbl_Product[Best Source])</f>
        <v/>
      </c>
      <c r="AW328" s="4">
        <f>_xlfn.XLOOKUP(tbl_MTG_Set[[#This Row],[Collector Booster Box Product Id]], tbl_Product[Product Id], tbl_Product[Pack Size])</f>
        <v/>
      </c>
      <c r="AX328" s="10">
        <f>(tbl_MTG_Set[[#This Row],[Collector Booster Box Cost]] + v_Item_Shipping_Cost_In) / tbl_MTG_Set[[#This Row],[Collector Booster Box Size]]</f>
        <v/>
      </c>
      <c r="AY328" s="10">
        <f t="array" ref="AY3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8" s="10" t="n"/>
      <c r="BA3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8" s="17">
        <f>tbl_MTG_Set[[#This Row],[Collector Booster CardMarket Profit]]/tbl_MTG_Set[[#This Row],[Collector Booster Cost]]</f>
        <v/>
      </c>
      <c r="BC328" s="10" t="n"/>
      <c r="BF328" s="10">
        <f>tbl_MTG_Set[[#This Row],[Play Booster Sell Price CardMarket]]*tbl_MTG_Set[[#This Row],[Play Booster Expected Market Value]]/tbl_MTG_Set[[#This Row],[Play Boost Sealed Market Value]]</f>
        <v/>
      </c>
      <c r="BG3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8" s="10">
        <f>tbl_MTG_Set[[#This Row],[Play Singles CardMarket Profit]]/tbl_MTG_Set[[#This Row],[Play Booster Cost]]</f>
        <v/>
      </c>
      <c r="BI328" s="10">
        <f>tbl_MTG_Set[[#This Row],[Play Singles CardMarket Profit]]&gt;0</f>
        <v/>
      </c>
      <c r="BJ328" s="10" t="n"/>
      <c r="BK328" s="10" t="n"/>
      <c r="BL328" s="10">
        <f>tbl_MTG_Set[[#This Row],[Collector Booster Sell Price CardMarket]]*tbl_MTG_Set[[#This Row],[Collector Booster Expected Market Value]]/tbl_MTG_Set[[#This Row],[Collector Boost Sealed Market Value]]</f>
        <v/>
      </c>
      <c r="BM3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8" s="10">
        <f>tbl_MTG_Set[[#This Row],[Collector Singles CardMarket Profit]]/tbl_MTG_Set[[#This Row],[Collector Booster Cost]]</f>
        <v/>
      </c>
      <c r="BO328" s="10">
        <f>tbl_MTG_Set[[#This Row],[Collector Singles CardMarket Profit]]&gt;0</f>
        <v/>
      </c>
      <c r="BP3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9">
      <c r="A329" t="n">
        <v>327</v>
      </c>
      <c r="B329" t="inlineStr">
        <is>
          <t>Forgotten Realms Commander AFC</t>
        </is>
      </c>
      <c r="C329" t="n">
        <v>331</v>
      </c>
      <c r="D329" s="3" t="n">
        <v>44400</v>
      </c>
      <c r="F329" t="inlineStr">
        <is>
          <t>en es fr de it pt ja ko ru 汉语 漢語</t>
        </is>
      </c>
      <c r="G329" t="n">
        <v>600</v>
      </c>
      <c r="H329">
        <f>MONTH(NOW())+12*YEAR(NOW())-MONTH(tbl_MTG_Set[[#This Row],[Released On]])-12*YEAR(tbl_MTG_Set[[#This Row],[Released On]])</f>
        <v/>
      </c>
      <c r="I329">
        <f>_xlfn.XLOOKUP(tbl_MTG_Set[[#This Row],[Type Name]], tbl_MTG_Set_Type[Set Type], tbl_MTG_Set_Type[Index], "(Set Type not found)")</f>
        <v/>
      </c>
      <c r="J329">
        <f>_xlfn.XLOOKUP(tbl_MTG_Set[[#This Row],[Type Name]], tbl_MTG_Set_Type[Set Type], tbl_MTG_Set_Type[Buy Window Month Start], "(Set Type not found)")</f>
        <v/>
      </c>
      <c r="K329" s="3">
        <f>tbl_MTG_Set[[#This Row],[Released On]]+tbl_MTG_Set[[#This Row],[Buy Window Month Start]]*365.25/12</f>
        <v/>
      </c>
      <c r="L329">
        <f>_xlfn.XLOOKUP(tbl_MTG_Set[[#This Row],[Type Name]], tbl_MTG_Set_Type[Set Type], tbl_MTG_Set_Type[Buy Window Month End], "(Set Type not found)", 0, 1)</f>
        <v/>
      </c>
      <c r="M329" s="3">
        <f>tbl_MTG_Set[[#This Row],[Released On]]+tbl_MTG_Set[[#This Row],[Buy Window Month End]]*365.25/12</f>
        <v/>
      </c>
      <c r="N329" s="3">
        <f>AND(NOW()&gt;=tbl_MTG_Set[[#This Row],[Buy Window Start]], NOW()&lt;=tbl_MTG_Set[[#This Row],[Buy Window End]])</f>
        <v/>
      </c>
      <c r="O329">
        <f>_xlfn.XLOOKUP(tbl_MTG_Set[[#This Row],[Type Name]], tbl_MTG_Set_Type[Set Type], tbl_MTG_Set_Type[Heavy Printing Window Month Start], "(Set Type not found)", 0, 1)</f>
        <v/>
      </c>
      <c r="P329" s="3">
        <f>tbl_MTG_Set[[#This Row],[Released On]]+tbl_MTG_Set[[#This Row],[Heavy Printing Window Month Start]]*365.25/12</f>
        <v/>
      </c>
      <c r="Q329">
        <f>_xlfn.XLOOKUP(tbl_MTG_Set[[#This Row],[Type Name]], tbl_MTG_Set_Type[Set Type], tbl_MTG_Set_Type[Heavy Printing Window Month End], "(Set Type not found)", 0, 1)</f>
        <v/>
      </c>
      <c r="R329" s="3">
        <f>tbl_MTG_Set[[#This Row],[Released On]]+tbl_MTG_Set[[#This Row],[Heavy Printing Window Month End]]*365.25/12</f>
        <v/>
      </c>
      <c r="S329" s="3">
        <f>AND(NOW()&gt;=tbl_MTG_Set[[#This Row],[Heavy Printing Window Start]], NOW()&lt;=tbl_MTG_Set[[#This Row],[Heavy Printing Window End]])</f>
        <v/>
      </c>
      <c r="T329">
        <f>_xlfn.XLOOKUP(tbl_MTG_Set[[#This Row],[Type Name]], tbl_MTG_Set_Type[Set Type], tbl_MTG_Set_Type[Sell Window Month Start], "(Set Type not found)", 0, 1)</f>
        <v/>
      </c>
      <c r="U329" s="3">
        <f>tbl_MTG_Set[[#This Row],[Released On]]+tbl_MTG_Set[[#This Row],[Sell Window Month Start]]*365.25/12</f>
        <v/>
      </c>
      <c r="V329">
        <f>_xlfn.XLOOKUP(tbl_MTG_Set[[#This Row],[Type Name]], tbl_MTG_Set_Type[Set Type], tbl_MTG_Set_Type[Sell Window Month End], "(Set Type not found)", 0, 1)</f>
        <v/>
      </c>
      <c r="W329" s="3">
        <f>tbl_MTG_Set[[#This Row],[Released On]]+tbl_MTG_Set[[#This Row],[Sell Window Month End]]*365.25/12</f>
        <v/>
      </c>
      <c r="X329" s="3">
        <f>AND(NOW()&gt;=tbl_MTG_Set[[#This Row],[Sell Window Start]], NOW()&lt;=tbl_MTG_Set[[#This Row],[Sell Window End]])</f>
        <v/>
      </c>
      <c r="AG329" s="10" t="n"/>
      <c r="AH329" s="10" t="n"/>
      <c r="AM329" s="10">
        <f t="array" ref="AM3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9" s="10">
        <f t="array" ref="AN3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9" s="4">
        <f>_xlfn.XLOOKUP(tbl_MTG_Set[[#This Row],[Play Booster Box Product Id]], tbl_Product[Product Id], tbl_Product[Pack Size])</f>
        <v/>
      </c>
      <c r="AP329" s="10">
        <f>(tbl_MTG_Set[[#This Row],[Play Booster Box Cost]]+v_Item_Shipping_Cost_In)/tbl_MTG_Set[[#This Row],[Play Booster Box Size]]</f>
        <v/>
      </c>
      <c r="AQ329" s="10">
        <f t="array" ref="AQ3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29" s="10" t="n"/>
      <c r="AS329" s="10" t="n"/>
      <c r="AT329" s="17">
        <f>tbl_MTG_Set[[#This Row],[Play Booster CardMarket Profit]]/tbl_MTG_Set[[#This Row],[Play Booster Cost]]</f>
        <v/>
      </c>
      <c r="AU329" s="10">
        <f>_xlfn.XLOOKUP(tbl_MTG_Set[[#This Row],[Collector Booster Box Product Id]], tbl_Product[Product Id], tbl_Product[Min Cost])</f>
        <v/>
      </c>
      <c r="AV329" s="10">
        <f>_xlfn.XLOOKUP(tbl_MTG_Set[[#This Row],[Collector Booster Box Product Id]], tbl_Product[Product Id], tbl_Product[Best Source])</f>
        <v/>
      </c>
      <c r="AW329" s="4">
        <f>_xlfn.XLOOKUP(tbl_MTG_Set[[#This Row],[Collector Booster Box Product Id]], tbl_Product[Product Id], tbl_Product[Pack Size])</f>
        <v/>
      </c>
      <c r="AX329" s="10">
        <f>(tbl_MTG_Set[[#This Row],[Collector Booster Box Cost]] + v_Item_Shipping_Cost_In) / tbl_MTG_Set[[#This Row],[Collector Booster Box Size]]</f>
        <v/>
      </c>
      <c r="AY329" s="10">
        <f t="array" ref="AY3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29" s="10" t="n"/>
      <c r="BA3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9" s="17">
        <f>tbl_MTG_Set[[#This Row],[Collector Booster CardMarket Profit]]/tbl_MTG_Set[[#This Row],[Collector Booster Cost]]</f>
        <v/>
      </c>
      <c r="BC329" s="10" t="n"/>
      <c r="BF329" s="10">
        <f>tbl_MTG_Set[[#This Row],[Play Booster Sell Price CardMarket]]*tbl_MTG_Set[[#This Row],[Play Booster Expected Market Value]]/tbl_MTG_Set[[#This Row],[Play Boost Sealed Market Value]]</f>
        <v/>
      </c>
      <c r="BG3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9" s="10">
        <f>tbl_MTG_Set[[#This Row],[Play Singles CardMarket Profit]]/tbl_MTG_Set[[#This Row],[Play Booster Cost]]</f>
        <v/>
      </c>
      <c r="BI329" s="10">
        <f>tbl_MTG_Set[[#This Row],[Play Singles CardMarket Profit]]&gt;0</f>
        <v/>
      </c>
      <c r="BJ329" s="10" t="n"/>
      <c r="BK329" s="10" t="n"/>
      <c r="BL329" s="10">
        <f>tbl_MTG_Set[[#This Row],[Collector Booster Sell Price CardMarket]]*tbl_MTG_Set[[#This Row],[Collector Booster Expected Market Value]]/tbl_MTG_Set[[#This Row],[Collector Boost Sealed Market Value]]</f>
        <v/>
      </c>
      <c r="BM3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9" s="10">
        <f>tbl_MTG_Set[[#This Row],[Collector Singles CardMarket Profit]]/tbl_MTG_Set[[#This Row],[Collector Booster Cost]]</f>
        <v/>
      </c>
      <c r="BO329" s="10">
        <f>tbl_MTG_Set[[#This Row],[Collector Singles CardMarket Profit]]&gt;0</f>
        <v/>
      </c>
      <c r="BP3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0">
      <c r="A330" t="n">
        <v>328</v>
      </c>
      <c r="B330" t="inlineStr">
        <is>
          <t>Forgotten Realms Commander Tokens TAFC</t>
        </is>
      </c>
      <c r="C330" t="n">
        <v>13</v>
      </c>
      <c r="D330" s="3" t="n">
        <v>44400</v>
      </c>
      <c r="F330" t="inlineStr">
        <is>
          <t>en es fr de it pt ja ko ru 汉语 漢語</t>
        </is>
      </c>
      <c r="G330" t="n">
        <v>602</v>
      </c>
      <c r="H330">
        <f>MONTH(NOW())+12*YEAR(NOW())-MONTH(tbl_MTG_Set[[#This Row],[Released On]])-12*YEAR(tbl_MTG_Set[[#This Row],[Released On]])</f>
        <v/>
      </c>
      <c r="I330">
        <f>_xlfn.XLOOKUP(tbl_MTG_Set[[#This Row],[Type Name]], tbl_MTG_Set_Type[Set Type], tbl_MTG_Set_Type[Index], "(Set Type not found)")</f>
        <v/>
      </c>
      <c r="J330">
        <f>_xlfn.XLOOKUP(tbl_MTG_Set[[#This Row],[Type Name]], tbl_MTG_Set_Type[Set Type], tbl_MTG_Set_Type[Buy Window Month Start], "(Set Type not found)")</f>
        <v/>
      </c>
      <c r="K330" s="3">
        <f>tbl_MTG_Set[[#This Row],[Released On]]+tbl_MTG_Set[[#This Row],[Buy Window Month Start]]*365.25/12</f>
        <v/>
      </c>
      <c r="L330">
        <f>_xlfn.XLOOKUP(tbl_MTG_Set[[#This Row],[Type Name]], tbl_MTG_Set_Type[Set Type], tbl_MTG_Set_Type[Buy Window Month End], "(Set Type not found)", 0, 1)</f>
        <v/>
      </c>
      <c r="M330" s="3">
        <f>tbl_MTG_Set[[#This Row],[Released On]]+tbl_MTG_Set[[#This Row],[Buy Window Month End]]*365.25/12</f>
        <v/>
      </c>
      <c r="N330" s="3">
        <f>AND(NOW()&gt;=tbl_MTG_Set[[#This Row],[Buy Window Start]], NOW()&lt;=tbl_MTG_Set[[#This Row],[Buy Window End]])</f>
        <v/>
      </c>
      <c r="O330">
        <f>_xlfn.XLOOKUP(tbl_MTG_Set[[#This Row],[Type Name]], tbl_MTG_Set_Type[Set Type], tbl_MTG_Set_Type[Heavy Printing Window Month Start], "(Set Type not found)", 0, 1)</f>
        <v/>
      </c>
      <c r="P330" s="3">
        <f>tbl_MTG_Set[[#This Row],[Released On]]+tbl_MTG_Set[[#This Row],[Heavy Printing Window Month Start]]*365.25/12</f>
        <v/>
      </c>
      <c r="Q330">
        <f>_xlfn.XLOOKUP(tbl_MTG_Set[[#This Row],[Type Name]], tbl_MTG_Set_Type[Set Type], tbl_MTG_Set_Type[Heavy Printing Window Month End], "(Set Type not found)", 0, 1)</f>
        <v/>
      </c>
      <c r="R330" s="3">
        <f>tbl_MTG_Set[[#This Row],[Released On]]+tbl_MTG_Set[[#This Row],[Heavy Printing Window Month End]]*365.25/12</f>
        <v/>
      </c>
      <c r="S330" s="3">
        <f>AND(NOW()&gt;=tbl_MTG_Set[[#This Row],[Heavy Printing Window Start]], NOW()&lt;=tbl_MTG_Set[[#This Row],[Heavy Printing Window End]])</f>
        <v/>
      </c>
      <c r="T330">
        <f>_xlfn.XLOOKUP(tbl_MTG_Set[[#This Row],[Type Name]], tbl_MTG_Set_Type[Set Type], tbl_MTG_Set_Type[Sell Window Month Start], "(Set Type not found)", 0, 1)</f>
        <v/>
      </c>
      <c r="U330" s="3">
        <f>tbl_MTG_Set[[#This Row],[Released On]]+tbl_MTG_Set[[#This Row],[Sell Window Month Start]]*365.25/12</f>
        <v/>
      </c>
      <c r="V330">
        <f>_xlfn.XLOOKUP(tbl_MTG_Set[[#This Row],[Type Name]], tbl_MTG_Set_Type[Set Type], tbl_MTG_Set_Type[Sell Window Month End], "(Set Type not found)", 0, 1)</f>
        <v/>
      </c>
      <c r="W330" s="3">
        <f>tbl_MTG_Set[[#This Row],[Released On]]+tbl_MTG_Set[[#This Row],[Sell Window Month End]]*365.25/12</f>
        <v/>
      </c>
      <c r="X330" s="3">
        <f>AND(NOW()&gt;=tbl_MTG_Set[[#This Row],[Sell Window Start]], NOW()&lt;=tbl_MTG_Set[[#This Row],[Sell Window End]])</f>
        <v/>
      </c>
      <c r="AG330" s="10" t="n"/>
      <c r="AH330" s="10" t="n"/>
      <c r="AM330" s="10">
        <f t="array" ref="AM3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0" s="10">
        <f t="array" ref="AN3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0" s="4">
        <f>_xlfn.XLOOKUP(tbl_MTG_Set[[#This Row],[Play Booster Box Product Id]], tbl_Product[Product Id], tbl_Product[Pack Size])</f>
        <v/>
      </c>
      <c r="AP330" s="10">
        <f>(tbl_MTG_Set[[#This Row],[Play Booster Box Cost]]+v_Item_Shipping_Cost_In)/tbl_MTG_Set[[#This Row],[Play Booster Box Size]]</f>
        <v/>
      </c>
      <c r="AQ330" s="10">
        <f t="array" ref="AQ3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0" s="10" t="n"/>
      <c r="AS330" s="10" t="n"/>
      <c r="AT330" s="17">
        <f>tbl_MTG_Set[[#This Row],[Play Booster CardMarket Profit]]/tbl_MTG_Set[[#This Row],[Play Booster Cost]]</f>
        <v/>
      </c>
      <c r="AU330" s="10">
        <f>_xlfn.XLOOKUP(tbl_MTG_Set[[#This Row],[Collector Booster Box Product Id]], tbl_Product[Product Id], tbl_Product[Min Cost])</f>
        <v/>
      </c>
      <c r="AV330" s="10">
        <f>_xlfn.XLOOKUP(tbl_MTG_Set[[#This Row],[Collector Booster Box Product Id]], tbl_Product[Product Id], tbl_Product[Best Source])</f>
        <v/>
      </c>
      <c r="AW330" s="4">
        <f>_xlfn.XLOOKUP(tbl_MTG_Set[[#This Row],[Collector Booster Box Product Id]], tbl_Product[Product Id], tbl_Product[Pack Size])</f>
        <v/>
      </c>
      <c r="AX330" s="10">
        <f>(tbl_MTG_Set[[#This Row],[Collector Booster Box Cost]] + v_Item_Shipping_Cost_In) / tbl_MTG_Set[[#This Row],[Collector Booster Box Size]]</f>
        <v/>
      </c>
      <c r="AY330" s="10">
        <f t="array" ref="AY3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0" s="10" t="n"/>
      <c r="BA3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0" s="17">
        <f>tbl_MTG_Set[[#This Row],[Collector Booster CardMarket Profit]]/tbl_MTG_Set[[#This Row],[Collector Booster Cost]]</f>
        <v/>
      </c>
      <c r="BC330" s="10" t="n"/>
      <c r="BF330" s="10">
        <f>tbl_MTG_Set[[#This Row],[Play Booster Sell Price CardMarket]]*tbl_MTG_Set[[#This Row],[Play Booster Expected Market Value]]/tbl_MTG_Set[[#This Row],[Play Boost Sealed Market Value]]</f>
        <v/>
      </c>
      <c r="BG3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0" s="10">
        <f>tbl_MTG_Set[[#This Row],[Play Singles CardMarket Profit]]/tbl_MTG_Set[[#This Row],[Play Booster Cost]]</f>
        <v/>
      </c>
      <c r="BI330" s="10">
        <f>tbl_MTG_Set[[#This Row],[Play Singles CardMarket Profit]]&gt;0</f>
        <v/>
      </c>
      <c r="BJ330" s="10" t="n"/>
      <c r="BK330" s="10" t="n"/>
      <c r="BL330" s="10">
        <f>tbl_MTG_Set[[#This Row],[Collector Booster Sell Price CardMarket]]*tbl_MTG_Set[[#This Row],[Collector Booster Expected Market Value]]/tbl_MTG_Set[[#This Row],[Collector Boost Sealed Market Value]]</f>
        <v/>
      </c>
      <c r="BM3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0" s="10">
        <f>tbl_MTG_Set[[#This Row],[Collector Singles CardMarket Profit]]/tbl_MTG_Set[[#This Row],[Collector Booster Cost]]</f>
        <v/>
      </c>
      <c r="BO330" s="10">
        <f>tbl_MTG_Set[[#This Row],[Collector Singles CardMarket Profit]]&gt;0</f>
        <v/>
      </c>
      <c r="BP3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1">
      <c r="A331" t="n">
        <v>329</v>
      </c>
      <c r="B331" t="inlineStr">
        <is>
          <t>Forgotten Realms Commander Display Commanders OAFC</t>
        </is>
      </c>
      <c r="C331" t="n">
        <v>4</v>
      </c>
      <c r="D331" s="3" t="n">
        <v>44400</v>
      </c>
      <c r="F331" t="inlineStr">
        <is>
          <t>en es fr de it pt ja ko ru 汉语 漢語</t>
        </is>
      </c>
      <c r="G331" t="n">
        <v>604</v>
      </c>
      <c r="H331">
        <f>MONTH(NOW())+12*YEAR(NOW())-MONTH(tbl_MTG_Set[[#This Row],[Released On]])-12*YEAR(tbl_MTG_Set[[#This Row],[Released On]])</f>
        <v/>
      </c>
      <c r="I331">
        <f>_xlfn.XLOOKUP(tbl_MTG_Set[[#This Row],[Type Name]], tbl_MTG_Set_Type[Set Type], tbl_MTG_Set_Type[Index], "(Set Type not found)")</f>
        <v/>
      </c>
      <c r="J331">
        <f>_xlfn.XLOOKUP(tbl_MTG_Set[[#This Row],[Type Name]], tbl_MTG_Set_Type[Set Type], tbl_MTG_Set_Type[Buy Window Month Start], "(Set Type not found)")</f>
        <v/>
      </c>
      <c r="K331" s="3">
        <f>tbl_MTG_Set[[#This Row],[Released On]]+tbl_MTG_Set[[#This Row],[Buy Window Month Start]]*365.25/12</f>
        <v/>
      </c>
      <c r="L331">
        <f>_xlfn.XLOOKUP(tbl_MTG_Set[[#This Row],[Type Name]], tbl_MTG_Set_Type[Set Type], tbl_MTG_Set_Type[Buy Window Month End], "(Set Type not found)", 0, 1)</f>
        <v/>
      </c>
      <c r="M331" s="3">
        <f>tbl_MTG_Set[[#This Row],[Released On]]+tbl_MTG_Set[[#This Row],[Buy Window Month End]]*365.25/12</f>
        <v/>
      </c>
      <c r="N331" s="3">
        <f>AND(NOW()&gt;=tbl_MTG_Set[[#This Row],[Buy Window Start]], NOW()&lt;=tbl_MTG_Set[[#This Row],[Buy Window End]])</f>
        <v/>
      </c>
      <c r="O331">
        <f>_xlfn.XLOOKUP(tbl_MTG_Set[[#This Row],[Type Name]], tbl_MTG_Set_Type[Set Type], tbl_MTG_Set_Type[Heavy Printing Window Month Start], "(Set Type not found)", 0, 1)</f>
        <v/>
      </c>
      <c r="P331" s="3">
        <f>tbl_MTG_Set[[#This Row],[Released On]]+tbl_MTG_Set[[#This Row],[Heavy Printing Window Month Start]]*365.25/12</f>
        <v/>
      </c>
      <c r="Q331">
        <f>_xlfn.XLOOKUP(tbl_MTG_Set[[#This Row],[Type Name]], tbl_MTG_Set_Type[Set Type], tbl_MTG_Set_Type[Heavy Printing Window Month End], "(Set Type not found)", 0, 1)</f>
        <v/>
      </c>
      <c r="R331" s="3">
        <f>tbl_MTG_Set[[#This Row],[Released On]]+tbl_MTG_Set[[#This Row],[Heavy Printing Window Month End]]*365.25/12</f>
        <v/>
      </c>
      <c r="S331" s="3">
        <f>AND(NOW()&gt;=tbl_MTG_Set[[#This Row],[Heavy Printing Window Start]], NOW()&lt;=tbl_MTG_Set[[#This Row],[Heavy Printing Window End]])</f>
        <v/>
      </c>
      <c r="T331">
        <f>_xlfn.XLOOKUP(tbl_MTG_Set[[#This Row],[Type Name]], tbl_MTG_Set_Type[Set Type], tbl_MTG_Set_Type[Sell Window Month Start], "(Set Type not found)", 0, 1)</f>
        <v/>
      </c>
      <c r="U331" s="3">
        <f>tbl_MTG_Set[[#This Row],[Released On]]+tbl_MTG_Set[[#This Row],[Sell Window Month Start]]*365.25/12</f>
        <v/>
      </c>
      <c r="V331">
        <f>_xlfn.XLOOKUP(tbl_MTG_Set[[#This Row],[Type Name]], tbl_MTG_Set_Type[Set Type], tbl_MTG_Set_Type[Sell Window Month End], "(Set Type not found)", 0, 1)</f>
        <v/>
      </c>
      <c r="W331" s="3">
        <f>tbl_MTG_Set[[#This Row],[Released On]]+tbl_MTG_Set[[#This Row],[Sell Window Month End]]*365.25/12</f>
        <v/>
      </c>
      <c r="X331" s="3">
        <f>AND(NOW()&gt;=tbl_MTG_Set[[#This Row],[Sell Window Start]], NOW()&lt;=tbl_MTG_Set[[#This Row],[Sell Window End]])</f>
        <v/>
      </c>
      <c r="AG331" s="10" t="n"/>
      <c r="AH331" s="10" t="n"/>
      <c r="AM331" s="10">
        <f t="array" ref="AM3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1" s="10">
        <f t="array" ref="AN3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1" s="4">
        <f>_xlfn.XLOOKUP(tbl_MTG_Set[[#This Row],[Play Booster Box Product Id]], tbl_Product[Product Id], tbl_Product[Pack Size])</f>
        <v/>
      </c>
      <c r="AP331" s="10">
        <f>(tbl_MTG_Set[[#This Row],[Play Booster Box Cost]]+v_Item_Shipping_Cost_In)/tbl_MTG_Set[[#This Row],[Play Booster Box Size]]</f>
        <v/>
      </c>
      <c r="AQ331" s="10">
        <f t="array" ref="AQ3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1" s="10" t="n"/>
      <c r="AS331" s="10" t="n"/>
      <c r="AT331" s="17">
        <f>tbl_MTG_Set[[#This Row],[Play Booster CardMarket Profit]]/tbl_MTG_Set[[#This Row],[Play Booster Cost]]</f>
        <v/>
      </c>
      <c r="AU331" s="10">
        <f>_xlfn.XLOOKUP(tbl_MTG_Set[[#This Row],[Collector Booster Box Product Id]], tbl_Product[Product Id], tbl_Product[Min Cost])</f>
        <v/>
      </c>
      <c r="AV331" s="10">
        <f>_xlfn.XLOOKUP(tbl_MTG_Set[[#This Row],[Collector Booster Box Product Id]], tbl_Product[Product Id], tbl_Product[Best Source])</f>
        <v/>
      </c>
      <c r="AW331" s="4">
        <f>_xlfn.XLOOKUP(tbl_MTG_Set[[#This Row],[Collector Booster Box Product Id]], tbl_Product[Product Id], tbl_Product[Pack Size])</f>
        <v/>
      </c>
      <c r="AX331" s="10">
        <f>(tbl_MTG_Set[[#This Row],[Collector Booster Box Cost]] + v_Item_Shipping_Cost_In) / tbl_MTG_Set[[#This Row],[Collector Booster Box Size]]</f>
        <v/>
      </c>
      <c r="AY331" s="10">
        <f t="array" ref="AY3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1" s="10" t="n"/>
      <c r="BA3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1" s="17">
        <f>tbl_MTG_Set[[#This Row],[Collector Booster CardMarket Profit]]/tbl_MTG_Set[[#This Row],[Collector Booster Cost]]</f>
        <v/>
      </c>
      <c r="BC331" s="10" t="n"/>
      <c r="BF331" s="10">
        <f>tbl_MTG_Set[[#This Row],[Play Booster Sell Price CardMarket]]*tbl_MTG_Set[[#This Row],[Play Booster Expected Market Value]]/tbl_MTG_Set[[#This Row],[Play Boost Sealed Market Value]]</f>
        <v/>
      </c>
      <c r="BG3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1" s="10">
        <f>tbl_MTG_Set[[#This Row],[Play Singles CardMarket Profit]]/tbl_MTG_Set[[#This Row],[Play Booster Cost]]</f>
        <v/>
      </c>
      <c r="BI331" s="10">
        <f>tbl_MTG_Set[[#This Row],[Play Singles CardMarket Profit]]&gt;0</f>
        <v/>
      </c>
      <c r="BJ331" s="10" t="n"/>
      <c r="BK331" s="10" t="n"/>
      <c r="BL331" s="10">
        <f>tbl_MTG_Set[[#This Row],[Collector Booster Sell Price CardMarket]]*tbl_MTG_Set[[#This Row],[Collector Booster Expected Market Value]]/tbl_MTG_Set[[#This Row],[Collector Boost Sealed Market Value]]</f>
        <v/>
      </c>
      <c r="BM3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1" s="10">
        <f>tbl_MTG_Set[[#This Row],[Collector Singles CardMarket Profit]]/tbl_MTG_Set[[#This Row],[Collector Booster Cost]]</f>
        <v/>
      </c>
      <c r="BO331" s="10">
        <f>tbl_MTG_Set[[#This Row],[Collector Singles CardMarket Profit]]&gt;0</f>
        <v/>
      </c>
      <c r="BP3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2">
      <c r="A332" t="n">
        <v>330</v>
      </c>
      <c r="B332" t="inlineStr">
        <is>
          <t>Adventures in the Forgotten Realms Minigames MAFR</t>
        </is>
      </c>
      <c r="C332" t="n">
        <v>5</v>
      </c>
      <c r="D332" s="3" t="n">
        <v>44400</v>
      </c>
      <c r="F332" t="inlineStr">
        <is>
          <t>en es fr de it pt ja ko ru 汉语 漢語</t>
        </is>
      </c>
      <c r="G332" t="n">
        <v>606</v>
      </c>
      <c r="H332">
        <f>MONTH(NOW())+12*YEAR(NOW())-MONTH(tbl_MTG_Set[[#This Row],[Released On]])-12*YEAR(tbl_MTG_Set[[#This Row],[Released On]])</f>
        <v/>
      </c>
      <c r="I332">
        <f>_xlfn.XLOOKUP(tbl_MTG_Set[[#This Row],[Type Name]], tbl_MTG_Set_Type[Set Type], tbl_MTG_Set_Type[Index], "(Set Type not found)")</f>
        <v/>
      </c>
      <c r="J332">
        <f>_xlfn.XLOOKUP(tbl_MTG_Set[[#This Row],[Type Name]], tbl_MTG_Set_Type[Set Type], tbl_MTG_Set_Type[Buy Window Month Start], "(Set Type not found)")</f>
        <v/>
      </c>
      <c r="K332" s="3">
        <f>tbl_MTG_Set[[#This Row],[Released On]]+tbl_MTG_Set[[#This Row],[Buy Window Month Start]]*365.25/12</f>
        <v/>
      </c>
      <c r="L332">
        <f>_xlfn.XLOOKUP(tbl_MTG_Set[[#This Row],[Type Name]], tbl_MTG_Set_Type[Set Type], tbl_MTG_Set_Type[Buy Window Month End], "(Set Type not found)", 0, 1)</f>
        <v/>
      </c>
      <c r="M332" s="3">
        <f>tbl_MTG_Set[[#This Row],[Released On]]+tbl_MTG_Set[[#This Row],[Buy Window Month End]]*365.25/12</f>
        <v/>
      </c>
      <c r="N332" s="3">
        <f>AND(NOW()&gt;=tbl_MTG_Set[[#This Row],[Buy Window Start]], NOW()&lt;=tbl_MTG_Set[[#This Row],[Buy Window End]])</f>
        <v/>
      </c>
      <c r="O332">
        <f>_xlfn.XLOOKUP(tbl_MTG_Set[[#This Row],[Type Name]], tbl_MTG_Set_Type[Set Type], tbl_MTG_Set_Type[Heavy Printing Window Month Start], "(Set Type not found)", 0, 1)</f>
        <v/>
      </c>
      <c r="P332" s="3">
        <f>tbl_MTG_Set[[#This Row],[Released On]]+tbl_MTG_Set[[#This Row],[Heavy Printing Window Month Start]]*365.25/12</f>
        <v/>
      </c>
      <c r="Q332">
        <f>_xlfn.XLOOKUP(tbl_MTG_Set[[#This Row],[Type Name]], tbl_MTG_Set_Type[Set Type], tbl_MTG_Set_Type[Heavy Printing Window Month End], "(Set Type not found)", 0, 1)</f>
        <v/>
      </c>
      <c r="R332" s="3">
        <f>tbl_MTG_Set[[#This Row],[Released On]]+tbl_MTG_Set[[#This Row],[Heavy Printing Window Month End]]*365.25/12</f>
        <v/>
      </c>
      <c r="S332" s="3">
        <f>AND(NOW()&gt;=tbl_MTG_Set[[#This Row],[Heavy Printing Window Start]], NOW()&lt;=tbl_MTG_Set[[#This Row],[Heavy Printing Window End]])</f>
        <v/>
      </c>
      <c r="T332">
        <f>_xlfn.XLOOKUP(tbl_MTG_Set[[#This Row],[Type Name]], tbl_MTG_Set_Type[Set Type], tbl_MTG_Set_Type[Sell Window Month Start], "(Set Type not found)", 0, 1)</f>
        <v/>
      </c>
      <c r="U332" s="3">
        <f>tbl_MTG_Set[[#This Row],[Released On]]+tbl_MTG_Set[[#This Row],[Sell Window Month Start]]*365.25/12</f>
        <v/>
      </c>
      <c r="V332">
        <f>_xlfn.XLOOKUP(tbl_MTG_Set[[#This Row],[Type Name]], tbl_MTG_Set_Type[Set Type], tbl_MTG_Set_Type[Sell Window Month End], "(Set Type not found)", 0, 1)</f>
        <v/>
      </c>
      <c r="W332" s="3">
        <f>tbl_MTG_Set[[#This Row],[Released On]]+tbl_MTG_Set[[#This Row],[Sell Window Month End]]*365.25/12</f>
        <v/>
      </c>
      <c r="X332" s="3">
        <f>AND(NOW()&gt;=tbl_MTG_Set[[#This Row],[Sell Window Start]], NOW()&lt;=tbl_MTG_Set[[#This Row],[Sell Window End]])</f>
        <v/>
      </c>
      <c r="AG332" s="10" t="n"/>
      <c r="AH332" s="10" t="n"/>
      <c r="AM332" s="10">
        <f t="array" ref="AM3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2" s="10">
        <f t="array" ref="AN3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2" s="4">
        <f>_xlfn.XLOOKUP(tbl_MTG_Set[[#This Row],[Play Booster Box Product Id]], tbl_Product[Product Id], tbl_Product[Pack Size])</f>
        <v/>
      </c>
      <c r="AP332" s="10">
        <f>(tbl_MTG_Set[[#This Row],[Play Booster Box Cost]]+v_Item_Shipping_Cost_In)/tbl_MTG_Set[[#This Row],[Play Booster Box Size]]</f>
        <v/>
      </c>
      <c r="AQ332" s="10">
        <f t="array" ref="AQ3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2" s="10" t="n"/>
      <c r="AS332" s="10" t="n"/>
      <c r="AT332" s="17">
        <f>tbl_MTG_Set[[#This Row],[Play Booster CardMarket Profit]]/tbl_MTG_Set[[#This Row],[Play Booster Cost]]</f>
        <v/>
      </c>
      <c r="AU332" s="10">
        <f>_xlfn.XLOOKUP(tbl_MTG_Set[[#This Row],[Collector Booster Box Product Id]], tbl_Product[Product Id], tbl_Product[Min Cost])</f>
        <v/>
      </c>
      <c r="AV332" s="10">
        <f>_xlfn.XLOOKUP(tbl_MTG_Set[[#This Row],[Collector Booster Box Product Id]], tbl_Product[Product Id], tbl_Product[Best Source])</f>
        <v/>
      </c>
      <c r="AW332" s="4">
        <f>_xlfn.XLOOKUP(tbl_MTG_Set[[#This Row],[Collector Booster Box Product Id]], tbl_Product[Product Id], tbl_Product[Pack Size])</f>
        <v/>
      </c>
      <c r="AX332" s="10">
        <f>(tbl_MTG_Set[[#This Row],[Collector Booster Box Cost]] + v_Item_Shipping_Cost_In) / tbl_MTG_Set[[#This Row],[Collector Booster Box Size]]</f>
        <v/>
      </c>
      <c r="AY332" s="10">
        <f t="array" ref="AY3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2" s="10" t="n"/>
      <c r="BA3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2" s="17">
        <f>tbl_MTG_Set[[#This Row],[Collector Booster CardMarket Profit]]/tbl_MTG_Set[[#This Row],[Collector Booster Cost]]</f>
        <v/>
      </c>
      <c r="BC332" s="10" t="n"/>
      <c r="BF332" s="10">
        <f>tbl_MTG_Set[[#This Row],[Play Booster Sell Price CardMarket]]*tbl_MTG_Set[[#This Row],[Play Booster Expected Market Value]]/tbl_MTG_Set[[#This Row],[Play Boost Sealed Market Value]]</f>
        <v/>
      </c>
      <c r="BG3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2" s="10">
        <f>tbl_MTG_Set[[#This Row],[Play Singles CardMarket Profit]]/tbl_MTG_Set[[#This Row],[Play Booster Cost]]</f>
        <v/>
      </c>
      <c r="BI332" s="10">
        <f>tbl_MTG_Set[[#This Row],[Play Singles CardMarket Profit]]&gt;0</f>
        <v/>
      </c>
      <c r="BJ332" s="10" t="n"/>
      <c r="BK332" s="10" t="n"/>
      <c r="BL332" s="10">
        <f>tbl_MTG_Set[[#This Row],[Collector Booster Sell Price CardMarket]]*tbl_MTG_Set[[#This Row],[Collector Booster Expected Market Value]]/tbl_MTG_Set[[#This Row],[Collector Boost Sealed Market Value]]</f>
        <v/>
      </c>
      <c r="BM3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2" s="10">
        <f>tbl_MTG_Set[[#This Row],[Collector Singles CardMarket Profit]]/tbl_MTG_Set[[#This Row],[Collector Booster Cost]]</f>
        <v/>
      </c>
      <c r="BO332" s="10">
        <f>tbl_MTG_Set[[#This Row],[Collector Singles CardMarket Profit]]&gt;0</f>
        <v/>
      </c>
      <c r="BP3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3">
      <c r="A333" t="n">
        <v>331</v>
      </c>
      <c r="B333" t="inlineStr">
        <is>
          <t>Chromatic Cube CHROMATIC</t>
        </is>
      </c>
      <c r="C333" t="n">
        <v>540</v>
      </c>
      <c r="D333" s="3" t="n">
        <v>44372</v>
      </c>
      <c r="F333" t="n">
        <v>0</v>
      </c>
      <c r="G333" t="n">
        <v>608</v>
      </c>
      <c r="H333">
        <f>MONTH(NOW())+12*YEAR(NOW())-MONTH(tbl_MTG_Set[[#This Row],[Released On]])-12*YEAR(tbl_MTG_Set[[#This Row],[Released On]])</f>
        <v/>
      </c>
      <c r="I333">
        <f>_xlfn.XLOOKUP(tbl_MTG_Set[[#This Row],[Type Name]], tbl_MTG_Set_Type[Set Type], tbl_MTG_Set_Type[Index], "(Set Type not found)")</f>
        <v/>
      </c>
      <c r="J333">
        <f>_xlfn.XLOOKUP(tbl_MTG_Set[[#This Row],[Type Name]], tbl_MTG_Set_Type[Set Type], tbl_MTG_Set_Type[Buy Window Month Start], "(Set Type not found)")</f>
        <v/>
      </c>
      <c r="K333" s="3">
        <f>tbl_MTG_Set[[#This Row],[Released On]]+tbl_MTG_Set[[#This Row],[Buy Window Month Start]]*365.25/12</f>
        <v/>
      </c>
      <c r="L333">
        <f>_xlfn.XLOOKUP(tbl_MTG_Set[[#This Row],[Type Name]], tbl_MTG_Set_Type[Set Type], tbl_MTG_Set_Type[Buy Window Month End], "(Set Type not found)", 0, 1)</f>
        <v/>
      </c>
      <c r="M333" s="3">
        <f>tbl_MTG_Set[[#This Row],[Released On]]+tbl_MTG_Set[[#This Row],[Buy Window Month End]]*365.25/12</f>
        <v/>
      </c>
      <c r="N333" s="3">
        <f>AND(NOW()&gt;=tbl_MTG_Set[[#This Row],[Buy Window Start]], NOW()&lt;=tbl_MTG_Set[[#This Row],[Buy Window End]])</f>
        <v/>
      </c>
      <c r="O333">
        <f>_xlfn.XLOOKUP(tbl_MTG_Set[[#This Row],[Type Name]], tbl_MTG_Set_Type[Set Type], tbl_MTG_Set_Type[Heavy Printing Window Month Start], "(Set Type not found)", 0, 1)</f>
        <v/>
      </c>
      <c r="P333" s="3">
        <f>tbl_MTG_Set[[#This Row],[Released On]]+tbl_MTG_Set[[#This Row],[Heavy Printing Window Month Start]]*365.25/12</f>
        <v/>
      </c>
      <c r="Q333">
        <f>_xlfn.XLOOKUP(tbl_MTG_Set[[#This Row],[Type Name]], tbl_MTG_Set_Type[Set Type], tbl_MTG_Set_Type[Heavy Printing Window Month End], "(Set Type not found)", 0, 1)</f>
        <v/>
      </c>
      <c r="R333" s="3">
        <f>tbl_MTG_Set[[#This Row],[Released On]]+tbl_MTG_Set[[#This Row],[Heavy Printing Window Month End]]*365.25/12</f>
        <v/>
      </c>
      <c r="S333" s="3">
        <f>AND(NOW()&gt;=tbl_MTG_Set[[#This Row],[Heavy Printing Window Start]], NOW()&lt;=tbl_MTG_Set[[#This Row],[Heavy Printing Window End]])</f>
        <v/>
      </c>
      <c r="T333">
        <f>_xlfn.XLOOKUP(tbl_MTG_Set[[#This Row],[Type Name]], tbl_MTG_Set_Type[Set Type], tbl_MTG_Set_Type[Sell Window Month Start], "(Set Type not found)", 0, 1)</f>
        <v/>
      </c>
      <c r="U333" s="3">
        <f>tbl_MTG_Set[[#This Row],[Released On]]+tbl_MTG_Set[[#This Row],[Sell Window Month Start]]*365.25/12</f>
        <v/>
      </c>
      <c r="V333">
        <f>_xlfn.XLOOKUP(tbl_MTG_Set[[#This Row],[Type Name]], tbl_MTG_Set_Type[Set Type], tbl_MTG_Set_Type[Sell Window Month End], "(Set Type not found)", 0, 1)</f>
        <v/>
      </c>
      <c r="W333" s="3">
        <f>tbl_MTG_Set[[#This Row],[Released On]]+tbl_MTG_Set[[#This Row],[Sell Window Month End]]*365.25/12</f>
        <v/>
      </c>
      <c r="X333" s="3">
        <f>AND(NOW()&gt;=tbl_MTG_Set[[#This Row],[Sell Window Start]], NOW()&lt;=tbl_MTG_Set[[#This Row],[Sell Window End]])</f>
        <v/>
      </c>
      <c r="AG333" s="10" t="n"/>
      <c r="AH333" s="10" t="n"/>
      <c r="AM333" s="10">
        <f t="array" ref="AM3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3" s="10">
        <f t="array" ref="AN3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3" s="4">
        <f>_xlfn.XLOOKUP(tbl_MTG_Set[[#This Row],[Play Booster Box Product Id]], tbl_Product[Product Id], tbl_Product[Pack Size])</f>
        <v/>
      </c>
      <c r="AP333" s="10">
        <f>(tbl_MTG_Set[[#This Row],[Play Booster Box Cost]]+v_Item_Shipping_Cost_In)/tbl_MTG_Set[[#This Row],[Play Booster Box Size]]</f>
        <v/>
      </c>
      <c r="AQ333" s="10">
        <f t="array" ref="AQ3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3" s="10" t="n"/>
      <c r="AS333" s="10" t="n"/>
      <c r="AT333" s="17">
        <f>tbl_MTG_Set[[#This Row],[Play Booster CardMarket Profit]]/tbl_MTG_Set[[#This Row],[Play Booster Cost]]</f>
        <v/>
      </c>
      <c r="AU333" s="10">
        <f>_xlfn.XLOOKUP(tbl_MTG_Set[[#This Row],[Collector Booster Box Product Id]], tbl_Product[Product Id], tbl_Product[Min Cost])</f>
        <v/>
      </c>
      <c r="AV333" s="10">
        <f>_xlfn.XLOOKUP(tbl_MTG_Set[[#This Row],[Collector Booster Box Product Id]], tbl_Product[Product Id], tbl_Product[Best Source])</f>
        <v/>
      </c>
      <c r="AW333" s="4">
        <f>_xlfn.XLOOKUP(tbl_MTG_Set[[#This Row],[Collector Booster Box Product Id]], tbl_Product[Product Id], tbl_Product[Pack Size])</f>
        <v/>
      </c>
      <c r="AX333" s="10">
        <f>(tbl_MTG_Set[[#This Row],[Collector Booster Box Cost]] + v_Item_Shipping_Cost_In) / tbl_MTG_Set[[#This Row],[Collector Booster Box Size]]</f>
        <v/>
      </c>
      <c r="AY333" s="10">
        <f t="array" ref="AY3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3" s="10" t="n"/>
      <c r="BA3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3" s="17">
        <f>tbl_MTG_Set[[#This Row],[Collector Booster CardMarket Profit]]/tbl_MTG_Set[[#This Row],[Collector Booster Cost]]</f>
        <v/>
      </c>
      <c r="BC333" s="10" t="n"/>
      <c r="BF333" s="10">
        <f>tbl_MTG_Set[[#This Row],[Play Booster Sell Price CardMarket]]*tbl_MTG_Set[[#This Row],[Play Booster Expected Market Value]]/tbl_MTG_Set[[#This Row],[Play Boost Sealed Market Value]]</f>
        <v/>
      </c>
      <c r="BG3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3" s="10">
        <f>tbl_MTG_Set[[#This Row],[Play Singles CardMarket Profit]]/tbl_MTG_Set[[#This Row],[Play Booster Cost]]</f>
        <v/>
      </c>
      <c r="BI333" s="10">
        <f>tbl_MTG_Set[[#This Row],[Play Singles CardMarket Profit]]&gt;0</f>
        <v/>
      </c>
      <c r="BJ333" s="10" t="n"/>
      <c r="BK333" s="10" t="n"/>
      <c r="BL333" s="10">
        <f>tbl_MTG_Set[[#This Row],[Collector Booster Sell Price CardMarket]]*tbl_MTG_Set[[#This Row],[Collector Booster Expected Market Value]]/tbl_MTG_Set[[#This Row],[Collector Boost Sealed Market Value]]</f>
        <v/>
      </c>
      <c r="BM3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3" s="10">
        <f>tbl_MTG_Set[[#This Row],[Collector Singles CardMarket Profit]]/tbl_MTG_Set[[#This Row],[Collector Booster Cost]]</f>
        <v/>
      </c>
      <c r="BO333" s="10">
        <f>tbl_MTG_Set[[#This Row],[Collector Singles CardMarket Profit]]&gt;0</f>
        <v/>
      </c>
      <c r="BP3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4">
      <c r="A334" t="n">
        <v>332</v>
      </c>
      <c r="B334" t="inlineStr">
        <is>
          <t>Love Your LGS 2021 PLG21</t>
        </is>
      </c>
      <c r="C334" t="n">
        <v>11</v>
      </c>
      <c r="D334" s="3" t="n">
        <v>44369</v>
      </c>
      <c r="F334" t="inlineStr">
        <is>
          <t>en es fr de it pt ja ko ru 汉语 漢語</t>
        </is>
      </c>
      <c r="G334" t="n">
        <v>610</v>
      </c>
      <c r="H334">
        <f>MONTH(NOW())+12*YEAR(NOW())-MONTH(tbl_MTG_Set[[#This Row],[Released On]])-12*YEAR(tbl_MTG_Set[[#This Row],[Released On]])</f>
        <v/>
      </c>
      <c r="I334">
        <f>_xlfn.XLOOKUP(tbl_MTG_Set[[#This Row],[Type Name]], tbl_MTG_Set_Type[Set Type], tbl_MTG_Set_Type[Index], "(Set Type not found)")</f>
        <v/>
      </c>
      <c r="J334">
        <f>_xlfn.XLOOKUP(tbl_MTG_Set[[#This Row],[Type Name]], tbl_MTG_Set_Type[Set Type], tbl_MTG_Set_Type[Buy Window Month Start], "(Set Type not found)")</f>
        <v/>
      </c>
      <c r="K334" s="3">
        <f>tbl_MTG_Set[[#This Row],[Released On]]+tbl_MTG_Set[[#This Row],[Buy Window Month Start]]*365.25/12</f>
        <v/>
      </c>
      <c r="L334">
        <f>_xlfn.XLOOKUP(tbl_MTG_Set[[#This Row],[Type Name]], tbl_MTG_Set_Type[Set Type], tbl_MTG_Set_Type[Buy Window Month End], "(Set Type not found)", 0, 1)</f>
        <v/>
      </c>
      <c r="M334" s="3">
        <f>tbl_MTG_Set[[#This Row],[Released On]]+tbl_MTG_Set[[#This Row],[Buy Window Month End]]*365.25/12</f>
        <v/>
      </c>
      <c r="N334" s="3">
        <f>AND(NOW()&gt;=tbl_MTG_Set[[#This Row],[Buy Window Start]], NOW()&lt;=tbl_MTG_Set[[#This Row],[Buy Window End]])</f>
        <v/>
      </c>
      <c r="O334">
        <f>_xlfn.XLOOKUP(tbl_MTG_Set[[#This Row],[Type Name]], tbl_MTG_Set_Type[Set Type], tbl_MTG_Set_Type[Heavy Printing Window Month Start], "(Set Type not found)", 0, 1)</f>
        <v/>
      </c>
      <c r="P334" s="3">
        <f>tbl_MTG_Set[[#This Row],[Released On]]+tbl_MTG_Set[[#This Row],[Heavy Printing Window Month Start]]*365.25/12</f>
        <v/>
      </c>
      <c r="Q334">
        <f>_xlfn.XLOOKUP(tbl_MTG_Set[[#This Row],[Type Name]], tbl_MTG_Set_Type[Set Type], tbl_MTG_Set_Type[Heavy Printing Window Month End], "(Set Type not found)", 0, 1)</f>
        <v/>
      </c>
      <c r="R334" s="3">
        <f>tbl_MTG_Set[[#This Row],[Released On]]+tbl_MTG_Set[[#This Row],[Heavy Printing Window Month End]]*365.25/12</f>
        <v/>
      </c>
      <c r="S334" s="3">
        <f>AND(NOW()&gt;=tbl_MTG_Set[[#This Row],[Heavy Printing Window Start]], NOW()&lt;=tbl_MTG_Set[[#This Row],[Heavy Printing Window End]])</f>
        <v/>
      </c>
      <c r="T334">
        <f>_xlfn.XLOOKUP(tbl_MTG_Set[[#This Row],[Type Name]], tbl_MTG_Set_Type[Set Type], tbl_MTG_Set_Type[Sell Window Month Start], "(Set Type not found)", 0, 1)</f>
        <v/>
      </c>
      <c r="U334" s="3">
        <f>tbl_MTG_Set[[#This Row],[Released On]]+tbl_MTG_Set[[#This Row],[Sell Window Month Start]]*365.25/12</f>
        <v/>
      </c>
      <c r="V334">
        <f>_xlfn.XLOOKUP(tbl_MTG_Set[[#This Row],[Type Name]], tbl_MTG_Set_Type[Set Type], tbl_MTG_Set_Type[Sell Window Month End], "(Set Type not found)", 0, 1)</f>
        <v/>
      </c>
      <c r="W334" s="3">
        <f>tbl_MTG_Set[[#This Row],[Released On]]+tbl_MTG_Set[[#This Row],[Sell Window Month End]]*365.25/12</f>
        <v/>
      </c>
      <c r="X334" s="3">
        <f>AND(NOW()&gt;=tbl_MTG_Set[[#This Row],[Sell Window Start]], NOW()&lt;=tbl_MTG_Set[[#This Row],[Sell Window End]])</f>
        <v/>
      </c>
      <c r="AG334" s="10" t="n"/>
      <c r="AH334" s="10" t="n"/>
      <c r="AM334" s="10">
        <f t="array" ref="AM3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4" s="10">
        <f t="array" ref="AN3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4" s="4">
        <f>_xlfn.XLOOKUP(tbl_MTG_Set[[#This Row],[Play Booster Box Product Id]], tbl_Product[Product Id], tbl_Product[Pack Size])</f>
        <v/>
      </c>
      <c r="AP334" s="10">
        <f>(tbl_MTG_Set[[#This Row],[Play Booster Box Cost]]+v_Item_Shipping_Cost_In)/tbl_MTG_Set[[#This Row],[Play Booster Box Size]]</f>
        <v/>
      </c>
      <c r="AQ334" s="10">
        <f t="array" ref="AQ3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4" s="10" t="n"/>
      <c r="AS334" s="10" t="n"/>
      <c r="AT334" s="17">
        <f>tbl_MTG_Set[[#This Row],[Play Booster CardMarket Profit]]/tbl_MTG_Set[[#This Row],[Play Booster Cost]]</f>
        <v/>
      </c>
      <c r="AU334" s="10">
        <f>_xlfn.XLOOKUP(tbl_MTG_Set[[#This Row],[Collector Booster Box Product Id]], tbl_Product[Product Id], tbl_Product[Min Cost])</f>
        <v/>
      </c>
      <c r="AV334" s="10">
        <f>_xlfn.XLOOKUP(tbl_MTG_Set[[#This Row],[Collector Booster Box Product Id]], tbl_Product[Product Id], tbl_Product[Best Source])</f>
        <v/>
      </c>
      <c r="AW334" s="4">
        <f>_xlfn.XLOOKUP(tbl_MTG_Set[[#This Row],[Collector Booster Box Product Id]], tbl_Product[Product Id], tbl_Product[Pack Size])</f>
        <v/>
      </c>
      <c r="AX334" s="10">
        <f>(tbl_MTG_Set[[#This Row],[Collector Booster Box Cost]] + v_Item_Shipping_Cost_In) / tbl_MTG_Set[[#This Row],[Collector Booster Box Size]]</f>
        <v/>
      </c>
      <c r="AY334" s="10">
        <f t="array" ref="AY3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4" s="10" t="n"/>
      <c r="BA3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4" s="17">
        <f>tbl_MTG_Set[[#This Row],[Collector Booster CardMarket Profit]]/tbl_MTG_Set[[#This Row],[Collector Booster Cost]]</f>
        <v/>
      </c>
      <c r="BC334" s="10" t="n"/>
      <c r="BF334" s="10">
        <f>tbl_MTG_Set[[#This Row],[Play Booster Sell Price CardMarket]]*tbl_MTG_Set[[#This Row],[Play Booster Expected Market Value]]/tbl_MTG_Set[[#This Row],[Play Boost Sealed Market Value]]</f>
        <v/>
      </c>
      <c r="BG3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4" s="10">
        <f>tbl_MTG_Set[[#This Row],[Play Singles CardMarket Profit]]/tbl_MTG_Set[[#This Row],[Play Booster Cost]]</f>
        <v/>
      </c>
      <c r="BI334" s="10">
        <f>tbl_MTG_Set[[#This Row],[Play Singles CardMarket Profit]]&gt;0</f>
        <v/>
      </c>
      <c r="BJ334" s="10" t="n"/>
      <c r="BK334" s="10" t="n"/>
      <c r="BL334" s="10">
        <f>tbl_MTG_Set[[#This Row],[Collector Booster Sell Price CardMarket]]*tbl_MTG_Set[[#This Row],[Collector Booster Expected Market Value]]/tbl_MTG_Set[[#This Row],[Collector Boost Sealed Market Value]]</f>
        <v/>
      </c>
      <c r="BM3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4" s="10">
        <f>tbl_MTG_Set[[#This Row],[Collector Singles CardMarket Profit]]/tbl_MTG_Set[[#This Row],[Collector Booster Cost]]</f>
        <v/>
      </c>
      <c r="BO334" s="10">
        <f>tbl_MTG_Set[[#This Row],[Collector Singles CardMarket Profit]]&gt;0</f>
        <v/>
      </c>
      <c r="BP3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5">
      <c r="A335" t="n">
        <v>333</v>
      </c>
      <c r="B335" t="inlineStr">
        <is>
          <t>Wizards Play Network 2021 PW21</t>
        </is>
      </c>
      <c r="C335" t="n">
        <v>6</v>
      </c>
      <c r="D335" s="3" t="n">
        <v>44365</v>
      </c>
      <c r="F335" t="inlineStr">
        <is>
          <t>en es fr de it pt ja ko ru 汉语 漢語</t>
        </is>
      </c>
      <c r="G335" t="n">
        <v>612</v>
      </c>
      <c r="H335">
        <f>MONTH(NOW())+12*YEAR(NOW())-MONTH(tbl_MTG_Set[[#This Row],[Released On]])-12*YEAR(tbl_MTG_Set[[#This Row],[Released On]])</f>
        <v/>
      </c>
      <c r="I335">
        <f>_xlfn.XLOOKUP(tbl_MTG_Set[[#This Row],[Type Name]], tbl_MTG_Set_Type[Set Type], tbl_MTG_Set_Type[Index], "(Set Type not found)")</f>
        <v/>
      </c>
      <c r="J335">
        <f>_xlfn.XLOOKUP(tbl_MTG_Set[[#This Row],[Type Name]], tbl_MTG_Set_Type[Set Type], tbl_MTG_Set_Type[Buy Window Month Start], "(Set Type not found)")</f>
        <v/>
      </c>
      <c r="K335" s="3">
        <f>tbl_MTG_Set[[#This Row],[Released On]]+tbl_MTG_Set[[#This Row],[Buy Window Month Start]]*365.25/12</f>
        <v/>
      </c>
      <c r="L335">
        <f>_xlfn.XLOOKUP(tbl_MTG_Set[[#This Row],[Type Name]], tbl_MTG_Set_Type[Set Type], tbl_MTG_Set_Type[Buy Window Month End], "(Set Type not found)", 0, 1)</f>
        <v/>
      </c>
      <c r="M335" s="3">
        <f>tbl_MTG_Set[[#This Row],[Released On]]+tbl_MTG_Set[[#This Row],[Buy Window Month End]]*365.25/12</f>
        <v/>
      </c>
      <c r="N335" s="3">
        <f>AND(NOW()&gt;=tbl_MTG_Set[[#This Row],[Buy Window Start]], NOW()&lt;=tbl_MTG_Set[[#This Row],[Buy Window End]])</f>
        <v/>
      </c>
      <c r="O335">
        <f>_xlfn.XLOOKUP(tbl_MTG_Set[[#This Row],[Type Name]], tbl_MTG_Set_Type[Set Type], tbl_MTG_Set_Type[Heavy Printing Window Month Start], "(Set Type not found)", 0, 1)</f>
        <v/>
      </c>
      <c r="P335" s="3">
        <f>tbl_MTG_Set[[#This Row],[Released On]]+tbl_MTG_Set[[#This Row],[Heavy Printing Window Month Start]]*365.25/12</f>
        <v/>
      </c>
      <c r="Q335">
        <f>_xlfn.XLOOKUP(tbl_MTG_Set[[#This Row],[Type Name]], tbl_MTG_Set_Type[Set Type], tbl_MTG_Set_Type[Heavy Printing Window Month End], "(Set Type not found)", 0, 1)</f>
        <v/>
      </c>
      <c r="R335" s="3">
        <f>tbl_MTG_Set[[#This Row],[Released On]]+tbl_MTG_Set[[#This Row],[Heavy Printing Window Month End]]*365.25/12</f>
        <v/>
      </c>
      <c r="S335" s="3">
        <f>AND(NOW()&gt;=tbl_MTG_Set[[#This Row],[Heavy Printing Window Start]], NOW()&lt;=tbl_MTG_Set[[#This Row],[Heavy Printing Window End]])</f>
        <v/>
      </c>
      <c r="T335">
        <f>_xlfn.XLOOKUP(tbl_MTG_Set[[#This Row],[Type Name]], tbl_MTG_Set_Type[Set Type], tbl_MTG_Set_Type[Sell Window Month Start], "(Set Type not found)", 0, 1)</f>
        <v/>
      </c>
      <c r="U335" s="3">
        <f>tbl_MTG_Set[[#This Row],[Released On]]+tbl_MTG_Set[[#This Row],[Sell Window Month Start]]*365.25/12</f>
        <v/>
      </c>
      <c r="V335">
        <f>_xlfn.XLOOKUP(tbl_MTG_Set[[#This Row],[Type Name]], tbl_MTG_Set_Type[Set Type], tbl_MTG_Set_Type[Sell Window Month End], "(Set Type not found)", 0, 1)</f>
        <v/>
      </c>
      <c r="W335" s="3">
        <f>tbl_MTG_Set[[#This Row],[Released On]]+tbl_MTG_Set[[#This Row],[Sell Window Month End]]*365.25/12</f>
        <v/>
      </c>
      <c r="X335" s="3">
        <f>AND(NOW()&gt;=tbl_MTG_Set[[#This Row],[Sell Window Start]], NOW()&lt;=tbl_MTG_Set[[#This Row],[Sell Window End]])</f>
        <v/>
      </c>
      <c r="AG335" s="10" t="n"/>
      <c r="AH335" s="10" t="n"/>
      <c r="AM335" s="10">
        <f t="array" ref="AM3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5" s="10">
        <f t="array" ref="AN3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5" s="4">
        <f>_xlfn.XLOOKUP(tbl_MTG_Set[[#This Row],[Play Booster Box Product Id]], tbl_Product[Product Id], tbl_Product[Pack Size])</f>
        <v/>
      </c>
      <c r="AP335" s="10">
        <f>(tbl_MTG_Set[[#This Row],[Play Booster Box Cost]]+v_Item_Shipping_Cost_In)/tbl_MTG_Set[[#This Row],[Play Booster Box Size]]</f>
        <v/>
      </c>
      <c r="AQ335" s="10">
        <f t="array" ref="AQ3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5" s="10" t="n"/>
      <c r="AS335" s="10" t="n"/>
      <c r="AT335" s="17">
        <f>tbl_MTG_Set[[#This Row],[Play Booster CardMarket Profit]]/tbl_MTG_Set[[#This Row],[Play Booster Cost]]</f>
        <v/>
      </c>
      <c r="AU335" s="10">
        <f>_xlfn.XLOOKUP(tbl_MTG_Set[[#This Row],[Collector Booster Box Product Id]], tbl_Product[Product Id], tbl_Product[Min Cost])</f>
        <v/>
      </c>
      <c r="AV335" s="10">
        <f>_xlfn.XLOOKUP(tbl_MTG_Set[[#This Row],[Collector Booster Box Product Id]], tbl_Product[Product Id], tbl_Product[Best Source])</f>
        <v/>
      </c>
      <c r="AW335" s="4">
        <f>_xlfn.XLOOKUP(tbl_MTG_Set[[#This Row],[Collector Booster Box Product Id]], tbl_Product[Product Id], tbl_Product[Pack Size])</f>
        <v/>
      </c>
      <c r="AX335" s="10">
        <f>(tbl_MTG_Set[[#This Row],[Collector Booster Box Cost]] + v_Item_Shipping_Cost_In) / tbl_MTG_Set[[#This Row],[Collector Booster Box Size]]</f>
        <v/>
      </c>
      <c r="AY335" s="10">
        <f t="array" ref="AY3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5" s="10" t="n"/>
      <c r="BA3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5" s="17">
        <f>tbl_MTG_Set[[#This Row],[Collector Booster CardMarket Profit]]/tbl_MTG_Set[[#This Row],[Collector Booster Cost]]</f>
        <v/>
      </c>
      <c r="BC335" s="10" t="n"/>
      <c r="BF335" s="10">
        <f>tbl_MTG_Set[[#This Row],[Play Booster Sell Price CardMarket]]*tbl_MTG_Set[[#This Row],[Play Booster Expected Market Value]]/tbl_MTG_Set[[#This Row],[Play Boost Sealed Market Value]]</f>
        <v/>
      </c>
      <c r="BG3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5" s="10">
        <f>tbl_MTG_Set[[#This Row],[Play Singles CardMarket Profit]]/tbl_MTG_Set[[#This Row],[Play Booster Cost]]</f>
        <v/>
      </c>
      <c r="BI335" s="10">
        <f>tbl_MTG_Set[[#This Row],[Play Singles CardMarket Profit]]&gt;0</f>
        <v/>
      </c>
      <c r="BJ335" s="10" t="n"/>
      <c r="BK335" s="10" t="n"/>
      <c r="BL335" s="10">
        <f>tbl_MTG_Set[[#This Row],[Collector Booster Sell Price CardMarket]]*tbl_MTG_Set[[#This Row],[Collector Booster Expected Market Value]]/tbl_MTG_Set[[#This Row],[Collector Boost Sealed Market Value]]</f>
        <v/>
      </c>
      <c r="BM3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5" s="10">
        <f>tbl_MTG_Set[[#This Row],[Collector Singles CardMarket Profit]]/tbl_MTG_Set[[#This Row],[Collector Booster Cost]]</f>
        <v/>
      </c>
      <c r="BO335" s="10">
        <f>tbl_MTG_Set[[#This Row],[Collector Singles CardMarket Profit]]&gt;0</f>
        <v/>
      </c>
      <c r="BP3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6">
      <c r="A336" t="n">
        <v>334</v>
      </c>
      <c r="B336" t="inlineStr">
        <is>
          <t>Modern Horizons 2 MH2</t>
        </is>
      </c>
      <c r="C336" t="n">
        <v>494</v>
      </c>
      <c r="D336" s="3" t="n">
        <v>44365</v>
      </c>
      <c r="F336" t="inlineStr">
        <is>
          <t>en es fr de it pt ja ko ru 汉语 漢語</t>
        </is>
      </c>
      <c r="G336" t="n">
        <v>614</v>
      </c>
      <c r="H336">
        <f>MONTH(NOW())+12*YEAR(NOW())-MONTH(tbl_MTG_Set[[#This Row],[Released On]])-12*YEAR(tbl_MTG_Set[[#This Row],[Released On]])</f>
        <v/>
      </c>
      <c r="I336">
        <f>_xlfn.XLOOKUP(tbl_MTG_Set[[#This Row],[Type Name]], tbl_MTG_Set_Type[Set Type], tbl_MTG_Set_Type[Index], "(Set Type not found)")</f>
        <v/>
      </c>
      <c r="J336">
        <f>_xlfn.XLOOKUP(tbl_MTG_Set[[#This Row],[Type Name]], tbl_MTG_Set_Type[Set Type], tbl_MTG_Set_Type[Buy Window Month Start], "(Set Type not found)")</f>
        <v/>
      </c>
      <c r="K336" s="3">
        <f>tbl_MTG_Set[[#This Row],[Released On]]+tbl_MTG_Set[[#This Row],[Buy Window Month Start]]*365.25/12</f>
        <v/>
      </c>
      <c r="L336">
        <f>_xlfn.XLOOKUP(tbl_MTG_Set[[#This Row],[Type Name]], tbl_MTG_Set_Type[Set Type], tbl_MTG_Set_Type[Buy Window Month End], "(Set Type not found)", 0, 1)</f>
        <v/>
      </c>
      <c r="M336" s="3">
        <f>tbl_MTG_Set[[#This Row],[Released On]]+tbl_MTG_Set[[#This Row],[Buy Window Month End]]*365.25/12</f>
        <v/>
      </c>
      <c r="N336" s="3">
        <f>AND(NOW()&gt;=tbl_MTG_Set[[#This Row],[Buy Window Start]], NOW()&lt;=tbl_MTG_Set[[#This Row],[Buy Window End]])</f>
        <v/>
      </c>
      <c r="O336">
        <f>_xlfn.XLOOKUP(tbl_MTG_Set[[#This Row],[Type Name]], tbl_MTG_Set_Type[Set Type], tbl_MTG_Set_Type[Heavy Printing Window Month Start], "(Set Type not found)", 0, 1)</f>
        <v/>
      </c>
      <c r="P336" s="3">
        <f>tbl_MTG_Set[[#This Row],[Released On]]+tbl_MTG_Set[[#This Row],[Heavy Printing Window Month Start]]*365.25/12</f>
        <v/>
      </c>
      <c r="Q336">
        <f>_xlfn.XLOOKUP(tbl_MTG_Set[[#This Row],[Type Name]], tbl_MTG_Set_Type[Set Type], tbl_MTG_Set_Type[Heavy Printing Window Month End], "(Set Type not found)", 0, 1)</f>
        <v/>
      </c>
      <c r="R336" s="3">
        <f>tbl_MTG_Set[[#This Row],[Released On]]+tbl_MTG_Set[[#This Row],[Heavy Printing Window Month End]]*365.25/12</f>
        <v/>
      </c>
      <c r="S336" s="3">
        <f>AND(NOW()&gt;=tbl_MTG_Set[[#This Row],[Heavy Printing Window Start]], NOW()&lt;=tbl_MTG_Set[[#This Row],[Heavy Printing Window End]])</f>
        <v/>
      </c>
      <c r="T336">
        <f>_xlfn.XLOOKUP(tbl_MTG_Set[[#This Row],[Type Name]], tbl_MTG_Set_Type[Set Type], tbl_MTG_Set_Type[Sell Window Month Start], "(Set Type not found)", 0, 1)</f>
        <v/>
      </c>
      <c r="U336" s="3">
        <f>tbl_MTG_Set[[#This Row],[Released On]]+tbl_MTG_Set[[#This Row],[Sell Window Month Start]]*365.25/12</f>
        <v/>
      </c>
      <c r="V336">
        <f>_xlfn.XLOOKUP(tbl_MTG_Set[[#This Row],[Type Name]], tbl_MTG_Set_Type[Set Type], tbl_MTG_Set_Type[Sell Window Month End], "(Set Type not found)", 0, 1)</f>
        <v/>
      </c>
      <c r="W336" s="3">
        <f>tbl_MTG_Set[[#This Row],[Released On]]+tbl_MTG_Set[[#This Row],[Sell Window Month End]]*365.25/12</f>
        <v/>
      </c>
      <c r="X336" s="3">
        <f>AND(NOW()&gt;=tbl_MTG_Set[[#This Row],[Sell Window Start]], NOW()&lt;=tbl_MTG_Set[[#This Row],[Sell Window End]])</f>
        <v/>
      </c>
      <c r="Y336" s="10" t="n">
        <v>300</v>
      </c>
      <c r="Z336" s="10" t="n">
        <v>219</v>
      </c>
      <c r="AD336" s="10">
        <f>(Y336+96/10)/36</f>
        <v/>
      </c>
      <c r="AE336" s="10">
        <f>(Z336+96/20)/36</f>
        <v/>
      </c>
      <c r="AG336" s="10" t="n"/>
      <c r="AH336" s="10" t="n"/>
      <c r="AI336" s="4" t="n">
        <v>46</v>
      </c>
      <c r="AJ336" s="13" t="n">
        <v>1</v>
      </c>
      <c r="AK336" s="4" t="n">
        <v>120</v>
      </c>
      <c r="AL336" s="4" t="n">
        <v>119</v>
      </c>
      <c r="AM336" s="12">
        <f t="array" ref="AM3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6" s="10">
        <f t="array" ref="AN3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6" s="13">
        <f>_xlfn.XLOOKUP(tbl_MTG_Set[[#This Row],[Play Booster Box Product Id]], tbl_Product[Product Id], tbl_Product[Pack Size])</f>
        <v/>
      </c>
      <c r="AP336" s="10">
        <f>(tbl_MTG_Set[[#This Row],[Play Booster Box Cost]]+v_Item_Shipping_Cost_In)/tbl_MTG_Set[[#This Row],[Play Booster Box Size]]</f>
        <v/>
      </c>
      <c r="AQ336" s="10">
        <f t="array" ref="AQ3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6" s="10" t="n">
        <v>12</v>
      </c>
      <c r="AS33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36" s="17">
        <f>tbl_MTG_Set[[#This Row],[Play Booster CardMarket Profit]]/tbl_MTG_Set[[#This Row],[Play Booster Cost]]</f>
        <v/>
      </c>
      <c r="AU336" s="12">
        <f>_xlfn.XLOOKUP(tbl_MTG_Set[[#This Row],[Collector Booster Box Product Id]], tbl_Product[Product Id], tbl_Product[Min Cost])</f>
        <v/>
      </c>
      <c r="AV336" s="10">
        <f>_xlfn.XLOOKUP(tbl_MTG_Set[[#This Row],[Collector Booster Box Product Id]], tbl_Product[Product Id], tbl_Product[Best Source])</f>
        <v/>
      </c>
      <c r="AW336" s="13">
        <f>_xlfn.XLOOKUP(tbl_MTG_Set[[#This Row],[Collector Booster Box Product Id]], tbl_Product[Product Id], tbl_Product[Pack Size])</f>
        <v/>
      </c>
      <c r="AX336" s="10">
        <f>(tbl_MTG_Set[[#This Row],[Collector Booster Box Cost]] + v_Item_Shipping_Cost_In) / tbl_MTG_Set[[#This Row],[Collector Booster Box Size]]</f>
        <v/>
      </c>
      <c r="AY336" s="10">
        <f t="array" ref="AY3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6" s="10" t="n"/>
      <c r="BA3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6" s="18">
        <f>tbl_MTG_Set[[#This Row],[Collector Booster CardMarket Profit]]/tbl_MTG_Set[[#This Row],[Collector Booster Cost]]</f>
        <v/>
      </c>
      <c r="BC336" s="15" t="inlineStr">
        <is>
          <t>https://www.mtgstocks.com/sets/363-modern-horizons-2#ev</t>
        </is>
      </c>
      <c r="BF336" s="10">
        <f>tbl_MTG_Set[[#This Row],[Play Booster Sell Price CardMarket]]*tbl_MTG_Set[[#This Row],[Play Booster Expected Market Value]]/tbl_MTG_Set[[#This Row],[Play Boost Sealed Market Value]]</f>
        <v/>
      </c>
      <c r="BG3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6" s="17">
        <f>tbl_MTG_Set[[#This Row],[Play Singles CardMarket Profit]]/tbl_MTG_Set[[#This Row],[Play Booster Cost]]</f>
        <v/>
      </c>
      <c r="BI336" s="10">
        <f>tbl_MTG_Set[[#This Row],[Play Singles CardMarket Profit]]&gt;0</f>
        <v/>
      </c>
      <c r="BJ336" s="10" t="n"/>
      <c r="BK336" s="10" t="n"/>
      <c r="BL336" s="10">
        <f>tbl_MTG_Set[[#This Row],[Collector Booster Sell Price CardMarket]]*tbl_MTG_Set[[#This Row],[Collector Booster Expected Market Value]]/tbl_MTG_Set[[#This Row],[Collector Boost Sealed Market Value]]</f>
        <v/>
      </c>
      <c r="BM3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6" s="17">
        <f>tbl_MTG_Set[[#This Row],[Collector Singles CardMarket Profit]]/tbl_MTG_Set[[#This Row],[Collector Booster Cost]]</f>
        <v/>
      </c>
      <c r="BO336" s="10">
        <f>tbl_MTG_Set[[#This Row],[Collector Singles CardMarket Profit]]&gt;0</f>
        <v/>
      </c>
      <c r="BP3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6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7">
      <c r="A337" t="n">
        <v>335</v>
      </c>
      <c r="B337" t="inlineStr">
        <is>
          <t>Modern Horizons 2 Promos PMH2</t>
        </is>
      </c>
      <c r="C337" t="n">
        <v>86</v>
      </c>
      <c r="D337" s="3" t="n">
        <v>44365</v>
      </c>
      <c r="F337" t="inlineStr">
        <is>
          <t>en es fr de it pt ja ko ru 汉语 漢語</t>
        </is>
      </c>
      <c r="G337" t="n">
        <v>616</v>
      </c>
      <c r="H337">
        <f>MONTH(NOW())+12*YEAR(NOW())-MONTH(tbl_MTG_Set[[#This Row],[Released On]])-12*YEAR(tbl_MTG_Set[[#This Row],[Released On]])</f>
        <v/>
      </c>
      <c r="I337">
        <f>_xlfn.XLOOKUP(tbl_MTG_Set[[#This Row],[Type Name]], tbl_MTG_Set_Type[Set Type], tbl_MTG_Set_Type[Index], "(Set Type not found)")</f>
        <v/>
      </c>
      <c r="J337">
        <f>_xlfn.XLOOKUP(tbl_MTG_Set[[#This Row],[Type Name]], tbl_MTG_Set_Type[Set Type], tbl_MTG_Set_Type[Buy Window Month Start], "(Set Type not found)")</f>
        <v/>
      </c>
      <c r="K337" s="3">
        <f>tbl_MTG_Set[[#This Row],[Released On]]+tbl_MTG_Set[[#This Row],[Buy Window Month Start]]*365.25/12</f>
        <v/>
      </c>
      <c r="L337">
        <f>_xlfn.XLOOKUP(tbl_MTG_Set[[#This Row],[Type Name]], tbl_MTG_Set_Type[Set Type], tbl_MTG_Set_Type[Buy Window Month End], "(Set Type not found)", 0, 1)</f>
        <v/>
      </c>
      <c r="M337" s="3">
        <f>tbl_MTG_Set[[#This Row],[Released On]]+tbl_MTG_Set[[#This Row],[Buy Window Month End]]*365.25/12</f>
        <v/>
      </c>
      <c r="N337" s="3">
        <f>AND(NOW()&gt;=tbl_MTG_Set[[#This Row],[Buy Window Start]], NOW()&lt;=tbl_MTG_Set[[#This Row],[Buy Window End]])</f>
        <v/>
      </c>
      <c r="O337">
        <f>_xlfn.XLOOKUP(tbl_MTG_Set[[#This Row],[Type Name]], tbl_MTG_Set_Type[Set Type], tbl_MTG_Set_Type[Heavy Printing Window Month Start], "(Set Type not found)", 0, 1)</f>
        <v/>
      </c>
      <c r="P337" s="3">
        <f>tbl_MTG_Set[[#This Row],[Released On]]+tbl_MTG_Set[[#This Row],[Heavy Printing Window Month Start]]*365.25/12</f>
        <v/>
      </c>
      <c r="Q337">
        <f>_xlfn.XLOOKUP(tbl_MTG_Set[[#This Row],[Type Name]], tbl_MTG_Set_Type[Set Type], tbl_MTG_Set_Type[Heavy Printing Window Month End], "(Set Type not found)", 0, 1)</f>
        <v/>
      </c>
      <c r="R337" s="3">
        <f>tbl_MTG_Set[[#This Row],[Released On]]+tbl_MTG_Set[[#This Row],[Heavy Printing Window Month End]]*365.25/12</f>
        <v/>
      </c>
      <c r="S337" s="3">
        <f>AND(NOW()&gt;=tbl_MTG_Set[[#This Row],[Heavy Printing Window Start]], NOW()&lt;=tbl_MTG_Set[[#This Row],[Heavy Printing Window End]])</f>
        <v/>
      </c>
      <c r="T337">
        <f>_xlfn.XLOOKUP(tbl_MTG_Set[[#This Row],[Type Name]], tbl_MTG_Set_Type[Set Type], tbl_MTG_Set_Type[Sell Window Month Start], "(Set Type not found)", 0, 1)</f>
        <v/>
      </c>
      <c r="U337" s="3">
        <f>tbl_MTG_Set[[#This Row],[Released On]]+tbl_MTG_Set[[#This Row],[Sell Window Month Start]]*365.25/12</f>
        <v/>
      </c>
      <c r="V337">
        <f>_xlfn.XLOOKUP(tbl_MTG_Set[[#This Row],[Type Name]], tbl_MTG_Set_Type[Set Type], tbl_MTG_Set_Type[Sell Window Month End], "(Set Type not found)", 0, 1)</f>
        <v/>
      </c>
      <c r="W337" s="3">
        <f>tbl_MTG_Set[[#This Row],[Released On]]+tbl_MTG_Set[[#This Row],[Sell Window Month End]]*365.25/12</f>
        <v/>
      </c>
      <c r="X337" s="3">
        <f>AND(NOW()&gt;=tbl_MTG_Set[[#This Row],[Sell Window Start]], NOW()&lt;=tbl_MTG_Set[[#This Row],[Sell Window End]])</f>
        <v/>
      </c>
      <c r="AG337" s="10" t="n"/>
      <c r="AH337" s="10" t="n"/>
      <c r="AM337" s="10">
        <f t="array" ref="AM3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7" s="10">
        <f t="array" ref="AN3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7" s="4">
        <f>_xlfn.XLOOKUP(tbl_MTG_Set[[#This Row],[Play Booster Box Product Id]], tbl_Product[Product Id], tbl_Product[Pack Size])</f>
        <v/>
      </c>
      <c r="AP337" s="10">
        <f>(tbl_MTG_Set[[#This Row],[Play Booster Box Cost]]+v_Item_Shipping_Cost_In)/tbl_MTG_Set[[#This Row],[Play Booster Box Size]]</f>
        <v/>
      </c>
      <c r="AQ337" s="10">
        <f t="array" ref="AQ3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7" s="10" t="n"/>
      <c r="AS337" s="10" t="n"/>
      <c r="AT337" s="17">
        <f>tbl_MTG_Set[[#This Row],[Play Booster CardMarket Profit]]/tbl_MTG_Set[[#This Row],[Play Booster Cost]]</f>
        <v/>
      </c>
      <c r="AU337" s="10">
        <f>_xlfn.XLOOKUP(tbl_MTG_Set[[#This Row],[Collector Booster Box Product Id]], tbl_Product[Product Id], tbl_Product[Min Cost])</f>
        <v/>
      </c>
      <c r="AV337" s="10">
        <f>_xlfn.XLOOKUP(tbl_MTG_Set[[#This Row],[Collector Booster Box Product Id]], tbl_Product[Product Id], tbl_Product[Best Source])</f>
        <v/>
      </c>
      <c r="AW337" s="4">
        <f>_xlfn.XLOOKUP(tbl_MTG_Set[[#This Row],[Collector Booster Box Product Id]], tbl_Product[Product Id], tbl_Product[Pack Size])</f>
        <v/>
      </c>
      <c r="AX337" s="10">
        <f>(tbl_MTG_Set[[#This Row],[Collector Booster Box Cost]] + v_Item_Shipping_Cost_In) / tbl_MTG_Set[[#This Row],[Collector Booster Box Size]]</f>
        <v/>
      </c>
      <c r="AY337" s="10">
        <f t="array" ref="AY3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7" s="10" t="n"/>
      <c r="BA3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7" s="17">
        <f>tbl_MTG_Set[[#This Row],[Collector Booster CardMarket Profit]]/tbl_MTG_Set[[#This Row],[Collector Booster Cost]]</f>
        <v/>
      </c>
      <c r="BC337" s="10" t="n"/>
      <c r="BF337" s="10">
        <f>tbl_MTG_Set[[#This Row],[Play Booster Sell Price CardMarket]]*tbl_MTG_Set[[#This Row],[Play Booster Expected Market Value]]/tbl_MTG_Set[[#This Row],[Play Boost Sealed Market Value]]</f>
        <v/>
      </c>
      <c r="BG3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7" s="10">
        <f>tbl_MTG_Set[[#This Row],[Play Singles CardMarket Profit]]/tbl_MTG_Set[[#This Row],[Play Booster Cost]]</f>
        <v/>
      </c>
      <c r="BI337" s="10">
        <f>tbl_MTG_Set[[#This Row],[Play Singles CardMarket Profit]]&gt;0</f>
        <v/>
      </c>
      <c r="BJ337" s="10" t="n"/>
      <c r="BK337" s="10" t="n"/>
      <c r="BL337" s="10">
        <f>tbl_MTG_Set[[#This Row],[Collector Booster Sell Price CardMarket]]*tbl_MTG_Set[[#This Row],[Collector Booster Expected Market Value]]/tbl_MTG_Set[[#This Row],[Collector Boost Sealed Market Value]]</f>
        <v/>
      </c>
      <c r="BM3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7" s="10">
        <f>tbl_MTG_Set[[#This Row],[Collector Singles CardMarket Profit]]/tbl_MTG_Set[[#This Row],[Collector Booster Cost]]</f>
        <v/>
      </c>
      <c r="BO337" s="10">
        <f>tbl_MTG_Set[[#This Row],[Collector Singles CardMarket Profit]]&gt;0</f>
        <v/>
      </c>
      <c r="BP3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8">
      <c r="A338" t="n">
        <v>336</v>
      </c>
      <c r="B338" t="inlineStr">
        <is>
          <t>Modern Horizons 2 Tokens TMH2</t>
        </is>
      </c>
      <c r="C338" t="n">
        <v>21</v>
      </c>
      <c r="D338" s="3" t="n">
        <v>44365</v>
      </c>
      <c r="F338" t="inlineStr">
        <is>
          <t>en es fr de it pt ja ko ru 汉语 漢語</t>
        </is>
      </c>
      <c r="G338" t="n">
        <v>618</v>
      </c>
      <c r="H338">
        <f>MONTH(NOW())+12*YEAR(NOW())-MONTH(tbl_MTG_Set[[#This Row],[Released On]])-12*YEAR(tbl_MTG_Set[[#This Row],[Released On]])</f>
        <v/>
      </c>
      <c r="I338">
        <f>_xlfn.XLOOKUP(tbl_MTG_Set[[#This Row],[Type Name]], tbl_MTG_Set_Type[Set Type], tbl_MTG_Set_Type[Index], "(Set Type not found)")</f>
        <v/>
      </c>
      <c r="J338">
        <f>_xlfn.XLOOKUP(tbl_MTG_Set[[#This Row],[Type Name]], tbl_MTG_Set_Type[Set Type], tbl_MTG_Set_Type[Buy Window Month Start], "(Set Type not found)")</f>
        <v/>
      </c>
      <c r="K338" s="3">
        <f>tbl_MTG_Set[[#This Row],[Released On]]+tbl_MTG_Set[[#This Row],[Buy Window Month Start]]*365.25/12</f>
        <v/>
      </c>
      <c r="L338">
        <f>_xlfn.XLOOKUP(tbl_MTG_Set[[#This Row],[Type Name]], tbl_MTG_Set_Type[Set Type], tbl_MTG_Set_Type[Buy Window Month End], "(Set Type not found)", 0, 1)</f>
        <v/>
      </c>
      <c r="M338" s="3">
        <f>tbl_MTG_Set[[#This Row],[Released On]]+tbl_MTG_Set[[#This Row],[Buy Window Month End]]*365.25/12</f>
        <v/>
      </c>
      <c r="N338" s="3">
        <f>AND(NOW()&gt;=tbl_MTG_Set[[#This Row],[Buy Window Start]], NOW()&lt;=tbl_MTG_Set[[#This Row],[Buy Window End]])</f>
        <v/>
      </c>
      <c r="O338">
        <f>_xlfn.XLOOKUP(tbl_MTG_Set[[#This Row],[Type Name]], tbl_MTG_Set_Type[Set Type], tbl_MTG_Set_Type[Heavy Printing Window Month Start], "(Set Type not found)", 0, 1)</f>
        <v/>
      </c>
      <c r="P338" s="3">
        <f>tbl_MTG_Set[[#This Row],[Released On]]+tbl_MTG_Set[[#This Row],[Heavy Printing Window Month Start]]*365.25/12</f>
        <v/>
      </c>
      <c r="Q338">
        <f>_xlfn.XLOOKUP(tbl_MTG_Set[[#This Row],[Type Name]], tbl_MTG_Set_Type[Set Type], tbl_MTG_Set_Type[Heavy Printing Window Month End], "(Set Type not found)", 0, 1)</f>
        <v/>
      </c>
      <c r="R338" s="3">
        <f>tbl_MTG_Set[[#This Row],[Released On]]+tbl_MTG_Set[[#This Row],[Heavy Printing Window Month End]]*365.25/12</f>
        <v/>
      </c>
      <c r="S338" s="3">
        <f>AND(NOW()&gt;=tbl_MTG_Set[[#This Row],[Heavy Printing Window Start]], NOW()&lt;=tbl_MTG_Set[[#This Row],[Heavy Printing Window End]])</f>
        <v/>
      </c>
      <c r="T338">
        <f>_xlfn.XLOOKUP(tbl_MTG_Set[[#This Row],[Type Name]], tbl_MTG_Set_Type[Set Type], tbl_MTG_Set_Type[Sell Window Month Start], "(Set Type not found)", 0, 1)</f>
        <v/>
      </c>
      <c r="U338" s="3">
        <f>tbl_MTG_Set[[#This Row],[Released On]]+tbl_MTG_Set[[#This Row],[Sell Window Month Start]]*365.25/12</f>
        <v/>
      </c>
      <c r="V338">
        <f>_xlfn.XLOOKUP(tbl_MTG_Set[[#This Row],[Type Name]], tbl_MTG_Set_Type[Set Type], tbl_MTG_Set_Type[Sell Window Month End], "(Set Type not found)", 0, 1)</f>
        <v/>
      </c>
      <c r="W338" s="3">
        <f>tbl_MTG_Set[[#This Row],[Released On]]+tbl_MTG_Set[[#This Row],[Sell Window Month End]]*365.25/12</f>
        <v/>
      </c>
      <c r="X338" s="3">
        <f>AND(NOW()&gt;=tbl_MTG_Set[[#This Row],[Sell Window Start]], NOW()&lt;=tbl_MTG_Set[[#This Row],[Sell Window End]])</f>
        <v/>
      </c>
      <c r="AG338" s="10" t="n"/>
      <c r="AH338" s="10" t="n"/>
      <c r="AM338" s="10">
        <f t="array" ref="AM3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8" s="10">
        <f t="array" ref="AN3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8" s="4">
        <f>_xlfn.XLOOKUP(tbl_MTG_Set[[#This Row],[Play Booster Box Product Id]], tbl_Product[Product Id], tbl_Product[Pack Size])</f>
        <v/>
      </c>
      <c r="AP338" s="10">
        <f>(tbl_MTG_Set[[#This Row],[Play Booster Box Cost]]+v_Item_Shipping_Cost_In)/tbl_MTG_Set[[#This Row],[Play Booster Box Size]]</f>
        <v/>
      </c>
      <c r="AQ338" s="10">
        <f t="array" ref="AQ3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8" s="10" t="n"/>
      <c r="AS338" s="10" t="n"/>
      <c r="AT338" s="17">
        <f>tbl_MTG_Set[[#This Row],[Play Booster CardMarket Profit]]/tbl_MTG_Set[[#This Row],[Play Booster Cost]]</f>
        <v/>
      </c>
      <c r="AU338" s="10">
        <f>_xlfn.XLOOKUP(tbl_MTG_Set[[#This Row],[Collector Booster Box Product Id]], tbl_Product[Product Id], tbl_Product[Min Cost])</f>
        <v/>
      </c>
      <c r="AV338" s="10">
        <f>_xlfn.XLOOKUP(tbl_MTG_Set[[#This Row],[Collector Booster Box Product Id]], tbl_Product[Product Id], tbl_Product[Best Source])</f>
        <v/>
      </c>
      <c r="AW338" s="4">
        <f>_xlfn.XLOOKUP(tbl_MTG_Set[[#This Row],[Collector Booster Box Product Id]], tbl_Product[Product Id], tbl_Product[Pack Size])</f>
        <v/>
      </c>
      <c r="AX338" s="10">
        <f>(tbl_MTG_Set[[#This Row],[Collector Booster Box Cost]] + v_Item_Shipping_Cost_In) / tbl_MTG_Set[[#This Row],[Collector Booster Box Size]]</f>
        <v/>
      </c>
      <c r="AY338" s="10">
        <f t="array" ref="AY3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8" s="10" t="n"/>
      <c r="BA3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8" s="17">
        <f>tbl_MTG_Set[[#This Row],[Collector Booster CardMarket Profit]]/tbl_MTG_Set[[#This Row],[Collector Booster Cost]]</f>
        <v/>
      </c>
      <c r="BC338" s="10" t="n"/>
      <c r="BF338" s="10">
        <f>tbl_MTG_Set[[#This Row],[Play Booster Sell Price CardMarket]]*tbl_MTG_Set[[#This Row],[Play Booster Expected Market Value]]/tbl_MTG_Set[[#This Row],[Play Boost Sealed Market Value]]</f>
        <v/>
      </c>
      <c r="BG3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8" s="10">
        <f>tbl_MTG_Set[[#This Row],[Play Singles CardMarket Profit]]/tbl_MTG_Set[[#This Row],[Play Booster Cost]]</f>
        <v/>
      </c>
      <c r="BI338" s="10">
        <f>tbl_MTG_Set[[#This Row],[Play Singles CardMarket Profit]]&gt;0</f>
        <v/>
      </c>
      <c r="BJ338" s="10" t="n"/>
      <c r="BK338" s="10" t="n"/>
      <c r="BL338" s="10">
        <f>tbl_MTG_Set[[#This Row],[Collector Booster Sell Price CardMarket]]*tbl_MTG_Set[[#This Row],[Collector Booster Expected Market Value]]/tbl_MTG_Set[[#This Row],[Collector Boost Sealed Market Value]]</f>
        <v/>
      </c>
      <c r="BM3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8" s="10">
        <f>tbl_MTG_Set[[#This Row],[Collector Singles CardMarket Profit]]/tbl_MTG_Set[[#This Row],[Collector Booster Cost]]</f>
        <v/>
      </c>
      <c r="BO338" s="10">
        <f>tbl_MTG_Set[[#This Row],[Collector Singles CardMarket Profit]]&gt;0</f>
        <v/>
      </c>
      <c r="BP3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9">
      <c r="A339" t="n">
        <v>337</v>
      </c>
      <c r="B339" t="inlineStr">
        <is>
          <t>Modern Horizons 2 Art Series AMH2</t>
        </is>
      </c>
      <c r="C339" t="n">
        <v>162</v>
      </c>
      <c r="D339" s="3" t="n">
        <v>44365</v>
      </c>
      <c r="F339" t="inlineStr">
        <is>
          <t>en es fr de it pt ja ko ru 汉语 漢語</t>
        </is>
      </c>
      <c r="G339" t="n">
        <v>620</v>
      </c>
      <c r="H339">
        <f>MONTH(NOW())+12*YEAR(NOW())-MONTH(tbl_MTG_Set[[#This Row],[Released On]])-12*YEAR(tbl_MTG_Set[[#This Row],[Released On]])</f>
        <v/>
      </c>
      <c r="I339">
        <f>_xlfn.XLOOKUP(tbl_MTG_Set[[#This Row],[Type Name]], tbl_MTG_Set_Type[Set Type], tbl_MTG_Set_Type[Index], "(Set Type not found)")</f>
        <v/>
      </c>
      <c r="J339">
        <f>_xlfn.XLOOKUP(tbl_MTG_Set[[#This Row],[Type Name]], tbl_MTG_Set_Type[Set Type], tbl_MTG_Set_Type[Buy Window Month Start], "(Set Type not found)")</f>
        <v/>
      </c>
      <c r="K339" s="3">
        <f>tbl_MTG_Set[[#This Row],[Released On]]+tbl_MTG_Set[[#This Row],[Buy Window Month Start]]*365.25/12</f>
        <v/>
      </c>
      <c r="L339">
        <f>_xlfn.XLOOKUP(tbl_MTG_Set[[#This Row],[Type Name]], tbl_MTG_Set_Type[Set Type], tbl_MTG_Set_Type[Buy Window Month End], "(Set Type not found)", 0, 1)</f>
        <v/>
      </c>
      <c r="M339" s="3">
        <f>tbl_MTG_Set[[#This Row],[Released On]]+tbl_MTG_Set[[#This Row],[Buy Window Month End]]*365.25/12</f>
        <v/>
      </c>
      <c r="N339" s="3">
        <f>AND(NOW()&gt;=tbl_MTG_Set[[#This Row],[Buy Window Start]], NOW()&lt;=tbl_MTG_Set[[#This Row],[Buy Window End]])</f>
        <v/>
      </c>
      <c r="O339">
        <f>_xlfn.XLOOKUP(tbl_MTG_Set[[#This Row],[Type Name]], tbl_MTG_Set_Type[Set Type], tbl_MTG_Set_Type[Heavy Printing Window Month Start], "(Set Type not found)", 0, 1)</f>
        <v/>
      </c>
      <c r="P339" s="3">
        <f>tbl_MTG_Set[[#This Row],[Released On]]+tbl_MTG_Set[[#This Row],[Heavy Printing Window Month Start]]*365.25/12</f>
        <v/>
      </c>
      <c r="Q339">
        <f>_xlfn.XLOOKUP(tbl_MTG_Set[[#This Row],[Type Name]], tbl_MTG_Set_Type[Set Type], tbl_MTG_Set_Type[Heavy Printing Window Month End], "(Set Type not found)", 0, 1)</f>
        <v/>
      </c>
      <c r="R339" s="3">
        <f>tbl_MTG_Set[[#This Row],[Released On]]+tbl_MTG_Set[[#This Row],[Heavy Printing Window Month End]]*365.25/12</f>
        <v/>
      </c>
      <c r="S339" s="3">
        <f>AND(NOW()&gt;=tbl_MTG_Set[[#This Row],[Heavy Printing Window Start]], NOW()&lt;=tbl_MTG_Set[[#This Row],[Heavy Printing Window End]])</f>
        <v/>
      </c>
      <c r="T339">
        <f>_xlfn.XLOOKUP(tbl_MTG_Set[[#This Row],[Type Name]], tbl_MTG_Set_Type[Set Type], tbl_MTG_Set_Type[Sell Window Month Start], "(Set Type not found)", 0, 1)</f>
        <v/>
      </c>
      <c r="U339" s="3">
        <f>tbl_MTG_Set[[#This Row],[Released On]]+tbl_MTG_Set[[#This Row],[Sell Window Month Start]]*365.25/12</f>
        <v/>
      </c>
      <c r="V339">
        <f>_xlfn.XLOOKUP(tbl_MTG_Set[[#This Row],[Type Name]], tbl_MTG_Set_Type[Set Type], tbl_MTG_Set_Type[Sell Window Month End], "(Set Type not found)", 0, 1)</f>
        <v/>
      </c>
      <c r="W339" s="3">
        <f>tbl_MTG_Set[[#This Row],[Released On]]+tbl_MTG_Set[[#This Row],[Sell Window Month End]]*365.25/12</f>
        <v/>
      </c>
      <c r="X339" s="3">
        <f>AND(NOW()&gt;=tbl_MTG_Set[[#This Row],[Sell Window Start]], NOW()&lt;=tbl_MTG_Set[[#This Row],[Sell Window End]])</f>
        <v/>
      </c>
      <c r="AG339" s="10" t="n"/>
      <c r="AH339" s="10" t="n"/>
      <c r="AM339" s="10">
        <f t="array" ref="AM3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9" s="10">
        <f t="array" ref="AN3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9" s="4">
        <f>_xlfn.XLOOKUP(tbl_MTG_Set[[#This Row],[Play Booster Box Product Id]], tbl_Product[Product Id], tbl_Product[Pack Size])</f>
        <v/>
      </c>
      <c r="AP339" s="10">
        <f>(tbl_MTG_Set[[#This Row],[Play Booster Box Cost]]+v_Item_Shipping_Cost_In)/tbl_MTG_Set[[#This Row],[Play Booster Box Size]]</f>
        <v/>
      </c>
      <c r="AQ339" s="10">
        <f t="array" ref="AQ3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39" s="10" t="n"/>
      <c r="AS339" s="10" t="n"/>
      <c r="AT339" s="17">
        <f>tbl_MTG_Set[[#This Row],[Play Booster CardMarket Profit]]/tbl_MTG_Set[[#This Row],[Play Booster Cost]]</f>
        <v/>
      </c>
      <c r="AU339" s="10">
        <f>_xlfn.XLOOKUP(tbl_MTG_Set[[#This Row],[Collector Booster Box Product Id]], tbl_Product[Product Id], tbl_Product[Min Cost])</f>
        <v/>
      </c>
      <c r="AV339" s="10">
        <f>_xlfn.XLOOKUP(tbl_MTG_Set[[#This Row],[Collector Booster Box Product Id]], tbl_Product[Product Id], tbl_Product[Best Source])</f>
        <v/>
      </c>
      <c r="AW339" s="4">
        <f>_xlfn.XLOOKUP(tbl_MTG_Set[[#This Row],[Collector Booster Box Product Id]], tbl_Product[Product Id], tbl_Product[Pack Size])</f>
        <v/>
      </c>
      <c r="AX339" s="10">
        <f>(tbl_MTG_Set[[#This Row],[Collector Booster Box Cost]] + v_Item_Shipping_Cost_In) / tbl_MTG_Set[[#This Row],[Collector Booster Box Size]]</f>
        <v/>
      </c>
      <c r="AY339" s="10">
        <f t="array" ref="AY3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39" s="10" t="n"/>
      <c r="BA3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9" s="17">
        <f>tbl_MTG_Set[[#This Row],[Collector Booster CardMarket Profit]]/tbl_MTG_Set[[#This Row],[Collector Booster Cost]]</f>
        <v/>
      </c>
      <c r="BC339" s="10" t="n"/>
      <c r="BF339" s="10">
        <f>tbl_MTG_Set[[#This Row],[Play Booster Sell Price CardMarket]]*tbl_MTG_Set[[#This Row],[Play Booster Expected Market Value]]/tbl_MTG_Set[[#This Row],[Play Boost Sealed Market Value]]</f>
        <v/>
      </c>
      <c r="BG3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9" s="10">
        <f>tbl_MTG_Set[[#This Row],[Play Singles CardMarket Profit]]/tbl_MTG_Set[[#This Row],[Play Booster Cost]]</f>
        <v/>
      </c>
      <c r="BI339" s="10">
        <f>tbl_MTG_Set[[#This Row],[Play Singles CardMarket Profit]]&gt;0</f>
        <v/>
      </c>
      <c r="BJ339" s="10" t="n"/>
      <c r="BK339" s="10" t="n"/>
      <c r="BL339" s="10">
        <f>tbl_MTG_Set[[#This Row],[Collector Booster Sell Price CardMarket]]*tbl_MTG_Set[[#This Row],[Collector Booster Expected Market Value]]/tbl_MTG_Set[[#This Row],[Collector Boost Sealed Market Value]]</f>
        <v/>
      </c>
      <c r="BM3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9" s="10">
        <f>tbl_MTG_Set[[#This Row],[Collector Singles CardMarket Profit]]/tbl_MTG_Set[[#This Row],[Collector Booster Cost]]</f>
        <v/>
      </c>
      <c r="BO339" s="10">
        <f>tbl_MTG_Set[[#This Row],[Collector Singles CardMarket Profit]]&gt;0</f>
        <v/>
      </c>
      <c r="BP3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0">
      <c r="A340" t="n">
        <v>338</v>
      </c>
      <c r="B340" t="inlineStr">
        <is>
          <t>Modern Horizons 2 Minigames MMH2</t>
        </is>
      </c>
      <c r="C340" t="n">
        <v>5</v>
      </c>
      <c r="D340" s="3" t="n">
        <v>44365</v>
      </c>
      <c r="F340" t="inlineStr">
        <is>
          <t>en es fr de it pt ja ko ru 汉语 漢語</t>
        </is>
      </c>
      <c r="G340" t="n">
        <v>622</v>
      </c>
      <c r="H340">
        <f>MONTH(NOW())+12*YEAR(NOW())-MONTH(tbl_MTG_Set[[#This Row],[Released On]])-12*YEAR(tbl_MTG_Set[[#This Row],[Released On]])</f>
        <v/>
      </c>
      <c r="I340">
        <f>_xlfn.XLOOKUP(tbl_MTG_Set[[#This Row],[Type Name]], tbl_MTG_Set_Type[Set Type], tbl_MTG_Set_Type[Index], "(Set Type not found)")</f>
        <v/>
      </c>
      <c r="J340">
        <f>_xlfn.XLOOKUP(tbl_MTG_Set[[#This Row],[Type Name]], tbl_MTG_Set_Type[Set Type], tbl_MTG_Set_Type[Buy Window Month Start], "(Set Type not found)")</f>
        <v/>
      </c>
      <c r="K340" s="3">
        <f>tbl_MTG_Set[[#This Row],[Released On]]+tbl_MTG_Set[[#This Row],[Buy Window Month Start]]*365.25/12</f>
        <v/>
      </c>
      <c r="L340">
        <f>_xlfn.XLOOKUP(tbl_MTG_Set[[#This Row],[Type Name]], tbl_MTG_Set_Type[Set Type], tbl_MTG_Set_Type[Buy Window Month End], "(Set Type not found)", 0, 1)</f>
        <v/>
      </c>
      <c r="M340" s="3">
        <f>tbl_MTG_Set[[#This Row],[Released On]]+tbl_MTG_Set[[#This Row],[Buy Window Month End]]*365.25/12</f>
        <v/>
      </c>
      <c r="N340" s="3">
        <f>AND(NOW()&gt;=tbl_MTG_Set[[#This Row],[Buy Window Start]], NOW()&lt;=tbl_MTG_Set[[#This Row],[Buy Window End]])</f>
        <v/>
      </c>
      <c r="O340">
        <f>_xlfn.XLOOKUP(tbl_MTG_Set[[#This Row],[Type Name]], tbl_MTG_Set_Type[Set Type], tbl_MTG_Set_Type[Heavy Printing Window Month Start], "(Set Type not found)", 0, 1)</f>
        <v/>
      </c>
      <c r="P340" s="3">
        <f>tbl_MTG_Set[[#This Row],[Released On]]+tbl_MTG_Set[[#This Row],[Heavy Printing Window Month Start]]*365.25/12</f>
        <v/>
      </c>
      <c r="Q340">
        <f>_xlfn.XLOOKUP(tbl_MTG_Set[[#This Row],[Type Name]], tbl_MTG_Set_Type[Set Type], tbl_MTG_Set_Type[Heavy Printing Window Month End], "(Set Type not found)", 0, 1)</f>
        <v/>
      </c>
      <c r="R340" s="3">
        <f>tbl_MTG_Set[[#This Row],[Released On]]+tbl_MTG_Set[[#This Row],[Heavy Printing Window Month End]]*365.25/12</f>
        <v/>
      </c>
      <c r="S340" s="3">
        <f>AND(NOW()&gt;=tbl_MTG_Set[[#This Row],[Heavy Printing Window Start]], NOW()&lt;=tbl_MTG_Set[[#This Row],[Heavy Printing Window End]])</f>
        <v/>
      </c>
      <c r="T340">
        <f>_xlfn.XLOOKUP(tbl_MTG_Set[[#This Row],[Type Name]], tbl_MTG_Set_Type[Set Type], tbl_MTG_Set_Type[Sell Window Month Start], "(Set Type not found)", 0, 1)</f>
        <v/>
      </c>
      <c r="U340" s="3">
        <f>tbl_MTG_Set[[#This Row],[Released On]]+tbl_MTG_Set[[#This Row],[Sell Window Month Start]]*365.25/12</f>
        <v/>
      </c>
      <c r="V340">
        <f>_xlfn.XLOOKUP(tbl_MTG_Set[[#This Row],[Type Name]], tbl_MTG_Set_Type[Set Type], tbl_MTG_Set_Type[Sell Window Month End], "(Set Type not found)", 0, 1)</f>
        <v/>
      </c>
      <c r="W340" s="3">
        <f>tbl_MTG_Set[[#This Row],[Released On]]+tbl_MTG_Set[[#This Row],[Sell Window Month End]]*365.25/12</f>
        <v/>
      </c>
      <c r="X340" s="3">
        <f>AND(NOW()&gt;=tbl_MTG_Set[[#This Row],[Sell Window Start]], NOW()&lt;=tbl_MTG_Set[[#This Row],[Sell Window End]])</f>
        <v/>
      </c>
      <c r="AG340" s="10" t="n"/>
      <c r="AH340" s="10" t="n"/>
      <c r="AM340" s="10">
        <f t="array" ref="AM3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0" s="10">
        <f t="array" ref="AN3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0" s="4">
        <f>_xlfn.XLOOKUP(tbl_MTG_Set[[#This Row],[Play Booster Box Product Id]], tbl_Product[Product Id], tbl_Product[Pack Size])</f>
        <v/>
      </c>
      <c r="AP340" s="10">
        <f>(tbl_MTG_Set[[#This Row],[Play Booster Box Cost]]+v_Item_Shipping_Cost_In)/tbl_MTG_Set[[#This Row],[Play Booster Box Size]]</f>
        <v/>
      </c>
      <c r="AQ340" s="10">
        <f t="array" ref="AQ3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0" s="10" t="n"/>
      <c r="AS340" s="10" t="n"/>
      <c r="AT340" s="17">
        <f>tbl_MTG_Set[[#This Row],[Play Booster CardMarket Profit]]/tbl_MTG_Set[[#This Row],[Play Booster Cost]]</f>
        <v/>
      </c>
      <c r="AU340" s="10">
        <f>_xlfn.XLOOKUP(tbl_MTG_Set[[#This Row],[Collector Booster Box Product Id]], tbl_Product[Product Id], tbl_Product[Min Cost])</f>
        <v/>
      </c>
      <c r="AV340" s="10">
        <f>_xlfn.XLOOKUP(tbl_MTG_Set[[#This Row],[Collector Booster Box Product Id]], tbl_Product[Product Id], tbl_Product[Best Source])</f>
        <v/>
      </c>
      <c r="AW340" s="4">
        <f>_xlfn.XLOOKUP(tbl_MTG_Set[[#This Row],[Collector Booster Box Product Id]], tbl_Product[Product Id], tbl_Product[Pack Size])</f>
        <v/>
      </c>
      <c r="AX340" s="10">
        <f>(tbl_MTG_Set[[#This Row],[Collector Booster Box Cost]] + v_Item_Shipping_Cost_In) / tbl_MTG_Set[[#This Row],[Collector Booster Box Size]]</f>
        <v/>
      </c>
      <c r="AY340" s="10">
        <f t="array" ref="AY3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0" s="10" t="n"/>
      <c r="BA3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0" s="17">
        <f>tbl_MTG_Set[[#This Row],[Collector Booster CardMarket Profit]]/tbl_MTG_Set[[#This Row],[Collector Booster Cost]]</f>
        <v/>
      </c>
      <c r="BC340" s="10" t="n"/>
      <c r="BF340" s="10">
        <f>tbl_MTG_Set[[#This Row],[Play Booster Sell Price CardMarket]]*tbl_MTG_Set[[#This Row],[Play Booster Expected Market Value]]/tbl_MTG_Set[[#This Row],[Play Boost Sealed Market Value]]</f>
        <v/>
      </c>
      <c r="BG3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0" s="10">
        <f>tbl_MTG_Set[[#This Row],[Play Singles CardMarket Profit]]/tbl_MTG_Set[[#This Row],[Play Booster Cost]]</f>
        <v/>
      </c>
      <c r="BI340" s="10">
        <f>tbl_MTG_Set[[#This Row],[Play Singles CardMarket Profit]]&gt;0</f>
        <v/>
      </c>
      <c r="BJ340" s="10" t="n"/>
      <c r="BK340" s="10" t="n"/>
      <c r="BL340" s="10">
        <f>tbl_MTG_Set[[#This Row],[Collector Booster Sell Price CardMarket]]*tbl_MTG_Set[[#This Row],[Collector Booster Expected Market Value]]/tbl_MTG_Set[[#This Row],[Collector Boost Sealed Market Value]]</f>
        <v/>
      </c>
      <c r="BM3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0" s="10">
        <f>tbl_MTG_Set[[#This Row],[Collector Singles CardMarket Profit]]/tbl_MTG_Set[[#This Row],[Collector Booster Cost]]</f>
        <v/>
      </c>
      <c r="BO340" s="10">
        <f>tbl_MTG_Set[[#This Row],[Collector Singles CardMarket Profit]]&gt;0</f>
        <v/>
      </c>
      <c r="BP3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1">
      <c r="A341" t="n">
        <v>339</v>
      </c>
      <c r="B341" t="inlineStr">
        <is>
          <t>Modern Horizons 1 Timeshifts H1R</t>
        </is>
      </c>
      <c r="C341" t="n">
        <v>40</v>
      </c>
      <c r="D341" s="3" t="n">
        <v>44365</v>
      </c>
      <c r="F341" t="inlineStr">
        <is>
          <t>en es fr de it pt ja ko ru 汉语 漢語</t>
        </is>
      </c>
      <c r="G341" t="n">
        <v>624</v>
      </c>
      <c r="H341">
        <f>MONTH(NOW())+12*YEAR(NOW())-MONTH(tbl_MTG_Set[[#This Row],[Released On]])-12*YEAR(tbl_MTG_Set[[#This Row],[Released On]])</f>
        <v/>
      </c>
      <c r="I341">
        <f>_xlfn.XLOOKUP(tbl_MTG_Set[[#This Row],[Type Name]], tbl_MTG_Set_Type[Set Type], tbl_MTG_Set_Type[Index], "(Set Type not found)")</f>
        <v/>
      </c>
      <c r="J341">
        <f>_xlfn.XLOOKUP(tbl_MTG_Set[[#This Row],[Type Name]], tbl_MTG_Set_Type[Set Type], tbl_MTG_Set_Type[Buy Window Month Start], "(Set Type not found)")</f>
        <v/>
      </c>
      <c r="K341" s="3">
        <f>tbl_MTG_Set[[#This Row],[Released On]]+tbl_MTG_Set[[#This Row],[Buy Window Month Start]]*365.25/12</f>
        <v/>
      </c>
      <c r="L341">
        <f>_xlfn.XLOOKUP(tbl_MTG_Set[[#This Row],[Type Name]], tbl_MTG_Set_Type[Set Type], tbl_MTG_Set_Type[Buy Window Month End], "(Set Type not found)", 0, 1)</f>
        <v/>
      </c>
      <c r="M341" s="3">
        <f>tbl_MTG_Set[[#This Row],[Released On]]+tbl_MTG_Set[[#This Row],[Buy Window Month End]]*365.25/12</f>
        <v/>
      </c>
      <c r="N341" s="3">
        <f>AND(NOW()&gt;=tbl_MTG_Set[[#This Row],[Buy Window Start]], NOW()&lt;=tbl_MTG_Set[[#This Row],[Buy Window End]])</f>
        <v/>
      </c>
      <c r="O341">
        <f>_xlfn.XLOOKUP(tbl_MTG_Set[[#This Row],[Type Name]], tbl_MTG_Set_Type[Set Type], tbl_MTG_Set_Type[Heavy Printing Window Month Start], "(Set Type not found)", 0, 1)</f>
        <v/>
      </c>
      <c r="P341" s="3">
        <f>tbl_MTG_Set[[#This Row],[Released On]]+tbl_MTG_Set[[#This Row],[Heavy Printing Window Month Start]]*365.25/12</f>
        <v/>
      </c>
      <c r="Q341">
        <f>_xlfn.XLOOKUP(tbl_MTG_Set[[#This Row],[Type Name]], tbl_MTG_Set_Type[Set Type], tbl_MTG_Set_Type[Heavy Printing Window Month End], "(Set Type not found)", 0, 1)</f>
        <v/>
      </c>
      <c r="R341" s="3">
        <f>tbl_MTG_Set[[#This Row],[Released On]]+tbl_MTG_Set[[#This Row],[Heavy Printing Window Month End]]*365.25/12</f>
        <v/>
      </c>
      <c r="S341" s="3">
        <f>AND(NOW()&gt;=tbl_MTG_Set[[#This Row],[Heavy Printing Window Start]], NOW()&lt;=tbl_MTG_Set[[#This Row],[Heavy Printing Window End]])</f>
        <v/>
      </c>
      <c r="T341">
        <f>_xlfn.XLOOKUP(tbl_MTG_Set[[#This Row],[Type Name]], tbl_MTG_Set_Type[Set Type], tbl_MTG_Set_Type[Sell Window Month Start], "(Set Type not found)", 0, 1)</f>
        <v/>
      </c>
      <c r="U341" s="3">
        <f>tbl_MTG_Set[[#This Row],[Released On]]+tbl_MTG_Set[[#This Row],[Sell Window Month Start]]*365.25/12</f>
        <v/>
      </c>
      <c r="V341">
        <f>_xlfn.XLOOKUP(tbl_MTG_Set[[#This Row],[Type Name]], tbl_MTG_Set_Type[Set Type], tbl_MTG_Set_Type[Sell Window Month End], "(Set Type not found)", 0, 1)</f>
        <v/>
      </c>
      <c r="W341" s="3">
        <f>tbl_MTG_Set[[#This Row],[Released On]]+tbl_MTG_Set[[#This Row],[Sell Window Month End]]*365.25/12</f>
        <v/>
      </c>
      <c r="X341" s="3">
        <f>AND(NOW()&gt;=tbl_MTG_Set[[#This Row],[Sell Window Start]], NOW()&lt;=tbl_MTG_Set[[#This Row],[Sell Window End]])</f>
        <v/>
      </c>
      <c r="AG341" s="10" t="n"/>
      <c r="AH341" s="10" t="n"/>
      <c r="AM341" s="10">
        <f t="array" ref="AM3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1" s="10">
        <f t="array" ref="AN3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1" s="4">
        <f>_xlfn.XLOOKUP(tbl_MTG_Set[[#This Row],[Play Booster Box Product Id]], tbl_Product[Product Id], tbl_Product[Pack Size])</f>
        <v/>
      </c>
      <c r="AP341" s="10">
        <f>(tbl_MTG_Set[[#This Row],[Play Booster Box Cost]]+v_Item_Shipping_Cost_In)/tbl_MTG_Set[[#This Row],[Play Booster Box Size]]</f>
        <v/>
      </c>
      <c r="AQ341" s="10">
        <f t="array" ref="AQ3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1" s="10" t="n"/>
      <c r="AS341" s="10" t="n"/>
      <c r="AT341" s="17">
        <f>tbl_MTG_Set[[#This Row],[Play Booster CardMarket Profit]]/tbl_MTG_Set[[#This Row],[Play Booster Cost]]</f>
        <v/>
      </c>
      <c r="AU341" s="10">
        <f>_xlfn.XLOOKUP(tbl_MTG_Set[[#This Row],[Collector Booster Box Product Id]], tbl_Product[Product Id], tbl_Product[Min Cost])</f>
        <v/>
      </c>
      <c r="AV341" s="10">
        <f>_xlfn.XLOOKUP(tbl_MTG_Set[[#This Row],[Collector Booster Box Product Id]], tbl_Product[Product Id], tbl_Product[Best Source])</f>
        <v/>
      </c>
      <c r="AW341" s="4">
        <f>_xlfn.XLOOKUP(tbl_MTG_Set[[#This Row],[Collector Booster Box Product Id]], tbl_Product[Product Id], tbl_Product[Pack Size])</f>
        <v/>
      </c>
      <c r="AX341" s="10">
        <f>(tbl_MTG_Set[[#This Row],[Collector Booster Box Cost]] + v_Item_Shipping_Cost_In) / tbl_MTG_Set[[#This Row],[Collector Booster Box Size]]</f>
        <v/>
      </c>
      <c r="AY341" s="10">
        <f t="array" ref="AY3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1" s="10" t="n"/>
      <c r="BA3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1" s="17">
        <f>tbl_MTG_Set[[#This Row],[Collector Booster CardMarket Profit]]/tbl_MTG_Set[[#This Row],[Collector Booster Cost]]</f>
        <v/>
      </c>
      <c r="BC341" s="10" t="n"/>
      <c r="BF341" s="10">
        <f>tbl_MTG_Set[[#This Row],[Play Booster Sell Price CardMarket]]*tbl_MTG_Set[[#This Row],[Play Booster Expected Market Value]]/tbl_MTG_Set[[#This Row],[Play Boost Sealed Market Value]]</f>
        <v/>
      </c>
      <c r="BG3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1" s="10">
        <f>tbl_MTG_Set[[#This Row],[Play Singles CardMarket Profit]]/tbl_MTG_Set[[#This Row],[Play Booster Cost]]</f>
        <v/>
      </c>
      <c r="BI341" s="10">
        <f>tbl_MTG_Set[[#This Row],[Play Singles CardMarket Profit]]&gt;0</f>
        <v/>
      </c>
      <c r="BJ341" s="10" t="n"/>
      <c r="BK341" s="10" t="n"/>
      <c r="BL341" s="10">
        <f>tbl_MTG_Set[[#This Row],[Collector Booster Sell Price CardMarket]]*tbl_MTG_Set[[#This Row],[Collector Booster Expected Market Value]]/tbl_MTG_Set[[#This Row],[Collector Boost Sealed Market Value]]</f>
        <v/>
      </c>
      <c r="BM3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1" s="10">
        <f>tbl_MTG_Set[[#This Row],[Collector Singles CardMarket Profit]]/tbl_MTG_Set[[#This Row],[Collector Booster Cost]]</f>
        <v/>
      </c>
      <c r="BO341" s="10">
        <f>tbl_MTG_Set[[#This Row],[Collector Singles CardMarket Profit]]&gt;0</f>
        <v/>
      </c>
      <c r="BP3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2">
      <c r="A342" t="n">
        <v>340</v>
      </c>
      <c r="B342" t="inlineStr">
        <is>
          <t>Historic Anthology 5 HA5</t>
        </is>
      </c>
      <c r="C342" t="n">
        <v>25</v>
      </c>
      <c r="D342" s="3" t="n">
        <v>44343</v>
      </c>
      <c r="F342" t="inlineStr">
        <is>
          <t>en es fr de it pt ja ko ru 汉语 漢語</t>
        </is>
      </c>
      <c r="G342" t="n">
        <v>626</v>
      </c>
      <c r="H342">
        <f>MONTH(NOW())+12*YEAR(NOW())-MONTH(tbl_MTG_Set[[#This Row],[Released On]])-12*YEAR(tbl_MTG_Set[[#This Row],[Released On]])</f>
        <v/>
      </c>
      <c r="I342">
        <f>_xlfn.XLOOKUP(tbl_MTG_Set[[#This Row],[Type Name]], tbl_MTG_Set_Type[Set Type], tbl_MTG_Set_Type[Index], "(Set Type not found)")</f>
        <v/>
      </c>
      <c r="J342">
        <f>_xlfn.XLOOKUP(tbl_MTG_Set[[#This Row],[Type Name]], tbl_MTG_Set_Type[Set Type], tbl_MTG_Set_Type[Buy Window Month Start], "(Set Type not found)")</f>
        <v/>
      </c>
      <c r="K342" s="3">
        <f>tbl_MTG_Set[[#This Row],[Released On]]+tbl_MTG_Set[[#This Row],[Buy Window Month Start]]*365.25/12</f>
        <v/>
      </c>
      <c r="L342">
        <f>_xlfn.XLOOKUP(tbl_MTG_Set[[#This Row],[Type Name]], tbl_MTG_Set_Type[Set Type], tbl_MTG_Set_Type[Buy Window Month End], "(Set Type not found)", 0, 1)</f>
        <v/>
      </c>
      <c r="M342" s="3">
        <f>tbl_MTG_Set[[#This Row],[Released On]]+tbl_MTG_Set[[#This Row],[Buy Window Month End]]*365.25/12</f>
        <v/>
      </c>
      <c r="N342" s="3">
        <f>AND(NOW()&gt;=tbl_MTG_Set[[#This Row],[Buy Window Start]], NOW()&lt;=tbl_MTG_Set[[#This Row],[Buy Window End]])</f>
        <v/>
      </c>
      <c r="O342">
        <f>_xlfn.XLOOKUP(tbl_MTG_Set[[#This Row],[Type Name]], tbl_MTG_Set_Type[Set Type], tbl_MTG_Set_Type[Heavy Printing Window Month Start], "(Set Type not found)", 0, 1)</f>
        <v/>
      </c>
      <c r="P342" s="3">
        <f>tbl_MTG_Set[[#This Row],[Released On]]+tbl_MTG_Set[[#This Row],[Heavy Printing Window Month Start]]*365.25/12</f>
        <v/>
      </c>
      <c r="Q342">
        <f>_xlfn.XLOOKUP(tbl_MTG_Set[[#This Row],[Type Name]], tbl_MTG_Set_Type[Set Type], tbl_MTG_Set_Type[Heavy Printing Window Month End], "(Set Type not found)", 0, 1)</f>
        <v/>
      </c>
      <c r="R342" s="3">
        <f>tbl_MTG_Set[[#This Row],[Released On]]+tbl_MTG_Set[[#This Row],[Heavy Printing Window Month End]]*365.25/12</f>
        <v/>
      </c>
      <c r="S342" s="3">
        <f>AND(NOW()&gt;=tbl_MTG_Set[[#This Row],[Heavy Printing Window Start]], NOW()&lt;=tbl_MTG_Set[[#This Row],[Heavy Printing Window End]])</f>
        <v/>
      </c>
      <c r="T342">
        <f>_xlfn.XLOOKUP(tbl_MTG_Set[[#This Row],[Type Name]], tbl_MTG_Set_Type[Set Type], tbl_MTG_Set_Type[Sell Window Month Start], "(Set Type not found)", 0, 1)</f>
        <v/>
      </c>
      <c r="U342" s="3">
        <f>tbl_MTG_Set[[#This Row],[Released On]]+tbl_MTG_Set[[#This Row],[Sell Window Month Start]]*365.25/12</f>
        <v/>
      </c>
      <c r="V342">
        <f>_xlfn.XLOOKUP(tbl_MTG_Set[[#This Row],[Type Name]], tbl_MTG_Set_Type[Set Type], tbl_MTG_Set_Type[Sell Window Month End], "(Set Type not found)", 0, 1)</f>
        <v/>
      </c>
      <c r="W342" s="3">
        <f>tbl_MTG_Set[[#This Row],[Released On]]+tbl_MTG_Set[[#This Row],[Sell Window Month End]]*365.25/12</f>
        <v/>
      </c>
      <c r="X342" s="3">
        <f>AND(NOW()&gt;=tbl_MTG_Set[[#This Row],[Sell Window Start]], NOW()&lt;=tbl_MTG_Set[[#This Row],[Sell Window End]])</f>
        <v/>
      </c>
      <c r="AG342" s="10" t="n"/>
      <c r="AH342" s="10" t="n"/>
      <c r="AM342" s="10">
        <f t="array" ref="AM3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2" s="10">
        <f t="array" ref="AN3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2" s="4">
        <f>_xlfn.XLOOKUP(tbl_MTG_Set[[#This Row],[Play Booster Box Product Id]], tbl_Product[Product Id], tbl_Product[Pack Size])</f>
        <v/>
      </c>
      <c r="AP342" s="10">
        <f>(tbl_MTG_Set[[#This Row],[Play Booster Box Cost]]+v_Item_Shipping_Cost_In)/tbl_MTG_Set[[#This Row],[Play Booster Box Size]]</f>
        <v/>
      </c>
      <c r="AQ342" s="10">
        <f t="array" ref="AQ3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2" s="10" t="n"/>
      <c r="AS342" s="10" t="n"/>
      <c r="AT342" s="17">
        <f>tbl_MTG_Set[[#This Row],[Play Booster CardMarket Profit]]/tbl_MTG_Set[[#This Row],[Play Booster Cost]]</f>
        <v/>
      </c>
      <c r="AU342" s="10">
        <f>_xlfn.XLOOKUP(tbl_MTG_Set[[#This Row],[Collector Booster Box Product Id]], tbl_Product[Product Id], tbl_Product[Min Cost])</f>
        <v/>
      </c>
      <c r="AV342" s="10">
        <f>_xlfn.XLOOKUP(tbl_MTG_Set[[#This Row],[Collector Booster Box Product Id]], tbl_Product[Product Id], tbl_Product[Best Source])</f>
        <v/>
      </c>
      <c r="AW342" s="4">
        <f>_xlfn.XLOOKUP(tbl_MTG_Set[[#This Row],[Collector Booster Box Product Id]], tbl_Product[Product Id], tbl_Product[Pack Size])</f>
        <v/>
      </c>
      <c r="AX342" s="10">
        <f>(tbl_MTG_Set[[#This Row],[Collector Booster Box Cost]] + v_Item_Shipping_Cost_In) / tbl_MTG_Set[[#This Row],[Collector Booster Box Size]]</f>
        <v/>
      </c>
      <c r="AY342" s="10">
        <f t="array" ref="AY3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2" s="10" t="n"/>
      <c r="BA3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2" s="17">
        <f>tbl_MTG_Set[[#This Row],[Collector Booster CardMarket Profit]]/tbl_MTG_Set[[#This Row],[Collector Booster Cost]]</f>
        <v/>
      </c>
      <c r="BC342" s="10" t="n"/>
      <c r="BF342" s="10">
        <f>tbl_MTG_Set[[#This Row],[Play Booster Sell Price CardMarket]]*tbl_MTG_Set[[#This Row],[Play Booster Expected Market Value]]/tbl_MTG_Set[[#This Row],[Play Boost Sealed Market Value]]</f>
        <v/>
      </c>
      <c r="BG3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2" s="10">
        <f>tbl_MTG_Set[[#This Row],[Play Singles CardMarket Profit]]/tbl_MTG_Set[[#This Row],[Play Booster Cost]]</f>
        <v/>
      </c>
      <c r="BI342" s="10">
        <f>tbl_MTG_Set[[#This Row],[Play Singles CardMarket Profit]]&gt;0</f>
        <v/>
      </c>
      <c r="BJ342" s="10" t="n"/>
      <c r="BK342" s="10" t="n"/>
      <c r="BL342" s="10">
        <f>tbl_MTG_Set[[#This Row],[Collector Booster Sell Price CardMarket]]*tbl_MTG_Set[[#This Row],[Collector Booster Expected Market Value]]/tbl_MTG_Set[[#This Row],[Collector Boost Sealed Market Value]]</f>
        <v/>
      </c>
      <c r="BM3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2" s="10">
        <f>tbl_MTG_Set[[#This Row],[Collector Singles CardMarket Profit]]/tbl_MTG_Set[[#This Row],[Collector Booster Cost]]</f>
        <v/>
      </c>
      <c r="BO342" s="10">
        <f>tbl_MTG_Set[[#This Row],[Collector Singles CardMarket Profit]]&gt;0</f>
        <v/>
      </c>
      <c r="BP3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3">
      <c r="A343" t="n">
        <v>341</v>
      </c>
      <c r="B343" t="inlineStr">
        <is>
          <t>Strixhaven: School of Mages STX</t>
        </is>
      </c>
      <c r="C343" t="n">
        <v>393</v>
      </c>
      <c r="D343" s="3" t="n">
        <v>44309</v>
      </c>
      <c r="E343" t="inlineStr">
        <is>
          <t>Standard Expansion</t>
        </is>
      </c>
      <c r="F343" t="inlineStr">
        <is>
          <t>en es fr de it pt ja ko ru 汉语 漢語</t>
        </is>
      </c>
      <c r="G343" t="n">
        <v>628</v>
      </c>
      <c r="H343">
        <f>MONTH(NOW())+12*YEAR(NOW())-MONTH(tbl_MTG_Set[[#This Row],[Released On]])-12*YEAR(tbl_MTG_Set[[#This Row],[Released On]])</f>
        <v/>
      </c>
      <c r="I343">
        <f>_xlfn.XLOOKUP(tbl_MTG_Set[[#This Row],[Type Name]], tbl_MTG_Set_Type[Set Type], tbl_MTG_Set_Type[Index], "(Set Type not found)")</f>
        <v/>
      </c>
      <c r="J343">
        <f>_xlfn.XLOOKUP(tbl_MTG_Set[[#This Row],[Type Name]], tbl_MTG_Set_Type[Set Type], tbl_MTG_Set_Type[Buy Window Month Start], "(Set Type not found)")</f>
        <v/>
      </c>
      <c r="K343" s="3">
        <f>tbl_MTG_Set[[#This Row],[Released On]]+tbl_MTG_Set[[#This Row],[Buy Window Month Start]]*365.25/12</f>
        <v/>
      </c>
      <c r="L343">
        <f>_xlfn.XLOOKUP(tbl_MTG_Set[[#This Row],[Type Name]], tbl_MTG_Set_Type[Set Type], tbl_MTG_Set_Type[Buy Window Month End], "(Set Type not found)", 0, 1)</f>
        <v/>
      </c>
      <c r="M343" s="3">
        <f>tbl_MTG_Set[[#This Row],[Released On]]+tbl_MTG_Set[[#This Row],[Buy Window Month End]]*365.25/12</f>
        <v/>
      </c>
      <c r="N343" s="3">
        <f>AND(NOW()&gt;=tbl_MTG_Set[[#This Row],[Buy Window Start]], NOW()&lt;=tbl_MTG_Set[[#This Row],[Buy Window End]])</f>
        <v/>
      </c>
      <c r="O343">
        <f>_xlfn.XLOOKUP(tbl_MTG_Set[[#This Row],[Type Name]], tbl_MTG_Set_Type[Set Type], tbl_MTG_Set_Type[Heavy Printing Window Month Start], "(Set Type not found)", 0, 1)</f>
        <v/>
      </c>
      <c r="P343" s="3">
        <f>tbl_MTG_Set[[#This Row],[Released On]]+tbl_MTG_Set[[#This Row],[Heavy Printing Window Month Start]]*365.25/12</f>
        <v/>
      </c>
      <c r="Q343">
        <f>_xlfn.XLOOKUP(tbl_MTG_Set[[#This Row],[Type Name]], tbl_MTG_Set_Type[Set Type], tbl_MTG_Set_Type[Heavy Printing Window Month End], "(Set Type not found)", 0, 1)</f>
        <v/>
      </c>
      <c r="R343" s="3">
        <f>tbl_MTG_Set[[#This Row],[Released On]]+tbl_MTG_Set[[#This Row],[Heavy Printing Window Month End]]*365.25/12</f>
        <v/>
      </c>
      <c r="S343" s="3">
        <f>AND(NOW()&gt;=tbl_MTG_Set[[#This Row],[Heavy Printing Window Start]], NOW()&lt;=tbl_MTG_Set[[#This Row],[Heavy Printing Window End]])</f>
        <v/>
      </c>
      <c r="T343">
        <f>_xlfn.XLOOKUP(tbl_MTG_Set[[#This Row],[Type Name]], tbl_MTG_Set_Type[Set Type], tbl_MTG_Set_Type[Sell Window Month Start], "(Set Type not found)", 0, 1)</f>
        <v/>
      </c>
      <c r="U343" s="3">
        <f>tbl_MTG_Set[[#This Row],[Released On]]+tbl_MTG_Set[[#This Row],[Sell Window Month Start]]*365.25/12</f>
        <v/>
      </c>
      <c r="V343">
        <f>_xlfn.XLOOKUP(tbl_MTG_Set[[#This Row],[Type Name]], tbl_MTG_Set_Type[Set Type], tbl_MTG_Set_Type[Sell Window Month End], "(Set Type not found)", 0, 1)</f>
        <v/>
      </c>
      <c r="W343" s="3">
        <f>tbl_MTG_Set[[#This Row],[Released On]]+tbl_MTG_Set[[#This Row],[Sell Window Month End]]*365.25/12</f>
        <v/>
      </c>
      <c r="X343" s="3">
        <f>AND(NOW()&gt;=tbl_MTG_Set[[#This Row],[Sell Window Start]], NOW()&lt;=tbl_MTG_Set[[#This Row],[Sell Window End]])</f>
        <v/>
      </c>
      <c r="Y343" s="10" t="n">
        <v>138</v>
      </c>
      <c r="Z343" s="10" t="n">
        <v>94</v>
      </c>
      <c r="AD343" s="10">
        <f>(Y343+96/20)/30</f>
        <v/>
      </c>
      <c r="AE343" s="10">
        <f>(Z343+96/20)/30</f>
        <v/>
      </c>
      <c r="AG343" s="10" t="n"/>
      <c r="AH343" s="10" t="n"/>
      <c r="AI343" s="4" t="n">
        <v>54</v>
      </c>
      <c r="AJ343" s="4" t="n">
        <v>9</v>
      </c>
      <c r="AK343" s="4" t="n">
        <v>134</v>
      </c>
      <c r="AL343" s="4" t="n">
        <v>133</v>
      </c>
      <c r="AM343" s="10">
        <f t="array" ref="AM3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3" s="10">
        <f t="array" ref="AN3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3" s="4">
        <f>_xlfn.XLOOKUP(tbl_MTG_Set[[#This Row],[Play Booster Box Product Id]], tbl_Product[Product Id], tbl_Product[Pack Size])</f>
        <v/>
      </c>
      <c r="AP343" s="10">
        <f>(tbl_MTG_Set[[#This Row],[Play Booster Box Cost]]+v_Item_Shipping_Cost_In)/tbl_MTG_Set[[#This Row],[Play Booster Box Size]]</f>
        <v/>
      </c>
      <c r="AQ343" s="10">
        <f t="array" ref="AQ3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3" s="10" t="n">
        <v>6</v>
      </c>
      <c r="AS34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43" s="17">
        <f>tbl_MTG_Set[[#This Row],[Play Booster CardMarket Profit]]/tbl_MTG_Set[[#This Row],[Play Booster Cost]]</f>
        <v/>
      </c>
      <c r="AU343" s="10">
        <f>_xlfn.XLOOKUP(tbl_MTG_Set[[#This Row],[Collector Booster Box Product Id]], tbl_Product[Product Id], tbl_Product[Min Cost])</f>
        <v/>
      </c>
      <c r="AV343" s="10">
        <f>_xlfn.XLOOKUP(tbl_MTG_Set[[#This Row],[Collector Booster Box Product Id]], tbl_Product[Product Id], tbl_Product[Best Source])</f>
        <v/>
      </c>
      <c r="AW343" s="4">
        <f>_xlfn.XLOOKUP(tbl_MTG_Set[[#This Row],[Collector Booster Box Product Id]], tbl_Product[Product Id], tbl_Product[Pack Size])</f>
        <v/>
      </c>
      <c r="AX343" s="10">
        <f>(tbl_MTG_Set[[#This Row],[Collector Booster Box Cost]] + v_Item_Shipping_Cost_In) / tbl_MTG_Set[[#This Row],[Collector Booster Box Size]]</f>
        <v/>
      </c>
      <c r="AY343" s="10">
        <f t="array" ref="AY3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3" s="10" t="n"/>
      <c r="BA3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3" s="17">
        <f>tbl_MTG_Set[[#This Row],[Collector Booster CardMarket Profit]]/tbl_MTG_Set[[#This Row],[Collector Booster Cost]]</f>
        <v/>
      </c>
      <c r="BC343" s="10" t="n"/>
      <c r="BF343" s="10">
        <f>tbl_MTG_Set[[#This Row],[Play Booster Sell Price CardMarket]]*tbl_MTG_Set[[#This Row],[Play Booster Expected Market Value]]/tbl_MTG_Set[[#This Row],[Play Boost Sealed Market Value]]</f>
        <v/>
      </c>
      <c r="BG3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3" s="17">
        <f>tbl_MTG_Set[[#This Row],[Play Singles CardMarket Profit]]/tbl_MTG_Set[[#This Row],[Play Booster Cost]]</f>
        <v/>
      </c>
      <c r="BI343" s="10">
        <f>tbl_MTG_Set[[#This Row],[Play Singles CardMarket Profit]]&gt;0</f>
        <v/>
      </c>
      <c r="BJ343" s="10" t="n"/>
      <c r="BK343" s="10" t="n"/>
      <c r="BL343" s="10">
        <f>tbl_MTG_Set[[#This Row],[Collector Booster Sell Price CardMarket]]*tbl_MTG_Set[[#This Row],[Collector Booster Expected Market Value]]/tbl_MTG_Set[[#This Row],[Collector Boost Sealed Market Value]]</f>
        <v/>
      </c>
      <c r="BM3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3" s="17">
        <f>tbl_MTG_Set[[#This Row],[Collector Singles CardMarket Profit]]/tbl_MTG_Set[[#This Row],[Collector Booster Cost]]</f>
        <v/>
      </c>
      <c r="BO343" s="10">
        <f>tbl_MTG_Set[[#This Row],[Collector Singles CardMarket Profit]]&gt;0</f>
        <v/>
      </c>
      <c r="BP3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3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4">
      <c r="A344" t="n">
        <v>342</v>
      </c>
      <c r="B344" t="inlineStr">
        <is>
          <t>Strixhaven Mystical Archive STA</t>
        </is>
      </c>
      <c r="C344" t="n">
        <v>126</v>
      </c>
      <c r="D344" s="3" t="n">
        <v>44309</v>
      </c>
      <c r="E344" t="inlineStr">
        <is>
          <t>Standard Expansion</t>
        </is>
      </c>
      <c r="F344" t="inlineStr">
        <is>
          <t>en es fr de it pt ja ko ru 汉语 漢語</t>
        </is>
      </c>
      <c r="G344" t="n">
        <v>630</v>
      </c>
      <c r="H344">
        <f>MONTH(NOW())+12*YEAR(NOW())-MONTH(tbl_MTG_Set[[#This Row],[Released On]])-12*YEAR(tbl_MTG_Set[[#This Row],[Released On]])</f>
        <v/>
      </c>
      <c r="I344">
        <f>_xlfn.XLOOKUP(tbl_MTG_Set[[#This Row],[Type Name]], tbl_MTG_Set_Type[Set Type], tbl_MTG_Set_Type[Index], "(Set Type not found)")</f>
        <v/>
      </c>
      <c r="J344">
        <f>_xlfn.XLOOKUP(tbl_MTG_Set[[#This Row],[Type Name]], tbl_MTG_Set_Type[Set Type], tbl_MTG_Set_Type[Buy Window Month Start], "(Set Type not found)")</f>
        <v/>
      </c>
      <c r="K344" s="3">
        <f>tbl_MTG_Set[[#This Row],[Released On]]+tbl_MTG_Set[[#This Row],[Buy Window Month Start]]*365.25/12</f>
        <v/>
      </c>
      <c r="L344">
        <f>_xlfn.XLOOKUP(tbl_MTG_Set[[#This Row],[Type Name]], tbl_MTG_Set_Type[Set Type], tbl_MTG_Set_Type[Buy Window Month End], "(Set Type not found)", 0, 1)</f>
        <v/>
      </c>
      <c r="M344" s="3">
        <f>tbl_MTG_Set[[#This Row],[Released On]]+tbl_MTG_Set[[#This Row],[Buy Window Month End]]*365.25/12</f>
        <v/>
      </c>
      <c r="N344" s="3">
        <f>AND(NOW()&gt;=tbl_MTG_Set[[#This Row],[Buy Window Start]], NOW()&lt;=tbl_MTG_Set[[#This Row],[Buy Window End]])</f>
        <v/>
      </c>
      <c r="O344">
        <f>_xlfn.XLOOKUP(tbl_MTG_Set[[#This Row],[Type Name]], tbl_MTG_Set_Type[Set Type], tbl_MTG_Set_Type[Heavy Printing Window Month Start], "(Set Type not found)", 0, 1)</f>
        <v/>
      </c>
      <c r="P344" s="3">
        <f>tbl_MTG_Set[[#This Row],[Released On]]+tbl_MTG_Set[[#This Row],[Heavy Printing Window Month Start]]*365.25/12</f>
        <v/>
      </c>
      <c r="Q344">
        <f>_xlfn.XLOOKUP(tbl_MTG_Set[[#This Row],[Type Name]], tbl_MTG_Set_Type[Set Type], tbl_MTG_Set_Type[Heavy Printing Window Month End], "(Set Type not found)", 0, 1)</f>
        <v/>
      </c>
      <c r="R344" s="3">
        <f>tbl_MTG_Set[[#This Row],[Released On]]+tbl_MTG_Set[[#This Row],[Heavy Printing Window Month End]]*365.25/12</f>
        <v/>
      </c>
      <c r="S344" s="3">
        <f>AND(NOW()&gt;=tbl_MTG_Set[[#This Row],[Heavy Printing Window Start]], NOW()&lt;=tbl_MTG_Set[[#This Row],[Heavy Printing Window End]])</f>
        <v/>
      </c>
      <c r="T344">
        <f>_xlfn.XLOOKUP(tbl_MTG_Set[[#This Row],[Type Name]], tbl_MTG_Set_Type[Set Type], tbl_MTG_Set_Type[Sell Window Month Start], "(Set Type not found)", 0, 1)</f>
        <v/>
      </c>
      <c r="U344" s="3">
        <f>tbl_MTG_Set[[#This Row],[Released On]]+tbl_MTG_Set[[#This Row],[Sell Window Month Start]]*365.25/12</f>
        <v/>
      </c>
      <c r="V344">
        <f>_xlfn.XLOOKUP(tbl_MTG_Set[[#This Row],[Type Name]], tbl_MTG_Set_Type[Set Type], tbl_MTG_Set_Type[Sell Window Month End], "(Set Type not found)", 0, 1)</f>
        <v/>
      </c>
      <c r="W344" s="3">
        <f>tbl_MTG_Set[[#This Row],[Released On]]+tbl_MTG_Set[[#This Row],[Sell Window Month End]]*365.25/12</f>
        <v/>
      </c>
      <c r="X344" s="3">
        <f>AND(NOW()&gt;=tbl_MTG_Set[[#This Row],[Sell Window Start]], NOW()&lt;=tbl_MTG_Set[[#This Row],[Sell Window End]])</f>
        <v/>
      </c>
      <c r="AG344" s="10" t="n"/>
      <c r="AH344" s="10" t="n"/>
      <c r="AM344" s="10">
        <f t="array" ref="AM3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4" s="10">
        <f t="array" ref="AN3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4" s="4">
        <f>_xlfn.XLOOKUP(tbl_MTG_Set[[#This Row],[Play Booster Box Product Id]], tbl_Product[Product Id], tbl_Product[Pack Size])</f>
        <v/>
      </c>
      <c r="AP344" s="10">
        <f>(tbl_MTG_Set[[#This Row],[Play Booster Box Cost]]+v_Item_Shipping_Cost_In)/tbl_MTG_Set[[#This Row],[Play Booster Box Size]]</f>
        <v/>
      </c>
      <c r="AQ344" s="10">
        <f t="array" ref="AQ3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4" s="10" t="n"/>
      <c r="AS344" s="10" t="n"/>
      <c r="AT344" s="17">
        <f>tbl_MTG_Set[[#This Row],[Play Booster CardMarket Profit]]/tbl_MTG_Set[[#This Row],[Play Booster Cost]]</f>
        <v/>
      </c>
      <c r="AU344" s="10">
        <f>_xlfn.XLOOKUP(tbl_MTG_Set[[#This Row],[Collector Booster Box Product Id]], tbl_Product[Product Id], tbl_Product[Min Cost])</f>
        <v/>
      </c>
      <c r="AV344" s="10">
        <f>_xlfn.XLOOKUP(tbl_MTG_Set[[#This Row],[Collector Booster Box Product Id]], tbl_Product[Product Id], tbl_Product[Best Source])</f>
        <v/>
      </c>
      <c r="AW344" s="4">
        <f>_xlfn.XLOOKUP(tbl_MTG_Set[[#This Row],[Collector Booster Box Product Id]], tbl_Product[Product Id], tbl_Product[Pack Size])</f>
        <v/>
      </c>
      <c r="AX344" s="10">
        <f>(tbl_MTG_Set[[#This Row],[Collector Booster Box Cost]] + v_Item_Shipping_Cost_In) / tbl_MTG_Set[[#This Row],[Collector Booster Box Size]]</f>
        <v/>
      </c>
      <c r="AY344" s="10">
        <f t="array" ref="AY3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4" s="10" t="n"/>
      <c r="BA3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4" s="17">
        <f>tbl_MTG_Set[[#This Row],[Collector Booster CardMarket Profit]]/tbl_MTG_Set[[#This Row],[Collector Booster Cost]]</f>
        <v/>
      </c>
      <c r="BC344" s="10" t="n"/>
      <c r="BF344" s="10">
        <f>tbl_MTG_Set[[#This Row],[Play Booster Sell Price CardMarket]]*tbl_MTG_Set[[#This Row],[Play Booster Expected Market Value]]/tbl_MTG_Set[[#This Row],[Play Boost Sealed Market Value]]</f>
        <v/>
      </c>
      <c r="BG3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4" s="10">
        <f>tbl_MTG_Set[[#This Row],[Play Singles CardMarket Profit]]/tbl_MTG_Set[[#This Row],[Play Booster Cost]]</f>
        <v/>
      </c>
      <c r="BI344" s="10">
        <f>tbl_MTG_Set[[#This Row],[Play Singles CardMarket Profit]]&gt;0</f>
        <v/>
      </c>
      <c r="BJ344" s="10" t="n"/>
      <c r="BK344" s="10" t="n"/>
      <c r="BL344" s="10">
        <f>tbl_MTG_Set[[#This Row],[Collector Booster Sell Price CardMarket]]*tbl_MTG_Set[[#This Row],[Collector Booster Expected Market Value]]/tbl_MTG_Set[[#This Row],[Collector Boost Sealed Market Value]]</f>
        <v/>
      </c>
      <c r="BM3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4" s="10">
        <f>tbl_MTG_Set[[#This Row],[Collector Singles CardMarket Profit]]/tbl_MTG_Set[[#This Row],[Collector Booster Cost]]</f>
        <v/>
      </c>
      <c r="BO344" s="10">
        <f>tbl_MTG_Set[[#This Row],[Collector Singles CardMarket Profit]]&gt;0</f>
        <v/>
      </c>
      <c r="BP3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5">
      <c r="A345" t="n">
        <v>343</v>
      </c>
      <c r="B345" t="inlineStr">
        <is>
          <t>Strixhaven: School of Mages Promos PSTX</t>
        </is>
      </c>
      <c r="C345" t="n">
        <v>164</v>
      </c>
      <c r="D345" s="3" t="n">
        <v>44309</v>
      </c>
      <c r="E345" t="inlineStr">
        <is>
          <t>Standard Expansion</t>
        </is>
      </c>
      <c r="F345" t="inlineStr">
        <is>
          <t>en es fr de it pt ja ko ru 汉语 漢語</t>
        </is>
      </c>
      <c r="G345" t="n">
        <v>632</v>
      </c>
      <c r="H345">
        <f>MONTH(NOW())+12*YEAR(NOW())-MONTH(tbl_MTG_Set[[#This Row],[Released On]])-12*YEAR(tbl_MTG_Set[[#This Row],[Released On]])</f>
        <v/>
      </c>
      <c r="I345">
        <f>_xlfn.XLOOKUP(tbl_MTG_Set[[#This Row],[Type Name]], tbl_MTG_Set_Type[Set Type], tbl_MTG_Set_Type[Index], "(Set Type not found)")</f>
        <v/>
      </c>
      <c r="J345">
        <f>_xlfn.XLOOKUP(tbl_MTG_Set[[#This Row],[Type Name]], tbl_MTG_Set_Type[Set Type], tbl_MTG_Set_Type[Buy Window Month Start], "(Set Type not found)")</f>
        <v/>
      </c>
      <c r="K345" s="3">
        <f>tbl_MTG_Set[[#This Row],[Released On]]+tbl_MTG_Set[[#This Row],[Buy Window Month Start]]*365.25/12</f>
        <v/>
      </c>
      <c r="L345">
        <f>_xlfn.XLOOKUP(tbl_MTG_Set[[#This Row],[Type Name]], tbl_MTG_Set_Type[Set Type], tbl_MTG_Set_Type[Buy Window Month End], "(Set Type not found)", 0, 1)</f>
        <v/>
      </c>
      <c r="M345" s="3">
        <f>tbl_MTG_Set[[#This Row],[Released On]]+tbl_MTG_Set[[#This Row],[Buy Window Month End]]*365.25/12</f>
        <v/>
      </c>
      <c r="N345" s="3">
        <f>AND(NOW()&gt;=tbl_MTG_Set[[#This Row],[Buy Window Start]], NOW()&lt;=tbl_MTG_Set[[#This Row],[Buy Window End]])</f>
        <v/>
      </c>
      <c r="O345">
        <f>_xlfn.XLOOKUP(tbl_MTG_Set[[#This Row],[Type Name]], tbl_MTG_Set_Type[Set Type], tbl_MTG_Set_Type[Heavy Printing Window Month Start], "(Set Type not found)", 0, 1)</f>
        <v/>
      </c>
      <c r="P345" s="3">
        <f>tbl_MTG_Set[[#This Row],[Released On]]+tbl_MTG_Set[[#This Row],[Heavy Printing Window Month Start]]*365.25/12</f>
        <v/>
      </c>
      <c r="Q345">
        <f>_xlfn.XLOOKUP(tbl_MTG_Set[[#This Row],[Type Name]], tbl_MTG_Set_Type[Set Type], tbl_MTG_Set_Type[Heavy Printing Window Month End], "(Set Type not found)", 0, 1)</f>
        <v/>
      </c>
      <c r="R345" s="3">
        <f>tbl_MTG_Set[[#This Row],[Released On]]+tbl_MTG_Set[[#This Row],[Heavy Printing Window Month End]]*365.25/12</f>
        <v/>
      </c>
      <c r="S345" s="3">
        <f>AND(NOW()&gt;=tbl_MTG_Set[[#This Row],[Heavy Printing Window Start]], NOW()&lt;=tbl_MTG_Set[[#This Row],[Heavy Printing Window End]])</f>
        <v/>
      </c>
      <c r="T345">
        <f>_xlfn.XLOOKUP(tbl_MTG_Set[[#This Row],[Type Name]], tbl_MTG_Set_Type[Set Type], tbl_MTG_Set_Type[Sell Window Month Start], "(Set Type not found)", 0, 1)</f>
        <v/>
      </c>
      <c r="U345" s="3">
        <f>tbl_MTG_Set[[#This Row],[Released On]]+tbl_MTG_Set[[#This Row],[Sell Window Month Start]]*365.25/12</f>
        <v/>
      </c>
      <c r="V345">
        <f>_xlfn.XLOOKUP(tbl_MTG_Set[[#This Row],[Type Name]], tbl_MTG_Set_Type[Set Type], tbl_MTG_Set_Type[Sell Window Month End], "(Set Type not found)", 0, 1)</f>
        <v/>
      </c>
      <c r="W345" s="3">
        <f>tbl_MTG_Set[[#This Row],[Released On]]+tbl_MTG_Set[[#This Row],[Sell Window Month End]]*365.25/12</f>
        <v/>
      </c>
      <c r="X345" s="3">
        <f>AND(NOW()&gt;=tbl_MTG_Set[[#This Row],[Sell Window Start]], NOW()&lt;=tbl_MTG_Set[[#This Row],[Sell Window End]])</f>
        <v/>
      </c>
      <c r="AG345" s="10" t="n"/>
      <c r="AH345" s="10" t="n"/>
      <c r="AM345" s="10">
        <f t="array" ref="AM3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5" s="10">
        <f t="array" ref="AN3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5" s="4">
        <f>_xlfn.XLOOKUP(tbl_MTG_Set[[#This Row],[Play Booster Box Product Id]], tbl_Product[Product Id], tbl_Product[Pack Size])</f>
        <v/>
      </c>
      <c r="AP345" s="10">
        <f>(tbl_MTG_Set[[#This Row],[Play Booster Box Cost]]+v_Item_Shipping_Cost_In)/tbl_MTG_Set[[#This Row],[Play Booster Box Size]]</f>
        <v/>
      </c>
      <c r="AQ345" s="10">
        <f t="array" ref="AQ3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5" s="10" t="n"/>
      <c r="AS345" s="10" t="n"/>
      <c r="AT345" s="17">
        <f>tbl_MTG_Set[[#This Row],[Play Booster CardMarket Profit]]/tbl_MTG_Set[[#This Row],[Play Booster Cost]]</f>
        <v/>
      </c>
      <c r="AU345" s="10">
        <f>_xlfn.XLOOKUP(tbl_MTG_Set[[#This Row],[Collector Booster Box Product Id]], tbl_Product[Product Id], tbl_Product[Min Cost])</f>
        <v/>
      </c>
      <c r="AV345" s="10">
        <f>_xlfn.XLOOKUP(tbl_MTG_Set[[#This Row],[Collector Booster Box Product Id]], tbl_Product[Product Id], tbl_Product[Best Source])</f>
        <v/>
      </c>
      <c r="AW345" s="4">
        <f>_xlfn.XLOOKUP(tbl_MTG_Set[[#This Row],[Collector Booster Box Product Id]], tbl_Product[Product Id], tbl_Product[Pack Size])</f>
        <v/>
      </c>
      <c r="AX345" s="10">
        <f>(tbl_MTG_Set[[#This Row],[Collector Booster Box Cost]] + v_Item_Shipping_Cost_In) / tbl_MTG_Set[[#This Row],[Collector Booster Box Size]]</f>
        <v/>
      </c>
      <c r="AY345" s="10">
        <f t="array" ref="AY3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5" s="10" t="n"/>
      <c r="BA3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5" s="17">
        <f>tbl_MTG_Set[[#This Row],[Collector Booster CardMarket Profit]]/tbl_MTG_Set[[#This Row],[Collector Booster Cost]]</f>
        <v/>
      </c>
      <c r="BC345" s="10" t="n"/>
      <c r="BF345" s="10">
        <f>tbl_MTG_Set[[#This Row],[Play Booster Sell Price CardMarket]]*tbl_MTG_Set[[#This Row],[Play Booster Expected Market Value]]/tbl_MTG_Set[[#This Row],[Play Boost Sealed Market Value]]</f>
        <v/>
      </c>
      <c r="BG3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5" s="10">
        <f>tbl_MTG_Set[[#This Row],[Play Singles CardMarket Profit]]/tbl_MTG_Set[[#This Row],[Play Booster Cost]]</f>
        <v/>
      </c>
      <c r="BI345" s="10">
        <f>tbl_MTG_Set[[#This Row],[Play Singles CardMarket Profit]]&gt;0</f>
        <v/>
      </c>
      <c r="BJ345" s="10" t="n"/>
      <c r="BK345" s="10" t="n"/>
      <c r="BL345" s="10">
        <f>tbl_MTG_Set[[#This Row],[Collector Booster Sell Price CardMarket]]*tbl_MTG_Set[[#This Row],[Collector Booster Expected Market Value]]/tbl_MTG_Set[[#This Row],[Collector Boost Sealed Market Value]]</f>
        <v/>
      </c>
      <c r="BM3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5" s="10">
        <f>tbl_MTG_Set[[#This Row],[Collector Singles CardMarket Profit]]/tbl_MTG_Set[[#This Row],[Collector Booster Cost]]</f>
        <v/>
      </c>
      <c r="BO345" s="10">
        <f>tbl_MTG_Set[[#This Row],[Collector Singles CardMarket Profit]]&gt;0</f>
        <v/>
      </c>
      <c r="BP3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6">
      <c r="A346" t="n">
        <v>344</v>
      </c>
      <c r="B346" t="inlineStr">
        <is>
          <t>Strixhaven: School of Mages Tokens TSTX</t>
        </is>
      </c>
      <c r="C346" t="n">
        <v>9</v>
      </c>
      <c r="D346" s="3" t="n">
        <v>44309</v>
      </c>
      <c r="E346" t="inlineStr">
        <is>
          <t>Standard Expansion</t>
        </is>
      </c>
      <c r="F346" t="inlineStr">
        <is>
          <t>en es fr de it pt ja ko ru 汉语 漢語</t>
        </is>
      </c>
      <c r="G346" t="n">
        <v>634</v>
      </c>
      <c r="H346">
        <f>MONTH(NOW())+12*YEAR(NOW())-MONTH(tbl_MTG_Set[[#This Row],[Released On]])-12*YEAR(tbl_MTG_Set[[#This Row],[Released On]])</f>
        <v/>
      </c>
      <c r="I346">
        <f>_xlfn.XLOOKUP(tbl_MTG_Set[[#This Row],[Type Name]], tbl_MTG_Set_Type[Set Type], tbl_MTG_Set_Type[Index], "(Set Type not found)")</f>
        <v/>
      </c>
      <c r="J346">
        <f>_xlfn.XLOOKUP(tbl_MTG_Set[[#This Row],[Type Name]], tbl_MTG_Set_Type[Set Type], tbl_MTG_Set_Type[Buy Window Month Start], "(Set Type not found)")</f>
        <v/>
      </c>
      <c r="K346" s="3">
        <f>tbl_MTG_Set[[#This Row],[Released On]]+tbl_MTG_Set[[#This Row],[Buy Window Month Start]]*365.25/12</f>
        <v/>
      </c>
      <c r="L346">
        <f>_xlfn.XLOOKUP(tbl_MTG_Set[[#This Row],[Type Name]], tbl_MTG_Set_Type[Set Type], tbl_MTG_Set_Type[Buy Window Month End], "(Set Type not found)", 0, 1)</f>
        <v/>
      </c>
      <c r="M346" s="3">
        <f>tbl_MTG_Set[[#This Row],[Released On]]+tbl_MTG_Set[[#This Row],[Buy Window Month End]]*365.25/12</f>
        <v/>
      </c>
      <c r="N346" s="3">
        <f>AND(NOW()&gt;=tbl_MTG_Set[[#This Row],[Buy Window Start]], NOW()&lt;=tbl_MTG_Set[[#This Row],[Buy Window End]])</f>
        <v/>
      </c>
      <c r="O346">
        <f>_xlfn.XLOOKUP(tbl_MTG_Set[[#This Row],[Type Name]], tbl_MTG_Set_Type[Set Type], tbl_MTG_Set_Type[Heavy Printing Window Month Start], "(Set Type not found)", 0, 1)</f>
        <v/>
      </c>
      <c r="P346" s="3">
        <f>tbl_MTG_Set[[#This Row],[Released On]]+tbl_MTG_Set[[#This Row],[Heavy Printing Window Month Start]]*365.25/12</f>
        <v/>
      </c>
      <c r="Q346">
        <f>_xlfn.XLOOKUP(tbl_MTG_Set[[#This Row],[Type Name]], tbl_MTG_Set_Type[Set Type], tbl_MTG_Set_Type[Heavy Printing Window Month End], "(Set Type not found)", 0, 1)</f>
        <v/>
      </c>
      <c r="R346" s="3">
        <f>tbl_MTG_Set[[#This Row],[Released On]]+tbl_MTG_Set[[#This Row],[Heavy Printing Window Month End]]*365.25/12</f>
        <v/>
      </c>
      <c r="S346" s="3">
        <f>AND(NOW()&gt;=tbl_MTG_Set[[#This Row],[Heavy Printing Window Start]], NOW()&lt;=tbl_MTG_Set[[#This Row],[Heavy Printing Window End]])</f>
        <v/>
      </c>
      <c r="T346">
        <f>_xlfn.XLOOKUP(tbl_MTG_Set[[#This Row],[Type Name]], tbl_MTG_Set_Type[Set Type], tbl_MTG_Set_Type[Sell Window Month Start], "(Set Type not found)", 0, 1)</f>
        <v/>
      </c>
      <c r="U346" s="3">
        <f>tbl_MTG_Set[[#This Row],[Released On]]+tbl_MTG_Set[[#This Row],[Sell Window Month Start]]*365.25/12</f>
        <v/>
      </c>
      <c r="V346">
        <f>_xlfn.XLOOKUP(tbl_MTG_Set[[#This Row],[Type Name]], tbl_MTG_Set_Type[Set Type], tbl_MTG_Set_Type[Sell Window Month End], "(Set Type not found)", 0, 1)</f>
        <v/>
      </c>
      <c r="W346" s="3">
        <f>tbl_MTG_Set[[#This Row],[Released On]]+tbl_MTG_Set[[#This Row],[Sell Window Month End]]*365.25/12</f>
        <v/>
      </c>
      <c r="X346" s="3">
        <f>AND(NOW()&gt;=tbl_MTG_Set[[#This Row],[Sell Window Start]], NOW()&lt;=tbl_MTG_Set[[#This Row],[Sell Window End]])</f>
        <v/>
      </c>
      <c r="AG346" s="10" t="n"/>
      <c r="AH346" s="10" t="n"/>
      <c r="AM346" s="10">
        <f t="array" ref="AM3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6" s="10">
        <f t="array" ref="AN3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6" s="4">
        <f>_xlfn.XLOOKUP(tbl_MTG_Set[[#This Row],[Play Booster Box Product Id]], tbl_Product[Product Id], tbl_Product[Pack Size])</f>
        <v/>
      </c>
      <c r="AP346" s="10">
        <f>(tbl_MTG_Set[[#This Row],[Play Booster Box Cost]]+v_Item_Shipping_Cost_In)/tbl_MTG_Set[[#This Row],[Play Booster Box Size]]</f>
        <v/>
      </c>
      <c r="AQ346" s="10">
        <f t="array" ref="AQ3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6" s="10" t="n"/>
      <c r="AS346" s="10" t="n"/>
      <c r="AT346" s="17">
        <f>tbl_MTG_Set[[#This Row],[Play Booster CardMarket Profit]]/tbl_MTG_Set[[#This Row],[Play Booster Cost]]</f>
        <v/>
      </c>
      <c r="AU346" s="10">
        <f>_xlfn.XLOOKUP(tbl_MTG_Set[[#This Row],[Collector Booster Box Product Id]], tbl_Product[Product Id], tbl_Product[Min Cost])</f>
        <v/>
      </c>
      <c r="AV346" s="10">
        <f>_xlfn.XLOOKUP(tbl_MTG_Set[[#This Row],[Collector Booster Box Product Id]], tbl_Product[Product Id], tbl_Product[Best Source])</f>
        <v/>
      </c>
      <c r="AW346" s="4">
        <f>_xlfn.XLOOKUP(tbl_MTG_Set[[#This Row],[Collector Booster Box Product Id]], tbl_Product[Product Id], tbl_Product[Pack Size])</f>
        <v/>
      </c>
      <c r="AX346" s="10">
        <f>(tbl_MTG_Set[[#This Row],[Collector Booster Box Cost]] + v_Item_Shipping_Cost_In) / tbl_MTG_Set[[#This Row],[Collector Booster Box Size]]</f>
        <v/>
      </c>
      <c r="AY346" s="10">
        <f t="array" ref="AY3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6" s="10" t="n"/>
      <c r="BA3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6" s="17">
        <f>tbl_MTG_Set[[#This Row],[Collector Booster CardMarket Profit]]/tbl_MTG_Set[[#This Row],[Collector Booster Cost]]</f>
        <v/>
      </c>
      <c r="BC346" s="10" t="n"/>
      <c r="BF346" s="10">
        <f>tbl_MTG_Set[[#This Row],[Play Booster Sell Price CardMarket]]*tbl_MTG_Set[[#This Row],[Play Booster Expected Market Value]]/tbl_MTG_Set[[#This Row],[Play Boost Sealed Market Value]]</f>
        <v/>
      </c>
      <c r="BG3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6" s="10">
        <f>tbl_MTG_Set[[#This Row],[Play Singles CardMarket Profit]]/tbl_MTG_Set[[#This Row],[Play Booster Cost]]</f>
        <v/>
      </c>
      <c r="BI346" s="10">
        <f>tbl_MTG_Set[[#This Row],[Play Singles CardMarket Profit]]&gt;0</f>
        <v/>
      </c>
      <c r="BJ346" s="10" t="n"/>
      <c r="BK346" s="10" t="n"/>
      <c r="BL346" s="10">
        <f>tbl_MTG_Set[[#This Row],[Collector Booster Sell Price CardMarket]]*tbl_MTG_Set[[#This Row],[Collector Booster Expected Market Value]]/tbl_MTG_Set[[#This Row],[Collector Boost Sealed Market Value]]</f>
        <v/>
      </c>
      <c r="BM3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6" s="10">
        <f>tbl_MTG_Set[[#This Row],[Collector Singles CardMarket Profit]]/tbl_MTG_Set[[#This Row],[Collector Booster Cost]]</f>
        <v/>
      </c>
      <c r="BO346" s="10">
        <f>tbl_MTG_Set[[#This Row],[Collector Singles CardMarket Profit]]&gt;0</f>
        <v/>
      </c>
      <c r="BP3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7">
      <c r="A347" t="n">
        <v>345</v>
      </c>
      <c r="B347" t="inlineStr">
        <is>
          <t>Strixhaven: School of Mages Substitute Cards SSTX</t>
        </is>
      </c>
      <c r="C347" t="n">
        <v>9</v>
      </c>
      <c r="D347" s="3" t="n">
        <v>44309</v>
      </c>
      <c r="E347" t="inlineStr">
        <is>
          <t>Standard Expansion</t>
        </is>
      </c>
      <c r="F347" t="inlineStr">
        <is>
          <t>en es fr de it pt ja ko ru 汉语 漢語</t>
        </is>
      </c>
      <c r="G347" t="n">
        <v>636</v>
      </c>
      <c r="H347">
        <f>MONTH(NOW())+12*YEAR(NOW())-MONTH(tbl_MTG_Set[[#This Row],[Released On]])-12*YEAR(tbl_MTG_Set[[#This Row],[Released On]])</f>
        <v/>
      </c>
      <c r="I347">
        <f>_xlfn.XLOOKUP(tbl_MTG_Set[[#This Row],[Type Name]], tbl_MTG_Set_Type[Set Type], tbl_MTG_Set_Type[Index], "(Set Type not found)")</f>
        <v/>
      </c>
      <c r="J347">
        <f>_xlfn.XLOOKUP(tbl_MTG_Set[[#This Row],[Type Name]], tbl_MTG_Set_Type[Set Type], tbl_MTG_Set_Type[Buy Window Month Start], "(Set Type not found)")</f>
        <v/>
      </c>
      <c r="K347" s="3">
        <f>tbl_MTG_Set[[#This Row],[Released On]]+tbl_MTG_Set[[#This Row],[Buy Window Month Start]]*365.25/12</f>
        <v/>
      </c>
      <c r="L347">
        <f>_xlfn.XLOOKUP(tbl_MTG_Set[[#This Row],[Type Name]], tbl_MTG_Set_Type[Set Type], tbl_MTG_Set_Type[Buy Window Month End], "(Set Type not found)", 0, 1)</f>
        <v/>
      </c>
      <c r="M347" s="3">
        <f>tbl_MTG_Set[[#This Row],[Released On]]+tbl_MTG_Set[[#This Row],[Buy Window Month End]]*365.25/12</f>
        <v/>
      </c>
      <c r="N347" s="3">
        <f>AND(NOW()&gt;=tbl_MTG_Set[[#This Row],[Buy Window Start]], NOW()&lt;=tbl_MTG_Set[[#This Row],[Buy Window End]])</f>
        <v/>
      </c>
      <c r="O347">
        <f>_xlfn.XLOOKUP(tbl_MTG_Set[[#This Row],[Type Name]], tbl_MTG_Set_Type[Set Type], tbl_MTG_Set_Type[Heavy Printing Window Month Start], "(Set Type not found)", 0, 1)</f>
        <v/>
      </c>
      <c r="P347" s="3">
        <f>tbl_MTG_Set[[#This Row],[Released On]]+tbl_MTG_Set[[#This Row],[Heavy Printing Window Month Start]]*365.25/12</f>
        <v/>
      </c>
      <c r="Q347">
        <f>_xlfn.XLOOKUP(tbl_MTG_Set[[#This Row],[Type Name]], tbl_MTG_Set_Type[Set Type], tbl_MTG_Set_Type[Heavy Printing Window Month End], "(Set Type not found)", 0, 1)</f>
        <v/>
      </c>
      <c r="R347" s="3">
        <f>tbl_MTG_Set[[#This Row],[Released On]]+tbl_MTG_Set[[#This Row],[Heavy Printing Window Month End]]*365.25/12</f>
        <v/>
      </c>
      <c r="S347" s="3">
        <f>AND(NOW()&gt;=tbl_MTG_Set[[#This Row],[Heavy Printing Window Start]], NOW()&lt;=tbl_MTG_Set[[#This Row],[Heavy Printing Window End]])</f>
        <v/>
      </c>
      <c r="T347">
        <f>_xlfn.XLOOKUP(tbl_MTG_Set[[#This Row],[Type Name]], tbl_MTG_Set_Type[Set Type], tbl_MTG_Set_Type[Sell Window Month Start], "(Set Type not found)", 0, 1)</f>
        <v/>
      </c>
      <c r="U347" s="3">
        <f>tbl_MTG_Set[[#This Row],[Released On]]+tbl_MTG_Set[[#This Row],[Sell Window Month Start]]*365.25/12</f>
        <v/>
      </c>
      <c r="V347">
        <f>_xlfn.XLOOKUP(tbl_MTG_Set[[#This Row],[Type Name]], tbl_MTG_Set_Type[Set Type], tbl_MTG_Set_Type[Sell Window Month End], "(Set Type not found)", 0, 1)</f>
        <v/>
      </c>
      <c r="W347" s="3">
        <f>tbl_MTG_Set[[#This Row],[Released On]]+tbl_MTG_Set[[#This Row],[Sell Window Month End]]*365.25/12</f>
        <v/>
      </c>
      <c r="X347" s="3">
        <f>AND(NOW()&gt;=tbl_MTG_Set[[#This Row],[Sell Window Start]], NOW()&lt;=tbl_MTG_Set[[#This Row],[Sell Window End]])</f>
        <v/>
      </c>
      <c r="AG347" s="10" t="n"/>
      <c r="AH347" s="10" t="n"/>
      <c r="AM347" s="10">
        <f t="array" ref="AM3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7" s="10">
        <f t="array" ref="AN3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7" s="4">
        <f>_xlfn.XLOOKUP(tbl_MTG_Set[[#This Row],[Play Booster Box Product Id]], tbl_Product[Product Id], tbl_Product[Pack Size])</f>
        <v/>
      </c>
      <c r="AP347" s="10">
        <f>(tbl_MTG_Set[[#This Row],[Play Booster Box Cost]]+v_Item_Shipping_Cost_In)/tbl_MTG_Set[[#This Row],[Play Booster Box Size]]</f>
        <v/>
      </c>
      <c r="AQ347" s="10">
        <f t="array" ref="AQ3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7" s="10" t="n"/>
      <c r="AS347" s="10" t="n"/>
      <c r="AT347" s="17">
        <f>tbl_MTG_Set[[#This Row],[Play Booster CardMarket Profit]]/tbl_MTG_Set[[#This Row],[Play Booster Cost]]</f>
        <v/>
      </c>
      <c r="AU347" s="10">
        <f>_xlfn.XLOOKUP(tbl_MTG_Set[[#This Row],[Collector Booster Box Product Id]], tbl_Product[Product Id], tbl_Product[Min Cost])</f>
        <v/>
      </c>
      <c r="AV347" s="10">
        <f>_xlfn.XLOOKUP(tbl_MTG_Set[[#This Row],[Collector Booster Box Product Id]], tbl_Product[Product Id], tbl_Product[Best Source])</f>
        <v/>
      </c>
      <c r="AW347" s="4">
        <f>_xlfn.XLOOKUP(tbl_MTG_Set[[#This Row],[Collector Booster Box Product Id]], tbl_Product[Product Id], tbl_Product[Pack Size])</f>
        <v/>
      </c>
      <c r="AX347" s="10">
        <f>(tbl_MTG_Set[[#This Row],[Collector Booster Box Cost]] + v_Item_Shipping_Cost_In) / tbl_MTG_Set[[#This Row],[Collector Booster Box Size]]</f>
        <v/>
      </c>
      <c r="AY347" s="10">
        <f t="array" ref="AY3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7" s="10" t="n"/>
      <c r="BA3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7" s="17">
        <f>tbl_MTG_Set[[#This Row],[Collector Booster CardMarket Profit]]/tbl_MTG_Set[[#This Row],[Collector Booster Cost]]</f>
        <v/>
      </c>
      <c r="BC347" s="10" t="n"/>
      <c r="BF347" s="10">
        <f>tbl_MTG_Set[[#This Row],[Play Booster Sell Price CardMarket]]*tbl_MTG_Set[[#This Row],[Play Booster Expected Market Value]]/tbl_MTG_Set[[#This Row],[Play Boost Sealed Market Value]]</f>
        <v/>
      </c>
      <c r="BG3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7" s="10">
        <f>tbl_MTG_Set[[#This Row],[Play Singles CardMarket Profit]]/tbl_MTG_Set[[#This Row],[Play Booster Cost]]</f>
        <v/>
      </c>
      <c r="BI347" s="10">
        <f>tbl_MTG_Set[[#This Row],[Play Singles CardMarket Profit]]&gt;0</f>
        <v/>
      </c>
      <c r="BJ347" s="10" t="n"/>
      <c r="BK347" s="10" t="n"/>
      <c r="BL347" s="10">
        <f>tbl_MTG_Set[[#This Row],[Collector Booster Sell Price CardMarket]]*tbl_MTG_Set[[#This Row],[Collector Booster Expected Market Value]]/tbl_MTG_Set[[#This Row],[Collector Boost Sealed Market Value]]</f>
        <v/>
      </c>
      <c r="BM3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7" s="10">
        <f>tbl_MTG_Set[[#This Row],[Collector Singles CardMarket Profit]]/tbl_MTG_Set[[#This Row],[Collector Booster Cost]]</f>
        <v/>
      </c>
      <c r="BO347" s="10">
        <f>tbl_MTG_Set[[#This Row],[Collector Singles CardMarket Profit]]&gt;0</f>
        <v/>
      </c>
      <c r="BP3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8">
      <c r="A348" t="n">
        <v>346</v>
      </c>
      <c r="B348" t="inlineStr">
        <is>
          <t>Strixhaven: School of Mages Minigames MSTX</t>
        </is>
      </c>
      <c r="C348" t="n">
        <v>5</v>
      </c>
      <c r="D348" s="3" t="n">
        <v>44309</v>
      </c>
      <c r="E348" t="inlineStr">
        <is>
          <t>Standard Expansion</t>
        </is>
      </c>
      <c r="F348" t="inlineStr">
        <is>
          <t>en es fr de it pt ja ko ru 汉语 漢語</t>
        </is>
      </c>
      <c r="G348" t="n">
        <v>638</v>
      </c>
      <c r="H348">
        <f>MONTH(NOW())+12*YEAR(NOW())-MONTH(tbl_MTG_Set[[#This Row],[Released On]])-12*YEAR(tbl_MTG_Set[[#This Row],[Released On]])</f>
        <v/>
      </c>
      <c r="I348">
        <f>_xlfn.XLOOKUP(tbl_MTG_Set[[#This Row],[Type Name]], tbl_MTG_Set_Type[Set Type], tbl_MTG_Set_Type[Index], "(Set Type not found)")</f>
        <v/>
      </c>
      <c r="J348">
        <f>_xlfn.XLOOKUP(tbl_MTG_Set[[#This Row],[Type Name]], tbl_MTG_Set_Type[Set Type], tbl_MTG_Set_Type[Buy Window Month Start], "(Set Type not found)")</f>
        <v/>
      </c>
      <c r="K348" s="3">
        <f>tbl_MTG_Set[[#This Row],[Released On]]+tbl_MTG_Set[[#This Row],[Buy Window Month Start]]*365.25/12</f>
        <v/>
      </c>
      <c r="L348">
        <f>_xlfn.XLOOKUP(tbl_MTG_Set[[#This Row],[Type Name]], tbl_MTG_Set_Type[Set Type], tbl_MTG_Set_Type[Buy Window Month End], "(Set Type not found)", 0, 1)</f>
        <v/>
      </c>
      <c r="M348" s="3">
        <f>tbl_MTG_Set[[#This Row],[Released On]]+tbl_MTG_Set[[#This Row],[Buy Window Month End]]*365.25/12</f>
        <v/>
      </c>
      <c r="N348" s="3">
        <f>AND(NOW()&gt;=tbl_MTG_Set[[#This Row],[Buy Window Start]], NOW()&lt;=tbl_MTG_Set[[#This Row],[Buy Window End]])</f>
        <v/>
      </c>
      <c r="O348">
        <f>_xlfn.XLOOKUP(tbl_MTG_Set[[#This Row],[Type Name]], tbl_MTG_Set_Type[Set Type], tbl_MTG_Set_Type[Heavy Printing Window Month Start], "(Set Type not found)", 0, 1)</f>
        <v/>
      </c>
      <c r="P348" s="3">
        <f>tbl_MTG_Set[[#This Row],[Released On]]+tbl_MTG_Set[[#This Row],[Heavy Printing Window Month Start]]*365.25/12</f>
        <v/>
      </c>
      <c r="Q348">
        <f>_xlfn.XLOOKUP(tbl_MTG_Set[[#This Row],[Type Name]], tbl_MTG_Set_Type[Set Type], tbl_MTG_Set_Type[Heavy Printing Window Month End], "(Set Type not found)", 0, 1)</f>
        <v/>
      </c>
      <c r="R348" s="3">
        <f>tbl_MTG_Set[[#This Row],[Released On]]+tbl_MTG_Set[[#This Row],[Heavy Printing Window Month End]]*365.25/12</f>
        <v/>
      </c>
      <c r="S348" s="3">
        <f>AND(NOW()&gt;=tbl_MTG_Set[[#This Row],[Heavy Printing Window Start]], NOW()&lt;=tbl_MTG_Set[[#This Row],[Heavy Printing Window End]])</f>
        <v/>
      </c>
      <c r="T348">
        <f>_xlfn.XLOOKUP(tbl_MTG_Set[[#This Row],[Type Name]], tbl_MTG_Set_Type[Set Type], tbl_MTG_Set_Type[Sell Window Month Start], "(Set Type not found)", 0, 1)</f>
        <v/>
      </c>
      <c r="U348" s="3">
        <f>tbl_MTG_Set[[#This Row],[Released On]]+tbl_MTG_Set[[#This Row],[Sell Window Month Start]]*365.25/12</f>
        <v/>
      </c>
      <c r="V348">
        <f>_xlfn.XLOOKUP(tbl_MTG_Set[[#This Row],[Type Name]], tbl_MTG_Set_Type[Set Type], tbl_MTG_Set_Type[Sell Window Month End], "(Set Type not found)", 0, 1)</f>
        <v/>
      </c>
      <c r="W348" s="3">
        <f>tbl_MTG_Set[[#This Row],[Released On]]+tbl_MTG_Set[[#This Row],[Sell Window Month End]]*365.25/12</f>
        <v/>
      </c>
      <c r="X348" s="3">
        <f>AND(NOW()&gt;=tbl_MTG_Set[[#This Row],[Sell Window Start]], NOW()&lt;=tbl_MTG_Set[[#This Row],[Sell Window End]])</f>
        <v/>
      </c>
      <c r="AG348" s="10" t="n"/>
      <c r="AH348" s="10" t="n"/>
      <c r="AM348" s="10">
        <f t="array" ref="AM3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8" s="10">
        <f t="array" ref="AN3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8" s="4">
        <f>_xlfn.XLOOKUP(tbl_MTG_Set[[#This Row],[Play Booster Box Product Id]], tbl_Product[Product Id], tbl_Product[Pack Size])</f>
        <v/>
      </c>
      <c r="AP348" s="10">
        <f>(tbl_MTG_Set[[#This Row],[Play Booster Box Cost]]+v_Item_Shipping_Cost_In)/tbl_MTG_Set[[#This Row],[Play Booster Box Size]]</f>
        <v/>
      </c>
      <c r="AQ348" s="10">
        <f t="array" ref="AQ3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8" s="10" t="n"/>
      <c r="AS348" s="10" t="n"/>
      <c r="AT348" s="17">
        <f>tbl_MTG_Set[[#This Row],[Play Booster CardMarket Profit]]/tbl_MTG_Set[[#This Row],[Play Booster Cost]]</f>
        <v/>
      </c>
      <c r="AU348" s="10">
        <f>_xlfn.XLOOKUP(tbl_MTG_Set[[#This Row],[Collector Booster Box Product Id]], tbl_Product[Product Id], tbl_Product[Min Cost])</f>
        <v/>
      </c>
      <c r="AV348" s="10">
        <f>_xlfn.XLOOKUP(tbl_MTG_Set[[#This Row],[Collector Booster Box Product Id]], tbl_Product[Product Id], tbl_Product[Best Source])</f>
        <v/>
      </c>
      <c r="AW348" s="4">
        <f>_xlfn.XLOOKUP(tbl_MTG_Set[[#This Row],[Collector Booster Box Product Id]], tbl_Product[Product Id], tbl_Product[Pack Size])</f>
        <v/>
      </c>
      <c r="AX348" s="10">
        <f>(tbl_MTG_Set[[#This Row],[Collector Booster Box Cost]] + v_Item_Shipping_Cost_In) / tbl_MTG_Set[[#This Row],[Collector Booster Box Size]]</f>
        <v/>
      </c>
      <c r="AY348" s="10">
        <f t="array" ref="AY3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8" s="10" t="n"/>
      <c r="BA3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8" s="17">
        <f>tbl_MTG_Set[[#This Row],[Collector Booster CardMarket Profit]]/tbl_MTG_Set[[#This Row],[Collector Booster Cost]]</f>
        <v/>
      </c>
      <c r="BC348" s="10" t="n"/>
      <c r="BF348" s="10">
        <f>tbl_MTG_Set[[#This Row],[Play Booster Sell Price CardMarket]]*tbl_MTG_Set[[#This Row],[Play Booster Expected Market Value]]/tbl_MTG_Set[[#This Row],[Play Boost Sealed Market Value]]</f>
        <v/>
      </c>
      <c r="BG3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8" s="10">
        <f>tbl_MTG_Set[[#This Row],[Play Singles CardMarket Profit]]/tbl_MTG_Set[[#This Row],[Play Booster Cost]]</f>
        <v/>
      </c>
      <c r="BI348" s="10">
        <f>tbl_MTG_Set[[#This Row],[Play Singles CardMarket Profit]]&gt;0</f>
        <v/>
      </c>
      <c r="BJ348" s="10" t="n"/>
      <c r="BK348" s="10" t="n"/>
      <c r="BL348" s="10">
        <f>tbl_MTG_Set[[#This Row],[Collector Booster Sell Price CardMarket]]*tbl_MTG_Set[[#This Row],[Collector Booster Expected Market Value]]/tbl_MTG_Set[[#This Row],[Collector Boost Sealed Market Value]]</f>
        <v/>
      </c>
      <c r="BM3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8" s="10">
        <f>tbl_MTG_Set[[#This Row],[Collector Singles CardMarket Profit]]/tbl_MTG_Set[[#This Row],[Collector Booster Cost]]</f>
        <v/>
      </c>
      <c r="BO348" s="10">
        <f>tbl_MTG_Set[[#This Row],[Collector Singles CardMarket Profit]]&gt;0</f>
        <v/>
      </c>
      <c r="BP3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9">
      <c r="A349" t="n">
        <v>347</v>
      </c>
      <c r="B349" t="inlineStr">
        <is>
          <t>Strixhaven Art Series ASTX</t>
        </is>
      </c>
      <c r="C349" t="n">
        <v>162</v>
      </c>
      <c r="D349" s="3" t="n">
        <v>44309</v>
      </c>
      <c r="E349" t="inlineStr">
        <is>
          <t>Standard Expansion</t>
        </is>
      </c>
      <c r="F349" t="inlineStr">
        <is>
          <t>en es fr de it pt ja ko ru 汉语 漢語</t>
        </is>
      </c>
      <c r="G349" t="n">
        <v>640</v>
      </c>
      <c r="H349">
        <f>MONTH(NOW())+12*YEAR(NOW())-MONTH(tbl_MTG_Set[[#This Row],[Released On]])-12*YEAR(tbl_MTG_Set[[#This Row],[Released On]])</f>
        <v/>
      </c>
      <c r="I349">
        <f>_xlfn.XLOOKUP(tbl_MTG_Set[[#This Row],[Type Name]], tbl_MTG_Set_Type[Set Type], tbl_MTG_Set_Type[Index], "(Set Type not found)")</f>
        <v/>
      </c>
      <c r="J349">
        <f>_xlfn.XLOOKUP(tbl_MTG_Set[[#This Row],[Type Name]], tbl_MTG_Set_Type[Set Type], tbl_MTG_Set_Type[Buy Window Month Start], "(Set Type not found)")</f>
        <v/>
      </c>
      <c r="K349" s="3">
        <f>tbl_MTG_Set[[#This Row],[Released On]]+tbl_MTG_Set[[#This Row],[Buy Window Month Start]]*365.25/12</f>
        <v/>
      </c>
      <c r="L349">
        <f>_xlfn.XLOOKUP(tbl_MTG_Set[[#This Row],[Type Name]], tbl_MTG_Set_Type[Set Type], tbl_MTG_Set_Type[Buy Window Month End], "(Set Type not found)", 0, 1)</f>
        <v/>
      </c>
      <c r="M349" s="3">
        <f>tbl_MTG_Set[[#This Row],[Released On]]+tbl_MTG_Set[[#This Row],[Buy Window Month End]]*365.25/12</f>
        <v/>
      </c>
      <c r="N349" s="3">
        <f>AND(NOW()&gt;=tbl_MTG_Set[[#This Row],[Buy Window Start]], NOW()&lt;=tbl_MTG_Set[[#This Row],[Buy Window End]])</f>
        <v/>
      </c>
      <c r="O349">
        <f>_xlfn.XLOOKUP(tbl_MTG_Set[[#This Row],[Type Name]], tbl_MTG_Set_Type[Set Type], tbl_MTG_Set_Type[Heavy Printing Window Month Start], "(Set Type not found)", 0, 1)</f>
        <v/>
      </c>
      <c r="P349" s="3">
        <f>tbl_MTG_Set[[#This Row],[Released On]]+tbl_MTG_Set[[#This Row],[Heavy Printing Window Month Start]]*365.25/12</f>
        <v/>
      </c>
      <c r="Q349">
        <f>_xlfn.XLOOKUP(tbl_MTG_Set[[#This Row],[Type Name]], tbl_MTG_Set_Type[Set Type], tbl_MTG_Set_Type[Heavy Printing Window Month End], "(Set Type not found)", 0, 1)</f>
        <v/>
      </c>
      <c r="R349" s="3">
        <f>tbl_MTG_Set[[#This Row],[Released On]]+tbl_MTG_Set[[#This Row],[Heavy Printing Window Month End]]*365.25/12</f>
        <v/>
      </c>
      <c r="S349" s="3">
        <f>AND(NOW()&gt;=tbl_MTG_Set[[#This Row],[Heavy Printing Window Start]], NOW()&lt;=tbl_MTG_Set[[#This Row],[Heavy Printing Window End]])</f>
        <v/>
      </c>
      <c r="T349">
        <f>_xlfn.XLOOKUP(tbl_MTG_Set[[#This Row],[Type Name]], tbl_MTG_Set_Type[Set Type], tbl_MTG_Set_Type[Sell Window Month Start], "(Set Type not found)", 0, 1)</f>
        <v/>
      </c>
      <c r="U349" s="3">
        <f>tbl_MTG_Set[[#This Row],[Released On]]+tbl_MTG_Set[[#This Row],[Sell Window Month Start]]*365.25/12</f>
        <v/>
      </c>
      <c r="V349">
        <f>_xlfn.XLOOKUP(tbl_MTG_Set[[#This Row],[Type Name]], tbl_MTG_Set_Type[Set Type], tbl_MTG_Set_Type[Sell Window Month End], "(Set Type not found)", 0, 1)</f>
        <v/>
      </c>
      <c r="W349" s="3">
        <f>tbl_MTG_Set[[#This Row],[Released On]]+tbl_MTG_Set[[#This Row],[Sell Window Month End]]*365.25/12</f>
        <v/>
      </c>
      <c r="X349" s="3">
        <f>AND(NOW()&gt;=tbl_MTG_Set[[#This Row],[Sell Window Start]], NOW()&lt;=tbl_MTG_Set[[#This Row],[Sell Window End]])</f>
        <v/>
      </c>
      <c r="AG349" s="10" t="n"/>
      <c r="AH349" s="10" t="n"/>
      <c r="AM349" s="10">
        <f t="array" ref="AM3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9" s="10">
        <f t="array" ref="AN3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9" s="4">
        <f>_xlfn.XLOOKUP(tbl_MTG_Set[[#This Row],[Play Booster Box Product Id]], tbl_Product[Product Id], tbl_Product[Pack Size])</f>
        <v/>
      </c>
      <c r="AP349" s="10">
        <f>(tbl_MTG_Set[[#This Row],[Play Booster Box Cost]]+v_Item_Shipping_Cost_In)/tbl_MTG_Set[[#This Row],[Play Booster Box Size]]</f>
        <v/>
      </c>
      <c r="AQ349" s="10">
        <f t="array" ref="AQ3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49" s="10" t="n"/>
      <c r="AS349" s="10" t="n"/>
      <c r="AT349" s="17">
        <f>tbl_MTG_Set[[#This Row],[Play Booster CardMarket Profit]]/tbl_MTG_Set[[#This Row],[Play Booster Cost]]</f>
        <v/>
      </c>
      <c r="AU349" s="10">
        <f>_xlfn.XLOOKUP(tbl_MTG_Set[[#This Row],[Collector Booster Box Product Id]], tbl_Product[Product Id], tbl_Product[Min Cost])</f>
        <v/>
      </c>
      <c r="AV349" s="10">
        <f>_xlfn.XLOOKUP(tbl_MTG_Set[[#This Row],[Collector Booster Box Product Id]], tbl_Product[Product Id], tbl_Product[Best Source])</f>
        <v/>
      </c>
      <c r="AW349" s="4">
        <f>_xlfn.XLOOKUP(tbl_MTG_Set[[#This Row],[Collector Booster Box Product Id]], tbl_Product[Product Id], tbl_Product[Pack Size])</f>
        <v/>
      </c>
      <c r="AX349" s="10">
        <f>(tbl_MTG_Set[[#This Row],[Collector Booster Box Cost]] + v_Item_Shipping_Cost_In) / tbl_MTG_Set[[#This Row],[Collector Booster Box Size]]</f>
        <v/>
      </c>
      <c r="AY349" s="10">
        <f t="array" ref="AY3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49" s="10" t="n"/>
      <c r="BA3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9" s="17">
        <f>tbl_MTG_Set[[#This Row],[Collector Booster CardMarket Profit]]/tbl_MTG_Set[[#This Row],[Collector Booster Cost]]</f>
        <v/>
      </c>
      <c r="BC349" s="10" t="n"/>
      <c r="BF349" s="10">
        <f>tbl_MTG_Set[[#This Row],[Play Booster Sell Price CardMarket]]*tbl_MTG_Set[[#This Row],[Play Booster Expected Market Value]]/tbl_MTG_Set[[#This Row],[Play Boost Sealed Market Value]]</f>
        <v/>
      </c>
      <c r="BG3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9" s="10">
        <f>tbl_MTG_Set[[#This Row],[Play Singles CardMarket Profit]]/tbl_MTG_Set[[#This Row],[Play Booster Cost]]</f>
        <v/>
      </c>
      <c r="BI349" s="10">
        <f>tbl_MTG_Set[[#This Row],[Play Singles CardMarket Profit]]&gt;0</f>
        <v/>
      </c>
      <c r="BJ349" s="10" t="n"/>
      <c r="BK349" s="10" t="n"/>
      <c r="BL349" s="10">
        <f>tbl_MTG_Set[[#This Row],[Collector Booster Sell Price CardMarket]]*tbl_MTG_Set[[#This Row],[Collector Booster Expected Market Value]]/tbl_MTG_Set[[#This Row],[Collector Boost Sealed Market Value]]</f>
        <v/>
      </c>
      <c r="BM3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9" s="10">
        <f>tbl_MTG_Set[[#This Row],[Collector Singles CardMarket Profit]]/tbl_MTG_Set[[#This Row],[Collector Booster Cost]]</f>
        <v/>
      </c>
      <c r="BO349" s="10">
        <f>tbl_MTG_Set[[#This Row],[Collector Singles CardMarket Profit]]&gt;0</f>
        <v/>
      </c>
      <c r="BP3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0">
      <c r="A350" t="n">
        <v>348</v>
      </c>
      <c r="B350" t="inlineStr">
        <is>
          <t>Commander 2021 C21</t>
        </is>
      </c>
      <c r="C350" t="n">
        <v>409</v>
      </c>
      <c r="D350" s="3" t="n">
        <v>44309</v>
      </c>
      <c r="F350" t="inlineStr">
        <is>
          <t>en es fr de it pt ja ko ru 汉语 漢語</t>
        </is>
      </c>
      <c r="G350" t="n">
        <v>642</v>
      </c>
      <c r="H350">
        <f>MONTH(NOW())+12*YEAR(NOW())-MONTH(tbl_MTG_Set[[#This Row],[Released On]])-12*YEAR(tbl_MTG_Set[[#This Row],[Released On]])</f>
        <v/>
      </c>
      <c r="I350">
        <f>_xlfn.XLOOKUP(tbl_MTG_Set[[#This Row],[Type Name]], tbl_MTG_Set_Type[Set Type], tbl_MTG_Set_Type[Index], "(Set Type not found)")</f>
        <v/>
      </c>
      <c r="J350">
        <f>_xlfn.XLOOKUP(tbl_MTG_Set[[#This Row],[Type Name]], tbl_MTG_Set_Type[Set Type], tbl_MTG_Set_Type[Buy Window Month Start], "(Set Type not found)")</f>
        <v/>
      </c>
      <c r="K350" s="3">
        <f>tbl_MTG_Set[[#This Row],[Released On]]+tbl_MTG_Set[[#This Row],[Buy Window Month Start]]*365.25/12</f>
        <v/>
      </c>
      <c r="L350">
        <f>_xlfn.XLOOKUP(tbl_MTG_Set[[#This Row],[Type Name]], tbl_MTG_Set_Type[Set Type], tbl_MTG_Set_Type[Buy Window Month End], "(Set Type not found)", 0, 1)</f>
        <v/>
      </c>
      <c r="M350" s="3">
        <f>tbl_MTG_Set[[#This Row],[Released On]]+tbl_MTG_Set[[#This Row],[Buy Window Month End]]*365.25/12</f>
        <v/>
      </c>
      <c r="N350" s="3">
        <f>AND(NOW()&gt;=tbl_MTG_Set[[#This Row],[Buy Window Start]], NOW()&lt;=tbl_MTG_Set[[#This Row],[Buy Window End]])</f>
        <v/>
      </c>
      <c r="O350">
        <f>_xlfn.XLOOKUP(tbl_MTG_Set[[#This Row],[Type Name]], tbl_MTG_Set_Type[Set Type], tbl_MTG_Set_Type[Heavy Printing Window Month Start], "(Set Type not found)", 0, 1)</f>
        <v/>
      </c>
      <c r="P350" s="3">
        <f>tbl_MTG_Set[[#This Row],[Released On]]+tbl_MTG_Set[[#This Row],[Heavy Printing Window Month Start]]*365.25/12</f>
        <v/>
      </c>
      <c r="Q350">
        <f>_xlfn.XLOOKUP(tbl_MTG_Set[[#This Row],[Type Name]], tbl_MTG_Set_Type[Set Type], tbl_MTG_Set_Type[Heavy Printing Window Month End], "(Set Type not found)", 0, 1)</f>
        <v/>
      </c>
      <c r="R350" s="3">
        <f>tbl_MTG_Set[[#This Row],[Released On]]+tbl_MTG_Set[[#This Row],[Heavy Printing Window Month End]]*365.25/12</f>
        <v/>
      </c>
      <c r="S350" s="3">
        <f>AND(NOW()&gt;=tbl_MTG_Set[[#This Row],[Heavy Printing Window Start]], NOW()&lt;=tbl_MTG_Set[[#This Row],[Heavy Printing Window End]])</f>
        <v/>
      </c>
      <c r="T350">
        <f>_xlfn.XLOOKUP(tbl_MTG_Set[[#This Row],[Type Name]], tbl_MTG_Set_Type[Set Type], tbl_MTG_Set_Type[Sell Window Month Start], "(Set Type not found)", 0, 1)</f>
        <v/>
      </c>
      <c r="U350" s="3">
        <f>tbl_MTG_Set[[#This Row],[Released On]]+tbl_MTG_Set[[#This Row],[Sell Window Month Start]]*365.25/12</f>
        <v/>
      </c>
      <c r="V350">
        <f>_xlfn.XLOOKUP(tbl_MTG_Set[[#This Row],[Type Name]], tbl_MTG_Set_Type[Set Type], tbl_MTG_Set_Type[Sell Window Month End], "(Set Type not found)", 0, 1)</f>
        <v/>
      </c>
      <c r="W350" s="3">
        <f>tbl_MTG_Set[[#This Row],[Released On]]+tbl_MTG_Set[[#This Row],[Sell Window Month End]]*365.25/12</f>
        <v/>
      </c>
      <c r="X350" s="3">
        <f>AND(NOW()&gt;=tbl_MTG_Set[[#This Row],[Sell Window Start]], NOW()&lt;=tbl_MTG_Set[[#This Row],[Sell Window End]])</f>
        <v/>
      </c>
      <c r="AG350" s="10" t="n"/>
      <c r="AH350" s="10" t="n"/>
      <c r="AM350" s="10">
        <f t="array" ref="AM3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0" s="10">
        <f t="array" ref="AN3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0" s="4">
        <f>_xlfn.XLOOKUP(tbl_MTG_Set[[#This Row],[Play Booster Box Product Id]], tbl_Product[Product Id], tbl_Product[Pack Size])</f>
        <v/>
      </c>
      <c r="AP350" s="10">
        <f>(tbl_MTG_Set[[#This Row],[Play Booster Box Cost]]+v_Item_Shipping_Cost_In)/tbl_MTG_Set[[#This Row],[Play Booster Box Size]]</f>
        <v/>
      </c>
      <c r="AQ350" s="10">
        <f t="array" ref="AQ3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0" s="10" t="n"/>
      <c r="AS350" s="10" t="n"/>
      <c r="AT350" s="17">
        <f>tbl_MTG_Set[[#This Row],[Play Booster CardMarket Profit]]/tbl_MTG_Set[[#This Row],[Play Booster Cost]]</f>
        <v/>
      </c>
      <c r="AU350" s="10">
        <f>_xlfn.XLOOKUP(tbl_MTG_Set[[#This Row],[Collector Booster Box Product Id]], tbl_Product[Product Id], tbl_Product[Min Cost])</f>
        <v/>
      </c>
      <c r="AV350" s="10">
        <f>_xlfn.XLOOKUP(tbl_MTG_Set[[#This Row],[Collector Booster Box Product Id]], tbl_Product[Product Id], tbl_Product[Best Source])</f>
        <v/>
      </c>
      <c r="AW350" s="4">
        <f>_xlfn.XLOOKUP(tbl_MTG_Set[[#This Row],[Collector Booster Box Product Id]], tbl_Product[Product Id], tbl_Product[Pack Size])</f>
        <v/>
      </c>
      <c r="AX350" s="10">
        <f>(tbl_MTG_Set[[#This Row],[Collector Booster Box Cost]] + v_Item_Shipping_Cost_In) / tbl_MTG_Set[[#This Row],[Collector Booster Box Size]]</f>
        <v/>
      </c>
      <c r="AY350" s="10">
        <f t="array" ref="AY3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0" s="10" t="n"/>
      <c r="BA3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0" s="17">
        <f>tbl_MTG_Set[[#This Row],[Collector Booster CardMarket Profit]]/tbl_MTG_Set[[#This Row],[Collector Booster Cost]]</f>
        <v/>
      </c>
      <c r="BC350" s="10" t="n"/>
      <c r="BF350" s="10">
        <f>tbl_MTG_Set[[#This Row],[Play Booster Sell Price CardMarket]]*tbl_MTG_Set[[#This Row],[Play Booster Expected Market Value]]/tbl_MTG_Set[[#This Row],[Play Boost Sealed Market Value]]</f>
        <v/>
      </c>
      <c r="BG3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0" s="10">
        <f>tbl_MTG_Set[[#This Row],[Play Singles CardMarket Profit]]/tbl_MTG_Set[[#This Row],[Play Booster Cost]]</f>
        <v/>
      </c>
      <c r="BI350" s="10">
        <f>tbl_MTG_Set[[#This Row],[Play Singles CardMarket Profit]]&gt;0</f>
        <v/>
      </c>
      <c r="BJ350" s="10" t="n"/>
      <c r="BK350" s="10" t="n"/>
      <c r="BL350" s="10">
        <f>tbl_MTG_Set[[#This Row],[Collector Booster Sell Price CardMarket]]*tbl_MTG_Set[[#This Row],[Collector Booster Expected Market Value]]/tbl_MTG_Set[[#This Row],[Collector Boost Sealed Market Value]]</f>
        <v/>
      </c>
      <c r="BM3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0" s="10">
        <f>tbl_MTG_Set[[#This Row],[Collector Singles CardMarket Profit]]/tbl_MTG_Set[[#This Row],[Collector Booster Cost]]</f>
        <v/>
      </c>
      <c r="BO350" s="10">
        <f>tbl_MTG_Set[[#This Row],[Collector Singles CardMarket Profit]]&gt;0</f>
        <v/>
      </c>
      <c r="BP3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1">
      <c r="A351" t="n">
        <v>349</v>
      </c>
      <c r="B351" t="inlineStr">
        <is>
          <t>Commander 2021 Tokens TC21</t>
        </is>
      </c>
      <c r="C351" t="n">
        <v>30</v>
      </c>
      <c r="D351" s="3" t="n">
        <v>44309</v>
      </c>
      <c r="F351" t="inlineStr">
        <is>
          <t>en es fr de it pt ja ko ru 汉语 漢語</t>
        </is>
      </c>
      <c r="G351" t="n">
        <v>644</v>
      </c>
      <c r="H351">
        <f>MONTH(NOW())+12*YEAR(NOW())-MONTH(tbl_MTG_Set[[#This Row],[Released On]])-12*YEAR(tbl_MTG_Set[[#This Row],[Released On]])</f>
        <v/>
      </c>
      <c r="I351">
        <f>_xlfn.XLOOKUP(tbl_MTG_Set[[#This Row],[Type Name]], tbl_MTG_Set_Type[Set Type], tbl_MTG_Set_Type[Index], "(Set Type not found)")</f>
        <v/>
      </c>
      <c r="J351">
        <f>_xlfn.XLOOKUP(tbl_MTG_Set[[#This Row],[Type Name]], tbl_MTG_Set_Type[Set Type], tbl_MTG_Set_Type[Buy Window Month Start], "(Set Type not found)")</f>
        <v/>
      </c>
      <c r="K351" s="3">
        <f>tbl_MTG_Set[[#This Row],[Released On]]+tbl_MTG_Set[[#This Row],[Buy Window Month Start]]*365.25/12</f>
        <v/>
      </c>
      <c r="L351">
        <f>_xlfn.XLOOKUP(tbl_MTG_Set[[#This Row],[Type Name]], tbl_MTG_Set_Type[Set Type], tbl_MTG_Set_Type[Buy Window Month End], "(Set Type not found)", 0, 1)</f>
        <v/>
      </c>
      <c r="M351" s="3">
        <f>tbl_MTG_Set[[#This Row],[Released On]]+tbl_MTG_Set[[#This Row],[Buy Window Month End]]*365.25/12</f>
        <v/>
      </c>
      <c r="N351" s="3">
        <f>AND(NOW()&gt;=tbl_MTG_Set[[#This Row],[Buy Window Start]], NOW()&lt;=tbl_MTG_Set[[#This Row],[Buy Window End]])</f>
        <v/>
      </c>
      <c r="O351">
        <f>_xlfn.XLOOKUP(tbl_MTG_Set[[#This Row],[Type Name]], tbl_MTG_Set_Type[Set Type], tbl_MTG_Set_Type[Heavy Printing Window Month Start], "(Set Type not found)", 0, 1)</f>
        <v/>
      </c>
      <c r="P351" s="3">
        <f>tbl_MTG_Set[[#This Row],[Released On]]+tbl_MTG_Set[[#This Row],[Heavy Printing Window Month Start]]*365.25/12</f>
        <v/>
      </c>
      <c r="Q351">
        <f>_xlfn.XLOOKUP(tbl_MTG_Set[[#This Row],[Type Name]], tbl_MTG_Set_Type[Set Type], tbl_MTG_Set_Type[Heavy Printing Window Month End], "(Set Type not found)", 0, 1)</f>
        <v/>
      </c>
      <c r="R351" s="3">
        <f>tbl_MTG_Set[[#This Row],[Released On]]+tbl_MTG_Set[[#This Row],[Heavy Printing Window Month End]]*365.25/12</f>
        <v/>
      </c>
      <c r="S351" s="3">
        <f>AND(NOW()&gt;=tbl_MTG_Set[[#This Row],[Heavy Printing Window Start]], NOW()&lt;=tbl_MTG_Set[[#This Row],[Heavy Printing Window End]])</f>
        <v/>
      </c>
      <c r="T351">
        <f>_xlfn.XLOOKUP(tbl_MTG_Set[[#This Row],[Type Name]], tbl_MTG_Set_Type[Set Type], tbl_MTG_Set_Type[Sell Window Month Start], "(Set Type not found)", 0, 1)</f>
        <v/>
      </c>
      <c r="U351" s="3">
        <f>tbl_MTG_Set[[#This Row],[Released On]]+tbl_MTG_Set[[#This Row],[Sell Window Month Start]]*365.25/12</f>
        <v/>
      </c>
      <c r="V351">
        <f>_xlfn.XLOOKUP(tbl_MTG_Set[[#This Row],[Type Name]], tbl_MTG_Set_Type[Set Type], tbl_MTG_Set_Type[Sell Window Month End], "(Set Type not found)", 0, 1)</f>
        <v/>
      </c>
      <c r="W351" s="3">
        <f>tbl_MTG_Set[[#This Row],[Released On]]+tbl_MTG_Set[[#This Row],[Sell Window Month End]]*365.25/12</f>
        <v/>
      </c>
      <c r="X351" s="3">
        <f>AND(NOW()&gt;=tbl_MTG_Set[[#This Row],[Sell Window Start]], NOW()&lt;=tbl_MTG_Set[[#This Row],[Sell Window End]])</f>
        <v/>
      </c>
      <c r="AG351" s="10" t="n"/>
      <c r="AH351" s="10" t="n"/>
      <c r="AM351" s="10">
        <f t="array" ref="AM3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1" s="10">
        <f t="array" ref="AN3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1" s="4">
        <f>_xlfn.XLOOKUP(tbl_MTG_Set[[#This Row],[Play Booster Box Product Id]], tbl_Product[Product Id], tbl_Product[Pack Size])</f>
        <v/>
      </c>
      <c r="AP351" s="10">
        <f>(tbl_MTG_Set[[#This Row],[Play Booster Box Cost]]+v_Item_Shipping_Cost_In)/tbl_MTG_Set[[#This Row],[Play Booster Box Size]]</f>
        <v/>
      </c>
      <c r="AQ351" s="10">
        <f t="array" ref="AQ3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1" s="10" t="n"/>
      <c r="AS351" s="10" t="n"/>
      <c r="AT351" s="17">
        <f>tbl_MTG_Set[[#This Row],[Play Booster CardMarket Profit]]/tbl_MTG_Set[[#This Row],[Play Booster Cost]]</f>
        <v/>
      </c>
      <c r="AU351" s="10">
        <f>_xlfn.XLOOKUP(tbl_MTG_Set[[#This Row],[Collector Booster Box Product Id]], tbl_Product[Product Id], tbl_Product[Min Cost])</f>
        <v/>
      </c>
      <c r="AV351" s="10">
        <f>_xlfn.XLOOKUP(tbl_MTG_Set[[#This Row],[Collector Booster Box Product Id]], tbl_Product[Product Id], tbl_Product[Best Source])</f>
        <v/>
      </c>
      <c r="AW351" s="4">
        <f>_xlfn.XLOOKUP(tbl_MTG_Set[[#This Row],[Collector Booster Box Product Id]], tbl_Product[Product Id], tbl_Product[Pack Size])</f>
        <v/>
      </c>
      <c r="AX351" s="10">
        <f>(tbl_MTG_Set[[#This Row],[Collector Booster Box Cost]] + v_Item_Shipping_Cost_In) / tbl_MTG_Set[[#This Row],[Collector Booster Box Size]]</f>
        <v/>
      </c>
      <c r="AY351" s="10">
        <f t="array" ref="AY3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1" s="10" t="n"/>
      <c r="BA3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1" s="17">
        <f>tbl_MTG_Set[[#This Row],[Collector Booster CardMarket Profit]]/tbl_MTG_Set[[#This Row],[Collector Booster Cost]]</f>
        <v/>
      </c>
      <c r="BC351" s="10" t="n"/>
      <c r="BF351" s="10">
        <f>tbl_MTG_Set[[#This Row],[Play Booster Sell Price CardMarket]]*tbl_MTG_Set[[#This Row],[Play Booster Expected Market Value]]/tbl_MTG_Set[[#This Row],[Play Boost Sealed Market Value]]</f>
        <v/>
      </c>
      <c r="BG3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1" s="10">
        <f>tbl_MTG_Set[[#This Row],[Play Singles CardMarket Profit]]/tbl_MTG_Set[[#This Row],[Play Booster Cost]]</f>
        <v/>
      </c>
      <c r="BI351" s="10">
        <f>tbl_MTG_Set[[#This Row],[Play Singles CardMarket Profit]]&gt;0</f>
        <v/>
      </c>
      <c r="BJ351" s="10" t="n"/>
      <c r="BK351" s="10" t="n"/>
      <c r="BL351" s="10">
        <f>tbl_MTG_Set[[#This Row],[Collector Booster Sell Price CardMarket]]*tbl_MTG_Set[[#This Row],[Collector Booster Expected Market Value]]/tbl_MTG_Set[[#This Row],[Collector Boost Sealed Market Value]]</f>
        <v/>
      </c>
      <c r="BM3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1" s="10">
        <f>tbl_MTG_Set[[#This Row],[Collector Singles CardMarket Profit]]/tbl_MTG_Set[[#This Row],[Collector Booster Cost]]</f>
        <v/>
      </c>
      <c r="BO351" s="10">
        <f>tbl_MTG_Set[[#This Row],[Collector Singles CardMarket Profit]]&gt;0</f>
        <v/>
      </c>
      <c r="BP3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2">
      <c r="A352" t="n">
        <v>350</v>
      </c>
      <c r="B352" t="inlineStr">
        <is>
          <t>Commander 2021 Display Commanders OC21</t>
        </is>
      </c>
      <c r="C352" t="n">
        <v>5</v>
      </c>
      <c r="D352" s="3" t="n">
        <v>44309</v>
      </c>
      <c r="F352" t="inlineStr">
        <is>
          <t>en es fr de it pt ja ko ru 汉语 漢語</t>
        </is>
      </c>
      <c r="G352" t="n">
        <v>646</v>
      </c>
      <c r="H352">
        <f>MONTH(NOW())+12*YEAR(NOW())-MONTH(tbl_MTG_Set[[#This Row],[Released On]])-12*YEAR(tbl_MTG_Set[[#This Row],[Released On]])</f>
        <v/>
      </c>
      <c r="I352">
        <f>_xlfn.XLOOKUP(tbl_MTG_Set[[#This Row],[Type Name]], tbl_MTG_Set_Type[Set Type], tbl_MTG_Set_Type[Index], "(Set Type not found)")</f>
        <v/>
      </c>
      <c r="J352">
        <f>_xlfn.XLOOKUP(tbl_MTG_Set[[#This Row],[Type Name]], tbl_MTG_Set_Type[Set Type], tbl_MTG_Set_Type[Buy Window Month Start], "(Set Type not found)")</f>
        <v/>
      </c>
      <c r="K352" s="3">
        <f>tbl_MTG_Set[[#This Row],[Released On]]+tbl_MTG_Set[[#This Row],[Buy Window Month Start]]*365.25/12</f>
        <v/>
      </c>
      <c r="L352">
        <f>_xlfn.XLOOKUP(tbl_MTG_Set[[#This Row],[Type Name]], tbl_MTG_Set_Type[Set Type], tbl_MTG_Set_Type[Buy Window Month End], "(Set Type not found)", 0, 1)</f>
        <v/>
      </c>
      <c r="M352" s="3">
        <f>tbl_MTG_Set[[#This Row],[Released On]]+tbl_MTG_Set[[#This Row],[Buy Window Month End]]*365.25/12</f>
        <v/>
      </c>
      <c r="N352" s="3">
        <f>AND(NOW()&gt;=tbl_MTG_Set[[#This Row],[Buy Window Start]], NOW()&lt;=tbl_MTG_Set[[#This Row],[Buy Window End]])</f>
        <v/>
      </c>
      <c r="O352">
        <f>_xlfn.XLOOKUP(tbl_MTG_Set[[#This Row],[Type Name]], tbl_MTG_Set_Type[Set Type], tbl_MTG_Set_Type[Heavy Printing Window Month Start], "(Set Type not found)", 0, 1)</f>
        <v/>
      </c>
      <c r="P352" s="3">
        <f>tbl_MTG_Set[[#This Row],[Released On]]+tbl_MTG_Set[[#This Row],[Heavy Printing Window Month Start]]*365.25/12</f>
        <v/>
      </c>
      <c r="Q352">
        <f>_xlfn.XLOOKUP(tbl_MTG_Set[[#This Row],[Type Name]], tbl_MTG_Set_Type[Set Type], tbl_MTG_Set_Type[Heavy Printing Window Month End], "(Set Type not found)", 0, 1)</f>
        <v/>
      </c>
      <c r="R352" s="3">
        <f>tbl_MTG_Set[[#This Row],[Released On]]+tbl_MTG_Set[[#This Row],[Heavy Printing Window Month End]]*365.25/12</f>
        <v/>
      </c>
      <c r="S352" s="3">
        <f>AND(NOW()&gt;=tbl_MTG_Set[[#This Row],[Heavy Printing Window Start]], NOW()&lt;=tbl_MTG_Set[[#This Row],[Heavy Printing Window End]])</f>
        <v/>
      </c>
      <c r="T352">
        <f>_xlfn.XLOOKUP(tbl_MTG_Set[[#This Row],[Type Name]], tbl_MTG_Set_Type[Set Type], tbl_MTG_Set_Type[Sell Window Month Start], "(Set Type not found)", 0, 1)</f>
        <v/>
      </c>
      <c r="U352" s="3">
        <f>tbl_MTG_Set[[#This Row],[Released On]]+tbl_MTG_Set[[#This Row],[Sell Window Month Start]]*365.25/12</f>
        <v/>
      </c>
      <c r="V352">
        <f>_xlfn.XLOOKUP(tbl_MTG_Set[[#This Row],[Type Name]], tbl_MTG_Set_Type[Set Type], tbl_MTG_Set_Type[Sell Window Month End], "(Set Type not found)", 0, 1)</f>
        <v/>
      </c>
      <c r="W352" s="3">
        <f>tbl_MTG_Set[[#This Row],[Released On]]+tbl_MTG_Set[[#This Row],[Sell Window Month End]]*365.25/12</f>
        <v/>
      </c>
      <c r="X352" s="3">
        <f>AND(NOW()&gt;=tbl_MTG_Set[[#This Row],[Sell Window Start]], NOW()&lt;=tbl_MTG_Set[[#This Row],[Sell Window End]])</f>
        <v/>
      </c>
      <c r="AG352" s="10" t="n"/>
      <c r="AH352" s="10" t="n"/>
      <c r="AM352" s="10">
        <f t="array" ref="AM3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2" s="10">
        <f t="array" ref="AN3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2" s="4">
        <f>_xlfn.XLOOKUP(tbl_MTG_Set[[#This Row],[Play Booster Box Product Id]], tbl_Product[Product Id], tbl_Product[Pack Size])</f>
        <v/>
      </c>
      <c r="AP352" s="10">
        <f>(tbl_MTG_Set[[#This Row],[Play Booster Box Cost]]+v_Item_Shipping_Cost_In)/tbl_MTG_Set[[#This Row],[Play Booster Box Size]]</f>
        <v/>
      </c>
      <c r="AQ352" s="10">
        <f t="array" ref="AQ3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2" s="10" t="n"/>
      <c r="AS352" s="10" t="n"/>
      <c r="AT352" s="17">
        <f>tbl_MTG_Set[[#This Row],[Play Booster CardMarket Profit]]/tbl_MTG_Set[[#This Row],[Play Booster Cost]]</f>
        <v/>
      </c>
      <c r="AU352" s="10">
        <f>_xlfn.XLOOKUP(tbl_MTG_Set[[#This Row],[Collector Booster Box Product Id]], tbl_Product[Product Id], tbl_Product[Min Cost])</f>
        <v/>
      </c>
      <c r="AV352" s="10">
        <f>_xlfn.XLOOKUP(tbl_MTG_Set[[#This Row],[Collector Booster Box Product Id]], tbl_Product[Product Id], tbl_Product[Best Source])</f>
        <v/>
      </c>
      <c r="AW352" s="4">
        <f>_xlfn.XLOOKUP(tbl_MTG_Set[[#This Row],[Collector Booster Box Product Id]], tbl_Product[Product Id], tbl_Product[Pack Size])</f>
        <v/>
      </c>
      <c r="AX352" s="10">
        <f>(tbl_MTG_Set[[#This Row],[Collector Booster Box Cost]] + v_Item_Shipping_Cost_In) / tbl_MTG_Set[[#This Row],[Collector Booster Box Size]]</f>
        <v/>
      </c>
      <c r="AY352" s="10">
        <f t="array" ref="AY3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2" s="10" t="n"/>
      <c r="BA3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2" s="17">
        <f>tbl_MTG_Set[[#This Row],[Collector Booster CardMarket Profit]]/tbl_MTG_Set[[#This Row],[Collector Booster Cost]]</f>
        <v/>
      </c>
      <c r="BC352" s="10" t="n"/>
      <c r="BF352" s="10">
        <f>tbl_MTG_Set[[#This Row],[Play Booster Sell Price CardMarket]]*tbl_MTG_Set[[#This Row],[Play Booster Expected Market Value]]/tbl_MTG_Set[[#This Row],[Play Boost Sealed Market Value]]</f>
        <v/>
      </c>
      <c r="BG3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2" s="10">
        <f>tbl_MTG_Set[[#This Row],[Play Singles CardMarket Profit]]/tbl_MTG_Set[[#This Row],[Play Booster Cost]]</f>
        <v/>
      </c>
      <c r="BI352" s="10">
        <f>tbl_MTG_Set[[#This Row],[Play Singles CardMarket Profit]]&gt;0</f>
        <v/>
      </c>
      <c r="BJ352" s="10" t="n"/>
      <c r="BK352" s="10" t="n"/>
      <c r="BL352" s="10">
        <f>tbl_MTG_Set[[#This Row],[Collector Booster Sell Price CardMarket]]*tbl_MTG_Set[[#This Row],[Collector Booster Expected Market Value]]/tbl_MTG_Set[[#This Row],[Collector Boost Sealed Market Value]]</f>
        <v/>
      </c>
      <c r="BM3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2" s="10">
        <f>tbl_MTG_Set[[#This Row],[Collector Singles CardMarket Profit]]/tbl_MTG_Set[[#This Row],[Collector Booster Cost]]</f>
        <v/>
      </c>
      <c r="BO352" s="10">
        <f>tbl_MTG_Set[[#This Row],[Collector Singles CardMarket Profit]]&gt;0</f>
        <v/>
      </c>
      <c r="BP3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3">
      <c r="A353" t="n">
        <v>351</v>
      </c>
      <c r="B353" t="inlineStr">
        <is>
          <t>Time Spiral Remastered TSR</t>
        </is>
      </c>
      <c r="C353" t="n">
        <v>411</v>
      </c>
      <c r="D353" s="3" t="n">
        <v>44274</v>
      </c>
      <c r="E353" t="inlineStr">
        <is>
          <t>Remastered</t>
        </is>
      </c>
      <c r="F353" t="inlineStr">
        <is>
          <t>en es fr de it pt ja ko ru 汉语 漢語</t>
        </is>
      </c>
      <c r="G353" t="n">
        <v>648</v>
      </c>
      <c r="H353">
        <f>MONTH(NOW())+12*YEAR(NOW())-MONTH(tbl_MTG_Set[[#This Row],[Released On]])-12*YEAR(tbl_MTG_Set[[#This Row],[Released On]])</f>
        <v/>
      </c>
      <c r="I353">
        <f>_xlfn.XLOOKUP(tbl_MTG_Set[[#This Row],[Type Name]], tbl_MTG_Set_Type[Set Type], tbl_MTG_Set_Type[Index], "(Set Type not found)")</f>
        <v/>
      </c>
      <c r="J353">
        <f>_xlfn.XLOOKUP(tbl_MTG_Set[[#This Row],[Type Name]], tbl_MTG_Set_Type[Set Type], tbl_MTG_Set_Type[Buy Window Month Start], "(Set Type not found)")</f>
        <v/>
      </c>
      <c r="K353" s="3">
        <f>tbl_MTG_Set[[#This Row],[Released On]]+tbl_MTG_Set[[#This Row],[Buy Window Month Start]]*365.25/12</f>
        <v/>
      </c>
      <c r="L353">
        <f>_xlfn.XLOOKUP(tbl_MTG_Set[[#This Row],[Type Name]], tbl_MTG_Set_Type[Set Type], tbl_MTG_Set_Type[Buy Window Month End], "(Set Type not found)", 0, 1)</f>
        <v/>
      </c>
      <c r="M353" s="3">
        <f>tbl_MTG_Set[[#This Row],[Released On]]+tbl_MTG_Set[[#This Row],[Buy Window Month End]]*365.25/12</f>
        <v/>
      </c>
      <c r="N353" s="3">
        <f>AND(NOW()&gt;=tbl_MTG_Set[[#This Row],[Buy Window Start]], NOW()&lt;=tbl_MTG_Set[[#This Row],[Buy Window End]])</f>
        <v/>
      </c>
      <c r="O353">
        <f>_xlfn.XLOOKUP(tbl_MTG_Set[[#This Row],[Type Name]], tbl_MTG_Set_Type[Set Type], tbl_MTG_Set_Type[Heavy Printing Window Month Start], "(Set Type not found)", 0, 1)</f>
        <v/>
      </c>
      <c r="P353" s="3">
        <f>tbl_MTG_Set[[#This Row],[Released On]]+tbl_MTG_Set[[#This Row],[Heavy Printing Window Month Start]]*365.25/12</f>
        <v/>
      </c>
      <c r="Q353">
        <f>_xlfn.XLOOKUP(tbl_MTG_Set[[#This Row],[Type Name]], tbl_MTG_Set_Type[Set Type], tbl_MTG_Set_Type[Heavy Printing Window Month End], "(Set Type not found)", 0, 1)</f>
        <v/>
      </c>
      <c r="R353" s="3">
        <f>tbl_MTG_Set[[#This Row],[Released On]]+tbl_MTG_Set[[#This Row],[Heavy Printing Window Month End]]*365.25/12</f>
        <v/>
      </c>
      <c r="S353" s="3">
        <f>AND(NOW()&gt;=tbl_MTG_Set[[#This Row],[Heavy Printing Window Start]], NOW()&lt;=tbl_MTG_Set[[#This Row],[Heavy Printing Window End]])</f>
        <v/>
      </c>
      <c r="T353">
        <f>_xlfn.XLOOKUP(tbl_MTG_Set[[#This Row],[Type Name]], tbl_MTG_Set_Type[Set Type], tbl_MTG_Set_Type[Sell Window Month Start], "(Set Type not found)", 0, 1)</f>
        <v/>
      </c>
      <c r="U353" s="3">
        <f>tbl_MTG_Set[[#This Row],[Released On]]+tbl_MTG_Set[[#This Row],[Sell Window Month Start]]*365.25/12</f>
        <v/>
      </c>
      <c r="V353">
        <f>_xlfn.XLOOKUP(tbl_MTG_Set[[#This Row],[Type Name]], tbl_MTG_Set_Type[Set Type], tbl_MTG_Set_Type[Sell Window Month End], "(Set Type not found)", 0, 1)</f>
        <v/>
      </c>
      <c r="W353" s="3">
        <f>tbl_MTG_Set[[#This Row],[Released On]]+tbl_MTG_Set[[#This Row],[Sell Window Month End]]*365.25/12</f>
        <v/>
      </c>
      <c r="X353" s="3">
        <f>AND(NOW()&gt;=tbl_MTG_Set[[#This Row],[Sell Window Start]], NOW()&lt;=tbl_MTG_Set[[#This Row],[Sell Window End]])</f>
        <v/>
      </c>
      <c r="AG353" s="10" t="n"/>
      <c r="AH353" s="10" t="n"/>
      <c r="AM353" s="10">
        <f t="array" ref="AM3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3" s="10">
        <f t="array" ref="AN3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3" s="4">
        <f>_xlfn.XLOOKUP(tbl_MTG_Set[[#This Row],[Play Booster Box Product Id]], tbl_Product[Product Id], tbl_Product[Pack Size])</f>
        <v/>
      </c>
      <c r="AP353" s="10">
        <f>(tbl_MTG_Set[[#This Row],[Play Booster Box Cost]]+v_Item_Shipping_Cost_In)/tbl_MTG_Set[[#This Row],[Play Booster Box Size]]</f>
        <v/>
      </c>
      <c r="AQ353" s="10">
        <f t="array" ref="AQ3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3" s="10" t="n"/>
      <c r="AS353" s="10" t="n"/>
      <c r="AT353" s="17">
        <f>tbl_MTG_Set[[#This Row],[Play Booster CardMarket Profit]]/tbl_MTG_Set[[#This Row],[Play Booster Cost]]</f>
        <v/>
      </c>
      <c r="AU353" s="10">
        <f>_xlfn.XLOOKUP(tbl_MTG_Set[[#This Row],[Collector Booster Box Product Id]], tbl_Product[Product Id], tbl_Product[Min Cost])</f>
        <v/>
      </c>
      <c r="AV353" s="10">
        <f>_xlfn.XLOOKUP(tbl_MTG_Set[[#This Row],[Collector Booster Box Product Id]], tbl_Product[Product Id], tbl_Product[Best Source])</f>
        <v/>
      </c>
      <c r="AW353" s="4">
        <f>_xlfn.XLOOKUP(tbl_MTG_Set[[#This Row],[Collector Booster Box Product Id]], tbl_Product[Product Id], tbl_Product[Pack Size])</f>
        <v/>
      </c>
      <c r="AX353" s="10">
        <f>(tbl_MTG_Set[[#This Row],[Collector Booster Box Cost]] + v_Item_Shipping_Cost_In) / tbl_MTG_Set[[#This Row],[Collector Booster Box Size]]</f>
        <v/>
      </c>
      <c r="AY353" s="10">
        <f t="array" ref="AY3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3" s="10" t="n"/>
      <c r="BA3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3" s="17">
        <f>tbl_MTG_Set[[#This Row],[Collector Booster CardMarket Profit]]/tbl_MTG_Set[[#This Row],[Collector Booster Cost]]</f>
        <v/>
      </c>
      <c r="BC353" s="10" t="n"/>
      <c r="BF353" s="10">
        <f>tbl_MTG_Set[[#This Row],[Play Booster Sell Price CardMarket]]*tbl_MTG_Set[[#This Row],[Play Booster Expected Market Value]]/tbl_MTG_Set[[#This Row],[Play Boost Sealed Market Value]]</f>
        <v/>
      </c>
      <c r="BG3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3" s="10">
        <f>tbl_MTG_Set[[#This Row],[Play Singles CardMarket Profit]]/tbl_MTG_Set[[#This Row],[Play Booster Cost]]</f>
        <v/>
      </c>
      <c r="BI353" s="10">
        <f>tbl_MTG_Set[[#This Row],[Play Singles CardMarket Profit]]&gt;0</f>
        <v/>
      </c>
      <c r="BJ353" s="10" t="n"/>
      <c r="BK353" s="10" t="n"/>
      <c r="BL353" s="10">
        <f>tbl_MTG_Set[[#This Row],[Collector Booster Sell Price CardMarket]]*tbl_MTG_Set[[#This Row],[Collector Booster Expected Market Value]]/tbl_MTG_Set[[#This Row],[Collector Boost Sealed Market Value]]</f>
        <v/>
      </c>
      <c r="BM3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3" s="10">
        <f>tbl_MTG_Set[[#This Row],[Collector Singles CardMarket Profit]]/tbl_MTG_Set[[#This Row],[Collector Booster Cost]]</f>
        <v/>
      </c>
      <c r="BO353" s="10">
        <f>tbl_MTG_Set[[#This Row],[Collector Singles CardMarket Profit]]&gt;0</f>
        <v/>
      </c>
      <c r="BP3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4">
      <c r="A354" t="n">
        <v>352</v>
      </c>
      <c r="B354" t="inlineStr">
        <is>
          <t>Time Spiral Remastered Promos PTSR</t>
        </is>
      </c>
      <c r="C354" t="n">
        <v>3</v>
      </c>
      <c r="D354" s="3" t="n">
        <v>45177</v>
      </c>
      <c r="E354" t="inlineStr">
        <is>
          <t>Remastered</t>
        </is>
      </c>
      <c r="F354" t="inlineStr">
        <is>
          <t>en es fr de it pt ja ko ru 汉语 漢語</t>
        </is>
      </c>
      <c r="G354" t="n">
        <v>650</v>
      </c>
      <c r="H354">
        <f>MONTH(NOW())+12*YEAR(NOW())-MONTH(tbl_MTG_Set[[#This Row],[Released On]])-12*YEAR(tbl_MTG_Set[[#This Row],[Released On]])</f>
        <v/>
      </c>
      <c r="I354">
        <f>_xlfn.XLOOKUP(tbl_MTG_Set[[#This Row],[Type Name]], tbl_MTG_Set_Type[Set Type], tbl_MTG_Set_Type[Index], "(Set Type not found)")</f>
        <v/>
      </c>
      <c r="J354">
        <f>_xlfn.XLOOKUP(tbl_MTG_Set[[#This Row],[Type Name]], tbl_MTG_Set_Type[Set Type], tbl_MTG_Set_Type[Buy Window Month Start], "(Set Type not found)")</f>
        <v/>
      </c>
      <c r="K354" s="3">
        <f>tbl_MTG_Set[[#This Row],[Released On]]+tbl_MTG_Set[[#This Row],[Buy Window Month Start]]*365.25/12</f>
        <v/>
      </c>
      <c r="L354">
        <f>_xlfn.XLOOKUP(tbl_MTG_Set[[#This Row],[Type Name]], tbl_MTG_Set_Type[Set Type], tbl_MTG_Set_Type[Buy Window Month End], "(Set Type not found)", 0, 1)</f>
        <v/>
      </c>
      <c r="M354" s="3">
        <f>tbl_MTG_Set[[#This Row],[Released On]]+tbl_MTG_Set[[#This Row],[Buy Window Month End]]*365.25/12</f>
        <v/>
      </c>
      <c r="N354" s="3">
        <f>AND(NOW()&gt;=tbl_MTG_Set[[#This Row],[Buy Window Start]], NOW()&lt;=tbl_MTG_Set[[#This Row],[Buy Window End]])</f>
        <v/>
      </c>
      <c r="O354">
        <f>_xlfn.XLOOKUP(tbl_MTG_Set[[#This Row],[Type Name]], tbl_MTG_Set_Type[Set Type], tbl_MTG_Set_Type[Heavy Printing Window Month Start], "(Set Type not found)", 0, 1)</f>
        <v/>
      </c>
      <c r="P354" s="3">
        <f>tbl_MTG_Set[[#This Row],[Released On]]+tbl_MTG_Set[[#This Row],[Heavy Printing Window Month Start]]*365.25/12</f>
        <v/>
      </c>
      <c r="Q354">
        <f>_xlfn.XLOOKUP(tbl_MTG_Set[[#This Row],[Type Name]], tbl_MTG_Set_Type[Set Type], tbl_MTG_Set_Type[Heavy Printing Window Month End], "(Set Type not found)", 0, 1)</f>
        <v/>
      </c>
      <c r="R354" s="3">
        <f>tbl_MTG_Set[[#This Row],[Released On]]+tbl_MTG_Set[[#This Row],[Heavy Printing Window Month End]]*365.25/12</f>
        <v/>
      </c>
      <c r="S354" s="3">
        <f>AND(NOW()&gt;=tbl_MTG_Set[[#This Row],[Heavy Printing Window Start]], NOW()&lt;=tbl_MTG_Set[[#This Row],[Heavy Printing Window End]])</f>
        <v/>
      </c>
      <c r="T354">
        <f>_xlfn.XLOOKUP(tbl_MTG_Set[[#This Row],[Type Name]], tbl_MTG_Set_Type[Set Type], tbl_MTG_Set_Type[Sell Window Month Start], "(Set Type not found)", 0, 1)</f>
        <v/>
      </c>
      <c r="U354" s="3">
        <f>tbl_MTG_Set[[#This Row],[Released On]]+tbl_MTG_Set[[#This Row],[Sell Window Month Start]]*365.25/12</f>
        <v/>
      </c>
      <c r="V354">
        <f>_xlfn.XLOOKUP(tbl_MTG_Set[[#This Row],[Type Name]], tbl_MTG_Set_Type[Set Type], tbl_MTG_Set_Type[Sell Window Month End], "(Set Type not found)", 0, 1)</f>
        <v/>
      </c>
      <c r="W354" s="3">
        <f>tbl_MTG_Set[[#This Row],[Released On]]+tbl_MTG_Set[[#This Row],[Sell Window Month End]]*365.25/12</f>
        <v/>
      </c>
      <c r="X354" s="3">
        <f>AND(NOW()&gt;=tbl_MTG_Set[[#This Row],[Sell Window Start]], NOW()&lt;=tbl_MTG_Set[[#This Row],[Sell Window End]])</f>
        <v/>
      </c>
      <c r="AG354" s="10" t="n"/>
      <c r="AH354" s="10" t="n"/>
      <c r="AM354" s="10">
        <f t="array" ref="AM3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4" s="10">
        <f t="array" ref="AN3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4" s="4">
        <f>_xlfn.XLOOKUP(tbl_MTG_Set[[#This Row],[Play Booster Box Product Id]], tbl_Product[Product Id], tbl_Product[Pack Size])</f>
        <v/>
      </c>
      <c r="AP354" s="10">
        <f>(tbl_MTG_Set[[#This Row],[Play Booster Box Cost]]+v_Item_Shipping_Cost_In)/tbl_MTG_Set[[#This Row],[Play Booster Box Size]]</f>
        <v/>
      </c>
      <c r="AQ354" s="10">
        <f t="array" ref="AQ3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4" s="10" t="n"/>
      <c r="AS354" s="10" t="n"/>
      <c r="AT354" s="17">
        <f>tbl_MTG_Set[[#This Row],[Play Booster CardMarket Profit]]/tbl_MTG_Set[[#This Row],[Play Booster Cost]]</f>
        <v/>
      </c>
      <c r="AU354" s="10">
        <f>_xlfn.XLOOKUP(tbl_MTG_Set[[#This Row],[Collector Booster Box Product Id]], tbl_Product[Product Id], tbl_Product[Min Cost])</f>
        <v/>
      </c>
      <c r="AV354" s="10">
        <f>_xlfn.XLOOKUP(tbl_MTG_Set[[#This Row],[Collector Booster Box Product Id]], tbl_Product[Product Id], tbl_Product[Best Source])</f>
        <v/>
      </c>
      <c r="AW354" s="4">
        <f>_xlfn.XLOOKUP(tbl_MTG_Set[[#This Row],[Collector Booster Box Product Id]], tbl_Product[Product Id], tbl_Product[Pack Size])</f>
        <v/>
      </c>
      <c r="AX354" s="10">
        <f>(tbl_MTG_Set[[#This Row],[Collector Booster Box Cost]] + v_Item_Shipping_Cost_In) / tbl_MTG_Set[[#This Row],[Collector Booster Box Size]]</f>
        <v/>
      </c>
      <c r="AY354" s="10">
        <f t="array" ref="AY3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4" s="10" t="n"/>
      <c r="BA3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4" s="17">
        <f>tbl_MTG_Set[[#This Row],[Collector Booster CardMarket Profit]]/tbl_MTG_Set[[#This Row],[Collector Booster Cost]]</f>
        <v/>
      </c>
      <c r="BC354" s="10" t="n"/>
      <c r="BF354" s="10">
        <f>tbl_MTG_Set[[#This Row],[Play Booster Sell Price CardMarket]]*tbl_MTG_Set[[#This Row],[Play Booster Expected Market Value]]/tbl_MTG_Set[[#This Row],[Play Boost Sealed Market Value]]</f>
        <v/>
      </c>
      <c r="BG3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4" s="10">
        <f>tbl_MTG_Set[[#This Row],[Play Singles CardMarket Profit]]/tbl_MTG_Set[[#This Row],[Play Booster Cost]]</f>
        <v/>
      </c>
      <c r="BI354" s="10">
        <f>tbl_MTG_Set[[#This Row],[Play Singles CardMarket Profit]]&gt;0</f>
        <v/>
      </c>
      <c r="BJ354" s="10" t="n"/>
      <c r="BK354" s="10" t="n"/>
      <c r="BL354" s="10">
        <f>tbl_MTG_Set[[#This Row],[Collector Booster Sell Price CardMarket]]*tbl_MTG_Set[[#This Row],[Collector Booster Expected Market Value]]/tbl_MTG_Set[[#This Row],[Collector Boost Sealed Market Value]]</f>
        <v/>
      </c>
      <c r="BM3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4" s="10">
        <f>tbl_MTG_Set[[#This Row],[Collector Singles CardMarket Profit]]/tbl_MTG_Set[[#This Row],[Collector Booster Cost]]</f>
        <v/>
      </c>
      <c r="BO354" s="10">
        <f>tbl_MTG_Set[[#This Row],[Collector Singles CardMarket Profit]]&gt;0</f>
        <v/>
      </c>
      <c r="BP3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5">
      <c r="A355" t="n">
        <v>353</v>
      </c>
      <c r="B355" t="inlineStr">
        <is>
          <t>Time Spiral Remastered Tokens TTSR</t>
        </is>
      </c>
      <c r="C355" t="n">
        <v>15</v>
      </c>
      <c r="D355" s="3" t="n">
        <v>44274</v>
      </c>
      <c r="E355" t="inlineStr">
        <is>
          <t>Remastered</t>
        </is>
      </c>
      <c r="F355" t="inlineStr">
        <is>
          <t>en es fr de it pt ja ko ru 汉语 漢語</t>
        </is>
      </c>
      <c r="G355" t="n">
        <v>652</v>
      </c>
      <c r="H355">
        <f>MONTH(NOW())+12*YEAR(NOW())-MONTH(tbl_MTG_Set[[#This Row],[Released On]])-12*YEAR(tbl_MTG_Set[[#This Row],[Released On]])</f>
        <v/>
      </c>
      <c r="I355">
        <f>_xlfn.XLOOKUP(tbl_MTG_Set[[#This Row],[Type Name]], tbl_MTG_Set_Type[Set Type], tbl_MTG_Set_Type[Index], "(Set Type not found)")</f>
        <v/>
      </c>
      <c r="J355">
        <f>_xlfn.XLOOKUP(tbl_MTG_Set[[#This Row],[Type Name]], tbl_MTG_Set_Type[Set Type], tbl_MTG_Set_Type[Buy Window Month Start], "(Set Type not found)")</f>
        <v/>
      </c>
      <c r="K355" s="3">
        <f>tbl_MTG_Set[[#This Row],[Released On]]+tbl_MTG_Set[[#This Row],[Buy Window Month Start]]*365.25/12</f>
        <v/>
      </c>
      <c r="L355">
        <f>_xlfn.XLOOKUP(tbl_MTG_Set[[#This Row],[Type Name]], tbl_MTG_Set_Type[Set Type], tbl_MTG_Set_Type[Buy Window Month End], "(Set Type not found)", 0, 1)</f>
        <v/>
      </c>
      <c r="M355" s="3">
        <f>tbl_MTG_Set[[#This Row],[Released On]]+tbl_MTG_Set[[#This Row],[Buy Window Month End]]*365.25/12</f>
        <v/>
      </c>
      <c r="N355" s="3">
        <f>AND(NOW()&gt;=tbl_MTG_Set[[#This Row],[Buy Window Start]], NOW()&lt;=tbl_MTG_Set[[#This Row],[Buy Window End]])</f>
        <v/>
      </c>
      <c r="O355">
        <f>_xlfn.XLOOKUP(tbl_MTG_Set[[#This Row],[Type Name]], tbl_MTG_Set_Type[Set Type], tbl_MTG_Set_Type[Heavy Printing Window Month Start], "(Set Type not found)", 0, 1)</f>
        <v/>
      </c>
      <c r="P355" s="3">
        <f>tbl_MTG_Set[[#This Row],[Released On]]+tbl_MTG_Set[[#This Row],[Heavy Printing Window Month Start]]*365.25/12</f>
        <v/>
      </c>
      <c r="Q355">
        <f>_xlfn.XLOOKUP(tbl_MTG_Set[[#This Row],[Type Name]], tbl_MTG_Set_Type[Set Type], tbl_MTG_Set_Type[Heavy Printing Window Month End], "(Set Type not found)", 0, 1)</f>
        <v/>
      </c>
      <c r="R355" s="3">
        <f>tbl_MTG_Set[[#This Row],[Released On]]+tbl_MTG_Set[[#This Row],[Heavy Printing Window Month End]]*365.25/12</f>
        <v/>
      </c>
      <c r="S355" s="3">
        <f>AND(NOW()&gt;=tbl_MTG_Set[[#This Row],[Heavy Printing Window Start]], NOW()&lt;=tbl_MTG_Set[[#This Row],[Heavy Printing Window End]])</f>
        <v/>
      </c>
      <c r="T355">
        <f>_xlfn.XLOOKUP(tbl_MTG_Set[[#This Row],[Type Name]], tbl_MTG_Set_Type[Set Type], tbl_MTG_Set_Type[Sell Window Month Start], "(Set Type not found)", 0, 1)</f>
        <v/>
      </c>
      <c r="U355" s="3">
        <f>tbl_MTG_Set[[#This Row],[Released On]]+tbl_MTG_Set[[#This Row],[Sell Window Month Start]]*365.25/12</f>
        <v/>
      </c>
      <c r="V355">
        <f>_xlfn.XLOOKUP(tbl_MTG_Set[[#This Row],[Type Name]], tbl_MTG_Set_Type[Set Type], tbl_MTG_Set_Type[Sell Window Month End], "(Set Type not found)", 0, 1)</f>
        <v/>
      </c>
      <c r="W355" s="3">
        <f>tbl_MTG_Set[[#This Row],[Released On]]+tbl_MTG_Set[[#This Row],[Sell Window Month End]]*365.25/12</f>
        <v/>
      </c>
      <c r="X355" s="3">
        <f>AND(NOW()&gt;=tbl_MTG_Set[[#This Row],[Sell Window Start]], NOW()&lt;=tbl_MTG_Set[[#This Row],[Sell Window End]])</f>
        <v/>
      </c>
      <c r="AG355" s="10" t="n"/>
      <c r="AH355" s="10" t="n"/>
      <c r="AM355" s="10">
        <f t="array" ref="AM3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5" s="10">
        <f t="array" ref="AN3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5" s="4">
        <f>_xlfn.XLOOKUP(tbl_MTG_Set[[#This Row],[Play Booster Box Product Id]], tbl_Product[Product Id], tbl_Product[Pack Size])</f>
        <v/>
      </c>
      <c r="AP355" s="10">
        <f>(tbl_MTG_Set[[#This Row],[Play Booster Box Cost]]+v_Item_Shipping_Cost_In)/tbl_MTG_Set[[#This Row],[Play Booster Box Size]]</f>
        <v/>
      </c>
      <c r="AQ355" s="10">
        <f t="array" ref="AQ3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5" s="10" t="n"/>
      <c r="AS355" s="10" t="n"/>
      <c r="AT355" s="17">
        <f>tbl_MTG_Set[[#This Row],[Play Booster CardMarket Profit]]/tbl_MTG_Set[[#This Row],[Play Booster Cost]]</f>
        <v/>
      </c>
      <c r="AU355" s="10">
        <f>_xlfn.XLOOKUP(tbl_MTG_Set[[#This Row],[Collector Booster Box Product Id]], tbl_Product[Product Id], tbl_Product[Min Cost])</f>
        <v/>
      </c>
      <c r="AV355" s="10">
        <f>_xlfn.XLOOKUP(tbl_MTG_Set[[#This Row],[Collector Booster Box Product Id]], tbl_Product[Product Id], tbl_Product[Best Source])</f>
        <v/>
      </c>
      <c r="AW355" s="4">
        <f>_xlfn.XLOOKUP(tbl_MTG_Set[[#This Row],[Collector Booster Box Product Id]], tbl_Product[Product Id], tbl_Product[Pack Size])</f>
        <v/>
      </c>
      <c r="AX355" s="10">
        <f>(tbl_MTG_Set[[#This Row],[Collector Booster Box Cost]] + v_Item_Shipping_Cost_In) / tbl_MTG_Set[[#This Row],[Collector Booster Box Size]]</f>
        <v/>
      </c>
      <c r="AY355" s="10">
        <f t="array" ref="AY3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5" s="10" t="n"/>
      <c r="BA3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5" s="17">
        <f>tbl_MTG_Set[[#This Row],[Collector Booster CardMarket Profit]]/tbl_MTG_Set[[#This Row],[Collector Booster Cost]]</f>
        <v/>
      </c>
      <c r="BC355" s="10" t="n"/>
      <c r="BF355" s="10">
        <f>tbl_MTG_Set[[#This Row],[Play Booster Sell Price CardMarket]]*tbl_MTG_Set[[#This Row],[Play Booster Expected Market Value]]/tbl_MTG_Set[[#This Row],[Play Boost Sealed Market Value]]</f>
        <v/>
      </c>
      <c r="BG3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5" s="10">
        <f>tbl_MTG_Set[[#This Row],[Play Singles CardMarket Profit]]/tbl_MTG_Set[[#This Row],[Play Booster Cost]]</f>
        <v/>
      </c>
      <c r="BI355" s="10">
        <f>tbl_MTG_Set[[#This Row],[Play Singles CardMarket Profit]]&gt;0</f>
        <v/>
      </c>
      <c r="BJ355" s="10" t="n"/>
      <c r="BK355" s="10" t="n"/>
      <c r="BL355" s="10">
        <f>tbl_MTG_Set[[#This Row],[Collector Booster Sell Price CardMarket]]*tbl_MTG_Set[[#This Row],[Collector Booster Expected Market Value]]/tbl_MTG_Set[[#This Row],[Collector Boost Sealed Market Value]]</f>
        <v/>
      </c>
      <c r="BM3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5" s="10">
        <f>tbl_MTG_Set[[#This Row],[Collector Singles CardMarket Profit]]/tbl_MTG_Set[[#This Row],[Collector Booster Cost]]</f>
        <v/>
      </c>
      <c r="BO355" s="10">
        <f>tbl_MTG_Set[[#This Row],[Collector Singles CardMarket Profit]]&gt;0</f>
        <v/>
      </c>
      <c r="BP3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6">
      <c r="A356" t="n">
        <v>354</v>
      </c>
      <c r="B356" t="inlineStr">
        <is>
          <t>Historic Anthology 4 HA4</t>
        </is>
      </c>
      <c r="C356" t="n">
        <v>25</v>
      </c>
      <c r="D356" s="3" t="n">
        <v>44266</v>
      </c>
      <c r="F356" t="inlineStr">
        <is>
          <t>en es fr de it pt ja ko ru 汉语 漢語</t>
        </is>
      </c>
      <c r="G356" t="n">
        <v>654</v>
      </c>
      <c r="H356">
        <f>MONTH(NOW())+12*YEAR(NOW())-MONTH(tbl_MTG_Set[[#This Row],[Released On]])-12*YEAR(tbl_MTG_Set[[#This Row],[Released On]])</f>
        <v/>
      </c>
      <c r="I356">
        <f>_xlfn.XLOOKUP(tbl_MTG_Set[[#This Row],[Type Name]], tbl_MTG_Set_Type[Set Type], tbl_MTG_Set_Type[Index], "(Set Type not found)")</f>
        <v/>
      </c>
      <c r="J356">
        <f>_xlfn.XLOOKUP(tbl_MTG_Set[[#This Row],[Type Name]], tbl_MTG_Set_Type[Set Type], tbl_MTG_Set_Type[Buy Window Month Start], "(Set Type not found)")</f>
        <v/>
      </c>
      <c r="K356" s="3">
        <f>tbl_MTG_Set[[#This Row],[Released On]]+tbl_MTG_Set[[#This Row],[Buy Window Month Start]]*365.25/12</f>
        <v/>
      </c>
      <c r="L356">
        <f>_xlfn.XLOOKUP(tbl_MTG_Set[[#This Row],[Type Name]], tbl_MTG_Set_Type[Set Type], tbl_MTG_Set_Type[Buy Window Month End], "(Set Type not found)", 0, 1)</f>
        <v/>
      </c>
      <c r="M356" s="3">
        <f>tbl_MTG_Set[[#This Row],[Released On]]+tbl_MTG_Set[[#This Row],[Buy Window Month End]]*365.25/12</f>
        <v/>
      </c>
      <c r="N356" s="3">
        <f>AND(NOW()&gt;=tbl_MTG_Set[[#This Row],[Buy Window Start]], NOW()&lt;=tbl_MTG_Set[[#This Row],[Buy Window End]])</f>
        <v/>
      </c>
      <c r="O356">
        <f>_xlfn.XLOOKUP(tbl_MTG_Set[[#This Row],[Type Name]], tbl_MTG_Set_Type[Set Type], tbl_MTG_Set_Type[Heavy Printing Window Month Start], "(Set Type not found)", 0, 1)</f>
        <v/>
      </c>
      <c r="P356" s="3">
        <f>tbl_MTG_Set[[#This Row],[Released On]]+tbl_MTG_Set[[#This Row],[Heavy Printing Window Month Start]]*365.25/12</f>
        <v/>
      </c>
      <c r="Q356">
        <f>_xlfn.XLOOKUP(tbl_MTG_Set[[#This Row],[Type Name]], tbl_MTG_Set_Type[Set Type], tbl_MTG_Set_Type[Heavy Printing Window Month End], "(Set Type not found)", 0, 1)</f>
        <v/>
      </c>
      <c r="R356" s="3">
        <f>tbl_MTG_Set[[#This Row],[Released On]]+tbl_MTG_Set[[#This Row],[Heavy Printing Window Month End]]*365.25/12</f>
        <v/>
      </c>
      <c r="S356" s="3">
        <f>AND(NOW()&gt;=tbl_MTG_Set[[#This Row],[Heavy Printing Window Start]], NOW()&lt;=tbl_MTG_Set[[#This Row],[Heavy Printing Window End]])</f>
        <v/>
      </c>
      <c r="T356">
        <f>_xlfn.XLOOKUP(tbl_MTG_Set[[#This Row],[Type Name]], tbl_MTG_Set_Type[Set Type], tbl_MTG_Set_Type[Sell Window Month Start], "(Set Type not found)", 0, 1)</f>
        <v/>
      </c>
      <c r="U356" s="3">
        <f>tbl_MTG_Set[[#This Row],[Released On]]+tbl_MTG_Set[[#This Row],[Sell Window Month Start]]*365.25/12</f>
        <v/>
      </c>
      <c r="V356">
        <f>_xlfn.XLOOKUP(tbl_MTG_Set[[#This Row],[Type Name]], tbl_MTG_Set_Type[Set Type], tbl_MTG_Set_Type[Sell Window Month End], "(Set Type not found)", 0, 1)</f>
        <v/>
      </c>
      <c r="W356" s="3">
        <f>tbl_MTG_Set[[#This Row],[Released On]]+tbl_MTG_Set[[#This Row],[Sell Window Month End]]*365.25/12</f>
        <v/>
      </c>
      <c r="X356" s="3">
        <f>AND(NOW()&gt;=tbl_MTG_Set[[#This Row],[Sell Window Start]], NOW()&lt;=tbl_MTG_Set[[#This Row],[Sell Window End]])</f>
        <v/>
      </c>
      <c r="AG356" s="10" t="n"/>
      <c r="AH356" s="10" t="n"/>
      <c r="AM356" s="10">
        <f t="array" ref="AM3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6" s="10">
        <f t="array" ref="AN3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6" s="4">
        <f>_xlfn.XLOOKUP(tbl_MTG_Set[[#This Row],[Play Booster Box Product Id]], tbl_Product[Product Id], tbl_Product[Pack Size])</f>
        <v/>
      </c>
      <c r="AP356" s="10">
        <f>(tbl_MTG_Set[[#This Row],[Play Booster Box Cost]]+v_Item_Shipping_Cost_In)/tbl_MTG_Set[[#This Row],[Play Booster Box Size]]</f>
        <v/>
      </c>
      <c r="AQ356" s="10">
        <f t="array" ref="AQ3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6" s="10" t="n"/>
      <c r="AS356" s="10" t="n"/>
      <c r="AT356" s="17">
        <f>tbl_MTG_Set[[#This Row],[Play Booster CardMarket Profit]]/tbl_MTG_Set[[#This Row],[Play Booster Cost]]</f>
        <v/>
      </c>
      <c r="AU356" s="10">
        <f>_xlfn.XLOOKUP(tbl_MTG_Set[[#This Row],[Collector Booster Box Product Id]], tbl_Product[Product Id], tbl_Product[Min Cost])</f>
        <v/>
      </c>
      <c r="AV356" s="10">
        <f>_xlfn.XLOOKUP(tbl_MTG_Set[[#This Row],[Collector Booster Box Product Id]], tbl_Product[Product Id], tbl_Product[Best Source])</f>
        <v/>
      </c>
      <c r="AW356" s="4">
        <f>_xlfn.XLOOKUP(tbl_MTG_Set[[#This Row],[Collector Booster Box Product Id]], tbl_Product[Product Id], tbl_Product[Pack Size])</f>
        <v/>
      </c>
      <c r="AX356" s="10">
        <f>(tbl_MTG_Set[[#This Row],[Collector Booster Box Cost]] + v_Item_Shipping_Cost_In) / tbl_MTG_Set[[#This Row],[Collector Booster Box Size]]</f>
        <v/>
      </c>
      <c r="AY356" s="10">
        <f t="array" ref="AY3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6" s="10" t="n"/>
      <c r="BA3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6" s="17">
        <f>tbl_MTG_Set[[#This Row],[Collector Booster CardMarket Profit]]/tbl_MTG_Set[[#This Row],[Collector Booster Cost]]</f>
        <v/>
      </c>
      <c r="BC356" s="10" t="n"/>
      <c r="BF356" s="10">
        <f>tbl_MTG_Set[[#This Row],[Play Booster Sell Price CardMarket]]*tbl_MTG_Set[[#This Row],[Play Booster Expected Market Value]]/tbl_MTG_Set[[#This Row],[Play Boost Sealed Market Value]]</f>
        <v/>
      </c>
      <c r="BG3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6" s="10">
        <f>tbl_MTG_Set[[#This Row],[Play Singles CardMarket Profit]]/tbl_MTG_Set[[#This Row],[Play Booster Cost]]</f>
        <v/>
      </c>
      <c r="BI356" s="10">
        <f>tbl_MTG_Set[[#This Row],[Play Singles CardMarket Profit]]&gt;0</f>
        <v/>
      </c>
      <c r="BJ356" s="10" t="n"/>
      <c r="BK356" s="10" t="n"/>
      <c r="BL356" s="10">
        <f>tbl_MTG_Set[[#This Row],[Collector Booster Sell Price CardMarket]]*tbl_MTG_Set[[#This Row],[Collector Booster Expected Market Value]]/tbl_MTG_Set[[#This Row],[Collector Boost Sealed Market Value]]</f>
        <v/>
      </c>
      <c r="BM3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6" s="10">
        <f>tbl_MTG_Set[[#This Row],[Collector Singles CardMarket Profit]]/tbl_MTG_Set[[#This Row],[Collector Booster Cost]]</f>
        <v/>
      </c>
      <c r="BO356" s="10">
        <f>tbl_MTG_Set[[#This Row],[Collector Singles CardMarket Profit]]&gt;0</f>
        <v/>
      </c>
      <c r="BP3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7">
      <c r="A357" t="n">
        <v>355</v>
      </c>
      <c r="B357" t="inlineStr">
        <is>
          <t>Kaldheim KHM</t>
        </is>
      </c>
      <c r="C357" t="n">
        <v>426</v>
      </c>
      <c r="D357" s="3" t="n">
        <v>44232</v>
      </c>
      <c r="E357" t="inlineStr">
        <is>
          <t>Standard Expansion</t>
        </is>
      </c>
      <c r="F357" t="inlineStr">
        <is>
          <t>en es fr de it pt ja ko ru 汉语 漢語</t>
        </is>
      </c>
      <c r="G357" t="n">
        <v>656</v>
      </c>
      <c r="H357">
        <f>MONTH(NOW())+12*YEAR(NOW())-MONTH(tbl_MTG_Set[[#This Row],[Released On]])-12*YEAR(tbl_MTG_Set[[#This Row],[Released On]])</f>
        <v/>
      </c>
      <c r="I357">
        <f>_xlfn.XLOOKUP(tbl_MTG_Set[[#This Row],[Type Name]], tbl_MTG_Set_Type[Set Type], tbl_MTG_Set_Type[Index], "(Set Type not found)")</f>
        <v/>
      </c>
      <c r="J357">
        <f>_xlfn.XLOOKUP(tbl_MTG_Set[[#This Row],[Type Name]], tbl_MTG_Set_Type[Set Type], tbl_MTG_Set_Type[Buy Window Month Start], "(Set Type not found)")</f>
        <v/>
      </c>
      <c r="K357" s="3">
        <f>tbl_MTG_Set[[#This Row],[Released On]]+tbl_MTG_Set[[#This Row],[Buy Window Month Start]]*365.25/12</f>
        <v/>
      </c>
      <c r="L357">
        <f>_xlfn.XLOOKUP(tbl_MTG_Set[[#This Row],[Type Name]], tbl_MTG_Set_Type[Set Type], tbl_MTG_Set_Type[Buy Window Month End], "(Set Type not found)", 0, 1)</f>
        <v/>
      </c>
      <c r="M357" s="3">
        <f>tbl_MTG_Set[[#This Row],[Released On]]+tbl_MTG_Set[[#This Row],[Buy Window Month End]]*365.25/12</f>
        <v/>
      </c>
      <c r="N357" s="3">
        <f>AND(NOW()&gt;=tbl_MTG_Set[[#This Row],[Buy Window Start]], NOW()&lt;=tbl_MTG_Set[[#This Row],[Buy Window End]])</f>
        <v/>
      </c>
      <c r="O357">
        <f>_xlfn.XLOOKUP(tbl_MTG_Set[[#This Row],[Type Name]], tbl_MTG_Set_Type[Set Type], tbl_MTG_Set_Type[Heavy Printing Window Month Start], "(Set Type not found)", 0, 1)</f>
        <v/>
      </c>
      <c r="P357" s="3">
        <f>tbl_MTG_Set[[#This Row],[Released On]]+tbl_MTG_Set[[#This Row],[Heavy Printing Window Month Start]]*365.25/12</f>
        <v/>
      </c>
      <c r="Q357">
        <f>_xlfn.XLOOKUP(tbl_MTG_Set[[#This Row],[Type Name]], tbl_MTG_Set_Type[Set Type], tbl_MTG_Set_Type[Heavy Printing Window Month End], "(Set Type not found)", 0, 1)</f>
        <v/>
      </c>
      <c r="R357" s="3">
        <f>tbl_MTG_Set[[#This Row],[Released On]]+tbl_MTG_Set[[#This Row],[Heavy Printing Window Month End]]*365.25/12</f>
        <v/>
      </c>
      <c r="S357" s="3">
        <f>AND(NOW()&gt;=tbl_MTG_Set[[#This Row],[Heavy Printing Window Start]], NOW()&lt;=tbl_MTG_Set[[#This Row],[Heavy Printing Window End]])</f>
        <v/>
      </c>
      <c r="T357">
        <f>_xlfn.XLOOKUP(tbl_MTG_Set[[#This Row],[Type Name]], tbl_MTG_Set_Type[Set Type], tbl_MTG_Set_Type[Sell Window Month Start], "(Set Type not found)", 0, 1)</f>
        <v/>
      </c>
      <c r="U357" s="3">
        <f>tbl_MTG_Set[[#This Row],[Released On]]+tbl_MTG_Set[[#This Row],[Sell Window Month Start]]*365.25/12</f>
        <v/>
      </c>
      <c r="V357">
        <f>_xlfn.XLOOKUP(tbl_MTG_Set[[#This Row],[Type Name]], tbl_MTG_Set_Type[Set Type], tbl_MTG_Set_Type[Sell Window Month End], "(Set Type not found)", 0, 1)</f>
        <v/>
      </c>
      <c r="W357" s="3">
        <f>tbl_MTG_Set[[#This Row],[Released On]]+tbl_MTG_Set[[#This Row],[Sell Window Month End]]*365.25/12</f>
        <v/>
      </c>
      <c r="X357" s="3">
        <f>AND(NOW()&gt;=tbl_MTG_Set[[#This Row],[Sell Window Start]], NOW()&lt;=tbl_MTG_Set[[#This Row],[Sell Window End]])</f>
        <v/>
      </c>
      <c r="Y357" s="10" t="n">
        <v>188</v>
      </c>
      <c r="Z357" s="10" t="n">
        <v>135</v>
      </c>
      <c r="AD357" s="10">
        <f>(Y357+96/20)/30</f>
        <v/>
      </c>
      <c r="AE357" s="10">
        <f>(Z357+96/20)/30</f>
        <v/>
      </c>
      <c r="AF357" s="10">
        <f>(AA357+96/20)/30</f>
        <v/>
      </c>
      <c r="AG357" s="10">
        <f>(AB357+96/20)/30</f>
        <v/>
      </c>
      <c r="AH357" s="10">
        <f>(AC357+96/20)/30</f>
        <v/>
      </c>
      <c r="AI357" s="4" t="n">
        <v>51</v>
      </c>
      <c r="AJ357" s="4" t="n">
        <v>6</v>
      </c>
      <c r="AK357" s="4" t="n">
        <v>110</v>
      </c>
      <c r="AL357" s="4" t="n">
        <v>109</v>
      </c>
      <c r="AM357" s="10">
        <f t="array" ref="AM3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7" s="10">
        <f t="array" ref="AN3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7" s="4">
        <f>_xlfn.XLOOKUP(tbl_MTG_Set[[#This Row],[Play Booster Box Product Id]], tbl_Product[Product Id], tbl_Product[Pack Size])</f>
        <v/>
      </c>
      <c r="AP357" s="10">
        <f>(tbl_MTG_Set[[#This Row],[Play Booster Box Cost]]+v_Item_Shipping_Cost_In)/tbl_MTG_Set[[#This Row],[Play Booster Box Size]]</f>
        <v/>
      </c>
      <c r="AQ357" s="10">
        <f t="array" ref="AQ3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7" s="10" t="n">
        <v>8</v>
      </c>
      <c r="AS35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57" s="17">
        <f>tbl_MTG_Set[[#This Row],[Play Booster CardMarket Profit]]/tbl_MTG_Set[[#This Row],[Play Booster Cost]]</f>
        <v/>
      </c>
      <c r="AU357" s="10">
        <f>_xlfn.XLOOKUP(tbl_MTG_Set[[#This Row],[Collector Booster Box Product Id]], tbl_Product[Product Id], tbl_Product[Min Cost])</f>
        <v/>
      </c>
      <c r="AV357" s="10">
        <f>_xlfn.XLOOKUP(tbl_MTG_Set[[#This Row],[Collector Booster Box Product Id]], tbl_Product[Product Id], tbl_Product[Best Source])</f>
        <v/>
      </c>
      <c r="AW357" s="4">
        <f>_xlfn.XLOOKUP(tbl_MTG_Set[[#This Row],[Collector Booster Box Product Id]], tbl_Product[Product Id], tbl_Product[Pack Size])</f>
        <v/>
      </c>
      <c r="AX357" s="10">
        <f>(tbl_MTG_Set[[#This Row],[Collector Booster Box Cost]] + v_Item_Shipping_Cost_In) / tbl_MTG_Set[[#This Row],[Collector Booster Box Size]]</f>
        <v/>
      </c>
      <c r="AY357" s="10">
        <f t="array" ref="AY3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7" s="10" t="n"/>
      <c r="BA3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7" s="17">
        <f>tbl_MTG_Set[[#This Row],[Collector Booster CardMarket Profit]]/tbl_MTG_Set[[#This Row],[Collector Booster Cost]]</f>
        <v/>
      </c>
      <c r="BC357" s="10" t="n"/>
      <c r="BF357" s="10">
        <f>tbl_MTG_Set[[#This Row],[Play Booster Sell Price CardMarket]]*tbl_MTG_Set[[#This Row],[Play Booster Expected Market Value]]/tbl_MTG_Set[[#This Row],[Play Boost Sealed Market Value]]</f>
        <v/>
      </c>
      <c r="BG3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7" s="17">
        <f>tbl_MTG_Set[[#This Row],[Play Singles CardMarket Profit]]/tbl_MTG_Set[[#This Row],[Play Booster Cost]]</f>
        <v/>
      </c>
      <c r="BI357" s="10">
        <f>tbl_MTG_Set[[#This Row],[Play Singles CardMarket Profit]]&gt;0</f>
        <v/>
      </c>
      <c r="BJ357" s="10" t="n"/>
      <c r="BK357" s="10" t="n"/>
      <c r="BL357" s="10">
        <f>tbl_MTG_Set[[#This Row],[Collector Booster Sell Price CardMarket]]*tbl_MTG_Set[[#This Row],[Collector Booster Expected Market Value]]/tbl_MTG_Set[[#This Row],[Collector Boost Sealed Market Value]]</f>
        <v/>
      </c>
      <c r="BM3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7" s="17">
        <f>tbl_MTG_Set[[#This Row],[Collector Singles CardMarket Profit]]/tbl_MTG_Set[[#This Row],[Collector Booster Cost]]</f>
        <v/>
      </c>
      <c r="BO357" s="10">
        <f>tbl_MTG_Set[[#This Row],[Collector Singles CardMarket Profit]]&gt;0</f>
        <v/>
      </c>
      <c r="BP3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7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8">
      <c r="A358" t="n">
        <v>356</v>
      </c>
      <c r="B358" t="inlineStr">
        <is>
          <t>Kaldheim Promos PKHM</t>
        </is>
      </c>
      <c r="C358" t="n">
        <v>158</v>
      </c>
      <c r="D358" s="3" t="n">
        <v>44232</v>
      </c>
      <c r="E358" t="inlineStr">
        <is>
          <t>Standard Expansion</t>
        </is>
      </c>
      <c r="F358" t="inlineStr">
        <is>
          <t>en es fr de it pt ja ko ru 汉语 漢語</t>
        </is>
      </c>
      <c r="G358" t="n">
        <v>658</v>
      </c>
      <c r="H358">
        <f>MONTH(NOW())+12*YEAR(NOW())-MONTH(tbl_MTG_Set[[#This Row],[Released On]])-12*YEAR(tbl_MTG_Set[[#This Row],[Released On]])</f>
        <v/>
      </c>
      <c r="I358">
        <f>_xlfn.XLOOKUP(tbl_MTG_Set[[#This Row],[Type Name]], tbl_MTG_Set_Type[Set Type], tbl_MTG_Set_Type[Index], "(Set Type not found)")</f>
        <v/>
      </c>
      <c r="J358">
        <f>_xlfn.XLOOKUP(tbl_MTG_Set[[#This Row],[Type Name]], tbl_MTG_Set_Type[Set Type], tbl_MTG_Set_Type[Buy Window Month Start], "(Set Type not found)")</f>
        <v/>
      </c>
      <c r="K358" s="3">
        <f>tbl_MTG_Set[[#This Row],[Released On]]+tbl_MTG_Set[[#This Row],[Buy Window Month Start]]*365.25/12</f>
        <v/>
      </c>
      <c r="L358">
        <f>_xlfn.XLOOKUP(tbl_MTG_Set[[#This Row],[Type Name]], tbl_MTG_Set_Type[Set Type], tbl_MTG_Set_Type[Buy Window Month End], "(Set Type not found)", 0, 1)</f>
        <v/>
      </c>
      <c r="M358" s="3">
        <f>tbl_MTG_Set[[#This Row],[Released On]]+tbl_MTG_Set[[#This Row],[Buy Window Month End]]*365.25/12</f>
        <v/>
      </c>
      <c r="N358" s="3">
        <f>AND(NOW()&gt;=tbl_MTG_Set[[#This Row],[Buy Window Start]], NOW()&lt;=tbl_MTG_Set[[#This Row],[Buy Window End]])</f>
        <v/>
      </c>
      <c r="O358">
        <f>_xlfn.XLOOKUP(tbl_MTG_Set[[#This Row],[Type Name]], tbl_MTG_Set_Type[Set Type], tbl_MTG_Set_Type[Heavy Printing Window Month Start], "(Set Type not found)", 0, 1)</f>
        <v/>
      </c>
      <c r="P358" s="3">
        <f>tbl_MTG_Set[[#This Row],[Released On]]+tbl_MTG_Set[[#This Row],[Heavy Printing Window Month Start]]*365.25/12</f>
        <v/>
      </c>
      <c r="Q358">
        <f>_xlfn.XLOOKUP(tbl_MTG_Set[[#This Row],[Type Name]], tbl_MTG_Set_Type[Set Type], tbl_MTG_Set_Type[Heavy Printing Window Month End], "(Set Type not found)", 0, 1)</f>
        <v/>
      </c>
      <c r="R358" s="3">
        <f>tbl_MTG_Set[[#This Row],[Released On]]+tbl_MTG_Set[[#This Row],[Heavy Printing Window Month End]]*365.25/12</f>
        <v/>
      </c>
      <c r="S358" s="3">
        <f>AND(NOW()&gt;=tbl_MTG_Set[[#This Row],[Heavy Printing Window Start]], NOW()&lt;=tbl_MTG_Set[[#This Row],[Heavy Printing Window End]])</f>
        <v/>
      </c>
      <c r="T358">
        <f>_xlfn.XLOOKUP(tbl_MTG_Set[[#This Row],[Type Name]], tbl_MTG_Set_Type[Set Type], tbl_MTG_Set_Type[Sell Window Month Start], "(Set Type not found)", 0, 1)</f>
        <v/>
      </c>
      <c r="U358" s="3">
        <f>tbl_MTG_Set[[#This Row],[Released On]]+tbl_MTG_Set[[#This Row],[Sell Window Month Start]]*365.25/12</f>
        <v/>
      </c>
      <c r="V358">
        <f>_xlfn.XLOOKUP(tbl_MTG_Set[[#This Row],[Type Name]], tbl_MTG_Set_Type[Set Type], tbl_MTG_Set_Type[Sell Window Month End], "(Set Type not found)", 0, 1)</f>
        <v/>
      </c>
      <c r="W358" s="3">
        <f>tbl_MTG_Set[[#This Row],[Released On]]+tbl_MTG_Set[[#This Row],[Sell Window Month End]]*365.25/12</f>
        <v/>
      </c>
      <c r="X358" s="3">
        <f>AND(NOW()&gt;=tbl_MTG_Set[[#This Row],[Sell Window Start]], NOW()&lt;=tbl_MTG_Set[[#This Row],[Sell Window End]])</f>
        <v/>
      </c>
      <c r="AG358" s="10" t="n"/>
      <c r="AH358" s="10" t="n"/>
      <c r="AM358" s="10">
        <f t="array" ref="AM3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8" s="10">
        <f t="array" ref="AN3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8" s="4">
        <f>_xlfn.XLOOKUP(tbl_MTG_Set[[#This Row],[Play Booster Box Product Id]], tbl_Product[Product Id], tbl_Product[Pack Size])</f>
        <v/>
      </c>
      <c r="AP358" s="10">
        <f>(tbl_MTG_Set[[#This Row],[Play Booster Box Cost]]+v_Item_Shipping_Cost_In)/tbl_MTG_Set[[#This Row],[Play Booster Box Size]]</f>
        <v/>
      </c>
      <c r="AQ358" s="10">
        <f t="array" ref="AQ3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8" s="10" t="n"/>
      <c r="AS358" s="10" t="n"/>
      <c r="AT358" s="17">
        <f>tbl_MTG_Set[[#This Row],[Play Booster CardMarket Profit]]/tbl_MTG_Set[[#This Row],[Play Booster Cost]]</f>
        <v/>
      </c>
      <c r="AU358" s="10">
        <f>_xlfn.XLOOKUP(tbl_MTG_Set[[#This Row],[Collector Booster Box Product Id]], tbl_Product[Product Id], tbl_Product[Min Cost])</f>
        <v/>
      </c>
      <c r="AV358" s="10">
        <f>_xlfn.XLOOKUP(tbl_MTG_Set[[#This Row],[Collector Booster Box Product Id]], tbl_Product[Product Id], tbl_Product[Best Source])</f>
        <v/>
      </c>
      <c r="AW358" s="4">
        <f>_xlfn.XLOOKUP(tbl_MTG_Set[[#This Row],[Collector Booster Box Product Id]], tbl_Product[Product Id], tbl_Product[Pack Size])</f>
        <v/>
      </c>
      <c r="AX358" s="10">
        <f>(tbl_MTG_Set[[#This Row],[Collector Booster Box Cost]] + v_Item_Shipping_Cost_In) / tbl_MTG_Set[[#This Row],[Collector Booster Box Size]]</f>
        <v/>
      </c>
      <c r="AY358" s="10">
        <f t="array" ref="AY3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8" s="10" t="n"/>
      <c r="BA3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8" s="17">
        <f>tbl_MTG_Set[[#This Row],[Collector Booster CardMarket Profit]]/tbl_MTG_Set[[#This Row],[Collector Booster Cost]]</f>
        <v/>
      </c>
      <c r="BC358" s="10" t="n"/>
      <c r="BF358" s="10">
        <f>tbl_MTG_Set[[#This Row],[Play Booster Sell Price CardMarket]]*tbl_MTG_Set[[#This Row],[Play Booster Expected Market Value]]/tbl_MTG_Set[[#This Row],[Play Boost Sealed Market Value]]</f>
        <v/>
      </c>
      <c r="BG3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8" s="10">
        <f>tbl_MTG_Set[[#This Row],[Play Singles CardMarket Profit]]/tbl_MTG_Set[[#This Row],[Play Booster Cost]]</f>
        <v/>
      </c>
      <c r="BI358" s="10">
        <f>tbl_MTG_Set[[#This Row],[Play Singles CardMarket Profit]]&gt;0</f>
        <v/>
      </c>
      <c r="BJ358" s="10" t="n"/>
      <c r="BK358" s="10" t="n"/>
      <c r="BL358" s="10">
        <f>tbl_MTG_Set[[#This Row],[Collector Booster Sell Price CardMarket]]*tbl_MTG_Set[[#This Row],[Collector Booster Expected Market Value]]/tbl_MTG_Set[[#This Row],[Collector Boost Sealed Market Value]]</f>
        <v/>
      </c>
      <c r="BM3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8" s="10">
        <f>tbl_MTG_Set[[#This Row],[Collector Singles CardMarket Profit]]/tbl_MTG_Set[[#This Row],[Collector Booster Cost]]</f>
        <v/>
      </c>
      <c r="BO358" s="10">
        <f>tbl_MTG_Set[[#This Row],[Collector Singles CardMarket Profit]]&gt;0</f>
        <v/>
      </c>
      <c r="BP3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9">
      <c r="A359" t="n">
        <v>357</v>
      </c>
      <c r="B359" t="inlineStr">
        <is>
          <t>Kaldheim Tokens TKHM</t>
        </is>
      </c>
      <c r="C359" t="n">
        <v>23</v>
      </c>
      <c r="D359" s="3" t="n">
        <v>44232</v>
      </c>
      <c r="E359" t="inlineStr">
        <is>
          <t>Standard Expansion</t>
        </is>
      </c>
      <c r="F359" t="inlineStr">
        <is>
          <t>en es fr de it pt ja ko ru 汉语 漢語</t>
        </is>
      </c>
      <c r="G359" t="n">
        <v>660</v>
      </c>
      <c r="H359">
        <f>MONTH(NOW())+12*YEAR(NOW())-MONTH(tbl_MTG_Set[[#This Row],[Released On]])-12*YEAR(tbl_MTG_Set[[#This Row],[Released On]])</f>
        <v/>
      </c>
      <c r="I359">
        <f>_xlfn.XLOOKUP(tbl_MTG_Set[[#This Row],[Type Name]], tbl_MTG_Set_Type[Set Type], tbl_MTG_Set_Type[Index], "(Set Type not found)")</f>
        <v/>
      </c>
      <c r="J359">
        <f>_xlfn.XLOOKUP(tbl_MTG_Set[[#This Row],[Type Name]], tbl_MTG_Set_Type[Set Type], tbl_MTG_Set_Type[Buy Window Month Start], "(Set Type not found)")</f>
        <v/>
      </c>
      <c r="K359" s="3">
        <f>tbl_MTG_Set[[#This Row],[Released On]]+tbl_MTG_Set[[#This Row],[Buy Window Month Start]]*365.25/12</f>
        <v/>
      </c>
      <c r="L359">
        <f>_xlfn.XLOOKUP(tbl_MTG_Set[[#This Row],[Type Name]], tbl_MTG_Set_Type[Set Type], tbl_MTG_Set_Type[Buy Window Month End], "(Set Type not found)", 0, 1)</f>
        <v/>
      </c>
      <c r="M359" s="3">
        <f>tbl_MTG_Set[[#This Row],[Released On]]+tbl_MTG_Set[[#This Row],[Buy Window Month End]]*365.25/12</f>
        <v/>
      </c>
      <c r="N359" s="3">
        <f>AND(NOW()&gt;=tbl_MTG_Set[[#This Row],[Buy Window Start]], NOW()&lt;=tbl_MTG_Set[[#This Row],[Buy Window End]])</f>
        <v/>
      </c>
      <c r="O359">
        <f>_xlfn.XLOOKUP(tbl_MTG_Set[[#This Row],[Type Name]], tbl_MTG_Set_Type[Set Type], tbl_MTG_Set_Type[Heavy Printing Window Month Start], "(Set Type not found)", 0, 1)</f>
        <v/>
      </c>
      <c r="P359" s="3">
        <f>tbl_MTG_Set[[#This Row],[Released On]]+tbl_MTG_Set[[#This Row],[Heavy Printing Window Month Start]]*365.25/12</f>
        <v/>
      </c>
      <c r="Q359">
        <f>_xlfn.XLOOKUP(tbl_MTG_Set[[#This Row],[Type Name]], tbl_MTG_Set_Type[Set Type], tbl_MTG_Set_Type[Heavy Printing Window Month End], "(Set Type not found)", 0, 1)</f>
        <v/>
      </c>
      <c r="R359" s="3">
        <f>tbl_MTG_Set[[#This Row],[Released On]]+tbl_MTG_Set[[#This Row],[Heavy Printing Window Month End]]*365.25/12</f>
        <v/>
      </c>
      <c r="S359" s="3">
        <f>AND(NOW()&gt;=tbl_MTG_Set[[#This Row],[Heavy Printing Window Start]], NOW()&lt;=tbl_MTG_Set[[#This Row],[Heavy Printing Window End]])</f>
        <v/>
      </c>
      <c r="T359">
        <f>_xlfn.XLOOKUP(tbl_MTG_Set[[#This Row],[Type Name]], tbl_MTG_Set_Type[Set Type], tbl_MTG_Set_Type[Sell Window Month Start], "(Set Type not found)", 0, 1)</f>
        <v/>
      </c>
      <c r="U359" s="3">
        <f>tbl_MTG_Set[[#This Row],[Released On]]+tbl_MTG_Set[[#This Row],[Sell Window Month Start]]*365.25/12</f>
        <v/>
      </c>
      <c r="V359">
        <f>_xlfn.XLOOKUP(tbl_MTG_Set[[#This Row],[Type Name]], tbl_MTG_Set_Type[Set Type], tbl_MTG_Set_Type[Sell Window Month End], "(Set Type not found)", 0, 1)</f>
        <v/>
      </c>
      <c r="W359" s="3">
        <f>tbl_MTG_Set[[#This Row],[Released On]]+tbl_MTG_Set[[#This Row],[Sell Window Month End]]*365.25/12</f>
        <v/>
      </c>
      <c r="X359" s="3">
        <f>AND(NOW()&gt;=tbl_MTG_Set[[#This Row],[Sell Window Start]], NOW()&lt;=tbl_MTG_Set[[#This Row],[Sell Window End]])</f>
        <v/>
      </c>
      <c r="AG359" s="10" t="n"/>
      <c r="AH359" s="10" t="n"/>
      <c r="AM359" s="10">
        <f t="array" ref="AM3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9" s="10">
        <f t="array" ref="AN3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9" s="4">
        <f>_xlfn.XLOOKUP(tbl_MTG_Set[[#This Row],[Play Booster Box Product Id]], tbl_Product[Product Id], tbl_Product[Pack Size])</f>
        <v/>
      </c>
      <c r="AP359" s="10">
        <f>(tbl_MTG_Set[[#This Row],[Play Booster Box Cost]]+v_Item_Shipping_Cost_In)/tbl_MTG_Set[[#This Row],[Play Booster Box Size]]</f>
        <v/>
      </c>
      <c r="AQ359" s="10">
        <f t="array" ref="AQ3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59" s="10" t="n"/>
      <c r="AS359" s="10" t="n"/>
      <c r="AT359" s="17">
        <f>tbl_MTG_Set[[#This Row],[Play Booster CardMarket Profit]]/tbl_MTG_Set[[#This Row],[Play Booster Cost]]</f>
        <v/>
      </c>
      <c r="AU359" s="10">
        <f>_xlfn.XLOOKUP(tbl_MTG_Set[[#This Row],[Collector Booster Box Product Id]], tbl_Product[Product Id], tbl_Product[Min Cost])</f>
        <v/>
      </c>
      <c r="AV359" s="10">
        <f>_xlfn.XLOOKUP(tbl_MTG_Set[[#This Row],[Collector Booster Box Product Id]], tbl_Product[Product Id], tbl_Product[Best Source])</f>
        <v/>
      </c>
      <c r="AW359" s="4">
        <f>_xlfn.XLOOKUP(tbl_MTG_Set[[#This Row],[Collector Booster Box Product Id]], tbl_Product[Product Id], tbl_Product[Pack Size])</f>
        <v/>
      </c>
      <c r="AX359" s="10">
        <f>(tbl_MTG_Set[[#This Row],[Collector Booster Box Cost]] + v_Item_Shipping_Cost_In) / tbl_MTG_Set[[#This Row],[Collector Booster Box Size]]</f>
        <v/>
      </c>
      <c r="AY359" s="10">
        <f t="array" ref="AY3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59" s="10" t="n"/>
      <c r="BA3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9" s="17">
        <f>tbl_MTG_Set[[#This Row],[Collector Booster CardMarket Profit]]/tbl_MTG_Set[[#This Row],[Collector Booster Cost]]</f>
        <v/>
      </c>
      <c r="BC359" s="10" t="n"/>
      <c r="BF359" s="10">
        <f>tbl_MTG_Set[[#This Row],[Play Booster Sell Price CardMarket]]*tbl_MTG_Set[[#This Row],[Play Booster Expected Market Value]]/tbl_MTG_Set[[#This Row],[Play Boost Sealed Market Value]]</f>
        <v/>
      </c>
      <c r="BG3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9" s="10">
        <f>tbl_MTG_Set[[#This Row],[Play Singles CardMarket Profit]]/tbl_MTG_Set[[#This Row],[Play Booster Cost]]</f>
        <v/>
      </c>
      <c r="BI359" s="10">
        <f>tbl_MTG_Set[[#This Row],[Play Singles CardMarket Profit]]&gt;0</f>
        <v/>
      </c>
      <c r="BJ359" s="10" t="n"/>
      <c r="BK359" s="10" t="n"/>
      <c r="BL359" s="10">
        <f>tbl_MTG_Set[[#This Row],[Collector Booster Sell Price CardMarket]]*tbl_MTG_Set[[#This Row],[Collector Booster Expected Market Value]]/tbl_MTG_Set[[#This Row],[Collector Boost Sealed Market Value]]</f>
        <v/>
      </c>
      <c r="BM3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9" s="10">
        <f>tbl_MTG_Set[[#This Row],[Collector Singles CardMarket Profit]]/tbl_MTG_Set[[#This Row],[Collector Booster Cost]]</f>
        <v/>
      </c>
      <c r="BO359" s="10">
        <f>tbl_MTG_Set[[#This Row],[Collector Singles CardMarket Profit]]&gt;0</f>
        <v/>
      </c>
      <c r="BP3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0">
      <c r="A360" t="n">
        <v>358</v>
      </c>
      <c r="B360" t="inlineStr">
        <is>
          <t>Kaldheim Minigames MKHM</t>
        </is>
      </c>
      <c r="C360" t="n">
        <v>5</v>
      </c>
      <c r="D360" s="3" t="n">
        <v>44232</v>
      </c>
      <c r="E360" t="inlineStr">
        <is>
          <t>Standard Expansion</t>
        </is>
      </c>
      <c r="F360" t="inlineStr">
        <is>
          <t>en es fr de it pt ja ko ru 汉语 漢語</t>
        </is>
      </c>
      <c r="G360" t="n">
        <v>662</v>
      </c>
      <c r="H360">
        <f>MONTH(NOW())+12*YEAR(NOW())-MONTH(tbl_MTG_Set[[#This Row],[Released On]])-12*YEAR(tbl_MTG_Set[[#This Row],[Released On]])</f>
        <v/>
      </c>
      <c r="I360">
        <f>_xlfn.XLOOKUP(tbl_MTG_Set[[#This Row],[Type Name]], tbl_MTG_Set_Type[Set Type], tbl_MTG_Set_Type[Index], "(Set Type not found)")</f>
        <v/>
      </c>
      <c r="J360">
        <f>_xlfn.XLOOKUP(tbl_MTG_Set[[#This Row],[Type Name]], tbl_MTG_Set_Type[Set Type], tbl_MTG_Set_Type[Buy Window Month Start], "(Set Type not found)")</f>
        <v/>
      </c>
      <c r="K360" s="3">
        <f>tbl_MTG_Set[[#This Row],[Released On]]+tbl_MTG_Set[[#This Row],[Buy Window Month Start]]*365.25/12</f>
        <v/>
      </c>
      <c r="L360">
        <f>_xlfn.XLOOKUP(tbl_MTG_Set[[#This Row],[Type Name]], tbl_MTG_Set_Type[Set Type], tbl_MTG_Set_Type[Buy Window Month End], "(Set Type not found)", 0, 1)</f>
        <v/>
      </c>
      <c r="M360" s="3">
        <f>tbl_MTG_Set[[#This Row],[Released On]]+tbl_MTG_Set[[#This Row],[Buy Window Month End]]*365.25/12</f>
        <v/>
      </c>
      <c r="N360" s="3">
        <f>AND(NOW()&gt;=tbl_MTG_Set[[#This Row],[Buy Window Start]], NOW()&lt;=tbl_MTG_Set[[#This Row],[Buy Window End]])</f>
        <v/>
      </c>
      <c r="O360">
        <f>_xlfn.XLOOKUP(tbl_MTG_Set[[#This Row],[Type Name]], tbl_MTG_Set_Type[Set Type], tbl_MTG_Set_Type[Heavy Printing Window Month Start], "(Set Type not found)", 0, 1)</f>
        <v/>
      </c>
      <c r="P360" s="3">
        <f>tbl_MTG_Set[[#This Row],[Released On]]+tbl_MTG_Set[[#This Row],[Heavy Printing Window Month Start]]*365.25/12</f>
        <v/>
      </c>
      <c r="Q360">
        <f>_xlfn.XLOOKUP(tbl_MTG_Set[[#This Row],[Type Name]], tbl_MTG_Set_Type[Set Type], tbl_MTG_Set_Type[Heavy Printing Window Month End], "(Set Type not found)", 0, 1)</f>
        <v/>
      </c>
      <c r="R360" s="3">
        <f>tbl_MTG_Set[[#This Row],[Released On]]+tbl_MTG_Set[[#This Row],[Heavy Printing Window Month End]]*365.25/12</f>
        <v/>
      </c>
      <c r="S360" s="3">
        <f>AND(NOW()&gt;=tbl_MTG_Set[[#This Row],[Heavy Printing Window Start]], NOW()&lt;=tbl_MTG_Set[[#This Row],[Heavy Printing Window End]])</f>
        <v/>
      </c>
      <c r="T360">
        <f>_xlfn.XLOOKUP(tbl_MTG_Set[[#This Row],[Type Name]], tbl_MTG_Set_Type[Set Type], tbl_MTG_Set_Type[Sell Window Month Start], "(Set Type not found)", 0, 1)</f>
        <v/>
      </c>
      <c r="U360" s="3">
        <f>tbl_MTG_Set[[#This Row],[Released On]]+tbl_MTG_Set[[#This Row],[Sell Window Month Start]]*365.25/12</f>
        <v/>
      </c>
      <c r="V360">
        <f>_xlfn.XLOOKUP(tbl_MTG_Set[[#This Row],[Type Name]], tbl_MTG_Set_Type[Set Type], tbl_MTG_Set_Type[Sell Window Month End], "(Set Type not found)", 0, 1)</f>
        <v/>
      </c>
      <c r="W360" s="3">
        <f>tbl_MTG_Set[[#This Row],[Released On]]+tbl_MTG_Set[[#This Row],[Sell Window Month End]]*365.25/12</f>
        <v/>
      </c>
      <c r="X360" s="3">
        <f>AND(NOW()&gt;=tbl_MTG_Set[[#This Row],[Sell Window Start]], NOW()&lt;=tbl_MTG_Set[[#This Row],[Sell Window End]])</f>
        <v/>
      </c>
      <c r="AG360" s="10" t="n"/>
      <c r="AH360" s="10" t="n"/>
      <c r="AM360" s="10">
        <f t="array" ref="AM3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0" s="10">
        <f t="array" ref="AN3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0" s="4">
        <f>_xlfn.XLOOKUP(tbl_MTG_Set[[#This Row],[Play Booster Box Product Id]], tbl_Product[Product Id], tbl_Product[Pack Size])</f>
        <v/>
      </c>
      <c r="AP360" s="10">
        <f>(tbl_MTG_Set[[#This Row],[Play Booster Box Cost]]+v_Item_Shipping_Cost_In)/tbl_MTG_Set[[#This Row],[Play Booster Box Size]]</f>
        <v/>
      </c>
      <c r="AQ360" s="10">
        <f t="array" ref="AQ3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0" s="10" t="n"/>
      <c r="AS360" s="10" t="n"/>
      <c r="AT360" s="17">
        <f>tbl_MTG_Set[[#This Row],[Play Booster CardMarket Profit]]/tbl_MTG_Set[[#This Row],[Play Booster Cost]]</f>
        <v/>
      </c>
      <c r="AU360" s="10">
        <f>_xlfn.XLOOKUP(tbl_MTG_Set[[#This Row],[Collector Booster Box Product Id]], tbl_Product[Product Id], tbl_Product[Min Cost])</f>
        <v/>
      </c>
      <c r="AV360" s="10">
        <f>_xlfn.XLOOKUP(tbl_MTG_Set[[#This Row],[Collector Booster Box Product Id]], tbl_Product[Product Id], tbl_Product[Best Source])</f>
        <v/>
      </c>
      <c r="AW360" s="4">
        <f>_xlfn.XLOOKUP(tbl_MTG_Set[[#This Row],[Collector Booster Box Product Id]], tbl_Product[Product Id], tbl_Product[Pack Size])</f>
        <v/>
      </c>
      <c r="AX360" s="10">
        <f>(tbl_MTG_Set[[#This Row],[Collector Booster Box Cost]] + v_Item_Shipping_Cost_In) / tbl_MTG_Set[[#This Row],[Collector Booster Box Size]]</f>
        <v/>
      </c>
      <c r="AY360" s="10">
        <f t="array" ref="AY3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0" s="10" t="n"/>
      <c r="BA3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0" s="17">
        <f>tbl_MTG_Set[[#This Row],[Collector Booster CardMarket Profit]]/tbl_MTG_Set[[#This Row],[Collector Booster Cost]]</f>
        <v/>
      </c>
      <c r="BC360" s="10" t="n"/>
      <c r="BF360" s="10">
        <f>tbl_MTG_Set[[#This Row],[Play Booster Sell Price CardMarket]]*tbl_MTG_Set[[#This Row],[Play Booster Expected Market Value]]/tbl_MTG_Set[[#This Row],[Play Boost Sealed Market Value]]</f>
        <v/>
      </c>
      <c r="BG3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0" s="10">
        <f>tbl_MTG_Set[[#This Row],[Play Singles CardMarket Profit]]/tbl_MTG_Set[[#This Row],[Play Booster Cost]]</f>
        <v/>
      </c>
      <c r="BI360" s="10">
        <f>tbl_MTG_Set[[#This Row],[Play Singles CardMarket Profit]]&gt;0</f>
        <v/>
      </c>
      <c r="BJ360" s="10" t="n"/>
      <c r="BK360" s="10" t="n"/>
      <c r="BL360" s="10">
        <f>tbl_MTG_Set[[#This Row],[Collector Booster Sell Price CardMarket]]*tbl_MTG_Set[[#This Row],[Collector Booster Expected Market Value]]/tbl_MTG_Set[[#This Row],[Collector Boost Sealed Market Value]]</f>
        <v/>
      </c>
      <c r="BM3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0" s="10">
        <f>tbl_MTG_Set[[#This Row],[Collector Singles CardMarket Profit]]/tbl_MTG_Set[[#This Row],[Collector Booster Cost]]</f>
        <v/>
      </c>
      <c r="BO360" s="10">
        <f>tbl_MTG_Set[[#This Row],[Collector Singles CardMarket Profit]]&gt;0</f>
        <v/>
      </c>
      <c r="BP3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1">
      <c r="A361" t="n">
        <v>359</v>
      </c>
      <c r="B361" t="inlineStr">
        <is>
          <t>Kaldheim Substitute Cards SKHM</t>
        </is>
      </c>
      <c r="C361" t="n">
        <v>9</v>
      </c>
      <c r="D361" s="3" t="n">
        <v>44232</v>
      </c>
      <c r="E361" t="inlineStr">
        <is>
          <t>Standard Expansion</t>
        </is>
      </c>
      <c r="F361" t="inlineStr">
        <is>
          <t>en es fr de it pt ja ko ru 汉语 漢語</t>
        </is>
      </c>
      <c r="G361" t="n">
        <v>664</v>
      </c>
      <c r="H361">
        <f>MONTH(NOW())+12*YEAR(NOW())-MONTH(tbl_MTG_Set[[#This Row],[Released On]])-12*YEAR(tbl_MTG_Set[[#This Row],[Released On]])</f>
        <v/>
      </c>
      <c r="I361">
        <f>_xlfn.XLOOKUP(tbl_MTG_Set[[#This Row],[Type Name]], tbl_MTG_Set_Type[Set Type], tbl_MTG_Set_Type[Index], "(Set Type not found)")</f>
        <v/>
      </c>
      <c r="J361">
        <f>_xlfn.XLOOKUP(tbl_MTG_Set[[#This Row],[Type Name]], tbl_MTG_Set_Type[Set Type], tbl_MTG_Set_Type[Buy Window Month Start], "(Set Type not found)")</f>
        <v/>
      </c>
      <c r="K361" s="3">
        <f>tbl_MTG_Set[[#This Row],[Released On]]+tbl_MTG_Set[[#This Row],[Buy Window Month Start]]*365.25/12</f>
        <v/>
      </c>
      <c r="L361">
        <f>_xlfn.XLOOKUP(tbl_MTG_Set[[#This Row],[Type Name]], tbl_MTG_Set_Type[Set Type], tbl_MTG_Set_Type[Buy Window Month End], "(Set Type not found)", 0, 1)</f>
        <v/>
      </c>
      <c r="M361" s="3">
        <f>tbl_MTG_Set[[#This Row],[Released On]]+tbl_MTG_Set[[#This Row],[Buy Window Month End]]*365.25/12</f>
        <v/>
      </c>
      <c r="N361" s="3">
        <f>AND(NOW()&gt;=tbl_MTG_Set[[#This Row],[Buy Window Start]], NOW()&lt;=tbl_MTG_Set[[#This Row],[Buy Window End]])</f>
        <v/>
      </c>
      <c r="O361">
        <f>_xlfn.XLOOKUP(tbl_MTG_Set[[#This Row],[Type Name]], tbl_MTG_Set_Type[Set Type], tbl_MTG_Set_Type[Heavy Printing Window Month Start], "(Set Type not found)", 0, 1)</f>
        <v/>
      </c>
      <c r="P361" s="3">
        <f>tbl_MTG_Set[[#This Row],[Released On]]+tbl_MTG_Set[[#This Row],[Heavy Printing Window Month Start]]*365.25/12</f>
        <v/>
      </c>
      <c r="Q361">
        <f>_xlfn.XLOOKUP(tbl_MTG_Set[[#This Row],[Type Name]], tbl_MTG_Set_Type[Set Type], tbl_MTG_Set_Type[Heavy Printing Window Month End], "(Set Type not found)", 0, 1)</f>
        <v/>
      </c>
      <c r="R361" s="3">
        <f>tbl_MTG_Set[[#This Row],[Released On]]+tbl_MTG_Set[[#This Row],[Heavy Printing Window Month End]]*365.25/12</f>
        <v/>
      </c>
      <c r="S361" s="3">
        <f>AND(NOW()&gt;=tbl_MTG_Set[[#This Row],[Heavy Printing Window Start]], NOW()&lt;=tbl_MTG_Set[[#This Row],[Heavy Printing Window End]])</f>
        <v/>
      </c>
      <c r="T361">
        <f>_xlfn.XLOOKUP(tbl_MTG_Set[[#This Row],[Type Name]], tbl_MTG_Set_Type[Set Type], tbl_MTG_Set_Type[Sell Window Month Start], "(Set Type not found)", 0, 1)</f>
        <v/>
      </c>
      <c r="U361" s="3">
        <f>tbl_MTG_Set[[#This Row],[Released On]]+tbl_MTG_Set[[#This Row],[Sell Window Month Start]]*365.25/12</f>
        <v/>
      </c>
      <c r="V361">
        <f>_xlfn.XLOOKUP(tbl_MTG_Set[[#This Row],[Type Name]], tbl_MTG_Set_Type[Set Type], tbl_MTG_Set_Type[Sell Window Month End], "(Set Type not found)", 0, 1)</f>
        <v/>
      </c>
      <c r="W361" s="3">
        <f>tbl_MTG_Set[[#This Row],[Released On]]+tbl_MTG_Set[[#This Row],[Sell Window Month End]]*365.25/12</f>
        <v/>
      </c>
      <c r="X361" s="3">
        <f>AND(NOW()&gt;=tbl_MTG_Set[[#This Row],[Sell Window Start]], NOW()&lt;=tbl_MTG_Set[[#This Row],[Sell Window End]])</f>
        <v/>
      </c>
      <c r="AG361" s="10" t="n"/>
      <c r="AH361" s="10" t="n"/>
      <c r="AM361" s="10">
        <f t="array" ref="AM3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1" s="10">
        <f t="array" ref="AN3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1" s="4">
        <f>_xlfn.XLOOKUP(tbl_MTG_Set[[#This Row],[Play Booster Box Product Id]], tbl_Product[Product Id], tbl_Product[Pack Size])</f>
        <v/>
      </c>
      <c r="AP361" s="10">
        <f>(tbl_MTG_Set[[#This Row],[Play Booster Box Cost]]+v_Item_Shipping_Cost_In)/tbl_MTG_Set[[#This Row],[Play Booster Box Size]]</f>
        <v/>
      </c>
      <c r="AQ361" s="10">
        <f t="array" ref="AQ3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1" s="10" t="n"/>
      <c r="AS361" s="10" t="n"/>
      <c r="AT361" s="17">
        <f>tbl_MTG_Set[[#This Row],[Play Booster CardMarket Profit]]/tbl_MTG_Set[[#This Row],[Play Booster Cost]]</f>
        <v/>
      </c>
      <c r="AU361" s="10">
        <f>_xlfn.XLOOKUP(tbl_MTG_Set[[#This Row],[Collector Booster Box Product Id]], tbl_Product[Product Id], tbl_Product[Min Cost])</f>
        <v/>
      </c>
      <c r="AV361" s="10">
        <f>_xlfn.XLOOKUP(tbl_MTG_Set[[#This Row],[Collector Booster Box Product Id]], tbl_Product[Product Id], tbl_Product[Best Source])</f>
        <v/>
      </c>
      <c r="AW361" s="4">
        <f>_xlfn.XLOOKUP(tbl_MTG_Set[[#This Row],[Collector Booster Box Product Id]], tbl_Product[Product Id], tbl_Product[Pack Size])</f>
        <v/>
      </c>
      <c r="AX361" s="10">
        <f>(tbl_MTG_Set[[#This Row],[Collector Booster Box Cost]] + v_Item_Shipping_Cost_In) / tbl_MTG_Set[[#This Row],[Collector Booster Box Size]]</f>
        <v/>
      </c>
      <c r="AY361" s="10">
        <f t="array" ref="AY3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1" s="10" t="n"/>
      <c r="BA3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1" s="17">
        <f>tbl_MTG_Set[[#This Row],[Collector Booster CardMarket Profit]]/tbl_MTG_Set[[#This Row],[Collector Booster Cost]]</f>
        <v/>
      </c>
      <c r="BC361" s="10" t="n"/>
      <c r="BF361" s="10">
        <f>tbl_MTG_Set[[#This Row],[Play Booster Sell Price CardMarket]]*tbl_MTG_Set[[#This Row],[Play Booster Expected Market Value]]/tbl_MTG_Set[[#This Row],[Play Boost Sealed Market Value]]</f>
        <v/>
      </c>
      <c r="BG3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1" s="10">
        <f>tbl_MTG_Set[[#This Row],[Play Singles CardMarket Profit]]/tbl_MTG_Set[[#This Row],[Play Booster Cost]]</f>
        <v/>
      </c>
      <c r="BI361" s="10">
        <f>tbl_MTG_Set[[#This Row],[Play Singles CardMarket Profit]]&gt;0</f>
        <v/>
      </c>
      <c r="BJ361" s="10" t="n"/>
      <c r="BK361" s="10" t="n"/>
      <c r="BL361" s="10">
        <f>tbl_MTG_Set[[#This Row],[Collector Booster Sell Price CardMarket]]*tbl_MTG_Set[[#This Row],[Collector Booster Expected Market Value]]/tbl_MTG_Set[[#This Row],[Collector Boost Sealed Market Value]]</f>
        <v/>
      </c>
      <c r="BM3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1" s="10">
        <f>tbl_MTG_Set[[#This Row],[Collector Singles CardMarket Profit]]/tbl_MTG_Set[[#This Row],[Collector Booster Cost]]</f>
        <v/>
      </c>
      <c r="BO361" s="10">
        <f>tbl_MTG_Set[[#This Row],[Collector Singles CardMarket Profit]]&gt;0</f>
        <v/>
      </c>
      <c r="BP3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2">
      <c r="A362" t="n">
        <v>360</v>
      </c>
      <c r="B362" t="inlineStr">
        <is>
          <t>Kaldheim Commander KHC</t>
        </is>
      </c>
      <c r="C362" t="n">
        <v>119</v>
      </c>
      <c r="D362" s="3" t="n">
        <v>44232</v>
      </c>
      <c r="E362" t="inlineStr">
        <is>
          <t>Standard Expansion</t>
        </is>
      </c>
      <c r="F362" t="inlineStr">
        <is>
          <t>en es fr de it pt ja ko ru 汉语 漢語</t>
        </is>
      </c>
      <c r="G362" t="n">
        <v>666</v>
      </c>
      <c r="H362">
        <f>MONTH(NOW())+12*YEAR(NOW())-MONTH(tbl_MTG_Set[[#This Row],[Released On]])-12*YEAR(tbl_MTG_Set[[#This Row],[Released On]])</f>
        <v/>
      </c>
      <c r="I362">
        <f>_xlfn.XLOOKUP(tbl_MTG_Set[[#This Row],[Type Name]], tbl_MTG_Set_Type[Set Type], tbl_MTG_Set_Type[Index], "(Set Type not found)")</f>
        <v/>
      </c>
      <c r="J362">
        <f>_xlfn.XLOOKUP(tbl_MTG_Set[[#This Row],[Type Name]], tbl_MTG_Set_Type[Set Type], tbl_MTG_Set_Type[Buy Window Month Start], "(Set Type not found)")</f>
        <v/>
      </c>
      <c r="K362" s="3">
        <f>tbl_MTG_Set[[#This Row],[Released On]]+tbl_MTG_Set[[#This Row],[Buy Window Month Start]]*365.25/12</f>
        <v/>
      </c>
      <c r="L362">
        <f>_xlfn.XLOOKUP(tbl_MTG_Set[[#This Row],[Type Name]], tbl_MTG_Set_Type[Set Type], tbl_MTG_Set_Type[Buy Window Month End], "(Set Type not found)", 0, 1)</f>
        <v/>
      </c>
      <c r="M362" s="3">
        <f>tbl_MTG_Set[[#This Row],[Released On]]+tbl_MTG_Set[[#This Row],[Buy Window Month End]]*365.25/12</f>
        <v/>
      </c>
      <c r="N362" s="3">
        <f>AND(NOW()&gt;=tbl_MTG_Set[[#This Row],[Buy Window Start]], NOW()&lt;=tbl_MTG_Set[[#This Row],[Buy Window End]])</f>
        <v/>
      </c>
      <c r="O362">
        <f>_xlfn.XLOOKUP(tbl_MTG_Set[[#This Row],[Type Name]], tbl_MTG_Set_Type[Set Type], tbl_MTG_Set_Type[Heavy Printing Window Month Start], "(Set Type not found)", 0, 1)</f>
        <v/>
      </c>
      <c r="P362" s="3">
        <f>tbl_MTG_Set[[#This Row],[Released On]]+tbl_MTG_Set[[#This Row],[Heavy Printing Window Month Start]]*365.25/12</f>
        <v/>
      </c>
      <c r="Q362">
        <f>_xlfn.XLOOKUP(tbl_MTG_Set[[#This Row],[Type Name]], tbl_MTG_Set_Type[Set Type], tbl_MTG_Set_Type[Heavy Printing Window Month End], "(Set Type not found)", 0, 1)</f>
        <v/>
      </c>
      <c r="R362" s="3">
        <f>tbl_MTG_Set[[#This Row],[Released On]]+tbl_MTG_Set[[#This Row],[Heavy Printing Window Month End]]*365.25/12</f>
        <v/>
      </c>
      <c r="S362" s="3">
        <f>AND(NOW()&gt;=tbl_MTG_Set[[#This Row],[Heavy Printing Window Start]], NOW()&lt;=tbl_MTG_Set[[#This Row],[Heavy Printing Window End]])</f>
        <v/>
      </c>
      <c r="T362">
        <f>_xlfn.XLOOKUP(tbl_MTG_Set[[#This Row],[Type Name]], tbl_MTG_Set_Type[Set Type], tbl_MTG_Set_Type[Sell Window Month Start], "(Set Type not found)", 0, 1)</f>
        <v/>
      </c>
      <c r="U362" s="3">
        <f>tbl_MTG_Set[[#This Row],[Released On]]+tbl_MTG_Set[[#This Row],[Sell Window Month Start]]*365.25/12</f>
        <v/>
      </c>
      <c r="V362">
        <f>_xlfn.XLOOKUP(tbl_MTG_Set[[#This Row],[Type Name]], tbl_MTG_Set_Type[Set Type], tbl_MTG_Set_Type[Sell Window Month End], "(Set Type not found)", 0, 1)</f>
        <v/>
      </c>
      <c r="W362" s="3">
        <f>tbl_MTG_Set[[#This Row],[Released On]]+tbl_MTG_Set[[#This Row],[Sell Window Month End]]*365.25/12</f>
        <v/>
      </c>
      <c r="X362" s="3">
        <f>AND(NOW()&gt;=tbl_MTG_Set[[#This Row],[Sell Window Start]], NOW()&lt;=tbl_MTG_Set[[#This Row],[Sell Window End]])</f>
        <v/>
      </c>
      <c r="AG362" s="10" t="n"/>
      <c r="AH362" s="10" t="n"/>
      <c r="AM362" s="10">
        <f t="array" ref="AM3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2" s="10">
        <f t="array" ref="AN3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2" s="4">
        <f>_xlfn.XLOOKUP(tbl_MTG_Set[[#This Row],[Play Booster Box Product Id]], tbl_Product[Product Id], tbl_Product[Pack Size])</f>
        <v/>
      </c>
      <c r="AP362" s="10">
        <f>(tbl_MTG_Set[[#This Row],[Play Booster Box Cost]]+v_Item_Shipping_Cost_In)/tbl_MTG_Set[[#This Row],[Play Booster Box Size]]</f>
        <v/>
      </c>
      <c r="AQ362" s="10">
        <f t="array" ref="AQ3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2" s="10" t="n"/>
      <c r="AS362" s="10" t="n"/>
      <c r="AT362" s="17">
        <f>tbl_MTG_Set[[#This Row],[Play Booster CardMarket Profit]]/tbl_MTG_Set[[#This Row],[Play Booster Cost]]</f>
        <v/>
      </c>
      <c r="AU362" s="10">
        <f>_xlfn.XLOOKUP(tbl_MTG_Set[[#This Row],[Collector Booster Box Product Id]], tbl_Product[Product Id], tbl_Product[Min Cost])</f>
        <v/>
      </c>
      <c r="AV362" s="10">
        <f>_xlfn.XLOOKUP(tbl_MTG_Set[[#This Row],[Collector Booster Box Product Id]], tbl_Product[Product Id], tbl_Product[Best Source])</f>
        <v/>
      </c>
      <c r="AW362" s="4">
        <f>_xlfn.XLOOKUP(tbl_MTG_Set[[#This Row],[Collector Booster Box Product Id]], tbl_Product[Product Id], tbl_Product[Pack Size])</f>
        <v/>
      </c>
      <c r="AX362" s="10">
        <f>(tbl_MTG_Set[[#This Row],[Collector Booster Box Cost]] + v_Item_Shipping_Cost_In) / tbl_MTG_Set[[#This Row],[Collector Booster Box Size]]</f>
        <v/>
      </c>
      <c r="AY362" s="10">
        <f t="array" ref="AY3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2" s="10" t="n"/>
      <c r="BA3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2" s="17">
        <f>tbl_MTG_Set[[#This Row],[Collector Booster CardMarket Profit]]/tbl_MTG_Set[[#This Row],[Collector Booster Cost]]</f>
        <v/>
      </c>
      <c r="BC362" s="10" t="n"/>
      <c r="BF362" s="10">
        <f>tbl_MTG_Set[[#This Row],[Play Booster Sell Price CardMarket]]*tbl_MTG_Set[[#This Row],[Play Booster Expected Market Value]]/tbl_MTG_Set[[#This Row],[Play Boost Sealed Market Value]]</f>
        <v/>
      </c>
      <c r="BG3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2" s="10">
        <f>tbl_MTG_Set[[#This Row],[Play Singles CardMarket Profit]]/tbl_MTG_Set[[#This Row],[Play Booster Cost]]</f>
        <v/>
      </c>
      <c r="BI362" s="10">
        <f>tbl_MTG_Set[[#This Row],[Play Singles CardMarket Profit]]&gt;0</f>
        <v/>
      </c>
      <c r="BJ362" s="10" t="n"/>
      <c r="BK362" s="10" t="n"/>
      <c r="BL362" s="10">
        <f>tbl_MTG_Set[[#This Row],[Collector Booster Sell Price CardMarket]]*tbl_MTG_Set[[#This Row],[Collector Booster Expected Market Value]]/tbl_MTG_Set[[#This Row],[Collector Boost Sealed Market Value]]</f>
        <v/>
      </c>
      <c r="BM3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2" s="10">
        <f>tbl_MTG_Set[[#This Row],[Collector Singles CardMarket Profit]]/tbl_MTG_Set[[#This Row],[Collector Booster Cost]]</f>
        <v/>
      </c>
      <c r="BO362" s="10">
        <f>tbl_MTG_Set[[#This Row],[Collector Singles CardMarket Profit]]&gt;0</f>
        <v/>
      </c>
      <c r="BP3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3">
      <c r="A363" t="n">
        <v>361</v>
      </c>
      <c r="B363" t="inlineStr">
        <is>
          <t>Kaldheim Commander Tokens TKHC</t>
        </is>
      </c>
      <c r="C363" t="n">
        <v>8</v>
      </c>
      <c r="D363" s="3" t="n">
        <v>44232</v>
      </c>
      <c r="E363" t="inlineStr">
        <is>
          <t>Standard Expansion</t>
        </is>
      </c>
      <c r="F363" t="inlineStr">
        <is>
          <t>en es fr de it pt ja ko ru 汉语 漢語</t>
        </is>
      </c>
      <c r="G363" t="n">
        <v>668</v>
      </c>
      <c r="H363">
        <f>MONTH(NOW())+12*YEAR(NOW())-MONTH(tbl_MTG_Set[[#This Row],[Released On]])-12*YEAR(tbl_MTG_Set[[#This Row],[Released On]])</f>
        <v/>
      </c>
      <c r="I363">
        <f>_xlfn.XLOOKUP(tbl_MTG_Set[[#This Row],[Type Name]], tbl_MTG_Set_Type[Set Type], tbl_MTG_Set_Type[Index], "(Set Type not found)")</f>
        <v/>
      </c>
      <c r="J363">
        <f>_xlfn.XLOOKUP(tbl_MTG_Set[[#This Row],[Type Name]], tbl_MTG_Set_Type[Set Type], tbl_MTG_Set_Type[Buy Window Month Start], "(Set Type not found)")</f>
        <v/>
      </c>
      <c r="K363" s="3">
        <f>tbl_MTG_Set[[#This Row],[Released On]]+tbl_MTG_Set[[#This Row],[Buy Window Month Start]]*365.25/12</f>
        <v/>
      </c>
      <c r="L363">
        <f>_xlfn.XLOOKUP(tbl_MTG_Set[[#This Row],[Type Name]], tbl_MTG_Set_Type[Set Type], tbl_MTG_Set_Type[Buy Window Month End], "(Set Type not found)", 0, 1)</f>
        <v/>
      </c>
      <c r="M363" s="3">
        <f>tbl_MTG_Set[[#This Row],[Released On]]+tbl_MTG_Set[[#This Row],[Buy Window Month End]]*365.25/12</f>
        <v/>
      </c>
      <c r="N363" s="3">
        <f>AND(NOW()&gt;=tbl_MTG_Set[[#This Row],[Buy Window Start]], NOW()&lt;=tbl_MTG_Set[[#This Row],[Buy Window End]])</f>
        <v/>
      </c>
      <c r="O363">
        <f>_xlfn.XLOOKUP(tbl_MTG_Set[[#This Row],[Type Name]], tbl_MTG_Set_Type[Set Type], tbl_MTG_Set_Type[Heavy Printing Window Month Start], "(Set Type not found)", 0, 1)</f>
        <v/>
      </c>
      <c r="P363" s="3">
        <f>tbl_MTG_Set[[#This Row],[Released On]]+tbl_MTG_Set[[#This Row],[Heavy Printing Window Month Start]]*365.25/12</f>
        <v/>
      </c>
      <c r="Q363">
        <f>_xlfn.XLOOKUP(tbl_MTG_Set[[#This Row],[Type Name]], tbl_MTG_Set_Type[Set Type], tbl_MTG_Set_Type[Heavy Printing Window Month End], "(Set Type not found)", 0, 1)</f>
        <v/>
      </c>
      <c r="R363" s="3">
        <f>tbl_MTG_Set[[#This Row],[Released On]]+tbl_MTG_Set[[#This Row],[Heavy Printing Window Month End]]*365.25/12</f>
        <v/>
      </c>
      <c r="S363" s="3">
        <f>AND(NOW()&gt;=tbl_MTG_Set[[#This Row],[Heavy Printing Window Start]], NOW()&lt;=tbl_MTG_Set[[#This Row],[Heavy Printing Window End]])</f>
        <v/>
      </c>
      <c r="T363">
        <f>_xlfn.XLOOKUP(tbl_MTG_Set[[#This Row],[Type Name]], tbl_MTG_Set_Type[Set Type], tbl_MTG_Set_Type[Sell Window Month Start], "(Set Type not found)", 0, 1)</f>
        <v/>
      </c>
      <c r="U363" s="3">
        <f>tbl_MTG_Set[[#This Row],[Released On]]+tbl_MTG_Set[[#This Row],[Sell Window Month Start]]*365.25/12</f>
        <v/>
      </c>
      <c r="V363">
        <f>_xlfn.XLOOKUP(tbl_MTG_Set[[#This Row],[Type Name]], tbl_MTG_Set_Type[Set Type], tbl_MTG_Set_Type[Sell Window Month End], "(Set Type not found)", 0, 1)</f>
        <v/>
      </c>
      <c r="W363" s="3">
        <f>tbl_MTG_Set[[#This Row],[Released On]]+tbl_MTG_Set[[#This Row],[Sell Window Month End]]*365.25/12</f>
        <v/>
      </c>
      <c r="X363" s="3">
        <f>AND(NOW()&gt;=tbl_MTG_Set[[#This Row],[Sell Window Start]], NOW()&lt;=tbl_MTG_Set[[#This Row],[Sell Window End]])</f>
        <v/>
      </c>
      <c r="AG363" s="10" t="n"/>
      <c r="AH363" s="10" t="n"/>
      <c r="AM363" s="10">
        <f t="array" ref="AM3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3" s="10">
        <f t="array" ref="AN3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3" s="4">
        <f>_xlfn.XLOOKUP(tbl_MTG_Set[[#This Row],[Play Booster Box Product Id]], tbl_Product[Product Id], tbl_Product[Pack Size])</f>
        <v/>
      </c>
      <c r="AP363" s="10">
        <f>(tbl_MTG_Set[[#This Row],[Play Booster Box Cost]]+v_Item_Shipping_Cost_In)/tbl_MTG_Set[[#This Row],[Play Booster Box Size]]</f>
        <v/>
      </c>
      <c r="AQ363" s="10">
        <f t="array" ref="AQ3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3" s="10" t="n"/>
      <c r="AS363" s="10" t="n"/>
      <c r="AT363" s="17">
        <f>tbl_MTG_Set[[#This Row],[Play Booster CardMarket Profit]]/tbl_MTG_Set[[#This Row],[Play Booster Cost]]</f>
        <v/>
      </c>
      <c r="AU363" s="10">
        <f>_xlfn.XLOOKUP(tbl_MTG_Set[[#This Row],[Collector Booster Box Product Id]], tbl_Product[Product Id], tbl_Product[Min Cost])</f>
        <v/>
      </c>
      <c r="AV363" s="10">
        <f>_xlfn.XLOOKUP(tbl_MTG_Set[[#This Row],[Collector Booster Box Product Id]], tbl_Product[Product Id], tbl_Product[Best Source])</f>
        <v/>
      </c>
      <c r="AW363" s="4">
        <f>_xlfn.XLOOKUP(tbl_MTG_Set[[#This Row],[Collector Booster Box Product Id]], tbl_Product[Product Id], tbl_Product[Pack Size])</f>
        <v/>
      </c>
      <c r="AX363" s="10">
        <f>(tbl_MTG_Set[[#This Row],[Collector Booster Box Cost]] + v_Item_Shipping_Cost_In) / tbl_MTG_Set[[#This Row],[Collector Booster Box Size]]</f>
        <v/>
      </c>
      <c r="AY363" s="10">
        <f t="array" ref="AY3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3" s="10" t="n"/>
      <c r="BA3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3" s="17">
        <f>tbl_MTG_Set[[#This Row],[Collector Booster CardMarket Profit]]/tbl_MTG_Set[[#This Row],[Collector Booster Cost]]</f>
        <v/>
      </c>
      <c r="BC363" s="10" t="n"/>
      <c r="BF363" s="10">
        <f>tbl_MTG_Set[[#This Row],[Play Booster Sell Price CardMarket]]*tbl_MTG_Set[[#This Row],[Play Booster Expected Market Value]]/tbl_MTG_Set[[#This Row],[Play Boost Sealed Market Value]]</f>
        <v/>
      </c>
      <c r="BG3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3" s="10">
        <f>tbl_MTG_Set[[#This Row],[Play Singles CardMarket Profit]]/tbl_MTG_Set[[#This Row],[Play Booster Cost]]</f>
        <v/>
      </c>
      <c r="BI363" s="10">
        <f>tbl_MTG_Set[[#This Row],[Play Singles CardMarket Profit]]&gt;0</f>
        <v/>
      </c>
      <c r="BJ363" s="10" t="n"/>
      <c r="BK363" s="10" t="n"/>
      <c r="BL363" s="10">
        <f>tbl_MTG_Set[[#This Row],[Collector Booster Sell Price CardMarket]]*tbl_MTG_Set[[#This Row],[Collector Booster Expected Market Value]]/tbl_MTG_Set[[#This Row],[Collector Boost Sealed Market Value]]</f>
        <v/>
      </c>
      <c r="BM3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3" s="10">
        <f>tbl_MTG_Set[[#This Row],[Collector Singles CardMarket Profit]]/tbl_MTG_Set[[#This Row],[Collector Booster Cost]]</f>
        <v/>
      </c>
      <c r="BO363" s="10">
        <f>tbl_MTG_Set[[#This Row],[Collector Singles CardMarket Profit]]&gt;0</f>
        <v/>
      </c>
      <c r="BP3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4">
      <c r="A364" t="n">
        <v>362</v>
      </c>
      <c r="B364" t="inlineStr">
        <is>
          <t>Kaldheim Art Series AKHM</t>
        </is>
      </c>
      <c r="C364" t="n">
        <v>81</v>
      </c>
      <c r="D364" s="3" t="n">
        <v>44232</v>
      </c>
      <c r="E364" t="inlineStr">
        <is>
          <t>Standard Expansion</t>
        </is>
      </c>
      <c r="F364" t="inlineStr">
        <is>
          <t>en es fr de it pt ja ko ru 汉语 漢語</t>
        </is>
      </c>
      <c r="G364" t="n">
        <v>670</v>
      </c>
      <c r="H364">
        <f>MONTH(NOW())+12*YEAR(NOW())-MONTH(tbl_MTG_Set[[#This Row],[Released On]])-12*YEAR(tbl_MTG_Set[[#This Row],[Released On]])</f>
        <v/>
      </c>
      <c r="I364">
        <f>_xlfn.XLOOKUP(tbl_MTG_Set[[#This Row],[Type Name]], tbl_MTG_Set_Type[Set Type], tbl_MTG_Set_Type[Index], "(Set Type not found)")</f>
        <v/>
      </c>
      <c r="J364">
        <f>_xlfn.XLOOKUP(tbl_MTG_Set[[#This Row],[Type Name]], tbl_MTG_Set_Type[Set Type], tbl_MTG_Set_Type[Buy Window Month Start], "(Set Type not found)")</f>
        <v/>
      </c>
      <c r="K364" s="3">
        <f>tbl_MTG_Set[[#This Row],[Released On]]+tbl_MTG_Set[[#This Row],[Buy Window Month Start]]*365.25/12</f>
        <v/>
      </c>
      <c r="L364">
        <f>_xlfn.XLOOKUP(tbl_MTG_Set[[#This Row],[Type Name]], tbl_MTG_Set_Type[Set Type], tbl_MTG_Set_Type[Buy Window Month End], "(Set Type not found)", 0, 1)</f>
        <v/>
      </c>
      <c r="M364" s="3">
        <f>tbl_MTG_Set[[#This Row],[Released On]]+tbl_MTG_Set[[#This Row],[Buy Window Month End]]*365.25/12</f>
        <v/>
      </c>
      <c r="N364" s="3">
        <f>AND(NOW()&gt;=tbl_MTG_Set[[#This Row],[Buy Window Start]], NOW()&lt;=tbl_MTG_Set[[#This Row],[Buy Window End]])</f>
        <v/>
      </c>
      <c r="O364">
        <f>_xlfn.XLOOKUP(tbl_MTG_Set[[#This Row],[Type Name]], tbl_MTG_Set_Type[Set Type], tbl_MTG_Set_Type[Heavy Printing Window Month Start], "(Set Type not found)", 0, 1)</f>
        <v/>
      </c>
      <c r="P364" s="3">
        <f>tbl_MTG_Set[[#This Row],[Released On]]+tbl_MTG_Set[[#This Row],[Heavy Printing Window Month Start]]*365.25/12</f>
        <v/>
      </c>
      <c r="Q364">
        <f>_xlfn.XLOOKUP(tbl_MTG_Set[[#This Row],[Type Name]], tbl_MTG_Set_Type[Set Type], tbl_MTG_Set_Type[Heavy Printing Window Month End], "(Set Type not found)", 0, 1)</f>
        <v/>
      </c>
      <c r="R364" s="3">
        <f>tbl_MTG_Set[[#This Row],[Released On]]+tbl_MTG_Set[[#This Row],[Heavy Printing Window Month End]]*365.25/12</f>
        <v/>
      </c>
      <c r="S364" s="3">
        <f>AND(NOW()&gt;=tbl_MTG_Set[[#This Row],[Heavy Printing Window Start]], NOW()&lt;=tbl_MTG_Set[[#This Row],[Heavy Printing Window End]])</f>
        <v/>
      </c>
      <c r="T364">
        <f>_xlfn.XLOOKUP(tbl_MTG_Set[[#This Row],[Type Name]], tbl_MTG_Set_Type[Set Type], tbl_MTG_Set_Type[Sell Window Month Start], "(Set Type not found)", 0, 1)</f>
        <v/>
      </c>
      <c r="U364" s="3">
        <f>tbl_MTG_Set[[#This Row],[Released On]]+tbl_MTG_Set[[#This Row],[Sell Window Month Start]]*365.25/12</f>
        <v/>
      </c>
      <c r="V364">
        <f>_xlfn.XLOOKUP(tbl_MTG_Set[[#This Row],[Type Name]], tbl_MTG_Set_Type[Set Type], tbl_MTG_Set_Type[Sell Window Month End], "(Set Type not found)", 0, 1)</f>
        <v/>
      </c>
      <c r="W364" s="3">
        <f>tbl_MTG_Set[[#This Row],[Released On]]+tbl_MTG_Set[[#This Row],[Sell Window Month End]]*365.25/12</f>
        <v/>
      </c>
      <c r="X364" s="3">
        <f>AND(NOW()&gt;=tbl_MTG_Set[[#This Row],[Sell Window Start]], NOW()&lt;=tbl_MTG_Set[[#This Row],[Sell Window End]])</f>
        <v/>
      </c>
      <c r="AG364" s="10" t="n"/>
      <c r="AH364" s="10" t="n"/>
      <c r="AM364" s="10">
        <f t="array" ref="AM3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4" s="10">
        <f t="array" ref="AN3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4" s="4">
        <f>_xlfn.XLOOKUP(tbl_MTG_Set[[#This Row],[Play Booster Box Product Id]], tbl_Product[Product Id], tbl_Product[Pack Size])</f>
        <v/>
      </c>
      <c r="AP364" s="10">
        <f>(tbl_MTG_Set[[#This Row],[Play Booster Box Cost]]+v_Item_Shipping_Cost_In)/tbl_MTG_Set[[#This Row],[Play Booster Box Size]]</f>
        <v/>
      </c>
      <c r="AQ364" s="10">
        <f t="array" ref="AQ3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4" s="10" t="n"/>
      <c r="AS364" s="10" t="n"/>
      <c r="AT364" s="17">
        <f>tbl_MTG_Set[[#This Row],[Play Booster CardMarket Profit]]/tbl_MTG_Set[[#This Row],[Play Booster Cost]]</f>
        <v/>
      </c>
      <c r="AU364" s="10">
        <f>_xlfn.XLOOKUP(tbl_MTG_Set[[#This Row],[Collector Booster Box Product Id]], tbl_Product[Product Id], tbl_Product[Min Cost])</f>
        <v/>
      </c>
      <c r="AV364" s="10">
        <f>_xlfn.XLOOKUP(tbl_MTG_Set[[#This Row],[Collector Booster Box Product Id]], tbl_Product[Product Id], tbl_Product[Best Source])</f>
        <v/>
      </c>
      <c r="AW364" s="4">
        <f>_xlfn.XLOOKUP(tbl_MTG_Set[[#This Row],[Collector Booster Box Product Id]], tbl_Product[Product Id], tbl_Product[Pack Size])</f>
        <v/>
      </c>
      <c r="AX364" s="10">
        <f>(tbl_MTG_Set[[#This Row],[Collector Booster Box Cost]] + v_Item_Shipping_Cost_In) / tbl_MTG_Set[[#This Row],[Collector Booster Box Size]]</f>
        <v/>
      </c>
      <c r="AY364" s="10">
        <f t="array" ref="AY3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4" s="10" t="n"/>
      <c r="BA3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4" s="17">
        <f>tbl_MTG_Set[[#This Row],[Collector Booster CardMarket Profit]]/tbl_MTG_Set[[#This Row],[Collector Booster Cost]]</f>
        <v/>
      </c>
      <c r="BC364" s="10" t="n"/>
      <c r="BF364" s="10">
        <f>tbl_MTG_Set[[#This Row],[Play Booster Sell Price CardMarket]]*tbl_MTG_Set[[#This Row],[Play Booster Expected Market Value]]/tbl_MTG_Set[[#This Row],[Play Boost Sealed Market Value]]</f>
        <v/>
      </c>
      <c r="BG3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4" s="10">
        <f>tbl_MTG_Set[[#This Row],[Play Singles CardMarket Profit]]/tbl_MTG_Set[[#This Row],[Play Booster Cost]]</f>
        <v/>
      </c>
      <c r="BI364" s="10">
        <f>tbl_MTG_Set[[#This Row],[Play Singles CardMarket Profit]]&gt;0</f>
        <v/>
      </c>
      <c r="BJ364" s="10" t="n"/>
      <c r="BK364" s="10" t="n"/>
      <c r="BL364" s="10">
        <f>tbl_MTG_Set[[#This Row],[Collector Booster Sell Price CardMarket]]*tbl_MTG_Set[[#This Row],[Collector Booster Expected Market Value]]/tbl_MTG_Set[[#This Row],[Collector Boost Sealed Market Value]]</f>
        <v/>
      </c>
      <c r="BM3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4" s="10">
        <f>tbl_MTG_Set[[#This Row],[Collector Singles CardMarket Profit]]/tbl_MTG_Set[[#This Row],[Collector Booster Cost]]</f>
        <v/>
      </c>
      <c r="BO364" s="10">
        <f>tbl_MTG_Set[[#This Row],[Collector Singles CardMarket Profit]]&gt;0</f>
        <v/>
      </c>
      <c r="BP3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5">
      <c r="A365" t="n">
        <v>363</v>
      </c>
      <c r="B365" t="inlineStr">
        <is>
          <t>Year of the Ox 2021 PL21</t>
        </is>
      </c>
      <c r="C365" t="n">
        <v>6</v>
      </c>
      <c r="D365" s="3" t="n">
        <v>44221</v>
      </c>
      <c r="F365" t="inlineStr">
        <is>
          <t>en es fr de it pt ja ko ru 汉语 漢語</t>
        </is>
      </c>
      <c r="G365" t="n">
        <v>672</v>
      </c>
      <c r="H365">
        <f>MONTH(NOW())+12*YEAR(NOW())-MONTH(tbl_MTG_Set[[#This Row],[Released On]])-12*YEAR(tbl_MTG_Set[[#This Row],[Released On]])</f>
        <v/>
      </c>
      <c r="I365">
        <f>_xlfn.XLOOKUP(tbl_MTG_Set[[#This Row],[Type Name]], tbl_MTG_Set_Type[Set Type], tbl_MTG_Set_Type[Index], "(Set Type not found)")</f>
        <v/>
      </c>
      <c r="J365">
        <f>_xlfn.XLOOKUP(tbl_MTG_Set[[#This Row],[Type Name]], tbl_MTG_Set_Type[Set Type], tbl_MTG_Set_Type[Buy Window Month Start], "(Set Type not found)")</f>
        <v/>
      </c>
      <c r="K365" s="3">
        <f>tbl_MTG_Set[[#This Row],[Released On]]+tbl_MTG_Set[[#This Row],[Buy Window Month Start]]*365.25/12</f>
        <v/>
      </c>
      <c r="L365">
        <f>_xlfn.XLOOKUP(tbl_MTG_Set[[#This Row],[Type Name]], tbl_MTG_Set_Type[Set Type], tbl_MTG_Set_Type[Buy Window Month End], "(Set Type not found)", 0, 1)</f>
        <v/>
      </c>
      <c r="M365" s="3">
        <f>tbl_MTG_Set[[#This Row],[Released On]]+tbl_MTG_Set[[#This Row],[Buy Window Month End]]*365.25/12</f>
        <v/>
      </c>
      <c r="N365" s="3">
        <f>AND(NOW()&gt;=tbl_MTG_Set[[#This Row],[Buy Window Start]], NOW()&lt;=tbl_MTG_Set[[#This Row],[Buy Window End]])</f>
        <v/>
      </c>
      <c r="O365">
        <f>_xlfn.XLOOKUP(tbl_MTG_Set[[#This Row],[Type Name]], tbl_MTG_Set_Type[Set Type], tbl_MTG_Set_Type[Heavy Printing Window Month Start], "(Set Type not found)", 0, 1)</f>
        <v/>
      </c>
      <c r="P365" s="3">
        <f>tbl_MTG_Set[[#This Row],[Released On]]+tbl_MTG_Set[[#This Row],[Heavy Printing Window Month Start]]*365.25/12</f>
        <v/>
      </c>
      <c r="Q365">
        <f>_xlfn.XLOOKUP(tbl_MTG_Set[[#This Row],[Type Name]], tbl_MTG_Set_Type[Set Type], tbl_MTG_Set_Type[Heavy Printing Window Month End], "(Set Type not found)", 0, 1)</f>
        <v/>
      </c>
      <c r="R365" s="3">
        <f>tbl_MTG_Set[[#This Row],[Released On]]+tbl_MTG_Set[[#This Row],[Heavy Printing Window Month End]]*365.25/12</f>
        <v/>
      </c>
      <c r="S365" s="3">
        <f>AND(NOW()&gt;=tbl_MTG_Set[[#This Row],[Heavy Printing Window Start]], NOW()&lt;=tbl_MTG_Set[[#This Row],[Heavy Printing Window End]])</f>
        <v/>
      </c>
      <c r="T365">
        <f>_xlfn.XLOOKUP(tbl_MTG_Set[[#This Row],[Type Name]], tbl_MTG_Set_Type[Set Type], tbl_MTG_Set_Type[Sell Window Month Start], "(Set Type not found)", 0, 1)</f>
        <v/>
      </c>
      <c r="U365" s="3">
        <f>tbl_MTG_Set[[#This Row],[Released On]]+tbl_MTG_Set[[#This Row],[Sell Window Month Start]]*365.25/12</f>
        <v/>
      </c>
      <c r="V365">
        <f>_xlfn.XLOOKUP(tbl_MTG_Set[[#This Row],[Type Name]], tbl_MTG_Set_Type[Set Type], tbl_MTG_Set_Type[Sell Window Month End], "(Set Type not found)", 0, 1)</f>
        <v/>
      </c>
      <c r="W365" s="3">
        <f>tbl_MTG_Set[[#This Row],[Released On]]+tbl_MTG_Set[[#This Row],[Sell Window Month End]]*365.25/12</f>
        <v/>
      </c>
      <c r="X365" s="3">
        <f>AND(NOW()&gt;=tbl_MTG_Set[[#This Row],[Sell Window Start]], NOW()&lt;=tbl_MTG_Set[[#This Row],[Sell Window End]])</f>
        <v/>
      </c>
      <c r="AG365" s="10" t="n"/>
      <c r="AH365" s="10" t="n"/>
      <c r="AM365" s="10">
        <f t="array" ref="AM3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5" s="10">
        <f t="array" ref="AN3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5" s="4">
        <f>_xlfn.XLOOKUP(tbl_MTG_Set[[#This Row],[Play Booster Box Product Id]], tbl_Product[Product Id], tbl_Product[Pack Size])</f>
        <v/>
      </c>
      <c r="AP365" s="10">
        <f>(tbl_MTG_Set[[#This Row],[Play Booster Box Cost]]+v_Item_Shipping_Cost_In)/tbl_MTG_Set[[#This Row],[Play Booster Box Size]]</f>
        <v/>
      </c>
      <c r="AQ365" s="10">
        <f t="array" ref="AQ3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5" s="10" t="n"/>
      <c r="AS365" s="10" t="n"/>
      <c r="AT365" s="17">
        <f>tbl_MTG_Set[[#This Row],[Play Booster CardMarket Profit]]/tbl_MTG_Set[[#This Row],[Play Booster Cost]]</f>
        <v/>
      </c>
      <c r="AU365" s="10">
        <f>_xlfn.XLOOKUP(tbl_MTG_Set[[#This Row],[Collector Booster Box Product Id]], tbl_Product[Product Id], tbl_Product[Min Cost])</f>
        <v/>
      </c>
      <c r="AV365" s="10">
        <f>_xlfn.XLOOKUP(tbl_MTG_Set[[#This Row],[Collector Booster Box Product Id]], tbl_Product[Product Id], tbl_Product[Best Source])</f>
        <v/>
      </c>
      <c r="AW365" s="4">
        <f>_xlfn.XLOOKUP(tbl_MTG_Set[[#This Row],[Collector Booster Box Product Id]], tbl_Product[Product Id], tbl_Product[Pack Size])</f>
        <v/>
      </c>
      <c r="AX365" s="10">
        <f>(tbl_MTG_Set[[#This Row],[Collector Booster Box Cost]] + v_Item_Shipping_Cost_In) / tbl_MTG_Set[[#This Row],[Collector Booster Box Size]]</f>
        <v/>
      </c>
      <c r="AY365" s="10">
        <f t="array" ref="AY3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5" s="10" t="n"/>
      <c r="BA3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5" s="17">
        <f>tbl_MTG_Set[[#This Row],[Collector Booster CardMarket Profit]]/tbl_MTG_Set[[#This Row],[Collector Booster Cost]]</f>
        <v/>
      </c>
      <c r="BC365" s="10" t="n"/>
      <c r="BF365" s="10">
        <f>tbl_MTG_Set[[#This Row],[Play Booster Sell Price CardMarket]]*tbl_MTG_Set[[#This Row],[Play Booster Expected Market Value]]/tbl_MTG_Set[[#This Row],[Play Boost Sealed Market Value]]</f>
        <v/>
      </c>
      <c r="BG3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5" s="10">
        <f>tbl_MTG_Set[[#This Row],[Play Singles CardMarket Profit]]/tbl_MTG_Set[[#This Row],[Play Booster Cost]]</f>
        <v/>
      </c>
      <c r="BI365" s="10">
        <f>tbl_MTG_Set[[#This Row],[Play Singles CardMarket Profit]]&gt;0</f>
        <v/>
      </c>
      <c r="BJ365" s="10" t="n"/>
      <c r="BK365" s="10" t="n"/>
      <c r="BL365" s="10">
        <f>tbl_MTG_Set[[#This Row],[Collector Booster Sell Price CardMarket]]*tbl_MTG_Set[[#This Row],[Collector Booster Expected Market Value]]/tbl_MTG_Set[[#This Row],[Collector Boost Sealed Market Value]]</f>
        <v/>
      </c>
      <c r="BM3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5" s="10">
        <f>tbl_MTG_Set[[#This Row],[Collector Singles CardMarket Profit]]/tbl_MTG_Set[[#This Row],[Collector Booster Cost]]</f>
        <v/>
      </c>
      <c r="BO365" s="10">
        <f>tbl_MTG_Set[[#This Row],[Collector Singles CardMarket Profit]]&gt;0</f>
        <v/>
      </c>
      <c r="BP3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6">
      <c r="A366" t="n">
        <v>364</v>
      </c>
      <c r="B366" t="inlineStr">
        <is>
          <t>Judge Gift Cards 2021 PJ21</t>
        </is>
      </c>
      <c r="C366" t="n">
        <v>10</v>
      </c>
      <c r="D366" s="3" t="n">
        <v>44197</v>
      </c>
      <c r="F366" t="inlineStr">
        <is>
          <t>en es fr de it pt ja ko ru 汉语 漢語</t>
        </is>
      </c>
      <c r="G366" t="n">
        <v>674</v>
      </c>
      <c r="H366">
        <f>MONTH(NOW())+12*YEAR(NOW())-MONTH(tbl_MTG_Set[[#This Row],[Released On]])-12*YEAR(tbl_MTG_Set[[#This Row],[Released On]])</f>
        <v/>
      </c>
      <c r="I366">
        <f>_xlfn.XLOOKUP(tbl_MTG_Set[[#This Row],[Type Name]], tbl_MTG_Set_Type[Set Type], tbl_MTG_Set_Type[Index], "(Set Type not found)")</f>
        <v/>
      </c>
      <c r="J366">
        <f>_xlfn.XLOOKUP(tbl_MTG_Set[[#This Row],[Type Name]], tbl_MTG_Set_Type[Set Type], tbl_MTG_Set_Type[Buy Window Month Start], "(Set Type not found)")</f>
        <v/>
      </c>
      <c r="K366" s="3">
        <f>tbl_MTG_Set[[#This Row],[Released On]]+tbl_MTG_Set[[#This Row],[Buy Window Month Start]]*365.25/12</f>
        <v/>
      </c>
      <c r="L366">
        <f>_xlfn.XLOOKUP(tbl_MTG_Set[[#This Row],[Type Name]], tbl_MTG_Set_Type[Set Type], tbl_MTG_Set_Type[Buy Window Month End], "(Set Type not found)", 0, 1)</f>
        <v/>
      </c>
      <c r="M366" s="3">
        <f>tbl_MTG_Set[[#This Row],[Released On]]+tbl_MTG_Set[[#This Row],[Buy Window Month End]]*365.25/12</f>
        <v/>
      </c>
      <c r="N366" s="3">
        <f>AND(NOW()&gt;=tbl_MTG_Set[[#This Row],[Buy Window Start]], NOW()&lt;=tbl_MTG_Set[[#This Row],[Buy Window End]])</f>
        <v/>
      </c>
      <c r="O366">
        <f>_xlfn.XLOOKUP(tbl_MTG_Set[[#This Row],[Type Name]], tbl_MTG_Set_Type[Set Type], tbl_MTG_Set_Type[Heavy Printing Window Month Start], "(Set Type not found)", 0, 1)</f>
        <v/>
      </c>
      <c r="P366" s="3">
        <f>tbl_MTG_Set[[#This Row],[Released On]]+tbl_MTG_Set[[#This Row],[Heavy Printing Window Month Start]]*365.25/12</f>
        <v/>
      </c>
      <c r="Q366">
        <f>_xlfn.XLOOKUP(tbl_MTG_Set[[#This Row],[Type Name]], tbl_MTG_Set_Type[Set Type], tbl_MTG_Set_Type[Heavy Printing Window Month End], "(Set Type not found)", 0, 1)</f>
        <v/>
      </c>
      <c r="R366" s="3">
        <f>tbl_MTG_Set[[#This Row],[Released On]]+tbl_MTG_Set[[#This Row],[Heavy Printing Window Month End]]*365.25/12</f>
        <v/>
      </c>
      <c r="S366" s="3">
        <f>AND(NOW()&gt;=tbl_MTG_Set[[#This Row],[Heavy Printing Window Start]], NOW()&lt;=tbl_MTG_Set[[#This Row],[Heavy Printing Window End]])</f>
        <v/>
      </c>
      <c r="T366">
        <f>_xlfn.XLOOKUP(tbl_MTG_Set[[#This Row],[Type Name]], tbl_MTG_Set_Type[Set Type], tbl_MTG_Set_Type[Sell Window Month Start], "(Set Type not found)", 0, 1)</f>
        <v/>
      </c>
      <c r="U366" s="3">
        <f>tbl_MTG_Set[[#This Row],[Released On]]+tbl_MTG_Set[[#This Row],[Sell Window Month Start]]*365.25/12</f>
        <v/>
      </c>
      <c r="V366">
        <f>_xlfn.XLOOKUP(tbl_MTG_Set[[#This Row],[Type Name]], tbl_MTG_Set_Type[Set Type], tbl_MTG_Set_Type[Sell Window Month End], "(Set Type not found)", 0, 1)</f>
        <v/>
      </c>
      <c r="W366" s="3">
        <f>tbl_MTG_Set[[#This Row],[Released On]]+tbl_MTG_Set[[#This Row],[Sell Window Month End]]*365.25/12</f>
        <v/>
      </c>
      <c r="X366" s="3">
        <f>AND(NOW()&gt;=tbl_MTG_Set[[#This Row],[Sell Window Start]], NOW()&lt;=tbl_MTG_Set[[#This Row],[Sell Window End]])</f>
        <v/>
      </c>
      <c r="AG366" s="10" t="n"/>
      <c r="AH366" s="10" t="n"/>
      <c r="AM366" s="10">
        <f t="array" ref="AM3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6" s="10">
        <f t="array" ref="AN3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6" s="4">
        <f>_xlfn.XLOOKUP(tbl_MTG_Set[[#This Row],[Play Booster Box Product Id]], tbl_Product[Product Id], tbl_Product[Pack Size])</f>
        <v/>
      </c>
      <c r="AP366" s="10">
        <f>(tbl_MTG_Set[[#This Row],[Play Booster Box Cost]]+v_Item_Shipping_Cost_In)/tbl_MTG_Set[[#This Row],[Play Booster Box Size]]</f>
        <v/>
      </c>
      <c r="AQ366" s="10">
        <f t="array" ref="AQ3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6" s="10" t="n"/>
      <c r="AS366" s="10" t="n"/>
      <c r="AT366" s="17">
        <f>tbl_MTG_Set[[#This Row],[Play Booster CardMarket Profit]]/tbl_MTG_Set[[#This Row],[Play Booster Cost]]</f>
        <v/>
      </c>
      <c r="AU366" s="10">
        <f>_xlfn.XLOOKUP(tbl_MTG_Set[[#This Row],[Collector Booster Box Product Id]], tbl_Product[Product Id], tbl_Product[Min Cost])</f>
        <v/>
      </c>
      <c r="AV366" s="10">
        <f>_xlfn.XLOOKUP(tbl_MTG_Set[[#This Row],[Collector Booster Box Product Id]], tbl_Product[Product Id], tbl_Product[Best Source])</f>
        <v/>
      </c>
      <c r="AW366" s="4">
        <f>_xlfn.XLOOKUP(tbl_MTG_Set[[#This Row],[Collector Booster Box Product Id]], tbl_Product[Product Id], tbl_Product[Pack Size])</f>
        <v/>
      </c>
      <c r="AX366" s="10">
        <f>(tbl_MTG_Set[[#This Row],[Collector Booster Box Cost]] + v_Item_Shipping_Cost_In) / tbl_MTG_Set[[#This Row],[Collector Booster Box Size]]</f>
        <v/>
      </c>
      <c r="AY366" s="10">
        <f t="array" ref="AY3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6" s="10" t="n"/>
      <c r="BA3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6" s="17">
        <f>tbl_MTG_Set[[#This Row],[Collector Booster CardMarket Profit]]/tbl_MTG_Set[[#This Row],[Collector Booster Cost]]</f>
        <v/>
      </c>
      <c r="BC366" s="10" t="n"/>
      <c r="BF366" s="10">
        <f>tbl_MTG_Set[[#This Row],[Play Booster Sell Price CardMarket]]*tbl_MTG_Set[[#This Row],[Play Booster Expected Market Value]]/tbl_MTG_Set[[#This Row],[Play Boost Sealed Market Value]]</f>
        <v/>
      </c>
      <c r="BG3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6" s="10">
        <f>tbl_MTG_Set[[#This Row],[Play Singles CardMarket Profit]]/tbl_MTG_Set[[#This Row],[Play Booster Cost]]</f>
        <v/>
      </c>
      <c r="BI366" s="10">
        <f>tbl_MTG_Set[[#This Row],[Play Singles CardMarket Profit]]&gt;0</f>
        <v/>
      </c>
      <c r="BJ366" s="10" t="n"/>
      <c r="BK366" s="10" t="n"/>
      <c r="BL366" s="10">
        <f>tbl_MTG_Set[[#This Row],[Collector Booster Sell Price CardMarket]]*tbl_MTG_Set[[#This Row],[Collector Booster Expected Market Value]]/tbl_MTG_Set[[#This Row],[Collector Boost Sealed Market Value]]</f>
        <v/>
      </c>
      <c r="BM3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6" s="10">
        <f>tbl_MTG_Set[[#This Row],[Collector Singles CardMarket Profit]]/tbl_MTG_Set[[#This Row],[Collector Booster Cost]]</f>
        <v/>
      </c>
      <c r="BO366" s="10">
        <f>tbl_MTG_Set[[#This Row],[Collector Singles CardMarket Profit]]&gt;0</f>
        <v/>
      </c>
      <c r="BP3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7">
      <c r="A367" t="n">
        <v>365</v>
      </c>
      <c r="B367" t="inlineStr">
        <is>
          <t>Commander Collection: Green CC1</t>
        </is>
      </c>
      <c r="C367" t="n">
        <v>8</v>
      </c>
      <c r="D367" s="3" t="n">
        <v>44169</v>
      </c>
      <c r="F367" t="inlineStr">
        <is>
          <t>en es fr de it pt ja ko ru 汉语 漢語</t>
        </is>
      </c>
      <c r="G367" t="n">
        <v>676</v>
      </c>
      <c r="H367">
        <f>MONTH(NOW())+12*YEAR(NOW())-MONTH(tbl_MTG_Set[[#This Row],[Released On]])-12*YEAR(tbl_MTG_Set[[#This Row],[Released On]])</f>
        <v/>
      </c>
      <c r="I367">
        <f>_xlfn.XLOOKUP(tbl_MTG_Set[[#This Row],[Type Name]], tbl_MTG_Set_Type[Set Type], tbl_MTG_Set_Type[Index], "(Set Type not found)")</f>
        <v/>
      </c>
      <c r="J367">
        <f>_xlfn.XLOOKUP(tbl_MTG_Set[[#This Row],[Type Name]], tbl_MTG_Set_Type[Set Type], tbl_MTG_Set_Type[Buy Window Month Start], "(Set Type not found)")</f>
        <v/>
      </c>
      <c r="K367" s="3">
        <f>tbl_MTG_Set[[#This Row],[Released On]]+tbl_MTG_Set[[#This Row],[Buy Window Month Start]]*365.25/12</f>
        <v/>
      </c>
      <c r="L367">
        <f>_xlfn.XLOOKUP(tbl_MTG_Set[[#This Row],[Type Name]], tbl_MTG_Set_Type[Set Type], tbl_MTG_Set_Type[Buy Window Month End], "(Set Type not found)", 0, 1)</f>
        <v/>
      </c>
      <c r="M367" s="3">
        <f>tbl_MTG_Set[[#This Row],[Released On]]+tbl_MTG_Set[[#This Row],[Buy Window Month End]]*365.25/12</f>
        <v/>
      </c>
      <c r="N367" s="3">
        <f>AND(NOW()&gt;=tbl_MTG_Set[[#This Row],[Buy Window Start]], NOW()&lt;=tbl_MTG_Set[[#This Row],[Buy Window End]])</f>
        <v/>
      </c>
      <c r="O367">
        <f>_xlfn.XLOOKUP(tbl_MTG_Set[[#This Row],[Type Name]], tbl_MTG_Set_Type[Set Type], tbl_MTG_Set_Type[Heavy Printing Window Month Start], "(Set Type not found)", 0, 1)</f>
        <v/>
      </c>
      <c r="P367" s="3">
        <f>tbl_MTG_Set[[#This Row],[Released On]]+tbl_MTG_Set[[#This Row],[Heavy Printing Window Month Start]]*365.25/12</f>
        <v/>
      </c>
      <c r="Q367">
        <f>_xlfn.XLOOKUP(tbl_MTG_Set[[#This Row],[Type Name]], tbl_MTG_Set_Type[Set Type], tbl_MTG_Set_Type[Heavy Printing Window Month End], "(Set Type not found)", 0, 1)</f>
        <v/>
      </c>
      <c r="R367" s="3">
        <f>tbl_MTG_Set[[#This Row],[Released On]]+tbl_MTG_Set[[#This Row],[Heavy Printing Window Month End]]*365.25/12</f>
        <v/>
      </c>
      <c r="S367" s="3">
        <f>AND(NOW()&gt;=tbl_MTG_Set[[#This Row],[Heavy Printing Window Start]], NOW()&lt;=tbl_MTG_Set[[#This Row],[Heavy Printing Window End]])</f>
        <v/>
      </c>
      <c r="T367">
        <f>_xlfn.XLOOKUP(tbl_MTG_Set[[#This Row],[Type Name]], tbl_MTG_Set_Type[Set Type], tbl_MTG_Set_Type[Sell Window Month Start], "(Set Type not found)", 0, 1)</f>
        <v/>
      </c>
      <c r="U367" s="3">
        <f>tbl_MTG_Set[[#This Row],[Released On]]+tbl_MTG_Set[[#This Row],[Sell Window Month Start]]*365.25/12</f>
        <v/>
      </c>
      <c r="V367">
        <f>_xlfn.XLOOKUP(tbl_MTG_Set[[#This Row],[Type Name]], tbl_MTG_Set_Type[Set Type], tbl_MTG_Set_Type[Sell Window Month End], "(Set Type not found)", 0, 1)</f>
        <v/>
      </c>
      <c r="W367" s="3">
        <f>tbl_MTG_Set[[#This Row],[Released On]]+tbl_MTG_Set[[#This Row],[Sell Window Month End]]*365.25/12</f>
        <v/>
      </c>
      <c r="X367" s="3">
        <f>AND(NOW()&gt;=tbl_MTG_Set[[#This Row],[Sell Window Start]], NOW()&lt;=tbl_MTG_Set[[#This Row],[Sell Window End]])</f>
        <v/>
      </c>
      <c r="AG367" s="10" t="n"/>
      <c r="AH367" s="10" t="n"/>
      <c r="AM367" s="10">
        <f t="array" ref="AM3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7" s="10">
        <f t="array" ref="AN3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7" s="4">
        <f>_xlfn.XLOOKUP(tbl_MTG_Set[[#This Row],[Play Booster Box Product Id]], tbl_Product[Product Id], tbl_Product[Pack Size])</f>
        <v/>
      </c>
      <c r="AP367" s="10">
        <f>(tbl_MTG_Set[[#This Row],[Play Booster Box Cost]]+v_Item_Shipping_Cost_In)/tbl_MTG_Set[[#This Row],[Play Booster Box Size]]</f>
        <v/>
      </c>
      <c r="AQ367" s="10">
        <f t="array" ref="AQ3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7" s="10" t="n"/>
      <c r="AS367" s="10" t="n"/>
      <c r="AT367" s="17">
        <f>tbl_MTG_Set[[#This Row],[Play Booster CardMarket Profit]]/tbl_MTG_Set[[#This Row],[Play Booster Cost]]</f>
        <v/>
      </c>
      <c r="AU367" s="10">
        <f>_xlfn.XLOOKUP(tbl_MTG_Set[[#This Row],[Collector Booster Box Product Id]], tbl_Product[Product Id], tbl_Product[Min Cost])</f>
        <v/>
      </c>
      <c r="AV367" s="10">
        <f>_xlfn.XLOOKUP(tbl_MTG_Set[[#This Row],[Collector Booster Box Product Id]], tbl_Product[Product Id], tbl_Product[Best Source])</f>
        <v/>
      </c>
      <c r="AW367" s="4">
        <f>_xlfn.XLOOKUP(tbl_MTG_Set[[#This Row],[Collector Booster Box Product Id]], tbl_Product[Product Id], tbl_Product[Pack Size])</f>
        <v/>
      </c>
      <c r="AX367" s="10">
        <f>(tbl_MTG_Set[[#This Row],[Collector Booster Box Cost]] + v_Item_Shipping_Cost_In) / tbl_MTG_Set[[#This Row],[Collector Booster Box Size]]</f>
        <v/>
      </c>
      <c r="AY367" s="10">
        <f t="array" ref="AY3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7" s="10" t="n"/>
      <c r="BA3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7" s="17">
        <f>tbl_MTG_Set[[#This Row],[Collector Booster CardMarket Profit]]/tbl_MTG_Set[[#This Row],[Collector Booster Cost]]</f>
        <v/>
      </c>
      <c r="BC367" s="10" t="n"/>
      <c r="BF367" s="10">
        <f>tbl_MTG_Set[[#This Row],[Play Booster Sell Price CardMarket]]*tbl_MTG_Set[[#This Row],[Play Booster Expected Market Value]]/tbl_MTG_Set[[#This Row],[Play Boost Sealed Market Value]]</f>
        <v/>
      </c>
      <c r="BG3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7" s="10">
        <f>tbl_MTG_Set[[#This Row],[Play Singles CardMarket Profit]]/tbl_MTG_Set[[#This Row],[Play Booster Cost]]</f>
        <v/>
      </c>
      <c r="BI367" s="10">
        <f>tbl_MTG_Set[[#This Row],[Play Singles CardMarket Profit]]&gt;0</f>
        <v/>
      </c>
      <c r="BJ367" s="10" t="n"/>
      <c r="BK367" s="10" t="n"/>
      <c r="BL367" s="10">
        <f>tbl_MTG_Set[[#This Row],[Collector Booster Sell Price CardMarket]]*tbl_MTG_Set[[#This Row],[Collector Booster Expected Market Value]]/tbl_MTG_Set[[#This Row],[Collector Boost Sealed Market Value]]</f>
        <v/>
      </c>
      <c r="BM3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7" s="10">
        <f>tbl_MTG_Set[[#This Row],[Collector Singles CardMarket Profit]]/tbl_MTG_Set[[#This Row],[Collector Booster Cost]]</f>
        <v/>
      </c>
      <c r="BO367" s="10">
        <f>tbl_MTG_Set[[#This Row],[Collector Singles CardMarket Profit]]&gt;0</f>
        <v/>
      </c>
      <c r="BP3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8">
      <c r="A368" t="n">
        <v>366</v>
      </c>
      <c r="B368" t="inlineStr">
        <is>
          <t>Commander Legends CMR</t>
        </is>
      </c>
      <c r="C368" t="n">
        <v>718</v>
      </c>
      <c r="D368" s="3" t="n">
        <v>44155</v>
      </c>
      <c r="F368" t="inlineStr">
        <is>
          <t>en es fr de it pt ja ko ru 汉语 漢語</t>
        </is>
      </c>
      <c r="G368" t="n">
        <v>678</v>
      </c>
      <c r="H368">
        <f>MONTH(NOW())+12*YEAR(NOW())-MONTH(tbl_MTG_Set[[#This Row],[Released On]])-12*YEAR(tbl_MTG_Set[[#This Row],[Released On]])</f>
        <v/>
      </c>
      <c r="I368">
        <f>_xlfn.XLOOKUP(tbl_MTG_Set[[#This Row],[Type Name]], tbl_MTG_Set_Type[Set Type], tbl_MTG_Set_Type[Index], "(Set Type not found)")</f>
        <v/>
      </c>
      <c r="J368">
        <f>_xlfn.XLOOKUP(tbl_MTG_Set[[#This Row],[Type Name]], tbl_MTG_Set_Type[Set Type], tbl_MTG_Set_Type[Buy Window Month Start], "(Set Type not found)")</f>
        <v/>
      </c>
      <c r="K368" s="3">
        <f>tbl_MTG_Set[[#This Row],[Released On]]+tbl_MTG_Set[[#This Row],[Buy Window Month Start]]*365.25/12</f>
        <v/>
      </c>
      <c r="L368">
        <f>_xlfn.XLOOKUP(tbl_MTG_Set[[#This Row],[Type Name]], tbl_MTG_Set_Type[Set Type], tbl_MTG_Set_Type[Buy Window Month End], "(Set Type not found)", 0, 1)</f>
        <v/>
      </c>
      <c r="M368" s="3">
        <f>tbl_MTG_Set[[#This Row],[Released On]]+tbl_MTG_Set[[#This Row],[Buy Window Month End]]*365.25/12</f>
        <v/>
      </c>
      <c r="N368" s="3">
        <f>AND(NOW()&gt;=tbl_MTG_Set[[#This Row],[Buy Window Start]], NOW()&lt;=tbl_MTG_Set[[#This Row],[Buy Window End]])</f>
        <v/>
      </c>
      <c r="O368">
        <f>_xlfn.XLOOKUP(tbl_MTG_Set[[#This Row],[Type Name]], tbl_MTG_Set_Type[Set Type], tbl_MTG_Set_Type[Heavy Printing Window Month Start], "(Set Type not found)", 0, 1)</f>
        <v/>
      </c>
      <c r="P368" s="3">
        <f>tbl_MTG_Set[[#This Row],[Released On]]+tbl_MTG_Set[[#This Row],[Heavy Printing Window Month Start]]*365.25/12</f>
        <v/>
      </c>
      <c r="Q368">
        <f>_xlfn.XLOOKUP(tbl_MTG_Set[[#This Row],[Type Name]], tbl_MTG_Set_Type[Set Type], tbl_MTG_Set_Type[Heavy Printing Window Month End], "(Set Type not found)", 0, 1)</f>
        <v/>
      </c>
      <c r="R368" s="3">
        <f>tbl_MTG_Set[[#This Row],[Released On]]+tbl_MTG_Set[[#This Row],[Heavy Printing Window Month End]]*365.25/12</f>
        <v/>
      </c>
      <c r="S368" s="3">
        <f>AND(NOW()&gt;=tbl_MTG_Set[[#This Row],[Heavy Printing Window Start]], NOW()&lt;=tbl_MTG_Set[[#This Row],[Heavy Printing Window End]])</f>
        <v/>
      </c>
      <c r="T368">
        <f>_xlfn.XLOOKUP(tbl_MTG_Set[[#This Row],[Type Name]], tbl_MTG_Set_Type[Set Type], tbl_MTG_Set_Type[Sell Window Month Start], "(Set Type not found)", 0, 1)</f>
        <v/>
      </c>
      <c r="U368" s="3">
        <f>tbl_MTG_Set[[#This Row],[Released On]]+tbl_MTG_Set[[#This Row],[Sell Window Month Start]]*365.25/12</f>
        <v/>
      </c>
      <c r="V368">
        <f>_xlfn.XLOOKUP(tbl_MTG_Set[[#This Row],[Type Name]], tbl_MTG_Set_Type[Set Type], tbl_MTG_Set_Type[Sell Window Month End], "(Set Type not found)", 0, 1)</f>
        <v/>
      </c>
      <c r="W368" s="3">
        <f>tbl_MTG_Set[[#This Row],[Released On]]+tbl_MTG_Set[[#This Row],[Sell Window Month End]]*365.25/12</f>
        <v/>
      </c>
      <c r="X368" s="3">
        <f>AND(NOW()&gt;=tbl_MTG_Set[[#This Row],[Sell Window Start]], NOW()&lt;=tbl_MTG_Set[[#This Row],[Sell Window End]])</f>
        <v/>
      </c>
      <c r="AG368" s="10" t="n"/>
      <c r="AH368" s="10" t="n"/>
      <c r="AM368" s="10">
        <f t="array" ref="AM3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8" s="10">
        <f t="array" ref="AN3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8" s="4">
        <f>_xlfn.XLOOKUP(tbl_MTG_Set[[#This Row],[Play Booster Box Product Id]], tbl_Product[Product Id], tbl_Product[Pack Size])</f>
        <v/>
      </c>
      <c r="AP368" s="10">
        <f>(tbl_MTG_Set[[#This Row],[Play Booster Box Cost]]+v_Item_Shipping_Cost_In)/tbl_MTG_Set[[#This Row],[Play Booster Box Size]]</f>
        <v/>
      </c>
      <c r="AQ368" s="10">
        <f t="array" ref="AQ3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8" s="10" t="n"/>
      <c r="AS368" s="10" t="n"/>
      <c r="AT368" s="17">
        <f>tbl_MTG_Set[[#This Row],[Play Booster CardMarket Profit]]/tbl_MTG_Set[[#This Row],[Play Booster Cost]]</f>
        <v/>
      </c>
      <c r="AU368" s="10">
        <f>_xlfn.XLOOKUP(tbl_MTG_Set[[#This Row],[Collector Booster Box Product Id]], tbl_Product[Product Id], tbl_Product[Min Cost])</f>
        <v/>
      </c>
      <c r="AV368" s="10">
        <f>_xlfn.XLOOKUP(tbl_MTG_Set[[#This Row],[Collector Booster Box Product Id]], tbl_Product[Product Id], tbl_Product[Best Source])</f>
        <v/>
      </c>
      <c r="AW368" s="4">
        <f>_xlfn.XLOOKUP(tbl_MTG_Set[[#This Row],[Collector Booster Box Product Id]], tbl_Product[Product Id], tbl_Product[Pack Size])</f>
        <v/>
      </c>
      <c r="AX368" s="10">
        <f>(tbl_MTG_Set[[#This Row],[Collector Booster Box Cost]] + v_Item_Shipping_Cost_In) / tbl_MTG_Set[[#This Row],[Collector Booster Box Size]]</f>
        <v/>
      </c>
      <c r="AY368" s="10">
        <f t="array" ref="AY3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8" s="10" t="n"/>
      <c r="BA3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8" s="17">
        <f>tbl_MTG_Set[[#This Row],[Collector Booster CardMarket Profit]]/tbl_MTG_Set[[#This Row],[Collector Booster Cost]]</f>
        <v/>
      </c>
      <c r="BC368" s="10" t="n"/>
      <c r="BF368" s="10">
        <f>tbl_MTG_Set[[#This Row],[Play Booster Sell Price CardMarket]]*tbl_MTG_Set[[#This Row],[Play Booster Expected Market Value]]/tbl_MTG_Set[[#This Row],[Play Boost Sealed Market Value]]</f>
        <v/>
      </c>
      <c r="BG3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8" s="10">
        <f>tbl_MTG_Set[[#This Row],[Play Singles CardMarket Profit]]/tbl_MTG_Set[[#This Row],[Play Booster Cost]]</f>
        <v/>
      </c>
      <c r="BI368" s="10">
        <f>tbl_MTG_Set[[#This Row],[Play Singles CardMarket Profit]]&gt;0</f>
        <v/>
      </c>
      <c r="BJ368" s="10" t="n"/>
      <c r="BK368" s="10" t="n"/>
      <c r="BL368" s="10">
        <f>tbl_MTG_Set[[#This Row],[Collector Booster Sell Price CardMarket]]*tbl_MTG_Set[[#This Row],[Collector Booster Expected Market Value]]/tbl_MTG_Set[[#This Row],[Collector Boost Sealed Market Value]]</f>
        <v/>
      </c>
      <c r="BM3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8" s="10">
        <f>tbl_MTG_Set[[#This Row],[Collector Singles CardMarket Profit]]/tbl_MTG_Set[[#This Row],[Collector Booster Cost]]</f>
        <v/>
      </c>
      <c r="BO368" s="10">
        <f>tbl_MTG_Set[[#This Row],[Collector Singles CardMarket Profit]]&gt;0</f>
        <v/>
      </c>
      <c r="BP3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9">
      <c r="A369" t="n">
        <v>367</v>
      </c>
      <c r="B369" t="inlineStr">
        <is>
          <t>Commander Legends Promos PCMR</t>
        </is>
      </c>
      <c r="C369" t="n">
        <v>6</v>
      </c>
      <c r="D369" s="3" t="n">
        <v>44155</v>
      </c>
      <c r="F369" t="inlineStr">
        <is>
          <t>en es fr de it pt ja ko ru 汉语 漢語</t>
        </is>
      </c>
      <c r="G369" t="n">
        <v>680</v>
      </c>
      <c r="H369">
        <f>MONTH(NOW())+12*YEAR(NOW())-MONTH(tbl_MTG_Set[[#This Row],[Released On]])-12*YEAR(tbl_MTG_Set[[#This Row],[Released On]])</f>
        <v/>
      </c>
      <c r="I369">
        <f>_xlfn.XLOOKUP(tbl_MTG_Set[[#This Row],[Type Name]], tbl_MTG_Set_Type[Set Type], tbl_MTG_Set_Type[Index], "(Set Type not found)")</f>
        <v/>
      </c>
      <c r="J369">
        <f>_xlfn.XLOOKUP(tbl_MTG_Set[[#This Row],[Type Name]], tbl_MTG_Set_Type[Set Type], tbl_MTG_Set_Type[Buy Window Month Start], "(Set Type not found)")</f>
        <v/>
      </c>
      <c r="K369" s="3">
        <f>tbl_MTG_Set[[#This Row],[Released On]]+tbl_MTG_Set[[#This Row],[Buy Window Month Start]]*365.25/12</f>
        <v/>
      </c>
      <c r="L369">
        <f>_xlfn.XLOOKUP(tbl_MTG_Set[[#This Row],[Type Name]], tbl_MTG_Set_Type[Set Type], tbl_MTG_Set_Type[Buy Window Month End], "(Set Type not found)", 0, 1)</f>
        <v/>
      </c>
      <c r="M369" s="3">
        <f>tbl_MTG_Set[[#This Row],[Released On]]+tbl_MTG_Set[[#This Row],[Buy Window Month End]]*365.25/12</f>
        <v/>
      </c>
      <c r="N369" s="3">
        <f>AND(NOW()&gt;=tbl_MTG_Set[[#This Row],[Buy Window Start]], NOW()&lt;=tbl_MTG_Set[[#This Row],[Buy Window End]])</f>
        <v/>
      </c>
      <c r="O369">
        <f>_xlfn.XLOOKUP(tbl_MTG_Set[[#This Row],[Type Name]], tbl_MTG_Set_Type[Set Type], tbl_MTG_Set_Type[Heavy Printing Window Month Start], "(Set Type not found)", 0, 1)</f>
        <v/>
      </c>
      <c r="P369" s="3">
        <f>tbl_MTG_Set[[#This Row],[Released On]]+tbl_MTG_Set[[#This Row],[Heavy Printing Window Month Start]]*365.25/12</f>
        <v/>
      </c>
      <c r="Q369">
        <f>_xlfn.XLOOKUP(tbl_MTG_Set[[#This Row],[Type Name]], tbl_MTG_Set_Type[Set Type], tbl_MTG_Set_Type[Heavy Printing Window Month End], "(Set Type not found)", 0, 1)</f>
        <v/>
      </c>
      <c r="R369" s="3">
        <f>tbl_MTG_Set[[#This Row],[Released On]]+tbl_MTG_Set[[#This Row],[Heavy Printing Window Month End]]*365.25/12</f>
        <v/>
      </c>
      <c r="S369" s="3">
        <f>AND(NOW()&gt;=tbl_MTG_Set[[#This Row],[Heavy Printing Window Start]], NOW()&lt;=tbl_MTG_Set[[#This Row],[Heavy Printing Window End]])</f>
        <v/>
      </c>
      <c r="T369">
        <f>_xlfn.XLOOKUP(tbl_MTG_Set[[#This Row],[Type Name]], tbl_MTG_Set_Type[Set Type], tbl_MTG_Set_Type[Sell Window Month Start], "(Set Type not found)", 0, 1)</f>
        <v/>
      </c>
      <c r="U369" s="3">
        <f>tbl_MTG_Set[[#This Row],[Released On]]+tbl_MTG_Set[[#This Row],[Sell Window Month Start]]*365.25/12</f>
        <v/>
      </c>
      <c r="V369">
        <f>_xlfn.XLOOKUP(tbl_MTG_Set[[#This Row],[Type Name]], tbl_MTG_Set_Type[Set Type], tbl_MTG_Set_Type[Sell Window Month End], "(Set Type not found)", 0, 1)</f>
        <v/>
      </c>
      <c r="W369" s="3">
        <f>tbl_MTG_Set[[#This Row],[Released On]]+tbl_MTG_Set[[#This Row],[Sell Window Month End]]*365.25/12</f>
        <v/>
      </c>
      <c r="X369" s="3">
        <f>AND(NOW()&gt;=tbl_MTG_Set[[#This Row],[Sell Window Start]], NOW()&lt;=tbl_MTG_Set[[#This Row],[Sell Window End]])</f>
        <v/>
      </c>
      <c r="AG369" s="10" t="n"/>
      <c r="AH369" s="10" t="n"/>
      <c r="AM369" s="10">
        <f t="array" ref="AM3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9" s="10">
        <f t="array" ref="AN3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9" s="4">
        <f>_xlfn.XLOOKUP(tbl_MTG_Set[[#This Row],[Play Booster Box Product Id]], tbl_Product[Product Id], tbl_Product[Pack Size])</f>
        <v/>
      </c>
      <c r="AP369" s="10">
        <f>(tbl_MTG_Set[[#This Row],[Play Booster Box Cost]]+v_Item_Shipping_Cost_In)/tbl_MTG_Set[[#This Row],[Play Booster Box Size]]</f>
        <v/>
      </c>
      <c r="AQ369" s="10">
        <f t="array" ref="AQ3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69" s="10" t="n"/>
      <c r="AS369" s="10" t="n"/>
      <c r="AT369" s="17">
        <f>tbl_MTG_Set[[#This Row],[Play Booster CardMarket Profit]]/tbl_MTG_Set[[#This Row],[Play Booster Cost]]</f>
        <v/>
      </c>
      <c r="AU369" s="10">
        <f>_xlfn.XLOOKUP(tbl_MTG_Set[[#This Row],[Collector Booster Box Product Id]], tbl_Product[Product Id], tbl_Product[Min Cost])</f>
        <v/>
      </c>
      <c r="AV369" s="10">
        <f>_xlfn.XLOOKUP(tbl_MTG_Set[[#This Row],[Collector Booster Box Product Id]], tbl_Product[Product Id], tbl_Product[Best Source])</f>
        <v/>
      </c>
      <c r="AW369" s="4">
        <f>_xlfn.XLOOKUP(tbl_MTG_Set[[#This Row],[Collector Booster Box Product Id]], tbl_Product[Product Id], tbl_Product[Pack Size])</f>
        <v/>
      </c>
      <c r="AX369" s="10">
        <f>(tbl_MTG_Set[[#This Row],[Collector Booster Box Cost]] + v_Item_Shipping_Cost_In) / tbl_MTG_Set[[#This Row],[Collector Booster Box Size]]</f>
        <v/>
      </c>
      <c r="AY369" s="10">
        <f t="array" ref="AY3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69" s="10" t="n"/>
      <c r="BA3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9" s="17">
        <f>tbl_MTG_Set[[#This Row],[Collector Booster CardMarket Profit]]/tbl_MTG_Set[[#This Row],[Collector Booster Cost]]</f>
        <v/>
      </c>
      <c r="BC369" s="10" t="n"/>
      <c r="BF369" s="10">
        <f>tbl_MTG_Set[[#This Row],[Play Booster Sell Price CardMarket]]*tbl_MTG_Set[[#This Row],[Play Booster Expected Market Value]]/tbl_MTG_Set[[#This Row],[Play Boost Sealed Market Value]]</f>
        <v/>
      </c>
      <c r="BG3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9" s="10">
        <f>tbl_MTG_Set[[#This Row],[Play Singles CardMarket Profit]]/tbl_MTG_Set[[#This Row],[Play Booster Cost]]</f>
        <v/>
      </c>
      <c r="BI369" s="10">
        <f>tbl_MTG_Set[[#This Row],[Play Singles CardMarket Profit]]&gt;0</f>
        <v/>
      </c>
      <c r="BJ369" s="10" t="n"/>
      <c r="BK369" s="10" t="n"/>
      <c r="BL369" s="10">
        <f>tbl_MTG_Set[[#This Row],[Collector Booster Sell Price CardMarket]]*tbl_MTG_Set[[#This Row],[Collector Booster Expected Market Value]]/tbl_MTG_Set[[#This Row],[Collector Boost Sealed Market Value]]</f>
        <v/>
      </c>
      <c r="BM3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9" s="10">
        <f>tbl_MTG_Set[[#This Row],[Collector Singles CardMarket Profit]]/tbl_MTG_Set[[#This Row],[Collector Booster Cost]]</f>
        <v/>
      </c>
      <c r="BO369" s="10">
        <f>tbl_MTG_Set[[#This Row],[Collector Singles CardMarket Profit]]&gt;0</f>
        <v/>
      </c>
      <c r="BP3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0">
      <c r="A370" t="n">
        <v>368</v>
      </c>
      <c r="B370" t="inlineStr">
        <is>
          <t>Commander Legends Tokens TCMR</t>
        </is>
      </c>
      <c r="C370" t="n">
        <v>23</v>
      </c>
      <c r="D370" s="3" t="n">
        <v>44155</v>
      </c>
      <c r="F370" t="inlineStr">
        <is>
          <t>en es fr de it pt ja ko ru 汉语 漢語</t>
        </is>
      </c>
      <c r="G370" t="n">
        <v>682</v>
      </c>
      <c r="H370">
        <f>MONTH(NOW())+12*YEAR(NOW())-MONTH(tbl_MTG_Set[[#This Row],[Released On]])-12*YEAR(tbl_MTG_Set[[#This Row],[Released On]])</f>
        <v/>
      </c>
      <c r="I370">
        <f>_xlfn.XLOOKUP(tbl_MTG_Set[[#This Row],[Type Name]], tbl_MTG_Set_Type[Set Type], tbl_MTG_Set_Type[Index], "(Set Type not found)")</f>
        <v/>
      </c>
      <c r="J370">
        <f>_xlfn.XLOOKUP(tbl_MTG_Set[[#This Row],[Type Name]], tbl_MTG_Set_Type[Set Type], tbl_MTG_Set_Type[Buy Window Month Start], "(Set Type not found)")</f>
        <v/>
      </c>
      <c r="K370" s="3">
        <f>tbl_MTG_Set[[#This Row],[Released On]]+tbl_MTG_Set[[#This Row],[Buy Window Month Start]]*365.25/12</f>
        <v/>
      </c>
      <c r="L370">
        <f>_xlfn.XLOOKUP(tbl_MTG_Set[[#This Row],[Type Name]], tbl_MTG_Set_Type[Set Type], tbl_MTG_Set_Type[Buy Window Month End], "(Set Type not found)", 0, 1)</f>
        <v/>
      </c>
      <c r="M370" s="3">
        <f>tbl_MTG_Set[[#This Row],[Released On]]+tbl_MTG_Set[[#This Row],[Buy Window Month End]]*365.25/12</f>
        <v/>
      </c>
      <c r="N370" s="3">
        <f>AND(NOW()&gt;=tbl_MTG_Set[[#This Row],[Buy Window Start]], NOW()&lt;=tbl_MTG_Set[[#This Row],[Buy Window End]])</f>
        <v/>
      </c>
      <c r="O370">
        <f>_xlfn.XLOOKUP(tbl_MTG_Set[[#This Row],[Type Name]], tbl_MTG_Set_Type[Set Type], tbl_MTG_Set_Type[Heavy Printing Window Month Start], "(Set Type not found)", 0, 1)</f>
        <v/>
      </c>
      <c r="P370" s="3">
        <f>tbl_MTG_Set[[#This Row],[Released On]]+tbl_MTG_Set[[#This Row],[Heavy Printing Window Month Start]]*365.25/12</f>
        <v/>
      </c>
      <c r="Q370">
        <f>_xlfn.XLOOKUP(tbl_MTG_Set[[#This Row],[Type Name]], tbl_MTG_Set_Type[Set Type], tbl_MTG_Set_Type[Heavy Printing Window Month End], "(Set Type not found)", 0, 1)</f>
        <v/>
      </c>
      <c r="R370" s="3">
        <f>tbl_MTG_Set[[#This Row],[Released On]]+tbl_MTG_Set[[#This Row],[Heavy Printing Window Month End]]*365.25/12</f>
        <v/>
      </c>
      <c r="S370" s="3">
        <f>AND(NOW()&gt;=tbl_MTG_Set[[#This Row],[Heavy Printing Window Start]], NOW()&lt;=tbl_MTG_Set[[#This Row],[Heavy Printing Window End]])</f>
        <v/>
      </c>
      <c r="T370">
        <f>_xlfn.XLOOKUP(tbl_MTG_Set[[#This Row],[Type Name]], tbl_MTG_Set_Type[Set Type], tbl_MTG_Set_Type[Sell Window Month Start], "(Set Type not found)", 0, 1)</f>
        <v/>
      </c>
      <c r="U370" s="3">
        <f>tbl_MTG_Set[[#This Row],[Released On]]+tbl_MTG_Set[[#This Row],[Sell Window Month Start]]*365.25/12</f>
        <v/>
      </c>
      <c r="V370">
        <f>_xlfn.XLOOKUP(tbl_MTG_Set[[#This Row],[Type Name]], tbl_MTG_Set_Type[Set Type], tbl_MTG_Set_Type[Sell Window Month End], "(Set Type not found)", 0, 1)</f>
        <v/>
      </c>
      <c r="W370" s="3">
        <f>tbl_MTG_Set[[#This Row],[Released On]]+tbl_MTG_Set[[#This Row],[Sell Window Month End]]*365.25/12</f>
        <v/>
      </c>
      <c r="X370" s="3">
        <f>AND(NOW()&gt;=tbl_MTG_Set[[#This Row],[Sell Window Start]], NOW()&lt;=tbl_MTG_Set[[#This Row],[Sell Window End]])</f>
        <v/>
      </c>
      <c r="AG370" s="10" t="n"/>
      <c r="AH370" s="10" t="n"/>
      <c r="AM370" s="10">
        <f t="array" ref="AM3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0" s="10">
        <f t="array" ref="AN3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0" s="4">
        <f>_xlfn.XLOOKUP(tbl_MTG_Set[[#This Row],[Play Booster Box Product Id]], tbl_Product[Product Id], tbl_Product[Pack Size])</f>
        <v/>
      </c>
      <c r="AP370" s="10">
        <f>(tbl_MTG_Set[[#This Row],[Play Booster Box Cost]]+v_Item_Shipping_Cost_In)/tbl_MTG_Set[[#This Row],[Play Booster Box Size]]</f>
        <v/>
      </c>
      <c r="AQ370" s="10">
        <f t="array" ref="AQ3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0" s="10" t="n"/>
      <c r="AS370" s="10" t="n"/>
      <c r="AT370" s="17">
        <f>tbl_MTG_Set[[#This Row],[Play Booster CardMarket Profit]]/tbl_MTG_Set[[#This Row],[Play Booster Cost]]</f>
        <v/>
      </c>
      <c r="AU370" s="10">
        <f>_xlfn.XLOOKUP(tbl_MTG_Set[[#This Row],[Collector Booster Box Product Id]], tbl_Product[Product Id], tbl_Product[Min Cost])</f>
        <v/>
      </c>
      <c r="AV370" s="10">
        <f>_xlfn.XLOOKUP(tbl_MTG_Set[[#This Row],[Collector Booster Box Product Id]], tbl_Product[Product Id], tbl_Product[Best Source])</f>
        <v/>
      </c>
      <c r="AW370" s="4">
        <f>_xlfn.XLOOKUP(tbl_MTG_Set[[#This Row],[Collector Booster Box Product Id]], tbl_Product[Product Id], tbl_Product[Pack Size])</f>
        <v/>
      </c>
      <c r="AX370" s="10">
        <f>(tbl_MTG_Set[[#This Row],[Collector Booster Box Cost]] + v_Item_Shipping_Cost_In) / tbl_MTG_Set[[#This Row],[Collector Booster Box Size]]</f>
        <v/>
      </c>
      <c r="AY370" s="10">
        <f t="array" ref="AY3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0" s="10" t="n"/>
      <c r="BA3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0" s="17">
        <f>tbl_MTG_Set[[#This Row],[Collector Booster CardMarket Profit]]/tbl_MTG_Set[[#This Row],[Collector Booster Cost]]</f>
        <v/>
      </c>
      <c r="BC370" s="10" t="n"/>
      <c r="BF370" s="10">
        <f>tbl_MTG_Set[[#This Row],[Play Booster Sell Price CardMarket]]*tbl_MTG_Set[[#This Row],[Play Booster Expected Market Value]]/tbl_MTG_Set[[#This Row],[Play Boost Sealed Market Value]]</f>
        <v/>
      </c>
      <c r="BG3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0" s="10">
        <f>tbl_MTG_Set[[#This Row],[Play Singles CardMarket Profit]]/tbl_MTG_Set[[#This Row],[Play Booster Cost]]</f>
        <v/>
      </c>
      <c r="BI370" s="10">
        <f>tbl_MTG_Set[[#This Row],[Play Singles CardMarket Profit]]&gt;0</f>
        <v/>
      </c>
      <c r="BJ370" s="10" t="n"/>
      <c r="BK370" s="10" t="n"/>
      <c r="BL370" s="10">
        <f>tbl_MTG_Set[[#This Row],[Collector Booster Sell Price CardMarket]]*tbl_MTG_Set[[#This Row],[Collector Booster Expected Market Value]]/tbl_MTG_Set[[#This Row],[Collector Boost Sealed Market Value]]</f>
        <v/>
      </c>
      <c r="BM3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0" s="10">
        <f>tbl_MTG_Set[[#This Row],[Collector Singles CardMarket Profit]]/tbl_MTG_Set[[#This Row],[Collector Booster Cost]]</f>
        <v/>
      </c>
      <c r="BO370" s="10">
        <f>tbl_MTG_Set[[#This Row],[Collector Singles CardMarket Profit]]&gt;0</f>
        <v/>
      </c>
      <c r="BP3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1">
      <c r="A371" t="n">
        <v>369</v>
      </c>
      <c r="B371" t="inlineStr">
        <is>
          <t>Kaladesh Remastered KLR</t>
        </is>
      </c>
      <c r="C371" t="n">
        <v>302</v>
      </c>
      <c r="D371" s="3" t="n">
        <v>44147</v>
      </c>
      <c r="F371" t="inlineStr">
        <is>
          <t>en es fr de it pt ja ko ru 汉语 漢語</t>
        </is>
      </c>
      <c r="G371" t="n">
        <v>684</v>
      </c>
      <c r="H371">
        <f>MONTH(NOW())+12*YEAR(NOW())-MONTH(tbl_MTG_Set[[#This Row],[Released On]])-12*YEAR(tbl_MTG_Set[[#This Row],[Released On]])</f>
        <v/>
      </c>
      <c r="I371">
        <f>_xlfn.XLOOKUP(tbl_MTG_Set[[#This Row],[Type Name]], tbl_MTG_Set_Type[Set Type], tbl_MTG_Set_Type[Index], "(Set Type not found)")</f>
        <v/>
      </c>
      <c r="J371">
        <f>_xlfn.XLOOKUP(tbl_MTG_Set[[#This Row],[Type Name]], tbl_MTG_Set_Type[Set Type], tbl_MTG_Set_Type[Buy Window Month Start], "(Set Type not found)")</f>
        <v/>
      </c>
      <c r="K371" s="3">
        <f>tbl_MTG_Set[[#This Row],[Released On]]+tbl_MTG_Set[[#This Row],[Buy Window Month Start]]*365.25/12</f>
        <v/>
      </c>
      <c r="L371">
        <f>_xlfn.XLOOKUP(tbl_MTG_Set[[#This Row],[Type Name]], tbl_MTG_Set_Type[Set Type], tbl_MTG_Set_Type[Buy Window Month End], "(Set Type not found)", 0, 1)</f>
        <v/>
      </c>
      <c r="M371" s="3">
        <f>tbl_MTG_Set[[#This Row],[Released On]]+tbl_MTG_Set[[#This Row],[Buy Window Month End]]*365.25/12</f>
        <v/>
      </c>
      <c r="N371" s="3">
        <f>AND(NOW()&gt;=tbl_MTG_Set[[#This Row],[Buy Window Start]], NOW()&lt;=tbl_MTG_Set[[#This Row],[Buy Window End]])</f>
        <v/>
      </c>
      <c r="O371">
        <f>_xlfn.XLOOKUP(tbl_MTG_Set[[#This Row],[Type Name]], tbl_MTG_Set_Type[Set Type], tbl_MTG_Set_Type[Heavy Printing Window Month Start], "(Set Type not found)", 0, 1)</f>
        <v/>
      </c>
      <c r="P371" s="3">
        <f>tbl_MTG_Set[[#This Row],[Released On]]+tbl_MTG_Set[[#This Row],[Heavy Printing Window Month Start]]*365.25/12</f>
        <v/>
      </c>
      <c r="Q371">
        <f>_xlfn.XLOOKUP(tbl_MTG_Set[[#This Row],[Type Name]], tbl_MTG_Set_Type[Set Type], tbl_MTG_Set_Type[Heavy Printing Window Month End], "(Set Type not found)", 0, 1)</f>
        <v/>
      </c>
      <c r="R371" s="3">
        <f>tbl_MTG_Set[[#This Row],[Released On]]+tbl_MTG_Set[[#This Row],[Heavy Printing Window Month End]]*365.25/12</f>
        <v/>
      </c>
      <c r="S371" s="3">
        <f>AND(NOW()&gt;=tbl_MTG_Set[[#This Row],[Heavy Printing Window Start]], NOW()&lt;=tbl_MTG_Set[[#This Row],[Heavy Printing Window End]])</f>
        <v/>
      </c>
      <c r="T371">
        <f>_xlfn.XLOOKUP(tbl_MTG_Set[[#This Row],[Type Name]], tbl_MTG_Set_Type[Set Type], tbl_MTG_Set_Type[Sell Window Month Start], "(Set Type not found)", 0, 1)</f>
        <v/>
      </c>
      <c r="U371" s="3">
        <f>tbl_MTG_Set[[#This Row],[Released On]]+tbl_MTG_Set[[#This Row],[Sell Window Month Start]]*365.25/12</f>
        <v/>
      </c>
      <c r="V371">
        <f>_xlfn.XLOOKUP(tbl_MTG_Set[[#This Row],[Type Name]], tbl_MTG_Set_Type[Set Type], tbl_MTG_Set_Type[Sell Window Month End], "(Set Type not found)", 0, 1)</f>
        <v/>
      </c>
      <c r="W371" s="3">
        <f>tbl_MTG_Set[[#This Row],[Released On]]+tbl_MTG_Set[[#This Row],[Sell Window Month End]]*365.25/12</f>
        <v/>
      </c>
      <c r="X371" s="3">
        <f>AND(NOW()&gt;=tbl_MTG_Set[[#This Row],[Sell Window Start]], NOW()&lt;=tbl_MTG_Set[[#This Row],[Sell Window End]])</f>
        <v/>
      </c>
      <c r="AG371" s="10" t="n"/>
      <c r="AH371" s="10" t="n"/>
      <c r="AM371" s="10">
        <f t="array" ref="AM3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1" s="10">
        <f t="array" ref="AN3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1" s="4">
        <f>_xlfn.XLOOKUP(tbl_MTG_Set[[#This Row],[Play Booster Box Product Id]], tbl_Product[Product Id], tbl_Product[Pack Size])</f>
        <v/>
      </c>
      <c r="AP371" s="10">
        <f>(tbl_MTG_Set[[#This Row],[Play Booster Box Cost]]+v_Item_Shipping_Cost_In)/tbl_MTG_Set[[#This Row],[Play Booster Box Size]]</f>
        <v/>
      </c>
      <c r="AQ371" s="10">
        <f t="array" ref="AQ3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1" s="10" t="n"/>
      <c r="AS371" s="10" t="n"/>
      <c r="AT371" s="17">
        <f>tbl_MTG_Set[[#This Row],[Play Booster CardMarket Profit]]/tbl_MTG_Set[[#This Row],[Play Booster Cost]]</f>
        <v/>
      </c>
      <c r="AU371" s="10">
        <f>_xlfn.XLOOKUP(tbl_MTG_Set[[#This Row],[Collector Booster Box Product Id]], tbl_Product[Product Id], tbl_Product[Min Cost])</f>
        <v/>
      </c>
      <c r="AV371" s="10">
        <f>_xlfn.XLOOKUP(tbl_MTG_Set[[#This Row],[Collector Booster Box Product Id]], tbl_Product[Product Id], tbl_Product[Best Source])</f>
        <v/>
      </c>
      <c r="AW371" s="4">
        <f>_xlfn.XLOOKUP(tbl_MTG_Set[[#This Row],[Collector Booster Box Product Id]], tbl_Product[Product Id], tbl_Product[Pack Size])</f>
        <v/>
      </c>
      <c r="AX371" s="10">
        <f>(tbl_MTG_Set[[#This Row],[Collector Booster Box Cost]] + v_Item_Shipping_Cost_In) / tbl_MTG_Set[[#This Row],[Collector Booster Box Size]]</f>
        <v/>
      </c>
      <c r="AY371" s="10">
        <f t="array" ref="AY3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1" s="10" t="n"/>
      <c r="BA3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1" s="17">
        <f>tbl_MTG_Set[[#This Row],[Collector Booster CardMarket Profit]]/tbl_MTG_Set[[#This Row],[Collector Booster Cost]]</f>
        <v/>
      </c>
      <c r="BC371" s="10" t="n"/>
      <c r="BF371" s="10">
        <f>tbl_MTG_Set[[#This Row],[Play Booster Sell Price CardMarket]]*tbl_MTG_Set[[#This Row],[Play Booster Expected Market Value]]/tbl_MTG_Set[[#This Row],[Play Boost Sealed Market Value]]</f>
        <v/>
      </c>
      <c r="BG3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1" s="10">
        <f>tbl_MTG_Set[[#This Row],[Play Singles CardMarket Profit]]/tbl_MTG_Set[[#This Row],[Play Booster Cost]]</f>
        <v/>
      </c>
      <c r="BI371" s="10">
        <f>tbl_MTG_Set[[#This Row],[Play Singles CardMarket Profit]]&gt;0</f>
        <v/>
      </c>
      <c r="BJ371" s="10" t="n"/>
      <c r="BK371" s="10" t="n"/>
      <c r="BL371" s="10">
        <f>tbl_MTG_Set[[#This Row],[Collector Booster Sell Price CardMarket]]*tbl_MTG_Set[[#This Row],[Collector Booster Expected Market Value]]/tbl_MTG_Set[[#This Row],[Collector Boost Sealed Market Value]]</f>
        <v/>
      </c>
      <c r="BM3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1" s="10">
        <f>tbl_MTG_Set[[#This Row],[Collector Singles CardMarket Profit]]/tbl_MTG_Set[[#This Row],[Collector Booster Cost]]</f>
        <v/>
      </c>
      <c r="BO371" s="10">
        <f>tbl_MTG_Set[[#This Row],[Collector Singles CardMarket Profit]]&gt;0</f>
        <v/>
      </c>
      <c r="BP3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2">
      <c r="A372" t="n">
        <v>370</v>
      </c>
      <c r="B372" t="inlineStr">
        <is>
          <t>The List PLST</t>
        </is>
      </c>
      <c r="C372" t="n">
        <v>5050</v>
      </c>
      <c r="D372" s="3" t="n">
        <v>44100</v>
      </c>
      <c r="F372" t="inlineStr">
        <is>
          <t>en es fr de it pt ja ko ru 汉语 漢語</t>
        </is>
      </c>
      <c r="G372" t="n">
        <v>686</v>
      </c>
      <c r="H372">
        <f>MONTH(NOW())+12*YEAR(NOW())-MONTH(tbl_MTG_Set[[#This Row],[Released On]])-12*YEAR(tbl_MTG_Set[[#This Row],[Released On]])</f>
        <v/>
      </c>
      <c r="I372">
        <f>_xlfn.XLOOKUP(tbl_MTG_Set[[#This Row],[Type Name]], tbl_MTG_Set_Type[Set Type], tbl_MTG_Set_Type[Index], "(Set Type not found)")</f>
        <v/>
      </c>
      <c r="J372">
        <f>_xlfn.XLOOKUP(tbl_MTG_Set[[#This Row],[Type Name]], tbl_MTG_Set_Type[Set Type], tbl_MTG_Set_Type[Buy Window Month Start], "(Set Type not found)")</f>
        <v/>
      </c>
      <c r="K372" s="3">
        <f>tbl_MTG_Set[[#This Row],[Released On]]+tbl_MTG_Set[[#This Row],[Buy Window Month Start]]*365.25/12</f>
        <v/>
      </c>
      <c r="L372">
        <f>_xlfn.XLOOKUP(tbl_MTG_Set[[#This Row],[Type Name]], tbl_MTG_Set_Type[Set Type], tbl_MTG_Set_Type[Buy Window Month End], "(Set Type not found)", 0, 1)</f>
        <v/>
      </c>
      <c r="M372" s="3">
        <f>tbl_MTG_Set[[#This Row],[Released On]]+tbl_MTG_Set[[#This Row],[Buy Window Month End]]*365.25/12</f>
        <v/>
      </c>
      <c r="N372" s="3">
        <f>AND(NOW()&gt;=tbl_MTG_Set[[#This Row],[Buy Window Start]], NOW()&lt;=tbl_MTG_Set[[#This Row],[Buy Window End]])</f>
        <v/>
      </c>
      <c r="O372">
        <f>_xlfn.XLOOKUP(tbl_MTG_Set[[#This Row],[Type Name]], tbl_MTG_Set_Type[Set Type], tbl_MTG_Set_Type[Heavy Printing Window Month Start], "(Set Type not found)", 0, 1)</f>
        <v/>
      </c>
      <c r="P372" s="3">
        <f>tbl_MTG_Set[[#This Row],[Released On]]+tbl_MTG_Set[[#This Row],[Heavy Printing Window Month Start]]*365.25/12</f>
        <v/>
      </c>
      <c r="Q372">
        <f>_xlfn.XLOOKUP(tbl_MTG_Set[[#This Row],[Type Name]], tbl_MTG_Set_Type[Set Type], tbl_MTG_Set_Type[Heavy Printing Window Month End], "(Set Type not found)", 0, 1)</f>
        <v/>
      </c>
      <c r="R372" s="3">
        <f>tbl_MTG_Set[[#This Row],[Released On]]+tbl_MTG_Set[[#This Row],[Heavy Printing Window Month End]]*365.25/12</f>
        <v/>
      </c>
      <c r="S372" s="3">
        <f>AND(NOW()&gt;=tbl_MTG_Set[[#This Row],[Heavy Printing Window Start]], NOW()&lt;=tbl_MTG_Set[[#This Row],[Heavy Printing Window End]])</f>
        <v/>
      </c>
      <c r="T372">
        <f>_xlfn.XLOOKUP(tbl_MTG_Set[[#This Row],[Type Name]], tbl_MTG_Set_Type[Set Type], tbl_MTG_Set_Type[Sell Window Month Start], "(Set Type not found)", 0, 1)</f>
        <v/>
      </c>
      <c r="U372" s="3">
        <f>tbl_MTG_Set[[#This Row],[Released On]]+tbl_MTG_Set[[#This Row],[Sell Window Month Start]]*365.25/12</f>
        <v/>
      </c>
      <c r="V372">
        <f>_xlfn.XLOOKUP(tbl_MTG_Set[[#This Row],[Type Name]], tbl_MTG_Set_Type[Set Type], tbl_MTG_Set_Type[Sell Window Month End], "(Set Type not found)", 0, 1)</f>
        <v/>
      </c>
      <c r="W372" s="3">
        <f>tbl_MTG_Set[[#This Row],[Released On]]+tbl_MTG_Set[[#This Row],[Sell Window Month End]]*365.25/12</f>
        <v/>
      </c>
      <c r="X372" s="3">
        <f>AND(NOW()&gt;=tbl_MTG_Set[[#This Row],[Sell Window Start]], NOW()&lt;=tbl_MTG_Set[[#This Row],[Sell Window End]])</f>
        <v/>
      </c>
      <c r="AG372" s="10" t="n"/>
      <c r="AH372" s="10" t="n"/>
      <c r="AM372" s="10">
        <f t="array" ref="AM3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2" s="10">
        <f t="array" ref="AN3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2" s="4">
        <f>_xlfn.XLOOKUP(tbl_MTG_Set[[#This Row],[Play Booster Box Product Id]], tbl_Product[Product Id], tbl_Product[Pack Size])</f>
        <v/>
      </c>
      <c r="AP372" s="10">
        <f>(tbl_MTG_Set[[#This Row],[Play Booster Box Cost]]+v_Item_Shipping_Cost_In)/tbl_MTG_Set[[#This Row],[Play Booster Box Size]]</f>
        <v/>
      </c>
      <c r="AQ372" s="10">
        <f t="array" ref="AQ3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2" s="10" t="n"/>
      <c r="AS372" s="10" t="n"/>
      <c r="AT372" s="17">
        <f>tbl_MTG_Set[[#This Row],[Play Booster CardMarket Profit]]/tbl_MTG_Set[[#This Row],[Play Booster Cost]]</f>
        <v/>
      </c>
      <c r="AU372" s="10">
        <f>_xlfn.XLOOKUP(tbl_MTG_Set[[#This Row],[Collector Booster Box Product Id]], tbl_Product[Product Id], tbl_Product[Min Cost])</f>
        <v/>
      </c>
      <c r="AV372" s="10">
        <f>_xlfn.XLOOKUP(tbl_MTG_Set[[#This Row],[Collector Booster Box Product Id]], tbl_Product[Product Id], tbl_Product[Best Source])</f>
        <v/>
      </c>
      <c r="AW372" s="4">
        <f>_xlfn.XLOOKUP(tbl_MTG_Set[[#This Row],[Collector Booster Box Product Id]], tbl_Product[Product Id], tbl_Product[Pack Size])</f>
        <v/>
      </c>
      <c r="AX372" s="10">
        <f>(tbl_MTG_Set[[#This Row],[Collector Booster Box Cost]] + v_Item_Shipping_Cost_In) / tbl_MTG_Set[[#This Row],[Collector Booster Box Size]]</f>
        <v/>
      </c>
      <c r="AY372" s="10">
        <f t="array" ref="AY3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2" s="10" t="n"/>
      <c r="BA3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2" s="17">
        <f>tbl_MTG_Set[[#This Row],[Collector Booster CardMarket Profit]]/tbl_MTG_Set[[#This Row],[Collector Booster Cost]]</f>
        <v/>
      </c>
      <c r="BC372" s="10" t="n"/>
      <c r="BF372" s="10">
        <f>tbl_MTG_Set[[#This Row],[Play Booster Sell Price CardMarket]]*tbl_MTG_Set[[#This Row],[Play Booster Expected Market Value]]/tbl_MTG_Set[[#This Row],[Play Boost Sealed Market Value]]</f>
        <v/>
      </c>
      <c r="BG3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2" s="10">
        <f>tbl_MTG_Set[[#This Row],[Play Singles CardMarket Profit]]/tbl_MTG_Set[[#This Row],[Play Booster Cost]]</f>
        <v/>
      </c>
      <c r="BI372" s="10">
        <f>tbl_MTG_Set[[#This Row],[Play Singles CardMarket Profit]]&gt;0</f>
        <v/>
      </c>
      <c r="BJ372" s="10" t="n"/>
      <c r="BK372" s="10" t="n"/>
      <c r="BL372" s="10">
        <f>tbl_MTG_Set[[#This Row],[Collector Booster Sell Price CardMarket]]*tbl_MTG_Set[[#This Row],[Collector Booster Expected Market Value]]/tbl_MTG_Set[[#This Row],[Collector Boost Sealed Market Value]]</f>
        <v/>
      </c>
      <c r="BM3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2" s="10">
        <f>tbl_MTG_Set[[#This Row],[Collector Singles CardMarket Profit]]/tbl_MTG_Set[[#This Row],[Collector Booster Cost]]</f>
        <v/>
      </c>
      <c r="BO372" s="10">
        <f>tbl_MTG_Set[[#This Row],[Collector Singles CardMarket Profit]]&gt;0</f>
        <v/>
      </c>
      <c r="BP3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3">
      <c r="A373" t="n">
        <v>371</v>
      </c>
      <c r="B373" t="inlineStr">
        <is>
          <t>The List (Unfinity Foil Edition) ULST</t>
        </is>
      </c>
      <c r="C373" t="n">
        <v>62</v>
      </c>
      <c r="D373" s="3" t="n">
        <v>44841</v>
      </c>
      <c r="F373" t="inlineStr">
        <is>
          <t>en es fr de it pt ja ko ru 汉语 漢語</t>
        </is>
      </c>
      <c r="G373" t="n">
        <v>688</v>
      </c>
      <c r="H373">
        <f>MONTH(NOW())+12*YEAR(NOW())-MONTH(tbl_MTG_Set[[#This Row],[Released On]])-12*YEAR(tbl_MTG_Set[[#This Row],[Released On]])</f>
        <v/>
      </c>
      <c r="I373">
        <f>_xlfn.XLOOKUP(tbl_MTG_Set[[#This Row],[Type Name]], tbl_MTG_Set_Type[Set Type], tbl_MTG_Set_Type[Index], "(Set Type not found)")</f>
        <v/>
      </c>
      <c r="J373">
        <f>_xlfn.XLOOKUP(tbl_MTG_Set[[#This Row],[Type Name]], tbl_MTG_Set_Type[Set Type], tbl_MTG_Set_Type[Buy Window Month Start], "(Set Type not found)")</f>
        <v/>
      </c>
      <c r="K373" s="3">
        <f>tbl_MTG_Set[[#This Row],[Released On]]+tbl_MTG_Set[[#This Row],[Buy Window Month Start]]*365.25/12</f>
        <v/>
      </c>
      <c r="L373">
        <f>_xlfn.XLOOKUP(tbl_MTG_Set[[#This Row],[Type Name]], tbl_MTG_Set_Type[Set Type], tbl_MTG_Set_Type[Buy Window Month End], "(Set Type not found)", 0, 1)</f>
        <v/>
      </c>
      <c r="M373" s="3">
        <f>tbl_MTG_Set[[#This Row],[Released On]]+tbl_MTG_Set[[#This Row],[Buy Window Month End]]*365.25/12</f>
        <v/>
      </c>
      <c r="N373" s="3">
        <f>AND(NOW()&gt;=tbl_MTG_Set[[#This Row],[Buy Window Start]], NOW()&lt;=tbl_MTG_Set[[#This Row],[Buy Window End]])</f>
        <v/>
      </c>
      <c r="O373">
        <f>_xlfn.XLOOKUP(tbl_MTG_Set[[#This Row],[Type Name]], tbl_MTG_Set_Type[Set Type], tbl_MTG_Set_Type[Heavy Printing Window Month Start], "(Set Type not found)", 0, 1)</f>
        <v/>
      </c>
      <c r="P373" s="3">
        <f>tbl_MTG_Set[[#This Row],[Released On]]+tbl_MTG_Set[[#This Row],[Heavy Printing Window Month Start]]*365.25/12</f>
        <v/>
      </c>
      <c r="Q373">
        <f>_xlfn.XLOOKUP(tbl_MTG_Set[[#This Row],[Type Name]], tbl_MTG_Set_Type[Set Type], tbl_MTG_Set_Type[Heavy Printing Window Month End], "(Set Type not found)", 0, 1)</f>
        <v/>
      </c>
      <c r="R373" s="3">
        <f>tbl_MTG_Set[[#This Row],[Released On]]+tbl_MTG_Set[[#This Row],[Heavy Printing Window Month End]]*365.25/12</f>
        <v/>
      </c>
      <c r="S373" s="3">
        <f>AND(NOW()&gt;=tbl_MTG_Set[[#This Row],[Heavy Printing Window Start]], NOW()&lt;=tbl_MTG_Set[[#This Row],[Heavy Printing Window End]])</f>
        <v/>
      </c>
      <c r="T373">
        <f>_xlfn.XLOOKUP(tbl_MTG_Set[[#This Row],[Type Name]], tbl_MTG_Set_Type[Set Type], tbl_MTG_Set_Type[Sell Window Month Start], "(Set Type not found)", 0, 1)</f>
        <v/>
      </c>
      <c r="U373" s="3">
        <f>tbl_MTG_Set[[#This Row],[Released On]]+tbl_MTG_Set[[#This Row],[Sell Window Month Start]]*365.25/12</f>
        <v/>
      </c>
      <c r="V373">
        <f>_xlfn.XLOOKUP(tbl_MTG_Set[[#This Row],[Type Name]], tbl_MTG_Set_Type[Set Type], tbl_MTG_Set_Type[Sell Window Month End], "(Set Type not found)", 0, 1)</f>
        <v/>
      </c>
      <c r="W373" s="3">
        <f>tbl_MTG_Set[[#This Row],[Released On]]+tbl_MTG_Set[[#This Row],[Sell Window Month End]]*365.25/12</f>
        <v/>
      </c>
      <c r="X373" s="3">
        <f>AND(NOW()&gt;=tbl_MTG_Set[[#This Row],[Sell Window Start]], NOW()&lt;=tbl_MTG_Set[[#This Row],[Sell Window End]])</f>
        <v/>
      </c>
      <c r="AG373" s="10" t="n"/>
      <c r="AH373" s="10" t="n"/>
      <c r="AM373" s="10">
        <f t="array" ref="AM3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3" s="10">
        <f t="array" ref="AN3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3" s="4">
        <f>_xlfn.XLOOKUP(tbl_MTG_Set[[#This Row],[Play Booster Box Product Id]], tbl_Product[Product Id], tbl_Product[Pack Size])</f>
        <v/>
      </c>
      <c r="AP373" s="10">
        <f>(tbl_MTG_Set[[#This Row],[Play Booster Box Cost]]+v_Item_Shipping_Cost_In)/tbl_MTG_Set[[#This Row],[Play Booster Box Size]]</f>
        <v/>
      </c>
      <c r="AQ373" s="10">
        <f t="array" ref="AQ3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3" s="10" t="n"/>
      <c r="AS373" s="10" t="n"/>
      <c r="AT373" s="17">
        <f>tbl_MTG_Set[[#This Row],[Play Booster CardMarket Profit]]/tbl_MTG_Set[[#This Row],[Play Booster Cost]]</f>
        <v/>
      </c>
      <c r="AU373" s="10">
        <f>_xlfn.XLOOKUP(tbl_MTG_Set[[#This Row],[Collector Booster Box Product Id]], tbl_Product[Product Id], tbl_Product[Min Cost])</f>
        <v/>
      </c>
      <c r="AV373" s="10">
        <f>_xlfn.XLOOKUP(tbl_MTG_Set[[#This Row],[Collector Booster Box Product Id]], tbl_Product[Product Id], tbl_Product[Best Source])</f>
        <v/>
      </c>
      <c r="AW373" s="4">
        <f>_xlfn.XLOOKUP(tbl_MTG_Set[[#This Row],[Collector Booster Box Product Id]], tbl_Product[Product Id], tbl_Product[Pack Size])</f>
        <v/>
      </c>
      <c r="AX373" s="10">
        <f>(tbl_MTG_Set[[#This Row],[Collector Booster Box Cost]] + v_Item_Shipping_Cost_In) / tbl_MTG_Set[[#This Row],[Collector Booster Box Size]]</f>
        <v/>
      </c>
      <c r="AY373" s="10">
        <f t="array" ref="AY3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3" s="10" t="n"/>
      <c r="BA3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3" s="17">
        <f>tbl_MTG_Set[[#This Row],[Collector Booster CardMarket Profit]]/tbl_MTG_Set[[#This Row],[Collector Booster Cost]]</f>
        <v/>
      </c>
      <c r="BC373" s="10" t="n"/>
      <c r="BF373" s="10">
        <f>tbl_MTG_Set[[#This Row],[Play Booster Sell Price CardMarket]]*tbl_MTG_Set[[#This Row],[Play Booster Expected Market Value]]/tbl_MTG_Set[[#This Row],[Play Boost Sealed Market Value]]</f>
        <v/>
      </c>
      <c r="BG3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3" s="10">
        <f>tbl_MTG_Set[[#This Row],[Play Singles CardMarket Profit]]/tbl_MTG_Set[[#This Row],[Play Booster Cost]]</f>
        <v/>
      </c>
      <c r="BI373" s="10">
        <f>tbl_MTG_Set[[#This Row],[Play Singles CardMarket Profit]]&gt;0</f>
        <v/>
      </c>
      <c r="BJ373" s="10" t="n"/>
      <c r="BK373" s="10" t="n"/>
      <c r="BL373" s="10">
        <f>tbl_MTG_Set[[#This Row],[Collector Booster Sell Price CardMarket]]*tbl_MTG_Set[[#This Row],[Collector Booster Expected Market Value]]/tbl_MTG_Set[[#This Row],[Collector Boost Sealed Market Value]]</f>
        <v/>
      </c>
      <c r="BM3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3" s="10">
        <f>tbl_MTG_Set[[#This Row],[Collector Singles CardMarket Profit]]/tbl_MTG_Set[[#This Row],[Collector Booster Cost]]</f>
        <v/>
      </c>
      <c r="BO373" s="10">
        <f>tbl_MTG_Set[[#This Row],[Collector Singles CardMarket Profit]]&gt;0</f>
        <v/>
      </c>
      <c r="BP3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4">
      <c r="A374" t="n">
        <v>372</v>
      </c>
      <c r="B374" t="inlineStr">
        <is>
          <t>Zendikar Rising ZNR</t>
        </is>
      </c>
      <c r="C374" t="n">
        <v>408</v>
      </c>
      <c r="D374" s="3" t="n">
        <v>44099</v>
      </c>
      <c r="E374" t="inlineStr">
        <is>
          <t>Standard Expansion</t>
        </is>
      </c>
      <c r="F374" t="inlineStr">
        <is>
          <t>en es fr de it pt ja ko ru 汉语 漢語</t>
        </is>
      </c>
      <c r="G374" t="n">
        <v>690</v>
      </c>
      <c r="H374">
        <f>MONTH(NOW())+12*YEAR(NOW())-MONTH(tbl_MTG_Set[[#This Row],[Released On]])-12*YEAR(tbl_MTG_Set[[#This Row],[Released On]])</f>
        <v/>
      </c>
      <c r="I374">
        <f>_xlfn.XLOOKUP(tbl_MTG_Set[[#This Row],[Type Name]], tbl_MTG_Set_Type[Set Type], tbl_MTG_Set_Type[Index], "(Set Type not found)")</f>
        <v/>
      </c>
      <c r="J374">
        <f>_xlfn.XLOOKUP(tbl_MTG_Set[[#This Row],[Type Name]], tbl_MTG_Set_Type[Set Type], tbl_MTG_Set_Type[Buy Window Month Start], "(Set Type not found)")</f>
        <v/>
      </c>
      <c r="K374" s="3">
        <f>tbl_MTG_Set[[#This Row],[Released On]]+tbl_MTG_Set[[#This Row],[Buy Window Month Start]]*365.25/12</f>
        <v/>
      </c>
      <c r="L374">
        <f>_xlfn.XLOOKUP(tbl_MTG_Set[[#This Row],[Type Name]], tbl_MTG_Set_Type[Set Type], tbl_MTG_Set_Type[Buy Window Month End], "(Set Type not found)", 0, 1)</f>
        <v/>
      </c>
      <c r="M374" s="3">
        <f>tbl_MTG_Set[[#This Row],[Released On]]+tbl_MTG_Set[[#This Row],[Buy Window Month End]]*365.25/12</f>
        <v/>
      </c>
      <c r="N374" s="3">
        <f>AND(NOW()&gt;=tbl_MTG_Set[[#This Row],[Buy Window Start]], NOW()&lt;=tbl_MTG_Set[[#This Row],[Buy Window End]])</f>
        <v/>
      </c>
      <c r="O374">
        <f>_xlfn.XLOOKUP(tbl_MTG_Set[[#This Row],[Type Name]], tbl_MTG_Set_Type[Set Type], tbl_MTG_Set_Type[Heavy Printing Window Month Start], "(Set Type not found)", 0, 1)</f>
        <v/>
      </c>
      <c r="P374" s="3">
        <f>tbl_MTG_Set[[#This Row],[Released On]]+tbl_MTG_Set[[#This Row],[Heavy Printing Window Month Start]]*365.25/12</f>
        <v/>
      </c>
      <c r="Q374">
        <f>_xlfn.XLOOKUP(tbl_MTG_Set[[#This Row],[Type Name]], tbl_MTG_Set_Type[Set Type], tbl_MTG_Set_Type[Heavy Printing Window Month End], "(Set Type not found)", 0, 1)</f>
        <v/>
      </c>
      <c r="R374" s="3">
        <f>tbl_MTG_Set[[#This Row],[Released On]]+tbl_MTG_Set[[#This Row],[Heavy Printing Window Month End]]*365.25/12</f>
        <v/>
      </c>
      <c r="S374" s="3">
        <f>AND(NOW()&gt;=tbl_MTG_Set[[#This Row],[Heavy Printing Window Start]], NOW()&lt;=tbl_MTG_Set[[#This Row],[Heavy Printing Window End]])</f>
        <v/>
      </c>
      <c r="T374">
        <f>_xlfn.XLOOKUP(tbl_MTG_Set[[#This Row],[Type Name]], tbl_MTG_Set_Type[Set Type], tbl_MTG_Set_Type[Sell Window Month Start], "(Set Type not found)", 0, 1)</f>
        <v/>
      </c>
      <c r="U374" s="3">
        <f>tbl_MTG_Set[[#This Row],[Released On]]+tbl_MTG_Set[[#This Row],[Sell Window Month Start]]*365.25/12</f>
        <v/>
      </c>
      <c r="V374">
        <f>_xlfn.XLOOKUP(tbl_MTG_Set[[#This Row],[Type Name]], tbl_MTG_Set_Type[Set Type], tbl_MTG_Set_Type[Sell Window Month End], "(Set Type not found)", 0, 1)</f>
        <v/>
      </c>
      <c r="W374" s="3">
        <f>tbl_MTG_Set[[#This Row],[Released On]]+tbl_MTG_Set[[#This Row],[Sell Window Month End]]*365.25/12</f>
        <v/>
      </c>
      <c r="X374" s="3">
        <f>AND(NOW()&gt;=tbl_MTG_Set[[#This Row],[Sell Window Start]], NOW()&lt;=tbl_MTG_Set[[#This Row],[Sell Window End]])</f>
        <v/>
      </c>
      <c r="AG374" s="10" t="n"/>
      <c r="AH374" s="10" t="n"/>
      <c r="AM374" s="10">
        <f t="array" ref="AM3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4" s="10">
        <f t="array" ref="AN3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4" s="4">
        <f>_xlfn.XLOOKUP(tbl_MTG_Set[[#This Row],[Play Booster Box Product Id]], tbl_Product[Product Id], tbl_Product[Pack Size])</f>
        <v/>
      </c>
      <c r="AP374" s="10">
        <f>(tbl_MTG_Set[[#This Row],[Play Booster Box Cost]]+v_Item_Shipping_Cost_In)/tbl_MTG_Set[[#This Row],[Play Booster Box Size]]</f>
        <v/>
      </c>
      <c r="AQ374" s="10">
        <f t="array" ref="AQ3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4" s="10" t="n"/>
      <c r="AS374" s="10" t="n"/>
      <c r="AT374" s="17">
        <f>tbl_MTG_Set[[#This Row],[Play Booster CardMarket Profit]]/tbl_MTG_Set[[#This Row],[Play Booster Cost]]</f>
        <v/>
      </c>
      <c r="AU374" s="10">
        <f>_xlfn.XLOOKUP(tbl_MTG_Set[[#This Row],[Collector Booster Box Product Id]], tbl_Product[Product Id], tbl_Product[Min Cost])</f>
        <v/>
      </c>
      <c r="AV374" s="10">
        <f>_xlfn.XLOOKUP(tbl_MTG_Set[[#This Row],[Collector Booster Box Product Id]], tbl_Product[Product Id], tbl_Product[Best Source])</f>
        <v/>
      </c>
      <c r="AW374" s="4">
        <f>_xlfn.XLOOKUP(tbl_MTG_Set[[#This Row],[Collector Booster Box Product Id]], tbl_Product[Product Id], tbl_Product[Pack Size])</f>
        <v/>
      </c>
      <c r="AX374" s="10">
        <f>(tbl_MTG_Set[[#This Row],[Collector Booster Box Cost]] + v_Item_Shipping_Cost_In) / tbl_MTG_Set[[#This Row],[Collector Booster Box Size]]</f>
        <v/>
      </c>
      <c r="AY374" s="10">
        <f t="array" ref="AY3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4" s="10" t="n"/>
      <c r="BA3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4" s="17">
        <f>tbl_MTG_Set[[#This Row],[Collector Booster CardMarket Profit]]/tbl_MTG_Set[[#This Row],[Collector Booster Cost]]</f>
        <v/>
      </c>
      <c r="BC374" s="10" t="n"/>
      <c r="BF374" s="10">
        <f>tbl_MTG_Set[[#This Row],[Play Booster Sell Price CardMarket]]*tbl_MTG_Set[[#This Row],[Play Booster Expected Market Value]]/tbl_MTG_Set[[#This Row],[Play Boost Sealed Market Value]]</f>
        <v/>
      </c>
      <c r="BG3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4" s="10">
        <f>tbl_MTG_Set[[#This Row],[Play Singles CardMarket Profit]]/tbl_MTG_Set[[#This Row],[Play Booster Cost]]</f>
        <v/>
      </c>
      <c r="BI374" s="10">
        <f>tbl_MTG_Set[[#This Row],[Play Singles CardMarket Profit]]&gt;0</f>
        <v/>
      </c>
      <c r="BJ374" s="10" t="n"/>
      <c r="BK374" s="10" t="n"/>
      <c r="BL374" s="10">
        <f>tbl_MTG_Set[[#This Row],[Collector Booster Sell Price CardMarket]]*tbl_MTG_Set[[#This Row],[Collector Booster Expected Market Value]]/tbl_MTG_Set[[#This Row],[Collector Boost Sealed Market Value]]</f>
        <v/>
      </c>
      <c r="BM3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4" s="10">
        <f>tbl_MTG_Set[[#This Row],[Collector Singles CardMarket Profit]]/tbl_MTG_Set[[#This Row],[Collector Booster Cost]]</f>
        <v/>
      </c>
      <c r="BO374" s="10">
        <f>tbl_MTG_Set[[#This Row],[Collector Singles CardMarket Profit]]&gt;0</f>
        <v/>
      </c>
      <c r="BP3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5">
      <c r="A375" t="n">
        <v>373</v>
      </c>
      <c r="B375" t="inlineStr">
        <is>
          <t>Zendikar Rising Expeditions ZNE</t>
        </is>
      </c>
      <c r="C375" t="n">
        <v>30</v>
      </c>
      <c r="D375" s="3" t="n">
        <v>44099</v>
      </c>
      <c r="E375" t="inlineStr">
        <is>
          <t>Standard Expansion</t>
        </is>
      </c>
      <c r="F375" t="inlineStr">
        <is>
          <t>en es fr de it pt ja ko ru 汉语 漢語</t>
        </is>
      </c>
      <c r="G375" t="n">
        <v>692</v>
      </c>
      <c r="H375">
        <f>MONTH(NOW())+12*YEAR(NOW())-MONTH(tbl_MTG_Set[[#This Row],[Released On]])-12*YEAR(tbl_MTG_Set[[#This Row],[Released On]])</f>
        <v/>
      </c>
      <c r="I375">
        <f>_xlfn.XLOOKUP(tbl_MTG_Set[[#This Row],[Type Name]], tbl_MTG_Set_Type[Set Type], tbl_MTG_Set_Type[Index], "(Set Type not found)")</f>
        <v/>
      </c>
      <c r="J375">
        <f>_xlfn.XLOOKUP(tbl_MTG_Set[[#This Row],[Type Name]], tbl_MTG_Set_Type[Set Type], tbl_MTG_Set_Type[Buy Window Month Start], "(Set Type not found)")</f>
        <v/>
      </c>
      <c r="K375" s="3">
        <f>tbl_MTG_Set[[#This Row],[Released On]]+tbl_MTG_Set[[#This Row],[Buy Window Month Start]]*365.25/12</f>
        <v/>
      </c>
      <c r="L375">
        <f>_xlfn.XLOOKUP(tbl_MTG_Set[[#This Row],[Type Name]], tbl_MTG_Set_Type[Set Type], tbl_MTG_Set_Type[Buy Window Month End], "(Set Type not found)", 0, 1)</f>
        <v/>
      </c>
      <c r="M375" s="3">
        <f>tbl_MTG_Set[[#This Row],[Released On]]+tbl_MTG_Set[[#This Row],[Buy Window Month End]]*365.25/12</f>
        <v/>
      </c>
      <c r="N375" s="3">
        <f>AND(NOW()&gt;=tbl_MTG_Set[[#This Row],[Buy Window Start]], NOW()&lt;=tbl_MTG_Set[[#This Row],[Buy Window End]])</f>
        <v/>
      </c>
      <c r="O375">
        <f>_xlfn.XLOOKUP(tbl_MTG_Set[[#This Row],[Type Name]], tbl_MTG_Set_Type[Set Type], tbl_MTG_Set_Type[Heavy Printing Window Month Start], "(Set Type not found)", 0, 1)</f>
        <v/>
      </c>
      <c r="P375" s="3">
        <f>tbl_MTG_Set[[#This Row],[Released On]]+tbl_MTG_Set[[#This Row],[Heavy Printing Window Month Start]]*365.25/12</f>
        <v/>
      </c>
      <c r="Q375">
        <f>_xlfn.XLOOKUP(tbl_MTG_Set[[#This Row],[Type Name]], tbl_MTG_Set_Type[Set Type], tbl_MTG_Set_Type[Heavy Printing Window Month End], "(Set Type not found)", 0, 1)</f>
        <v/>
      </c>
      <c r="R375" s="3">
        <f>tbl_MTG_Set[[#This Row],[Released On]]+tbl_MTG_Set[[#This Row],[Heavy Printing Window Month End]]*365.25/12</f>
        <v/>
      </c>
      <c r="S375" s="3">
        <f>AND(NOW()&gt;=tbl_MTG_Set[[#This Row],[Heavy Printing Window Start]], NOW()&lt;=tbl_MTG_Set[[#This Row],[Heavy Printing Window End]])</f>
        <v/>
      </c>
      <c r="T375">
        <f>_xlfn.XLOOKUP(tbl_MTG_Set[[#This Row],[Type Name]], tbl_MTG_Set_Type[Set Type], tbl_MTG_Set_Type[Sell Window Month Start], "(Set Type not found)", 0, 1)</f>
        <v/>
      </c>
      <c r="U375" s="3">
        <f>tbl_MTG_Set[[#This Row],[Released On]]+tbl_MTG_Set[[#This Row],[Sell Window Month Start]]*365.25/12</f>
        <v/>
      </c>
      <c r="V375">
        <f>_xlfn.XLOOKUP(tbl_MTG_Set[[#This Row],[Type Name]], tbl_MTG_Set_Type[Set Type], tbl_MTG_Set_Type[Sell Window Month End], "(Set Type not found)", 0, 1)</f>
        <v/>
      </c>
      <c r="W375" s="3">
        <f>tbl_MTG_Set[[#This Row],[Released On]]+tbl_MTG_Set[[#This Row],[Sell Window Month End]]*365.25/12</f>
        <v/>
      </c>
      <c r="X375" s="3">
        <f>AND(NOW()&gt;=tbl_MTG_Set[[#This Row],[Sell Window Start]], NOW()&lt;=tbl_MTG_Set[[#This Row],[Sell Window End]])</f>
        <v/>
      </c>
      <c r="AG375" s="10" t="n"/>
      <c r="AH375" s="10" t="n"/>
      <c r="AM375" s="10">
        <f t="array" ref="AM3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5" s="10">
        <f t="array" ref="AN3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5" s="4">
        <f>_xlfn.XLOOKUP(tbl_MTG_Set[[#This Row],[Play Booster Box Product Id]], tbl_Product[Product Id], tbl_Product[Pack Size])</f>
        <v/>
      </c>
      <c r="AP375" s="10">
        <f>(tbl_MTG_Set[[#This Row],[Play Booster Box Cost]]+v_Item_Shipping_Cost_In)/tbl_MTG_Set[[#This Row],[Play Booster Box Size]]</f>
        <v/>
      </c>
      <c r="AQ375" s="10">
        <f t="array" ref="AQ3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5" s="10" t="n"/>
      <c r="AS375" s="10" t="n"/>
      <c r="AT375" s="17">
        <f>tbl_MTG_Set[[#This Row],[Play Booster CardMarket Profit]]/tbl_MTG_Set[[#This Row],[Play Booster Cost]]</f>
        <v/>
      </c>
      <c r="AU375" s="10">
        <f>_xlfn.XLOOKUP(tbl_MTG_Set[[#This Row],[Collector Booster Box Product Id]], tbl_Product[Product Id], tbl_Product[Min Cost])</f>
        <v/>
      </c>
      <c r="AV375" s="10">
        <f>_xlfn.XLOOKUP(tbl_MTG_Set[[#This Row],[Collector Booster Box Product Id]], tbl_Product[Product Id], tbl_Product[Best Source])</f>
        <v/>
      </c>
      <c r="AW375" s="4">
        <f>_xlfn.XLOOKUP(tbl_MTG_Set[[#This Row],[Collector Booster Box Product Id]], tbl_Product[Product Id], tbl_Product[Pack Size])</f>
        <v/>
      </c>
      <c r="AX375" s="10">
        <f>(tbl_MTG_Set[[#This Row],[Collector Booster Box Cost]] + v_Item_Shipping_Cost_In) / tbl_MTG_Set[[#This Row],[Collector Booster Box Size]]</f>
        <v/>
      </c>
      <c r="AY375" s="10">
        <f t="array" ref="AY3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5" s="10" t="n"/>
      <c r="BA3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5" s="17">
        <f>tbl_MTG_Set[[#This Row],[Collector Booster CardMarket Profit]]/tbl_MTG_Set[[#This Row],[Collector Booster Cost]]</f>
        <v/>
      </c>
      <c r="BC375" s="10" t="n"/>
      <c r="BF375" s="10">
        <f>tbl_MTG_Set[[#This Row],[Play Booster Sell Price CardMarket]]*tbl_MTG_Set[[#This Row],[Play Booster Expected Market Value]]/tbl_MTG_Set[[#This Row],[Play Boost Sealed Market Value]]</f>
        <v/>
      </c>
      <c r="BG3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5" s="10">
        <f>tbl_MTG_Set[[#This Row],[Play Singles CardMarket Profit]]/tbl_MTG_Set[[#This Row],[Play Booster Cost]]</f>
        <v/>
      </c>
      <c r="BI375" s="10">
        <f>tbl_MTG_Set[[#This Row],[Play Singles CardMarket Profit]]&gt;0</f>
        <v/>
      </c>
      <c r="BJ375" s="10" t="n"/>
      <c r="BK375" s="10" t="n"/>
      <c r="BL375" s="10">
        <f>tbl_MTG_Set[[#This Row],[Collector Booster Sell Price CardMarket]]*tbl_MTG_Set[[#This Row],[Collector Booster Expected Market Value]]/tbl_MTG_Set[[#This Row],[Collector Boost Sealed Market Value]]</f>
        <v/>
      </c>
      <c r="BM3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5" s="10">
        <f>tbl_MTG_Set[[#This Row],[Collector Singles CardMarket Profit]]/tbl_MTG_Set[[#This Row],[Collector Booster Cost]]</f>
        <v/>
      </c>
      <c r="BO375" s="10">
        <f>tbl_MTG_Set[[#This Row],[Collector Singles CardMarket Profit]]&gt;0</f>
        <v/>
      </c>
      <c r="BP3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6">
      <c r="A376" t="n">
        <v>374</v>
      </c>
      <c r="B376" t="inlineStr">
        <is>
          <t>Zendikar Rising Promos PZNR</t>
        </is>
      </c>
      <c r="C376" t="n">
        <v>153</v>
      </c>
      <c r="D376" s="3" t="n">
        <v>44099</v>
      </c>
      <c r="E376" t="inlineStr">
        <is>
          <t>Standard Expansion</t>
        </is>
      </c>
      <c r="F376" t="inlineStr">
        <is>
          <t>en es fr de it pt ja ko ru 汉语 漢語</t>
        </is>
      </c>
      <c r="G376" t="n">
        <v>694</v>
      </c>
      <c r="H376">
        <f>MONTH(NOW())+12*YEAR(NOW())-MONTH(tbl_MTG_Set[[#This Row],[Released On]])-12*YEAR(tbl_MTG_Set[[#This Row],[Released On]])</f>
        <v/>
      </c>
      <c r="I376">
        <f>_xlfn.XLOOKUP(tbl_MTG_Set[[#This Row],[Type Name]], tbl_MTG_Set_Type[Set Type], tbl_MTG_Set_Type[Index], "(Set Type not found)")</f>
        <v/>
      </c>
      <c r="J376">
        <f>_xlfn.XLOOKUP(tbl_MTG_Set[[#This Row],[Type Name]], tbl_MTG_Set_Type[Set Type], tbl_MTG_Set_Type[Buy Window Month Start], "(Set Type not found)")</f>
        <v/>
      </c>
      <c r="K376" s="3">
        <f>tbl_MTG_Set[[#This Row],[Released On]]+tbl_MTG_Set[[#This Row],[Buy Window Month Start]]*365.25/12</f>
        <v/>
      </c>
      <c r="L376">
        <f>_xlfn.XLOOKUP(tbl_MTG_Set[[#This Row],[Type Name]], tbl_MTG_Set_Type[Set Type], tbl_MTG_Set_Type[Buy Window Month End], "(Set Type not found)", 0, 1)</f>
        <v/>
      </c>
      <c r="M376" s="3">
        <f>tbl_MTG_Set[[#This Row],[Released On]]+tbl_MTG_Set[[#This Row],[Buy Window Month End]]*365.25/12</f>
        <v/>
      </c>
      <c r="N376" s="3">
        <f>AND(NOW()&gt;=tbl_MTG_Set[[#This Row],[Buy Window Start]], NOW()&lt;=tbl_MTG_Set[[#This Row],[Buy Window End]])</f>
        <v/>
      </c>
      <c r="O376">
        <f>_xlfn.XLOOKUP(tbl_MTG_Set[[#This Row],[Type Name]], tbl_MTG_Set_Type[Set Type], tbl_MTG_Set_Type[Heavy Printing Window Month Start], "(Set Type not found)", 0, 1)</f>
        <v/>
      </c>
      <c r="P376" s="3">
        <f>tbl_MTG_Set[[#This Row],[Released On]]+tbl_MTG_Set[[#This Row],[Heavy Printing Window Month Start]]*365.25/12</f>
        <v/>
      </c>
      <c r="Q376">
        <f>_xlfn.XLOOKUP(tbl_MTG_Set[[#This Row],[Type Name]], tbl_MTG_Set_Type[Set Type], tbl_MTG_Set_Type[Heavy Printing Window Month End], "(Set Type not found)", 0, 1)</f>
        <v/>
      </c>
      <c r="R376" s="3">
        <f>tbl_MTG_Set[[#This Row],[Released On]]+tbl_MTG_Set[[#This Row],[Heavy Printing Window Month End]]*365.25/12</f>
        <v/>
      </c>
      <c r="S376" s="3">
        <f>AND(NOW()&gt;=tbl_MTG_Set[[#This Row],[Heavy Printing Window Start]], NOW()&lt;=tbl_MTG_Set[[#This Row],[Heavy Printing Window End]])</f>
        <v/>
      </c>
      <c r="T376">
        <f>_xlfn.XLOOKUP(tbl_MTG_Set[[#This Row],[Type Name]], tbl_MTG_Set_Type[Set Type], tbl_MTG_Set_Type[Sell Window Month Start], "(Set Type not found)", 0, 1)</f>
        <v/>
      </c>
      <c r="U376" s="3">
        <f>tbl_MTG_Set[[#This Row],[Released On]]+tbl_MTG_Set[[#This Row],[Sell Window Month Start]]*365.25/12</f>
        <v/>
      </c>
      <c r="V376">
        <f>_xlfn.XLOOKUP(tbl_MTG_Set[[#This Row],[Type Name]], tbl_MTG_Set_Type[Set Type], tbl_MTG_Set_Type[Sell Window Month End], "(Set Type not found)", 0, 1)</f>
        <v/>
      </c>
      <c r="W376" s="3">
        <f>tbl_MTG_Set[[#This Row],[Released On]]+tbl_MTG_Set[[#This Row],[Sell Window Month End]]*365.25/12</f>
        <v/>
      </c>
      <c r="X376" s="3">
        <f>AND(NOW()&gt;=tbl_MTG_Set[[#This Row],[Sell Window Start]], NOW()&lt;=tbl_MTG_Set[[#This Row],[Sell Window End]])</f>
        <v/>
      </c>
      <c r="AG376" s="10" t="n"/>
      <c r="AH376" s="10" t="n"/>
      <c r="AM376" s="10">
        <f t="array" ref="AM3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6" s="10">
        <f t="array" ref="AN3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6" s="4">
        <f>_xlfn.XLOOKUP(tbl_MTG_Set[[#This Row],[Play Booster Box Product Id]], tbl_Product[Product Id], tbl_Product[Pack Size])</f>
        <v/>
      </c>
      <c r="AP376" s="10">
        <f>(tbl_MTG_Set[[#This Row],[Play Booster Box Cost]]+v_Item_Shipping_Cost_In)/tbl_MTG_Set[[#This Row],[Play Booster Box Size]]</f>
        <v/>
      </c>
      <c r="AQ376" s="10">
        <f t="array" ref="AQ3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6" s="10" t="n"/>
      <c r="AS376" s="10" t="n"/>
      <c r="AT376" s="17">
        <f>tbl_MTG_Set[[#This Row],[Play Booster CardMarket Profit]]/tbl_MTG_Set[[#This Row],[Play Booster Cost]]</f>
        <v/>
      </c>
      <c r="AU376" s="10">
        <f>_xlfn.XLOOKUP(tbl_MTG_Set[[#This Row],[Collector Booster Box Product Id]], tbl_Product[Product Id], tbl_Product[Min Cost])</f>
        <v/>
      </c>
      <c r="AV376" s="10">
        <f>_xlfn.XLOOKUP(tbl_MTG_Set[[#This Row],[Collector Booster Box Product Id]], tbl_Product[Product Id], tbl_Product[Best Source])</f>
        <v/>
      </c>
      <c r="AW376" s="4">
        <f>_xlfn.XLOOKUP(tbl_MTG_Set[[#This Row],[Collector Booster Box Product Id]], tbl_Product[Product Id], tbl_Product[Pack Size])</f>
        <v/>
      </c>
      <c r="AX376" s="10">
        <f>(tbl_MTG_Set[[#This Row],[Collector Booster Box Cost]] + v_Item_Shipping_Cost_In) / tbl_MTG_Set[[#This Row],[Collector Booster Box Size]]</f>
        <v/>
      </c>
      <c r="AY376" s="10">
        <f t="array" ref="AY3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6" s="10" t="n"/>
      <c r="BA3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6" s="17">
        <f>tbl_MTG_Set[[#This Row],[Collector Booster CardMarket Profit]]/tbl_MTG_Set[[#This Row],[Collector Booster Cost]]</f>
        <v/>
      </c>
      <c r="BC376" s="10" t="n"/>
      <c r="BF376" s="10">
        <f>tbl_MTG_Set[[#This Row],[Play Booster Sell Price CardMarket]]*tbl_MTG_Set[[#This Row],[Play Booster Expected Market Value]]/tbl_MTG_Set[[#This Row],[Play Boost Sealed Market Value]]</f>
        <v/>
      </c>
      <c r="BG3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6" s="10">
        <f>tbl_MTG_Set[[#This Row],[Play Singles CardMarket Profit]]/tbl_MTG_Set[[#This Row],[Play Booster Cost]]</f>
        <v/>
      </c>
      <c r="BI376" s="10">
        <f>tbl_MTG_Set[[#This Row],[Play Singles CardMarket Profit]]&gt;0</f>
        <v/>
      </c>
      <c r="BJ376" s="10" t="n"/>
      <c r="BK376" s="10" t="n"/>
      <c r="BL376" s="10">
        <f>tbl_MTG_Set[[#This Row],[Collector Booster Sell Price CardMarket]]*tbl_MTG_Set[[#This Row],[Collector Booster Expected Market Value]]/tbl_MTG_Set[[#This Row],[Collector Boost Sealed Market Value]]</f>
        <v/>
      </c>
      <c r="BM3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6" s="10">
        <f>tbl_MTG_Set[[#This Row],[Collector Singles CardMarket Profit]]/tbl_MTG_Set[[#This Row],[Collector Booster Cost]]</f>
        <v/>
      </c>
      <c r="BO376" s="10">
        <f>tbl_MTG_Set[[#This Row],[Collector Singles CardMarket Profit]]&gt;0</f>
        <v/>
      </c>
      <c r="BP3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7">
      <c r="A377" t="n">
        <v>375</v>
      </c>
      <c r="B377" t="inlineStr">
        <is>
          <t>Zendikar Rising Tokens TZNR</t>
        </is>
      </c>
      <c r="C377" t="n">
        <v>12</v>
      </c>
      <c r="D377" s="3" t="n">
        <v>44099</v>
      </c>
      <c r="E377" t="inlineStr">
        <is>
          <t>Standard Expansion</t>
        </is>
      </c>
      <c r="F377" t="inlineStr">
        <is>
          <t>en es fr de it pt ja ko ru 汉语 漢語</t>
        </is>
      </c>
      <c r="G377" t="n">
        <v>696</v>
      </c>
      <c r="H377">
        <f>MONTH(NOW())+12*YEAR(NOW())-MONTH(tbl_MTG_Set[[#This Row],[Released On]])-12*YEAR(tbl_MTG_Set[[#This Row],[Released On]])</f>
        <v/>
      </c>
      <c r="I377">
        <f>_xlfn.XLOOKUP(tbl_MTG_Set[[#This Row],[Type Name]], tbl_MTG_Set_Type[Set Type], tbl_MTG_Set_Type[Index], "(Set Type not found)")</f>
        <v/>
      </c>
      <c r="J377">
        <f>_xlfn.XLOOKUP(tbl_MTG_Set[[#This Row],[Type Name]], tbl_MTG_Set_Type[Set Type], tbl_MTG_Set_Type[Buy Window Month Start], "(Set Type not found)")</f>
        <v/>
      </c>
      <c r="K377" s="3">
        <f>tbl_MTG_Set[[#This Row],[Released On]]+tbl_MTG_Set[[#This Row],[Buy Window Month Start]]*365.25/12</f>
        <v/>
      </c>
      <c r="L377">
        <f>_xlfn.XLOOKUP(tbl_MTG_Set[[#This Row],[Type Name]], tbl_MTG_Set_Type[Set Type], tbl_MTG_Set_Type[Buy Window Month End], "(Set Type not found)", 0, 1)</f>
        <v/>
      </c>
      <c r="M377" s="3">
        <f>tbl_MTG_Set[[#This Row],[Released On]]+tbl_MTG_Set[[#This Row],[Buy Window Month End]]*365.25/12</f>
        <v/>
      </c>
      <c r="N377" s="3">
        <f>AND(NOW()&gt;=tbl_MTG_Set[[#This Row],[Buy Window Start]], NOW()&lt;=tbl_MTG_Set[[#This Row],[Buy Window End]])</f>
        <v/>
      </c>
      <c r="O377">
        <f>_xlfn.XLOOKUP(tbl_MTG_Set[[#This Row],[Type Name]], tbl_MTG_Set_Type[Set Type], tbl_MTG_Set_Type[Heavy Printing Window Month Start], "(Set Type not found)", 0, 1)</f>
        <v/>
      </c>
      <c r="P377" s="3">
        <f>tbl_MTG_Set[[#This Row],[Released On]]+tbl_MTG_Set[[#This Row],[Heavy Printing Window Month Start]]*365.25/12</f>
        <v/>
      </c>
      <c r="Q377">
        <f>_xlfn.XLOOKUP(tbl_MTG_Set[[#This Row],[Type Name]], tbl_MTG_Set_Type[Set Type], tbl_MTG_Set_Type[Heavy Printing Window Month End], "(Set Type not found)", 0, 1)</f>
        <v/>
      </c>
      <c r="R377" s="3">
        <f>tbl_MTG_Set[[#This Row],[Released On]]+tbl_MTG_Set[[#This Row],[Heavy Printing Window Month End]]*365.25/12</f>
        <v/>
      </c>
      <c r="S377" s="3">
        <f>AND(NOW()&gt;=tbl_MTG_Set[[#This Row],[Heavy Printing Window Start]], NOW()&lt;=tbl_MTG_Set[[#This Row],[Heavy Printing Window End]])</f>
        <v/>
      </c>
      <c r="T377">
        <f>_xlfn.XLOOKUP(tbl_MTG_Set[[#This Row],[Type Name]], tbl_MTG_Set_Type[Set Type], tbl_MTG_Set_Type[Sell Window Month Start], "(Set Type not found)", 0, 1)</f>
        <v/>
      </c>
      <c r="U377" s="3">
        <f>tbl_MTG_Set[[#This Row],[Released On]]+tbl_MTG_Set[[#This Row],[Sell Window Month Start]]*365.25/12</f>
        <v/>
      </c>
      <c r="V377">
        <f>_xlfn.XLOOKUP(tbl_MTG_Set[[#This Row],[Type Name]], tbl_MTG_Set_Type[Set Type], tbl_MTG_Set_Type[Sell Window Month End], "(Set Type not found)", 0, 1)</f>
        <v/>
      </c>
      <c r="W377" s="3">
        <f>tbl_MTG_Set[[#This Row],[Released On]]+tbl_MTG_Set[[#This Row],[Sell Window Month End]]*365.25/12</f>
        <v/>
      </c>
      <c r="X377" s="3">
        <f>AND(NOW()&gt;=tbl_MTG_Set[[#This Row],[Sell Window Start]], NOW()&lt;=tbl_MTG_Set[[#This Row],[Sell Window End]])</f>
        <v/>
      </c>
      <c r="AG377" s="10" t="n"/>
      <c r="AH377" s="10" t="n"/>
      <c r="AM377" s="10">
        <f t="array" ref="AM3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7" s="10">
        <f t="array" ref="AN3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7" s="4">
        <f>_xlfn.XLOOKUP(tbl_MTG_Set[[#This Row],[Play Booster Box Product Id]], tbl_Product[Product Id], tbl_Product[Pack Size])</f>
        <v/>
      </c>
      <c r="AP377" s="10">
        <f>(tbl_MTG_Set[[#This Row],[Play Booster Box Cost]]+v_Item_Shipping_Cost_In)/tbl_MTG_Set[[#This Row],[Play Booster Box Size]]</f>
        <v/>
      </c>
      <c r="AQ377" s="10">
        <f t="array" ref="AQ3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7" s="10" t="n"/>
      <c r="AS377" s="10" t="n"/>
      <c r="AT377" s="17">
        <f>tbl_MTG_Set[[#This Row],[Play Booster CardMarket Profit]]/tbl_MTG_Set[[#This Row],[Play Booster Cost]]</f>
        <v/>
      </c>
      <c r="AU377" s="10">
        <f>_xlfn.XLOOKUP(tbl_MTG_Set[[#This Row],[Collector Booster Box Product Id]], tbl_Product[Product Id], tbl_Product[Min Cost])</f>
        <v/>
      </c>
      <c r="AV377" s="10">
        <f>_xlfn.XLOOKUP(tbl_MTG_Set[[#This Row],[Collector Booster Box Product Id]], tbl_Product[Product Id], tbl_Product[Best Source])</f>
        <v/>
      </c>
      <c r="AW377" s="4">
        <f>_xlfn.XLOOKUP(tbl_MTG_Set[[#This Row],[Collector Booster Box Product Id]], tbl_Product[Product Id], tbl_Product[Pack Size])</f>
        <v/>
      </c>
      <c r="AX377" s="10">
        <f>(tbl_MTG_Set[[#This Row],[Collector Booster Box Cost]] + v_Item_Shipping_Cost_In) / tbl_MTG_Set[[#This Row],[Collector Booster Box Size]]</f>
        <v/>
      </c>
      <c r="AY377" s="10">
        <f t="array" ref="AY3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7" s="10" t="n"/>
      <c r="BA3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7" s="17">
        <f>tbl_MTG_Set[[#This Row],[Collector Booster CardMarket Profit]]/tbl_MTG_Set[[#This Row],[Collector Booster Cost]]</f>
        <v/>
      </c>
      <c r="BC377" s="10" t="n"/>
      <c r="BF377" s="10">
        <f>tbl_MTG_Set[[#This Row],[Play Booster Sell Price CardMarket]]*tbl_MTG_Set[[#This Row],[Play Booster Expected Market Value]]/tbl_MTG_Set[[#This Row],[Play Boost Sealed Market Value]]</f>
        <v/>
      </c>
      <c r="BG3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7" s="10">
        <f>tbl_MTG_Set[[#This Row],[Play Singles CardMarket Profit]]/tbl_MTG_Set[[#This Row],[Play Booster Cost]]</f>
        <v/>
      </c>
      <c r="BI377" s="10">
        <f>tbl_MTG_Set[[#This Row],[Play Singles CardMarket Profit]]&gt;0</f>
        <v/>
      </c>
      <c r="BJ377" s="10" t="n"/>
      <c r="BK377" s="10" t="n"/>
      <c r="BL377" s="10">
        <f>tbl_MTG_Set[[#This Row],[Collector Booster Sell Price CardMarket]]*tbl_MTG_Set[[#This Row],[Collector Booster Expected Market Value]]/tbl_MTG_Set[[#This Row],[Collector Boost Sealed Market Value]]</f>
        <v/>
      </c>
      <c r="BM3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7" s="10">
        <f>tbl_MTG_Set[[#This Row],[Collector Singles CardMarket Profit]]/tbl_MTG_Set[[#This Row],[Collector Booster Cost]]</f>
        <v/>
      </c>
      <c r="BO377" s="10">
        <f>tbl_MTG_Set[[#This Row],[Collector Singles CardMarket Profit]]&gt;0</f>
        <v/>
      </c>
      <c r="BP3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8">
      <c r="A378" t="n">
        <v>376</v>
      </c>
      <c r="B378" t="inlineStr">
        <is>
          <t>Zendikar Rising Art Series AZNR</t>
        </is>
      </c>
      <c r="C378" t="n">
        <v>81</v>
      </c>
      <c r="D378" s="3" t="n">
        <v>44099</v>
      </c>
      <c r="E378" t="inlineStr">
        <is>
          <t>Standard Expansion</t>
        </is>
      </c>
      <c r="F378" t="inlineStr">
        <is>
          <t>en es fr de it pt ja ko ru 汉语 漢語</t>
        </is>
      </c>
      <c r="G378" t="n">
        <v>698</v>
      </c>
      <c r="H378">
        <f>MONTH(NOW())+12*YEAR(NOW())-MONTH(tbl_MTG_Set[[#This Row],[Released On]])-12*YEAR(tbl_MTG_Set[[#This Row],[Released On]])</f>
        <v/>
      </c>
      <c r="I378">
        <f>_xlfn.XLOOKUP(tbl_MTG_Set[[#This Row],[Type Name]], tbl_MTG_Set_Type[Set Type], tbl_MTG_Set_Type[Index], "(Set Type not found)")</f>
        <v/>
      </c>
      <c r="J378">
        <f>_xlfn.XLOOKUP(tbl_MTG_Set[[#This Row],[Type Name]], tbl_MTG_Set_Type[Set Type], tbl_MTG_Set_Type[Buy Window Month Start], "(Set Type not found)")</f>
        <v/>
      </c>
      <c r="K378" s="3">
        <f>tbl_MTG_Set[[#This Row],[Released On]]+tbl_MTG_Set[[#This Row],[Buy Window Month Start]]*365.25/12</f>
        <v/>
      </c>
      <c r="L378">
        <f>_xlfn.XLOOKUP(tbl_MTG_Set[[#This Row],[Type Name]], tbl_MTG_Set_Type[Set Type], tbl_MTG_Set_Type[Buy Window Month End], "(Set Type not found)", 0, 1)</f>
        <v/>
      </c>
      <c r="M378" s="3">
        <f>tbl_MTG_Set[[#This Row],[Released On]]+tbl_MTG_Set[[#This Row],[Buy Window Month End]]*365.25/12</f>
        <v/>
      </c>
      <c r="N378" s="3">
        <f>AND(NOW()&gt;=tbl_MTG_Set[[#This Row],[Buy Window Start]], NOW()&lt;=tbl_MTG_Set[[#This Row],[Buy Window End]])</f>
        <v/>
      </c>
      <c r="O378">
        <f>_xlfn.XLOOKUP(tbl_MTG_Set[[#This Row],[Type Name]], tbl_MTG_Set_Type[Set Type], tbl_MTG_Set_Type[Heavy Printing Window Month Start], "(Set Type not found)", 0, 1)</f>
        <v/>
      </c>
      <c r="P378" s="3">
        <f>tbl_MTG_Set[[#This Row],[Released On]]+tbl_MTG_Set[[#This Row],[Heavy Printing Window Month Start]]*365.25/12</f>
        <v/>
      </c>
      <c r="Q378">
        <f>_xlfn.XLOOKUP(tbl_MTG_Set[[#This Row],[Type Name]], tbl_MTG_Set_Type[Set Type], tbl_MTG_Set_Type[Heavy Printing Window Month End], "(Set Type not found)", 0, 1)</f>
        <v/>
      </c>
      <c r="R378" s="3">
        <f>tbl_MTG_Set[[#This Row],[Released On]]+tbl_MTG_Set[[#This Row],[Heavy Printing Window Month End]]*365.25/12</f>
        <v/>
      </c>
      <c r="S378" s="3">
        <f>AND(NOW()&gt;=tbl_MTG_Set[[#This Row],[Heavy Printing Window Start]], NOW()&lt;=tbl_MTG_Set[[#This Row],[Heavy Printing Window End]])</f>
        <v/>
      </c>
      <c r="T378">
        <f>_xlfn.XLOOKUP(tbl_MTG_Set[[#This Row],[Type Name]], tbl_MTG_Set_Type[Set Type], tbl_MTG_Set_Type[Sell Window Month Start], "(Set Type not found)", 0, 1)</f>
        <v/>
      </c>
      <c r="U378" s="3">
        <f>tbl_MTG_Set[[#This Row],[Released On]]+tbl_MTG_Set[[#This Row],[Sell Window Month Start]]*365.25/12</f>
        <v/>
      </c>
      <c r="V378">
        <f>_xlfn.XLOOKUP(tbl_MTG_Set[[#This Row],[Type Name]], tbl_MTG_Set_Type[Set Type], tbl_MTG_Set_Type[Sell Window Month End], "(Set Type not found)", 0, 1)</f>
        <v/>
      </c>
      <c r="W378" s="3">
        <f>tbl_MTG_Set[[#This Row],[Released On]]+tbl_MTG_Set[[#This Row],[Sell Window Month End]]*365.25/12</f>
        <v/>
      </c>
      <c r="X378" s="3">
        <f>AND(NOW()&gt;=tbl_MTG_Set[[#This Row],[Sell Window Start]], NOW()&lt;=tbl_MTG_Set[[#This Row],[Sell Window End]])</f>
        <v/>
      </c>
      <c r="AG378" s="10" t="n"/>
      <c r="AH378" s="10" t="n"/>
      <c r="AM378" s="10">
        <f t="array" ref="AM3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8" s="10">
        <f t="array" ref="AN3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8" s="4">
        <f>_xlfn.XLOOKUP(tbl_MTG_Set[[#This Row],[Play Booster Box Product Id]], tbl_Product[Product Id], tbl_Product[Pack Size])</f>
        <v/>
      </c>
      <c r="AP378" s="10">
        <f>(tbl_MTG_Set[[#This Row],[Play Booster Box Cost]]+v_Item_Shipping_Cost_In)/tbl_MTG_Set[[#This Row],[Play Booster Box Size]]</f>
        <v/>
      </c>
      <c r="AQ378" s="10">
        <f t="array" ref="AQ3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8" s="10" t="n"/>
      <c r="AS378" s="10" t="n"/>
      <c r="AT378" s="17">
        <f>tbl_MTG_Set[[#This Row],[Play Booster CardMarket Profit]]/tbl_MTG_Set[[#This Row],[Play Booster Cost]]</f>
        <v/>
      </c>
      <c r="AU378" s="10">
        <f>_xlfn.XLOOKUP(tbl_MTG_Set[[#This Row],[Collector Booster Box Product Id]], tbl_Product[Product Id], tbl_Product[Min Cost])</f>
        <v/>
      </c>
      <c r="AV378" s="10">
        <f>_xlfn.XLOOKUP(tbl_MTG_Set[[#This Row],[Collector Booster Box Product Id]], tbl_Product[Product Id], tbl_Product[Best Source])</f>
        <v/>
      </c>
      <c r="AW378" s="4">
        <f>_xlfn.XLOOKUP(tbl_MTG_Set[[#This Row],[Collector Booster Box Product Id]], tbl_Product[Product Id], tbl_Product[Pack Size])</f>
        <v/>
      </c>
      <c r="AX378" s="10">
        <f>(tbl_MTG_Set[[#This Row],[Collector Booster Box Cost]] + v_Item_Shipping_Cost_In) / tbl_MTG_Set[[#This Row],[Collector Booster Box Size]]</f>
        <v/>
      </c>
      <c r="AY378" s="10">
        <f t="array" ref="AY3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8" s="10" t="n"/>
      <c r="BA3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8" s="17">
        <f>tbl_MTG_Set[[#This Row],[Collector Booster CardMarket Profit]]/tbl_MTG_Set[[#This Row],[Collector Booster Cost]]</f>
        <v/>
      </c>
      <c r="BC378" s="10" t="n"/>
      <c r="BF378" s="10">
        <f>tbl_MTG_Set[[#This Row],[Play Booster Sell Price CardMarket]]*tbl_MTG_Set[[#This Row],[Play Booster Expected Market Value]]/tbl_MTG_Set[[#This Row],[Play Boost Sealed Market Value]]</f>
        <v/>
      </c>
      <c r="BG3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8" s="10">
        <f>tbl_MTG_Set[[#This Row],[Play Singles CardMarket Profit]]/tbl_MTG_Set[[#This Row],[Play Booster Cost]]</f>
        <v/>
      </c>
      <c r="BI378" s="10">
        <f>tbl_MTG_Set[[#This Row],[Play Singles CardMarket Profit]]&gt;0</f>
        <v/>
      </c>
      <c r="BJ378" s="10" t="n"/>
      <c r="BK378" s="10" t="n"/>
      <c r="BL378" s="10">
        <f>tbl_MTG_Set[[#This Row],[Collector Booster Sell Price CardMarket]]*tbl_MTG_Set[[#This Row],[Collector Booster Expected Market Value]]/tbl_MTG_Set[[#This Row],[Collector Boost Sealed Market Value]]</f>
        <v/>
      </c>
      <c r="BM3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8" s="10">
        <f>tbl_MTG_Set[[#This Row],[Collector Singles CardMarket Profit]]/tbl_MTG_Set[[#This Row],[Collector Booster Cost]]</f>
        <v/>
      </c>
      <c r="BO378" s="10">
        <f>tbl_MTG_Set[[#This Row],[Collector Singles CardMarket Profit]]&gt;0</f>
        <v/>
      </c>
      <c r="BP3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9">
      <c r="A379" t="n">
        <v>377</v>
      </c>
      <c r="B379" t="inlineStr">
        <is>
          <t>Zendikar Rising Minigames MZNR</t>
        </is>
      </c>
      <c r="C379" t="n">
        <v>5</v>
      </c>
      <c r="D379" s="3" t="n">
        <v>44099</v>
      </c>
      <c r="E379" t="inlineStr">
        <is>
          <t>Standard Expansion</t>
        </is>
      </c>
      <c r="F379" t="inlineStr">
        <is>
          <t>en es fr de it pt ja ko ru 汉语 漢語</t>
        </is>
      </c>
      <c r="G379" t="n">
        <v>700</v>
      </c>
      <c r="H379">
        <f>MONTH(NOW())+12*YEAR(NOW())-MONTH(tbl_MTG_Set[[#This Row],[Released On]])-12*YEAR(tbl_MTG_Set[[#This Row],[Released On]])</f>
        <v/>
      </c>
      <c r="I379">
        <f>_xlfn.XLOOKUP(tbl_MTG_Set[[#This Row],[Type Name]], tbl_MTG_Set_Type[Set Type], tbl_MTG_Set_Type[Index], "(Set Type not found)")</f>
        <v/>
      </c>
      <c r="J379">
        <f>_xlfn.XLOOKUP(tbl_MTG_Set[[#This Row],[Type Name]], tbl_MTG_Set_Type[Set Type], tbl_MTG_Set_Type[Buy Window Month Start], "(Set Type not found)")</f>
        <v/>
      </c>
      <c r="K379" s="3">
        <f>tbl_MTG_Set[[#This Row],[Released On]]+tbl_MTG_Set[[#This Row],[Buy Window Month Start]]*365.25/12</f>
        <v/>
      </c>
      <c r="L379">
        <f>_xlfn.XLOOKUP(tbl_MTG_Set[[#This Row],[Type Name]], tbl_MTG_Set_Type[Set Type], tbl_MTG_Set_Type[Buy Window Month End], "(Set Type not found)", 0, 1)</f>
        <v/>
      </c>
      <c r="M379" s="3">
        <f>tbl_MTG_Set[[#This Row],[Released On]]+tbl_MTG_Set[[#This Row],[Buy Window Month End]]*365.25/12</f>
        <v/>
      </c>
      <c r="N379" s="3">
        <f>AND(NOW()&gt;=tbl_MTG_Set[[#This Row],[Buy Window Start]], NOW()&lt;=tbl_MTG_Set[[#This Row],[Buy Window End]])</f>
        <v/>
      </c>
      <c r="O379">
        <f>_xlfn.XLOOKUP(tbl_MTG_Set[[#This Row],[Type Name]], tbl_MTG_Set_Type[Set Type], tbl_MTG_Set_Type[Heavy Printing Window Month Start], "(Set Type not found)", 0, 1)</f>
        <v/>
      </c>
      <c r="P379" s="3">
        <f>tbl_MTG_Set[[#This Row],[Released On]]+tbl_MTG_Set[[#This Row],[Heavy Printing Window Month Start]]*365.25/12</f>
        <v/>
      </c>
      <c r="Q379">
        <f>_xlfn.XLOOKUP(tbl_MTG_Set[[#This Row],[Type Name]], tbl_MTG_Set_Type[Set Type], tbl_MTG_Set_Type[Heavy Printing Window Month End], "(Set Type not found)", 0, 1)</f>
        <v/>
      </c>
      <c r="R379" s="3">
        <f>tbl_MTG_Set[[#This Row],[Released On]]+tbl_MTG_Set[[#This Row],[Heavy Printing Window Month End]]*365.25/12</f>
        <v/>
      </c>
      <c r="S379" s="3">
        <f>AND(NOW()&gt;=tbl_MTG_Set[[#This Row],[Heavy Printing Window Start]], NOW()&lt;=tbl_MTG_Set[[#This Row],[Heavy Printing Window End]])</f>
        <v/>
      </c>
      <c r="T379">
        <f>_xlfn.XLOOKUP(tbl_MTG_Set[[#This Row],[Type Name]], tbl_MTG_Set_Type[Set Type], tbl_MTG_Set_Type[Sell Window Month Start], "(Set Type not found)", 0, 1)</f>
        <v/>
      </c>
      <c r="U379" s="3">
        <f>tbl_MTG_Set[[#This Row],[Released On]]+tbl_MTG_Set[[#This Row],[Sell Window Month Start]]*365.25/12</f>
        <v/>
      </c>
      <c r="V379">
        <f>_xlfn.XLOOKUP(tbl_MTG_Set[[#This Row],[Type Name]], tbl_MTG_Set_Type[Set Type], tbl_MTG_Set_Type[Sell Window Month End], "(Set Type not found)", 0, 1)</f>
        <v/>
      </c>
      <c r="W379" s="3">
        <f>tbl_MTG_Set[[#This Row],[Released On]]+tbl_MTG_Set[[#This Row],[Sell Window Month End]]*365.25/12</f>
        <v/>
      </c>
      <c r="X379" s="3">
        <f>AND(NOW()&gt;=tbl_MTG_Set[[#This Row],[Sell Window Start]], NOW()&lt;=tbl_MTG_Set[[#This Row],[Sell Window End]])</f>
        <v/>
      </c>
      <c r="AG379" s="10" t="n"/>
      <c r="AH379" s="10" t="n"/>
      <c r="AM379" s="10">
        <f t="array" ref="AM3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9" s="10">
        <f t="array" ref="AN3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9" s="4">
        <f>_xlfn.XLOOKUP(tbl_MTG_Set[[#This Row],[Play Booster Box Product Id]], tbl_Product[Product Id], tbl_Product[Pack Size])</f>
        <v/>
      </c>
      <c r="AP379" s="10">
        <f>(tbl_MTG_Set[[#This Row],[Play Booster Box Cost]]+v_Item_Shipping_Cost_In)/tbl_MTG_Set[[#This Row],[Play Booster Box Size]]</f>
        <v/>
      </c>
      <c r="AQ379" s="10">
        <f t="array" ref="AQ3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79" s="10" t="n"/>
      <c r="AS379" s="10" t="n"/>
      <c r="AT379" s="17">
        <f>tbl_MTG_Set[[#This Row],[Play Booster CardMarket Profit]]/tbl_MTG_Set[[#This Row],[Play Booster Cost]]</f>
        <v/>
      </c>
      <c r="AU379" s="10">
        <f>_xlfn.XLOOKUP(tbl_MTG_Set[[#This Row],[Collector Booster Box Product Id]], tbl_Product[Product Id], tbl_Product[Min Cost])</f>
        <v/>
      </c>
      <c r="AV379" s="10">
        <f>_xlfn.XLOOKUP(tbl_MTG_Set[[#This Row],[Collector Booster Box Product Id]], tbl_Product[Product Id], tbl_Product[Best Source])</f>
        <v/>
      </c>
      <c r="AW379" s="4">
        <f>_xlfn.XLOOKUP(tbl_MTG_Set[[#This Row],[Collector Booster Box Product Id]], tbl_Product[Product Id], tbl_Product[Pack Size])</f>
        <v/>
      </c>
      <c r="AX379" s="10">
        <f>(tbl_MTG_Set[[#This Row],[Collector Booster Box Cost]] + v_Item_Shipping_Cost_In) / tbl_MTG_Set[[#This Row],[Collector Booster Box Size]]</f>
        <v/>
      </c>
      <c r="AY379" s="10">
        <f t="array" ref="AY3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79" s="10" t="n"/>
      <c r="BA3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9" s="17">
        <f>tbl_MTG_Set[[#This Row],[Collector Booster CardMarket Profit]]/tbl_MTG_Set[[#This Row],[Collector Booster Cost]]</f>
        <v/>
      </c>
      <c r="BC379" s="10" t="n"/>
      <c r="BF379" s="10">
        <f>tbl_MTG_Set[[#This Row],[Play Booster Sell Price CardMarket]]*tbl_MTG_Set[[#This Row],[Play Booster Expected Market Value]]/tbl_MTG_Set[[#This Row],[Play Boost Sealed Market Value]]</f>
        <v/>
      </c>
      <c r="BG3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9" s="10">
        <f>tbl_MTG_Set[[#This Row],[Play Singles CardMarket Profit]]/tbl_MTG_Set[[#This Row],[Play Booster Cost]]</f>
        <v/>
      </c>
      <c r="BI379" s="10">
        <f>tbl_MTG_Set[[#This Row],[Play Singles CardMarket Profit]]&gt;0</f>
        <v/>
      </c>
      <c r="BJ379" s="10" t="n"/>
      <c r="BK379" s="10" t="n"/>
      <c r="BL379" s="10">
        <f>tbl_MTG_Set[[#This Row],[Collector Booster Sell Price CardMarket]]*tbl_MTG_Set[[#This Row],[Collector Booster Expected Market Value]]/tbl_MTG_Set[[#This Row],[Collector Boost Sealed Market Value]]</f>
        <v/>
      </c>
      <c r="BM3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9" s="10">
        <f>tbl_MTG_Set[[#This Row],[Collector Singles CardMarket Profit]]/tbl_MTG_Set[[#This Row],[Collector Booster Cost]]</f>
        <v/>
      </c>
      <c r="BO379" s="10">
        <f>tbl_MTG_Set[[#This Row],[Collector Singles CardMarket Profit]]&gt;0</f>
        <v/>
      </c>
      <c r="BP3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0">
      <c r="A380" t="n">
        <v>378</v>
      </c>
      <c r="B380" t="inlineStr">
        <is>
          <t>Zendikar Rising Commander ZNC</t>
        </is>
      </c>
      <c r="C380" t="n">
        <v>142</v>
      </c>
      <c r="D380" s="3" t="n">
        <v>44099</v>
      </c>
      <c r="E380" t="inlineStr">
        <is>
          <t>Commander</t>
        </is>
      </c>
      <c r="F380" t="inlineStr">
        <is>
          <t>en es fr de it pt ja ko ru 汉语 漢語</t>
        </is>
      </c>
      <c r="G380" t="n">
        <v>702</v>
      </c>
      <c r="H380">
        <f>MONTH(NOW())+12*YEAR(NOW())-MONTH(tbl_MTG_Set[[#This Row],[Released On]])-12*YEAR(tbl_MTG_Set[[#This Row],[Released On]])</f>
        <v/>
      </c>
      <c r="I380">
        <f>_xlfn.XLOOKUP(tbl_MTG_Set[[#This Row],[Type Name]], tbl_MTG_Set_Type[Set Type], tbl_MTG_Set_Type[Index], "(Set Type not found)")</f>
        <v/>
      </c>
      <c r="J380">
        <f>_xlfn.XLOOKUP(tbl_MTG_Set[[#This Row],[Type Name]], tbl_MTG_Set_Type[Set Type], tbl_MTG_Set_Type[Buy Window Month Start], "(Set Type not found)")</f>
        <v/>
      </c>
      <c r="K380" s="3">
        <f>tbl_MTG_Set[[#This Row],[Released On]]+tbl_MTG_Set[[#This Row],[Buy Window Month Start]]*365.25/12</f>
        <v/>
      </c>
      <c r="L380">
        <f>_xlfn.XLOOKUP(tbl_MTG_Set[[#This Row],[Type Name]], tbl_MTG_Set_Type[Set Type], tbl_MTG_Set_Type[Buy Window Month End], "(Set Type not found)", 0, 1)</f>
        <v/>
      </c>
      <c r="M380" s="3">
        <f>tbl_MTG_Set[[#This Row],[Released On]]+tbl_MTG_Set[[#This Row],[Buy Window Month End]]*365.25/12</f>
        <v/>
      </c>
      <c r="N380" s="3">
        <f>AND(NOW()&gt;=tbl_MTG_Set[[#This Row],[Buy Window Start]], NOW()&lt;=tbl_MTG_Set[[#This Row],[Buy Window End]])</f>
        <v/>
      </c>
      <c r="O380">
        <f>_xlfn.XLOOKUP(tbl_MTG_Set[[#This Row],[Type Name]], tbl_MTG_Set_Type[Set Type], tbl_MTG_Set_Type[Heavy Printing Window Month Start], "(Set Type not found)", 0, 1)</f>
        <v/>
      </c>
      <c r="P380" s="3">
        <f>tbl_MTG_Set[[#This Row],[Released On]]+tbl_MTG_Set[[#This Row],[Heavy Printing Window Month Start]]*365.25/12</f>
        <v/>
      </c>
      <c r="Q380">
        <f>_xlfn.XLOOKUP(tbl_MTG_Set[[#This Row],[Type Name]], tbl_MTG_Set_Type[Set Type], tbl_MTG_Set_Type[Heavy Printing Window Month End], "(Set Type not found)", 0, 1)</f>
        <v/>
      </c>
      <c r="R380" s="3">
        <f>tbl_MTG_Set[[#This Row],[Released On]]+tbl_MTG_Set[[#This Row],[Heavy Printing Window Month End]]*365.25/12</f>
        <v/>
      </c>
      <c r="S380" s="3">
        <f>AND(NOW()&gt;=tbl_MTG_Set[[#This Row],[Heavy Printing Window Start]], NOW()&lt;=tbl_MTG_Set[[#This Row],[Heavy Printing Window End]])</f>
        <v/>
      </c>
      <c r="T380">
        <f>_xlfn.XLOOKUP(tbl_MTG_Set[[#This Row],[Type Name]], tbl_MTG_Set_Type[Set Type], tbl_MTG_Set_Type[Sell Window Month Start], "(Set Type not found)", 0, 1)</f>
        <v/>
      </c>
      <c r="U380" s="3">
        <f>tbl_MTG_Set[[#This Row],[Released On]]+tbl_MTG_Set[[#This Row],[Sell Window Month Start]]*365.25/12</f>
        <v/>
      </c>
      <c r="V380">
        <f>_xlfn.XLOOKUP(tbl_MTG_Set[[#This Row],[Type Name]], tbl_MTG_Set_Type[Set Type], tbl_MTG_Set_Type[Sell Window Month End], "(Set Type not found)", 0, 1)</f>
        <v/>
      </c>
      <c r="W380" s="3">
        <f>tbl_MTG_Set[[#This Row],[Released On]]+tbl_MTG_Set[[#This Row],[Sell Window Month End]]*365.25/12</f>
        <v/>
      </c>
      <c r="X380" s="3">
        <f>AND(NOW()&gt;=tbl_MTG_Set[[#This Row],[Sell Window Start]], NOW()&lt;=tbl_MTG_Set[[#This Row],[Sell Window End]])</f>
        <v/>
      </c>
      <c r="AG380" s="10" t="n"/>
      <c r="AH380" s="10" t="n"/>
      <c r="AM380" s="10">
        <f t="array" ref="AM3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0" s="10">
        <f t="array" ref="AN3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0" s="4">
        <f>_xlfn.XLOOKUP(tbl_MTG_Set[[#This Row],[Play Booster Box Product Id]], tbl_Product[Product Id], tbl_Product[Pack Size])</f>
        <v/>
      </c>
      <c r="AP380" s="10">
        <f>(tbl_MTG_Set[[#This Row],[Play Booster Box Cost]]+v_Item_Shipping_Cost_In)/tbl_MTG_Set[[#This Row],[Play Booster Box Size]]</f>
        <v/>
      </c>
      <c r="AQ380" s="10">
        <f t="array" ref="AQ3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0" s="10" t="n"/>
      <c r="AS380" s="10" t="n"/>
      <c r="AT380" s="17">
        <f>tbl_MTG_Set[[#This Row],[Play Booster CardMarket Profit]]/tbl_MTG_Set[[#This Row],[Play Booster Cost]]</f>
        <v/>
      </c>
      <c r="AU380" s="10">
        <f>_xlfn.XLOOKUP(tbl_MTG_Set[[#This Row],[Collector Booster Box Product Id]], tbl_Product[Product Id], tbl_Product[Min Cost])</f>
        <v/>
      </c>
      <c r="AV380" s="10">
        <f>_xlfn.XLOOKUP(tbl_MTG_Set[[#This Row],[Collector Booster Box Product Id]], tbl_Product[Product Id], tbl_Product[Best Source])</f>
        <v/>
      </c>
      <c r="AW380" s="4">
        <f>_xlfn.XLOOKUP(tbl_MTG_Set[[#This Row],[Collector Booster Box Product Id]], tbl_Product[Product Id], tbl_Product[Pack Size])</f>
        <v/>
      </c>
      <c r="AX380" s="10">
        <f>(tbl_MTG_Set[[#This Row],[Collector Booster Box Cost]] + v_Item_Shipping_Cost_In) / tbl_MTG_Set[[#This Row],[Collector Booster Box Size]]</f>
        <v/>
      </c>
      <c r="AY380" s="10">
        <f t="array" ref="AY3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0" s="10" t="n"/>
      <c r="BA3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0" s="17">
        <f>tbl_MTG_Set[[#This Row],[Collector Booster CardMarket Profit]]/tbl_MTG_Set[[#This Row],[Collector Booster Cost]]</f>
        <v/>
      </c>
      <c r="BC380" s="10" t="n"/>
      <c r="BF380" s="10">
        <f>tbl_MTG_Set[[#This Row],[Play Booster Sell Price CardMarket]]*tbl_MTG_Set[[#This Row],[Play Booster Expected Market Value]]/tbl_MTG_Set[[#This Row],[Play Boost Sealed Market Value]]</f>
        <v/>
      </c>
      <c r="BG3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0" s="10">
        <f>tbl_MTG_Set[[#This Row],[Play Singles CardMarket Profit]]/tbl_MTG_Set[[#This Row],[Play Booster Cost]]</f>
        <v/>
      </c>
      <c r="BI380" s="10">
        <f>tbl_MTG_Set[[#This Row],[Play Singles CardMarket Profit]]&gt;0</f>
        <v/>
      </c>
      <c r="BJ380" s="10" t="n"/>
      <c r="BK380" s="10" t="n"/>
      <c r="BL380" s="10">
        <f>tbl_MTG_Set[[#This Row],[Collector Booster Sell Price CardMarket]]*tbl_MTG_Set[[#This Row],[Collector Booster Expected Market Value]]/tbl_MTG_Set[[#This Row],[Collector Boost Sealed Market Value]]</f>
        <v/>
      </c>
      <c r="BM3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0" s="10">
        <f>tbl_MTG_Set[[#This Row],[Collector Singles CardMarket Profit]]/tbl_MTG_Set[[#This Row],[Collector Booster Cost]]</f>
        <v/>
      </c>
      <c r="BO380" s="10">
        <f>tbl_MTG_Set[[#This Row],[Collector Singles CardMarket Profit]]&gt;0</f>
        <v/>
      </c>
      <c r="BP3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1">
      <c r="A381" t="n">
        <v>379</v>
      </c>
      <c r="B381" t="inlineStr">
        <is>
          <t>Zendikar Rising Commander Tokens TZNC</t>
        </is>
      </c>
      <c r="C381" t="n">
        <v>11</v>
      </c>
      <c r="D381" s="3" t="n">
        <v>44099</v>
      </c>
      <c r="E381" t="inlineStr">
        <is>
          <t>Commander</t>
        </is>
      </c>
      <c r="F381" t="inlineStr">
        <is>
          <t>en es fr de it pt ja ko ru 汉语 漢語</t>
        </is>
      </c>
      <c r="G381" t="n">
        <v>704</v>
      </c>
      <c r="H381">
        <f>MONTH(NOW())+12*YEAR(NOW())-MONTH(tbl_MTG_Set[[#This Row],[Released On]])-12*YEAR(tbl_MTG_Set[[#This Row],[Released On]])</f>
        <v/>
      </c>
      <c r="I381">
        <f>_xlfn.XLOOKUP(tbl_MTG_Set[[#This Row],[Type Name]], tbl_MTG_Set_Type[Set Type], tbl_MTG_Set_Type[Index], "(Set Type not found)")</f>
        <v/>
      </c>
      <c r="J381">
        <f>_xlfn.XLOOKUP(tbl_MTG_Set[[#This Row],[Type Name]], tbl_MTG_Set_Type[Set Type], tbl_MTG_Set_Type[Buy Window Month Start], "(Set Type not found)")</f>
        <v/>
      </c>
      <c r="K381" s="3">
        <f>tbl_MTG_Set[[#This Row],[Released On]]+tbl_MTG_Set[[#This Row],[Buy Window Month Start]]*365.25/12</f>
        <v/>
      </c>
      <c r="L381">
        <f>_xlfn.XLOOKUP(tbl_MTG_Set[[#This Row],[Type Name]], tbl_MTG_Set_Type[Set Type], tbl_MTG_Set_Type[Buy Window Month End], "(Set Type not found)", 0, 1)</f>
        <v/>
      </c>
      <c r="M381" s="3">
        <f>tbl_MTG_Set[[#This Row],[Released On]]+tbl_MTG_Set[[#This Row],[Buy Window Month End]]*365.25/12</f>
        <v/>
      </c>
      <c r="N381" s="3">
        <f>AND(NOW()&gt;=tbl_MTG_Set[[#This Row],[Buy Window Start]], NOW()&lt;=tbl_MTG_Set[[#This Row],[Buy Window End]])</f>
        <v/>
      </c>
      <c r="O381">
        <f>_xlfn.XLOOKUP(tbl_MTG_Set[[#This Row],[Type Name]], tbl_MTG_Set_Type[Set Type], tbl_MTG_Set_Type[Heavy Printing Window Month Start], "(Set Type not found)", 0, 1)</f>
        <v/>
      </c>
      <c r="P381" s="3">
        <f>tbl_MTG_Set[[#This Row],[Released On]]+tbl_MTG_Set[[#This Row],[Heavy Printing Window Month Start]]*365.25/12</f>
        <v/>
      </c>
      <c r="Q381">
        <f>_xlfn.XLOOKUP(tbl_MTG_Set[[#This Row],[Type Name]], tbl_MTG_Set_Type[Set Type], tbl_MTG_Set_Type[Heavy Printing Window Month End], "(Set Type not found)", 0, 1)</f>
        <v/>
      </c>
      <c r="R381" s="3">
        <f>tbl_MTG_Set[[#This Row],[Released On]]+tbl_MTG_Set[[#This Row],[Heavy Printing Window Month End]]*365.25/12</f>
        <v/>
      </c>
      <c r="S381" s="3">
        <f>AND(NOW()&gt;=tbl_MTG_Set[[#This Row],[Heavy Printing Window Start]], NOW()&lt;=tbl_MTG_Set[[#This Row],[Heavy Printing Window End]])</f>
        <v/>
      </c>
      <c r="T381">
        <f>_xlfn.XLOOKUP(tbl_MTG_Set[[#This Row],[Type Name]], tbl_MTG_Set_Type[Set Type], tbl_MTG_Set_Type[Sell Window Month Start], "(Set Type not found)", 0, 1)</f>
        <v/>
      </c>
      <c r="U381" s="3">
        <f>tbl_MTG_Set[[#This Row],[Released On]]+tbl_MTG_Set[[#This Row],[Sell Window Month Start]]*365.25/12</f>
        <v/>
      </c>
      <c r="V381">
        <f>_xlfn.XLOOKUP(tbl_MTG_Set[[#This Row],[Type Name]], tbl_MTG_Set_Type[Set Type], tbl_MTG_Set_Type[Sell Window Month End], "(Set Type not found)", 0, 1)</f>
        <v/>
      </c>
      <c r="W381" s="3">
        <f>tbl_MTG_Set[[#This Row],[Released On]]+tbl_MTG_Set[[#This Row],[Sell Window Month End]]*365.25/12</f>
        <v/>
      </c>
      <c r="X381" s="3">
        <f>AND(NOW()&gt;=tbl_MTG_Set[[#This Row],[Sell Window Start]], NOW()&lt;=tbl_MTG_Set[[#This Row],[Sell Window End]])</f>
        <v/>
      </c>
      <c r="AG381" s="10" t="n"/>
      <c r="AH381" s="10" t="n"/>
      <c r="AM381" s="10">
        <f t="array" ref="AM3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1" s="10">
        <f t="array" ref="AN3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1" s="4">
        <f>_xlfn.XLOOKUP(tbl_MTG_Set[[#This Row],[Play Booster Box Product Id]], tbl_Product[Product Id], tbl_Product[Pack Size])</f>
        <v/>
      </c>
      <c r="AP381" s="10">
        <f>(tbl_MTG_Set[[#This Row],[Play Booster Box Cost]]+v_Item_Shipping_Cost_In)/tbl_MTG_Set[[#This Row],[Play Booster Box Size]]</f>
        <v/>
      </c>
      <c r="AQ381" s="10">
        <f t="array" ref="AQ3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1" s="10" t="n"/>
      <c r="AS381" s="10" t="n"/>
      <c r="AT381" s="17">
        <f>tbl_MTG_Set[[#This Row],[Play Booster CardMarket Profit]]/tbl_MTG_Set[[#This Row],[Play Booster Cost]]</f>
        <v/>
      </c>
      <c r="AU381" s="10">
        <f>_xlfn.XLOOKUP(tbl_MTG_Set[[#This Row],[Collector Booster Box Product Id]], tbl_Product[Product Id], tbl_Product[Min Cost])</f>
        <v/>
      </c>
      <c r="AV381" s="10">
        <f>_xlfn.XLOOKUP(tbl_MTG_Set[[#This Row],[Collector Booster Box Product Id]], tbl_Product[Product Id], tbl_Product[Best Source])</f>
        <v/>
      </c>
      <c r="AW381" s="4">
        <f>_xlfn.XLOOKUP(tbl_MTG_Set[[#This Row],[Collector Booster Box Product Id]], tbl_Product[Product Id], tbl_Product[Pack Size])</f>
        <v/>
      </c>
      <c r="AX381" s="10">
        <f>(tbl_MTG_Set[[#This Row],[Collector Booster Box Cost]] + v_Item_Shipping_Cost_In) / tbl_MTG_Set[[#This Row],[Collector Booster Box Size]]</f>
        <v/>
      </c>
      <c r="AY381" s="10">
        <f t="array" ref="AY3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1" s="10" t="n"/>
      <c r="BA3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1" s="17">
        <f>tbl_MTG_Set[[#This Row],[Collector Booster CardMarket Profit]]/tbl_MTG_Set[[#This Row],[Collector Booster Cost]]</f>
        <v/>
      </c>
      <c r="BC381" s="10" t="n"/>
      <c r="BF381" s="10">
        <f>tbl_MTG_Set[[#This Row],[Play Booster Sell Price CardMarket]]*tbl_MTG_Set[[#This Row],[Play Booster Expected Market Value]]/tbl_MTG_Set[[#This Row],[Play Boost Sealed Market Value]]</f>
        <v/>
      </c>
      <c r="BG3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1" s="10">
        <f>tbl_MTG_Set[[#This Row],[Play Singles CardMarket Profit]]/tbl_MTG_Set[[#This Row],[Play Booster Cost]]</f>
        <v/>
      </c>
      <c r="BI381" s="10">
        <f>tbl_MTG_Set[[#This Row],[Play Singles CardMarket Profit]]&gt;0</f>
        <v/>
      </c>
      <c r="BJ381" s="10" t="n"/>
      <c r="BK381" s="10" t="n"/>
      <c r="BL381" s="10">
        <f>tbl_MTG_Set[[#This Row],[Collector Booster Sell Price CardMarket]]*tbl_MTG_Set[[#This Row],[Collector Booster Expected Market Value]]/tbl_MTG_Set[[#This Row],[Collector Boost Sealed Market Value]]</f>
        <v/>
      </c>
      <c r="BM3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1" s="10">
        <f>tbl_MTG_Set[[#This Row],[Collector Singles CardMarket Profit]]/tbl_MTG_Set[[#This Row],[Collector Booster Cost]]</f>
        <v/>
      </c>
      <c r="BO381" s="10">
        <f>tbl_MTG_Set[[#This Row],[Collector Singles CardMarket Profit]]&gt;0</f>
        <v/>
      </c>
      <c r="BP3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2">
      <c r="A382" t="n">
        <v>380</v>
      </c>
      <c r="B382" t="inlineStr">
        <is>
          <t>Zendikar Rising Substitute Cards SZNR</t>
        </is>
      </c>
      <c r="C382" t="n">
        <v>9</v>
      </c>
      <c r="D382" s="3" t="n">
        <v>44099</v>
      </c>
      <c r="E382" t="inlineStr">
        <is>
          <t>Standard Expansion</t>
        </is>
      </c>
      <c r="F382" t="inlineStr">
        <is>
          <t>en es fr de it pt ja ko ru 汉语 漢語</t>
        </is>
      </c>
      <c r="G382" t="n">
        <v>706</v>
      </c>
      <c r="H382">
        <f>MONTH(NOW())+12*YEAR(NOW())-MONTH(tbl_MTG_Set[[#This Row],[Released On]])-12*YEAR(tbl_MTG_Set[[#This Row],[Released On]])</f>
        <v/>
      </c>
      <c r="I382">
        <f>_xlfn.XLOOKUP(tbl_MTG_Set[[#This Row],[Type Name]], tbl_MTG_Set_Type[Set Type], tbl_MTG_Set_Type[Index], "(Set Type not found)")</f>
        <v/>
      </c>
      <c r="J382">
        <f>_xlfn.XLOOKUP(tbl_MTG_Set[[#This Row],[Type Name]], tbl_MTG_Set_Type[Set Type], tbl_MTG_Set_Type[Buy Window Month Start], "(Set Type not found)")</f>
        <v/>
      </c>
      <c r="K382" s="3">
        <f>tbl_MTG_Set[[#This Row],[Released On]]+tbl_MTG_Set[[#This Row],[Buy Window Month Start]]*365.25/12</f>
        <v/>
      </c>
      <c r="L382">
        <f>_xlfn.XLOOKUP(tbl_MTG_Set[[#This Row],[Type Name]], tbl_MTG_Set_Type[Set Type], tbl_MTG_Set_Type[Buy Window Month End], "(Set Type not found)", 0, 1)</f>
        <v/>
      </c>
      <c r="M382" s="3">
        <f>tbl_MTG_Set[[#This Row],[Released On]]+tbl_MTG_Set[[#This Row],[Buy Window Month End]]*365.25/12</f>
        <v/>
      </c>
      <c r="N382" s="3">
        <f>AND(NOW()&gt;=tbl_MTG_Set[[#This Row],[Buy Window Start]], NOW()&lt;=tbl_MTG_Set[[#This Row],[Buy Window End]])</f>
        <v/>
      </c>
      <c r="O382">
        <f>_xlfn.XLOOKUP(tbl_MTG_Set[[#This Row],[Type Name]], tbl_MTG_Set_Type[Set Type], tbl_MTG_Set_Type[Heavy Printing Window Month Start], "(Set Type not found)", 0, 1)</f>
        <v/>
      </c>
      <c r="P382" s="3">
        <f>tbl_MTG_Set[[#This Row],[Released On]]+tbl_MTG_Set[[#This Row],[Heavy Printing Window Month Start]]*365.25/12</f>
        <v/>
      </c>
      <c r="Q382">
        <f>_xlfn.XLOOKUP(tbl_MTG_Set[[#This Row],[Type Name]], tbl_MTG_Set_Type[Set Type], tbl_MTG_Set_Type[Heavy Printing Window Month End], "(Set Type not found)", 0, 1)</f>
        <v/>
      </c>
      <c r="R382" s="3">
        <f>tbl_MTG_Set[[#This Row],[Released On]]+tbl_MTG_Set[[#This Row],[Heavy Printing Window Month End]]*365.25/12</f>
        <v/>
      </c>
      <c r="S382" s="3">
        <f>AND(NOW()&gt;=tbl_MTG_Set[[#This Row],[Heavy Printing Window Start]], NOW()&lt;=tbl_MTG_Set[[#This Row],[Heavy Printing Window End]])</f>
        <v/>
      </c>
      <c r="T382">
        <f>_xlfn.XLOOKUP(tbl_MTG_Set[[#This Row],[Type Name]], tbl_MTG_Set_Type[Set Type], tbl_MTG_Set_Type[Sell Window Month Start], "(Set Type not found)", 0, 1)</f>
        <v/>
      </c>
      <c r="U382" s="3">
        <f>tbl_MTG_Set[[#This Row],[Released On]]+tbl_MTG_Set[[#This Row],[Sell Window Month Start]]*365.25/12</f>
        <v/>
      </c>
      <c r="V382">
        <f>_xlfn.XLOOKUP(tbl_MTG_Set[[#This Row],[Type Name]], tbl_MTG_Set_Type[Set Type], tbl_MTG_Set_Type[Sell Window Month End], "(Set Type not found)", 0, 1)</f>
        <v/>
      </c>
      <c r="W382" s="3">
        <f>tbl_MTG_Set[[#This Row],[Released On]]+tbl_MTG_Set[[#This Row],[Sell Window Month End]]*365.25/12</f>
        <v/>
      </c>
      <c r="X382" s="3">
        <f>AND(NOW()&gt;=tbl_MTG_Set[[#This Row],[Sell Window Start]], NOW()&lt;=tbl_MTG_Set[[#This Row],[Sell Window End]])</f>
        <v/>
      </c>
      <c r="AG382" s="10" t="n"/>
      <c r="AH382" s="10" t="n"/>
      <c r="AM382" s="10">
        <f t="array" ref="AM3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2" s="10">
        <f t="array" ref="AN3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2" s="4">
        <f>_xlfn.XLOOKUP(tbl_MTG_Set[[#This Row],[Play Booster Box Product Id]], tbl_Product[Product Id], tbl_Product[Pack Size])</f>
        <v/>
      </c>
      <c r="AP382" s="10">
        <f>(tbl_MTG_Set[[#This Row],[Play Booster Box Cost]]+v_Item_Shipping_Cost_In)/tbl_MTG_Set[[#This Row],[Play Booster Box Size]]</f>
        <v/>
      </c>
      <c r="AQ382" s="10">
        <f t="array" ref="AQ3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2" s="10" t="n"/>
      <c r="AS382" s="10" t="n"/>
      <c r="AT382" s="17">
        <f>tbl_MTG_Set[[#This Row],[Play Booster CardMarket Profit]]/tbl_MTG_Set[[#This Row],[Play Booster Cost]]</f>
        <v/>
      </c>
      <c r="AU382" s="10">
        <f>_xlfn.XLOOKUP(tbl_MTG_Set[[#This Row],[Collector Booster Box Product Id]], tbl_Product[Product Id], tbl_Product[Min Cost])</f>
        <v/>
      </c>
      <c r="AV382" s="10">
        <f>_xlfn.XLOOKUP(tbl_MTG_Set[[#This Row],[Collector Booster Box Product Id]], tbl_Product[Product Id], tbl_Product[Best Source])</f>
        <v/>
      </c>
      <c r="AW382" s="4">
        <f>_xlfn.XLOOKUP(tbl_MTG_Set[[#This Row],[Collector Booster Box Product Id]], tbl_Product[Product Id], tbl_Product[Pack Size])</f>
        <v/>
      </c>
      <c r="AX382" s="10">
        <f>(tbl_MTG_Set[[#This Row],[Collector Booster Box Cost]] + v_Item_Shipping_Cost_In) / tbl_MTG_Set[[#This Row],[Collector Booster Box Size]]</f>
        <v/>
      </c>
      <c r="AY382" s="10">
        <f t="array" ref="AY3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2" s="10" t="n"/>
      <c r="BA3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2" s="17">
        <f>tbl_MTG_Set[[#This Row],[Collector Booster CardMarket Profit]]/tbl_MTG_Set[[#This Row],[Collector Booster Cost]]</f>
        <v/>
      </c>
      <c r="BC382" s="10" t="n"/>
      <c r="BF382" s="10">
        <f>tbl_MTG_Set[[#This Row],[Play Booster Sell Price CardMarket]]*tbl_MTG_Set[[#This Row],[Play Booster Expected Market Value]]/tbl_MTG_Set[[#This Row],[Play Boost Sealed Market Value]]</f>
        <v/>
      </c>
      <c r="BG3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2" s="10">
        <f>tbl_MTG_Set[[#This Row],[Play Singles CardMarket Profit]]/tbl_MTG_Set[[#This Row],[Play Booster Cost]]</f>
        <v/>
      </c>
      <c r="BI382" s="10">
        <f>tbl_MTG_Set[[#This Row],[Play Singles CardMarket Profit]]&gt;0</f>
        <v/>
      </c>
      <c r="BJ382" s="10" t="n"/>
      <c r="BK382" s="10" t="n"/>
      <c r="BL382" s="10">
        <f>tbl_MTG_Set[[#This Row],[Collector Booster Sell Price CardMarket]]*tbl_MTG_Set[[#This Row],[Collector Booster Expected Market Value]]/tbl_MTG_Set[[#This Row],[Collector Boost Sealed Market Value]]</f>
        <v/>
      </c>
      <c r="BM3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2" s="10">
        <f>tbl_MTG_Set[[#This Row],[Collector Singles CardMarket Profit]]/tbl_MTG_Set[[#This Row],[Collector Booster Cost]]</f>
        <v/>
      </c>
      <c r="BO382" s="10">
        <f>tbl_MTG_Set[[#This Row],[Collector Singles CardMarket Profit]]&gt;0</f>
        <v/>
      </c>
      <c r="BP3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3">
      <c r="A383" t="n">
        <v>381</v>
      </c>
      <c r="B383" t="inlineStr">
        <is>
          <t>Live the Dream LIVETHEDREAM</t>
        </is>
      </c>
      <c r="C383" t="n">
        <v>540</v>
      </c>
      <c r="D383" s="3" t="n">
        <v>44083</v>
      </c>
      <c r="F383" t="n">
        <v>0</v>
      </c>
      <c r="G383" t="n">
        <v>708</v>
      </c>
      <c r="H383">
        <f>MONTH(NOW())+12*YEAR(NOW())-MONTH(tbl_MTG_Set[[#This Row],[Released On]])-12*YEAR(tbl_MTG_Set[[#This Row],[Released On]])</f>
        <v/>
      </c>
      <c r="I383">
        <f>_xlfn.XLOOKUP(tbl_MTG_Set[[#This Row],[Type Name]], tbl_MTG_Set_Type[Set Type], tbl_MTG_Set_Type[Index], "(Set Type not found)")</f>
        <v/>
      </c>
      <c r="J383">
        <f>_xlfn.XLOOKUP(tbl_MTG_Set[[#This Row],[Type Name]], tbl_MTG_Set_Type[Set Type], tbl_MTG_Set_Type[Buy Window Month Start], "(Set Type not found)")</f>
        <v/>
      </c>
      <c r="K383" s="3">
        <f>tbl_MTG_Set[[#This Row],[Released On]]+tbl_MTG_Set[[#This Row],[Buy Window Month Start]]*365.25/12</f>
        <v/>
      </c>
      <c r="L383">
        <f>_xlfn.XLOOKUP(tbl_MTG_Set[[#This Row],[Type Name]], tbl_MTG_Set_Type[Set Type], tbl_MTG_Set_Type[Buy Window Month End], "(Set Type not found)", 0, 1)</f>
        <v/>
      </c>
      <c r="M383" s="3">
        <f>tbl_MTG_Set[[#This Row],[Released On]]+tbl_MTG_Set[[#This Row],[Buy Window Month End]]*365.25/12</f>
        <v/>
      </c>
      <c r="N383" s="3">
        <f>AND(NOW()&gt;=tbl_MTG_Set[[#This Row],[Buy Window Start]], NOW()&lt;=tbl_MTG_Set[[#This Row],[Buy Window End]])</f>
        <v/>
      </c>
      <c r="O383">
        <f>_xlfn.XLOOKUP(tbl_MTG_Set[[#This Row],[Type Name]], tbl_MTG_Set_Type[Set Type], tbl_MTG_Set_Type[Heavy Printing Window Month Start], "(Set Type not found)", 0, 1)</f>
        <v/>
      </c>
      <c r="P383" s="3">
        <f>tbl_MTG_Set[[#This Row],[Released On]]+tbl_MTG_Set[[#This Row],[Heavy Printing Window Month Start]]*365.25/12</f>
        <v/>
      </c>
      <c r="Q383">
        <f>_xlfn.XLOOKUP(tbl_MTG_Set[[#This Row],[Type Name]], tbl_MTG_Set_Type[Set Type], tbl_MTG_Set_Type[Heavy Printing Window Month End], "(Set Type not found)", 0, 1)</f>
        <v/>
      </c>
      <c r="R383" s="3">
        <f>tbl_MTG_Set[[#This Row],[Released On]]+tbl_MTG_Set[[#This Row],[Heavy Printing Window Month End]]*365.25/12</f>
        <v/>
      </c>
      <c r="S383" s="3">
        <f>AND(NOW()&gt;=tbl_MTG_Set[[#This Row],[Heavy Printing Window Start]], NOW()&lt;=tbl_MTG_Set[[#This Row],[Heavy Printing Window End]])</f>
        <v/>
      </c>
      <c r="T383">
        <f>_xlfn.XLOOKUP(tbl_MTG_Set[[#This Row],[Type Name]], tbl_MTG_Set_Type[Set Type], tbl_MTG_Set_Type[Sell Window Month Start], "(Set Type not found)", 0, 1)</f>
        <v/>
      </c>
      <c r="U383" s="3">
        <f>tbl_MTG_Set[[#This Row],[Released On]]+tbl_MTG_Set[[#This Row],[Sell Window Month Start]]*365.25/12</f>
        <v/>
      </c>
      <c r="V383">
        <f>_xlfn.XLOOKUP(tbl_MTG_Set[[#This Row],[Type Name]], tbl_MTG_Set_Type[Set Type], tbl_MTG_Set_Type[Sell Window Month End], "(Set Type not found)", 0, 1)</f>
        <v/>
      </c>
      <c r="W383" s="3">
        <f>tbl_MTG_Set[[#This Row],[Released On]]+tbl_MTG_Set[[#This Row],[Sell Window Month End]]*365.25/12</f>
        <v/>
      </c>
      <c r="X383" s="3">
        <f>AND(NOW()&gt;=tbl_MTG_Set[[#This Row],[Sell Window Start]], NOW()&lt;=tbl_MTG_Set[[#This Row],[Sell Window End]])</f>
        <v/>
      </c>
      <c r="AG383" s="10" t="n"/>
      <c r="AH383" s="10" t="n"/>
      <c r="AM383" s="10">
        <f t="array" ref="AM3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3" s="10">
        <f t="array" ref="AN3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3" s="4">
        <f>_xlfn.XLOOKUP(tbl_MTG_Set[[#This Row],[Play Booster Box Product Id]], tbl_Product[Product Id], tbl_Product[Pack Size])</f>
        <v/>
      </c>
      <c r="AP383" s="10">
        <f>(tbl_MTG_Set[[#This Row],[Play Booster Box Cost]]+v_Item_Shipping_Cost_In)/tbl_MTG_Set[[#This Row],[Play Booster Box Size]]</f>
        <v/>
      </c>
      <c r="AQ383" s="10">
        <f t="array" ref="AQ3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3" s="10" t="n"/>
      <c r="AS383" s="10" t="n"/>
      <c r="AT383" s="17">
        <f>tbl_MTG_Set[[#This Row],[Play Booster CardMarket Profit]]/tbl_MTG_Set[[#This Row],[Play Booster Cost]]</f>
        <v/>
      </c>
      <c r="AU383" s="10">
        <f>_xlfn.XLOOKUP(tbl_MTG_Set[[#This Row],[Collector Booster Box Product Id]], tbl_Product[Product Id], tbl_Product[Min Cost])</f>
        <v/>
      </c>
      <c r="AV383" s="10">
        <f>_xlfn.XLOOKUP(tbl_MTG_Set[[#This Row],[Collector Booster Box Product Id]], tbl_Product[Product Id], tbl_Product[Best Source])</f>
        <v/>
      </c>
      <c r="AW383" s="4">
        <f>_xlfn.XLOOKUP(tbl_MTG_Set[[#This Row],[Collector Booster Box Product Id]], tbl_Product[Product Id], tbl_Product[Pack Size])</f>
        <v/>
      </c>
      <c r="AX383" s="10">
        <f>(tbl_MTG_Set[[#This Row],[Collector Booster Box Cost]] + v_Item_Shipping_Cost_In) / tbl_MTG_Set[[#This Row],[Collector Booster Box Size]]</f>
        <v/>
      </c>
      <c r="AY383" s="10">
        <f t="array" ref="AY3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3" s="10" t="n"/>
      <c r="BA3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3" s="17">
        <f>tbl_MTG_Set[[#This Row],[Collector Booster CardMarket Profit]]/tbl_MTG_Set[[#This Row],[Collector Booster Cost]]</f>
        <v/>
      </c>
      <c r="BC383" s="10" t="n"/>
      <c r="BF383" s="10">
        <f>tbl_MTG_Set[[#This Row],[Play Booster Sell Price CardMarket]]*tbl_MTG_Set[[#This Row],[Play Booster Expected Market Value]]/tbl_MTG_Set[[#This Row],[Play Boost Sealed Market Value]]</f>
        <v/>
      </c>
      <c r="BG3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3" s="10">
        <f>tbl_MTG_Set[[#This Row],[Play Singles CardMarket Profit]]/tbl_MTG_Set[[#This Row],[Play Booster Cost]]</f>
        <v/>
      </c>
      <c r="BI383" s="10">
        <f>tbl_MTG_Set[[#This Row],[Play Singles CardMarket Profit]]&gt;0</f>
        <v/>
      </c>
      <c r="BJ383" s="10" t="n"/>
      <c r="BK383" s="10" t="n"/>
      <c r="BL383" s="10">
        <f>tbl_MTG_Set[[#This Row],[Collector Booster Sell Price CardMarket]]*tbl_MTG_Set[[#This Row],[Collector Booster Expected Market Value]]/tbl_MTG_Set[[#This Row],[Collector Boost Sealed Market Value]]</f>
        <v/>
      </c>
      <c r="BM3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3" s="10">
        <f>tbl_MTG_Set[[#This Row],[Collector Singles CardMarket Profit]]/tbl_MTG_Set[[#This Row],[Collector Booster Cost]]</f>
        <v/>
      </c>
      <c r="BO383" s="10">
        <f>tbl_MTG_Set[[#This Row],[Collector Singles CardMarket Profit]]&gt;0</f>
        <v/>
      </c>
      <c r="BP3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4">
      <c r="A384" t="n">
        <v>382</v>
      </c>
      <c r="B384" t="inlineStr">
        <is>
          <t>Tinkerer's Cube TINKERER</t>
        </is>
      </c>
      <c r="C384" t="n">
        <v>540</v>
      </c>
      <c r="D384" s="3" t="n">
        <v>44077</v>
      </c>
      <c r="F384" t="n">
        <v>0</v>
      </c>
      <c r="G384" t="n">
        <v>710</v>
      </c>
      <c r="H384">
        <f>MONTH(NOW())+12*YEAR(NOW())-MONTH(tbl_MTG_Set[[#This Row],[Released On]])-12*YEAR(tbl_MTG_Set[[#This Row],[Released On]])</f>
        <v/>
      </c>
      <c r="I384">
        <f>_xlfn.XLOOKUP(tbl_MTG_Set[[#This Row],[Type Name]], tbl_MTG_Set_Type[Set Type], tbl_MTG_Set_Type[Index], "(Set Type not found)")</f>
        <v/>
      </c>
      <c r="J384">
        <f>_xlfn.XLOOKUP(tbl_MTG_Set[[#This Row],[Type Name]], tbl_MTG_Set_Type[Set Type], tbl_MTG_Set_Type[Buy Window Month Start], "(Set Type not found)")</f>
        <v/>
      </c>
      <c r="K384" s="3">
        <f>tbl_MTG_Set[[#This Row],[Released On]]+tbl_MTG_Set[[#This Row],[Buy Window Month Start]]*365.25/12</f>
        <v/>
      </c>
      <c r="L384">
        <f>_xlfn.XLOOKUP(tbl_MTG_Set[[#This Row],[Type Name]], tbl_MTG_Set_Type[Set Type], tbl_MTG_Set_Type[Buy Window Month End], "(Set Type not found)", 0, 1)</f>
        <v/>
      </c>
      <c r="M384" s="3">
        <f>tbl_MTG_Set[[#This Row],[Released On]]+tbl_MTG_Set[[#This Row],[Buy Window Month End]]*365.25/12</f>
        <v/>
      </c>
      <c r="N384" s="3">
        <f>AND(NOW()&gt;=tbl_MTG_Set[[#This Row],[Buy Window Start]], NOW()&lt;=tbl_MTG_Set[[#This Row],[Buy Window End]])</f>
        <v/>
      </c>
      <c r="O384">
        <f>_xlfn.XLOOKUP(tbl_MTG_Set[[#This Row],[Type Name]], tbl_MTG_Set_Type[Set Type], tbl_MTG_Set_Type[Heavy Printing Window Month Start], "(Set Type not found)", 0, 1)</f>
        <v/>
      </c>
      <c r="P384" s="3">
        <f>tbl_MTG_Set[[#This Row],[Released On]]+tbl_MTG_Set[[#This Row],[Heavy Printing Window Month Start]]*365.25/12</f>
        <v/>
      </c>
      <c r="Q384">
        <f>_xlfn.XLOOKUP(tbl_MTG_Set[[#This Row],[Type Name]], tbl_MTG_Set_Type[Set Type], tbl_MTG_Set_Type[Heavy Printing Window Month End], "(Set Type not found)", 0, 1)</f>
        <v/>
      </c>
      <c r="R384" s="3">
        <f>tbl_MTG_Set[[#This Row],[Released On]]+tbl_MTG_Set[[#This Row],[Heavy Printing Window Month End]]*365.25/12</f>
        <v/>
      </c>
      <c r="S384" s="3">
        <f>AND(NOW()&gt;=tbl_MTG_Set[[#This Row],[Heavy Printing Window Start]], NOW()&lt;=tbl_MTG_Set[[#This Row],[Heavy Printing Window End]])</f>
        <v/>
      </c>
      <c r="T384">
        <f>_xlfn.XLOOKUP(tbl_MTG_Set[[#This Row],[Type Name]], tbl_MTG_Set_Type[Set Type], tbl_MTG_Set_Type[Sell Window Month Start], "(Set Type not found)", 0, 1)</f>
        <v/>
      </c>
      <c r="U384" s="3">
        <f>tbl_MTG_Set[[#This Row],[Released On]]+tbl_MTG_Set[[#This Row],[Sell Window Month Start]]*365.25/12</f>
        <v/>
      </c>
      <c r="V384">
        <f>_xlfn.XLOOKUP(tbl_MTG_Set[[#This Row],[Type Name]], tbl_MTG_Set_Type[Set Type], tbl_MTG_Set_Type[Sell Window Month End], "(Set Type not found)", 0, 1)</f>
        <v/>
      </c>
      <c r="W384" s="3">
        <f>tbl_MTG_Set[[#This Row],[Released On]]+tbl_MTG_Set[[#This Row],[Sell Window Month End]]*365.25/12</f>
        <v/>
      </c>
      <c r="X384" s="3">
        <f>AND(NOW()&gt;=tbl_MTG_Set[[#This Row],[Sell Window Start]], NOW()&lt;=tbl_MTG_Set[[#This Row],[Sell Window End]])</f>
        <v/>
      </c>
      <c r="AG384" s="10" t="n"/>
      <c r="AH384" s="10" t="n"/>
      <c r="AM384" s="10">
        <f t="array" ref="AM3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4" s="10">
        <f t="array" ref="AN3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4" s="4">
        <f>_xlfn.XLOOKUP(tbl_MTG_Set[[#This Row],[Play Booster Box Product Id]], tbl_Product[Product Id], tbl_Product[Pack Size])</f>
        <v/>
      </c>
      <c r="AP384" s="10">
        <f>(tbl_MTG_Set[[#This Row],[Play Booster Box Cost]]+v_Item_Shipping_Cost_In)/tbl_MTG_Set[[#This Row],[Play Booster Box Size]]</f>
        <v/>
      </c>
      <c r="AQ384" s="10">
        <f t="array" ref="AQ3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4" s="10" t="n"/>
      <c r="AS384" s="10" t="n"/>
      <c r="AT384" s="17">
        <f>tbl_MTG_Set[[#This Row],[Play Booster CardMarket Profit]]/tbl_MTG_Set[[#This Row],[Play Booster Cost]]</f>
        <v/>
      </c>
      <c r="AU384" s="10">
        <f>_xlfn.XLOOKUP(tbl_MTG_Set[[#This Row],[Collector Booster Box Product Id]], tbl_Product[Product Id], tbl_Product[Min Cost])</f>
        <v/>
      </c>
      <c r="AV384" s="10">
        <f>_xlfn.XLOOKUP(tbl_MTG_Set[[#This Row],[Collector Booster Box Product Id]], tbl_Product[Product Id], tbl_Product[Best Source])</f>
        <v/>
      </c>
      <c r="AW384" s="4">
        <f>_xlfn.XLOOKUP(tbl_MTG_Set[[#This Row],[Collector Booster Box Product Id]], tbl_Product[Product Id], tbl_Product[Pack Size])</f>
        <v/>
      </c>
      <c r="AX384" s="10">
        <f>(tbl_MTG_Set[[#This Row],[Collector Booster Box Cost]] + v_Item_Shipping_Cost_In) / tbl_MTG_Set[[#This Row],[Collector Booster Box Size]]</f>
        <v/>
      </c>
      <c r="AY384" s="10">
        <f t="array" ref="AY3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4" s="10" t="n"/>
      <c r="BA3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4" s="17">
        <f>tbl_MTG_Set[[#This Row],[Collector Booster CardMarket Profit]]/tbl_MTG_Set[[#This Row],[Collector Booster Cost]]</f>
        <v/>
      </c>
      <c r="BC384" s="10" t="n"/>
      <c r="BF384" s="10">
        <f>tbl_MTG_Set[[#This Row],[Play Booster Sell Price CardMarket]]*tbl_MTG_Set[[#This Row],[Play Booster Expected Market Value]]/tbl_MTG_Set[[#This Row],[Play Boost Sealed Market Value]]</f>
        <v/>
      </c>
      <c r="BG3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4" s="10">
        <f>tbl_MTG_Set[[#This Row],[Play Singles CardMarket Profit]]/tbl_MTG_Set[[#This Row],[Play Booster Cost]]</f>
        <v/>
      </c>
      <c r="BI384" s="10">
        <f>tbl_MTG_Set[[#This Row],[Play Singles CardMarket Profit]]&gt;0</f>
        <v/>
      </c>
      <c r="BJ384" s="10" t="n"/>
      <c r="BK384" s="10" t="n"/>
      <c r="BL384" s="10">
        <f>tbl_MTG_Set[[#This Row],[Collector Booster Sell Price CardMarket]]*tbl_MTG_Set[[#This Row],[Collector Booster Expected Market Value]]/tbl_MTG_Set[[#This Row],[Collector Boost Sealed Market Value]]</f>
        <v/>
      </c>
      <c r="BM3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4" s="10">
        <f>tbl_MTG_Set[[#This Row],[Collector Singles CardMarket Profit]]/tbl_MTG_Set[[#This Row],[Collector Booster Cost]]</f>
        <v/>
      </c>
      <c r="BO384" s="10">
        <f>tbl_MTG_Set[[#This Row],[Collector Singles CardMarket Profit]]&gt;0</f>
        <v/>
      </c>
      <c r="BP3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5">
      <c r="A385" t="n">
        <v>383</v>
      </c>
      <c r="B385" t="inlineStr">
        <is>
          <t>Amonkhet Remastered AKR</t>
        </is>
      </c>
      <c r="C385" t="n">
        <v>339</v>
      </c>
      <c r="D385" s="3" t="n">
        <v>44056</v>
      </c>
      <c r="F385" t="inlineStr">
        <is>
          <t>en es fr de it pt ja ko ru 汉语 漢語</t>
        </is>
      </c>
      <c r="G385" t="n">
        <v>712</v>
      </c>
      <c r="H385">
        <f>MONTH(NOW())+12*YEAR(NOW())-MONTH(tbl_MTG_Set[[#This Row],[Released On]])-12*YEAR(tbl_MTG_Set[[#This Row],[Released On]])</f>
        <v/>
      </c>
      <c r="I385">
        <f>_xlfn.XLOOKUP(tbl_MTG_Set[[#This Row],[Type Name]], tbl_MTG_Set_Type[Set Type], tbl_MTG_Set_Type[Index], "(Set Type not found)")</f>
        <v/>
      </c>
      <c r="J385">
        <f>_xlfn.XLOOKUP(tbl_MTG_Set[[#This Row],[Type Name]], tbl_MTG_Set_Type[Set Type], tbl_MTG_Set_Type[Buy Window Month Start], "(Set Type not found)")</f>
        <v/>
      </c>
      <c r="K385" s="3">
        <f>tbl_MTG_Set[[#This Row],[Released On]]+tbl_MTG_Set[[#This Row],[Buy Window Month Start]]*365.25/12</f>
        <v/>
      </c>
      <c r="L385">
        <f>_xlfn.XLOOKUP(tbl_MTG_Set[[#This Row],[Type Name]], tbl_MTG_Set_Type[Set Type], tbl_MTG_Set_Type[Buy Window Month End], "(Set Type not found)", 0, 1)</f>
        <v/>
      </c>
      <c r="M385" s="3">
        <f>tbl_MTG_Set[[#This Row],[Released On]]+tbl_MTG_Set[[#This Row],[Buy Window Month End]]*365.25/12</f>
        <v/>
      </c>
      <c r="N385" s="3">
        <f>AND(NOW()&gt;=tbl_MTG_Set[[#This Row],[Buy Window Start]], NOW()&lt;=tbl_MTG_Set[[#This Row],[Buy Window End]])</f>
        <v/>
      </c>
      <c r="O385">
        <f>_xlfn.XLOOKUP(tbl_MTG_Set[[#This Row],[Type Name]], tbl_MTG_Set_Type[Set Type], tbl_MTG_Set_Type[Heavy Printing Window Month Start], "(Set Type not found)", 0, 1)</f>
        <v/>
      </c>
      <c r="P385" s="3">
        <f>tbl_MTG_Set[[#This Row],[Released On]]+tbl_MTG_Set[[#This Row],[Heavy Printing Window Month Start]]*365.25/12</f>
        <v/>
      </c>
      <c r="Q385">
        <f>_xlfn.XLOOKUP(tbl_MTG_Set[[#This Row],[Type Name]], tbl_MTG_Set_Type[Set Type], tbl_MTG_Set_Type[Heavy Printing Window Month End], "(Set Type not found)", 0, 1)</f>
        <v/>
      </c>
      <c r="R385" s="3">
        <f>tbl_MTG_Set[[#This Row],[Released On]]+tbl_MTG_Set[[#This Row],[Heavy Printing Window Month End]]*365.25/12</f>
        <v/>
      </c>
      <c r="S385" s="3">
        <f>AND(NOW()&gt;=tbl_MTG_Set[[#This Row],[Heavy Printing Window Start]], NOW()&lt;=tbl_MTG_Set[[#This Row],[Heavy Printing Window End]])</f>
        <v/>
      </c>
      <c r="T385">
        <f>_xlfn.XLOOKUP(tbl_MTG_Set[[#This Row],[Type Name]], tbl_MTG_Set_Type[Set Type], tbl_MTG_Set_Type[Sell Window Month Start], "(Set Type not found)", 0, 1)</f>
        <v/>
      </c>
      <c r="U385" s="3">
        <f>tbl_MTG_Set[[#This Row],[Released On]]+tbl_MTG_Set[[#This Row],[Sell Window Month Start]]*365.25/12</f>
        <v/>
      </c>
      <c r="V385">
        <f>_xlfn.XLOOKUP(tbl_MTG_Set[[#This Row],[Type Name]], tbl_MTG_Set_Type[Set Type], tbl_MTG_Set_Type[Sell Window Month End], "(Set Type not found)", 0, 1)</f>
        <v/>
      </c>
      <c r="W385" s="3">
        <f>tbl_MTG_Set[[#This Row],[Released On]]+tbl_MTG_Set[[#This Row],[Sell Window Month End]]*365.25/12</f>
        <v/>
      </c>
      <c r="X385" s="3">
        <f>AND(NOW()&gt;=tbl_MTG_Set[[#This Row],[Sell Window Start]], NOW()&lt;=tbl_MTG_Set[[#This Row],[Sell Window End]])</f>
        <v/>
      </c>
      <c r="AG385" s="10" t="n"/>
      <c r="AH385" s="10" t="n"/>
      <c r="AM385" s="10">
        <f t="array" ref="AM3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5" s="10">
        <f t="array" ref="AN3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5" s="4">
        <f>_xlfn.XLOOKUP(tbl_MTG_Set[[#This Row],[Play Booster Box Product Id]], tbl_Product[Product Id], tbl_Product[Pack Size])</f>
        <v/>
      </c>
      <c r="AP385" s="10">
        <f>(tbl_MTG_Set[[#This Row],[Play Booster Box Cost]]+v_Item_Shipping_Cost_In)/tbl_MTG_Set[[#This Row],[Play Booster Box Size]]</f>
        <v/>
      </c>
      <c r="AQ385" s="10">
        <f t="array" ref="AQ3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5" s="10" t="n"/>
      <c r="AS385" s="10" t="n"/>
      <c r="AT385" s="17">
        <f>tbl_MTG_Set[[#This Row],[Play Booster CardMarket Profit]]/tbl_MTG_Set[[#This Row],[Play Booster Cost]]</f>
        <v/>
      </c>
      <c r="AU385" s="10">
        <f>_xlfn.XLOOKUP(tbl_MTG_Set[[#This Row],[Collector Booster Box Product Id]], tbl_Product[Product Id], tbl_Product[Min Cost])</f>
        <v/>
      </c>
      <c r="AV385" s="10">
        <f>_xlfn.XLOOKUP(tbl_MTG_Set[[#This Row],[Collector Booster Box Product Id]], tbl_Product[Product Id], tbl_Product[Best Source])</f>
        <v/>
      </c>
      <c r="AW385" s="4">
        <f>_xlfn.XLOOKUP(tbl_MTG_Set[[#This Row],[Collector Booster Box Product Id]], tbl_Product[Product Id], tbl_Product[Pack Size])</f>
        <v/>
      </c>
      <c r="AX385" s="10">
        <f>(tbl_MTG_Set[[#This Row],[Collector Booster Box Cost]] + v_Item_Shipping_Cost_In) / tbl_MTG_Set[[#This Row],[Collector Booster Box Size]]</f>
        <v/>
      </c>
      <c r="AY385" s="10">
        <f t="array" ref="AY3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5" s="10" t="n"/>
      <c r="BA3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5" s="17">
        <f>tbl_MTG_Set[[#This Row],[Collector Booster CardMarket Profit]]/tbl_MTG_Set[[#This Row],[Collector Booster Cost]]</f>
        <v/>
      </c>
      <c r="BC385" s="10" t="n"/>
      <c r="BF385" s="10">
        <f>tbl_MTG_Set[[#This Row],[Play Booster Sell Price CardMarket]]*tbl_MTG_Set[[#This Row],[Play Booster Expected Market Value]]/tbl_MTG_Set[[#This Row],[Play Boost Sealed Market Value]]</f>
        <v/>
      </c>
      <c r="BG3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5" s="10">
        <f>tbl_MTG_Set[[#This Row],[Play Singles CardMarket Profit]]/tbl_MTG_Set[[#This Row],[Play Booster Cost]]</f>
        <v/>
      </c>
      <c r="BI385" s="10">
        <f>tbl_MTG_Set[[#This Row],[Play Singles CardMarket Profit]]&gt;0</f>
        <v/>
      </c>
      <c r="BJ385" s="10" t="n"/>
      <c r="BK385" s="10" t="n"/>
      <c r="BL385" s="10">
        <f>tbl_MTG_Set[[#This Row],[Collector Booster Sell Price CardMarket]]*tbl_MTG_Set[[#This Row],[Collector Booster Expected Market Value]]/tbl_MTG_Set[[#This Row],[Collector Boost Sealed Market Value]]</f>
        <v/>
      </c>
      <c r="BM3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5" s="10">
        <f>tbl_MTG_Set[[#This Row],[Collector Singles CardMarket Profit]]/tbl_MTG_Set[[#This Row],[Collector Booster Cost]]</f>
        <v/>
      </c>
      <c r="BO385" s="10">
        <f>tbl_MTG_Set[[#This Row],[Collector Singles CardMarket Profit]]&gt;0</f>
        <v/>
      </c>
      <c r="BP3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6">
      <c r="A386" t="n">
        <v>384</v>
      </c>
      <c r="B386" t="inlineStr">
        <is>
          <t>Arena Beginner Set ANB</t>
        </is>
      </c>
      <c r="C386" t="n">
        <v>120</v>
      </c>
      <c r="D386" s="3" t="n">
        <v>44056</v>
      </c>
      <c r="F386" t="inlineStr">
        <is>
          <t>en es fr de it pt ja ko ru 汉语 漢語</t>
        </is>
      </c>
      <c r="G386" t="n">
        <v>714</v>
      </c>
      <c r="H386">
        <f>MONTH(NOW())+12*YEAR(NOW())-MONTH(tbl_MTG_Set[[#This Row],[Released On]])-12*YEAR(tbl_MTG_Set[[#This Row],[Released On]])</f>
        <v/>
      </c>
      <c r="I386">
        <f>_xlfn.XLOOKUP(tbl_MTG_Set[[#This Row],[Type Name]], tbl_MTG_Set_Type[Set Type], tbl_MTG_Set_Type[Index], "(Set Type not found)")</f>
        <v/>
      </c>
      <c r="J386">
        <f>_xlfn.XLOOKUP(tbl_MTG_Set[[#This Row],[Type Name]], tbl_MTG_Set_Type[Set Type], tbl_MTG_Set_Type[Buy Window Month Start], "(Set Type not found)")</f>
        <v/>
      </c>
      <c r="K386" s="3">
        <f>tbl_MTG_Set[[#This Row],[Released On]]+tbl_MTG_Set[[#This Row],[Buy Window Month Start]]*365.25/12</f>
        <v/>
      </c>
      <c r="L386">
        <f>_xlfn.XLOOKUP(tbl_MTG_Set[[#This Row],[Type Name]], tbl_MTG_Set_Type[Set Type], tbl_MTG_Set_Type[Buy Window Month End], "(Set Type not found)", 0, 1)</f>
        <v/>
      </c>
      <c r="M386" s="3">
        <f>tbl_MTG_Set[[#This Row],[Released On]]+tbl_MTG_Set[[#This Row],[Buy Window Month End]]*365.25/12</f>
        <v/>
      </c>
      <c r="N386" s="3">
        <f>AND(NOW()&gt;=tbl_MTG_Set[[#This Row],[Buy Window Start]], NOW()&lt;=tbl_MTG_Set[[#This Row],[Buy Window End]])</f>
        <v/>
      </c>
      <c r="O386">
        <f>_xlfn.XLOOKUP(tbl_MTG_Set[[#This Row],[Type Name]], tbl_MTG_Set_Type[Set Type], tbl_MTG_Set_Type[Heavy Printing Window Month Start], "(Set Type not found)", 0, 1)</f>
        <v/>
      </c>
      <c r="P386" s="3">
        <f>tbl_MTG_Set[[#This Row],[Released On]]+tbl_MTG_Set[[#This Row],[Heavy Printing Window Month Start]]*365.25/12</f>
        <v/>
      </c>
      <c r="Q386">
        <f>_xlfn.XLOOKUP(tbl_MTG_Set[[#This Row],[Type Name]], tbl_MTG_Set_Type[Set Type], tbl_MTG_Set_Type[Heavy Printing Window Month End], "(Set Type not found)", 0, 1)</f>
        <v/>
      </c>
      <c r="R386" s="3">
        <f>tbl_MTG_Set[[#This Row],[Released On]]+tbl_MTG_Set[[#This Row],[Heavy Printing Window Month End]]*365.25/12</f>
        <v/>
      </c>
      <c r="S386" s="3">
        <f>AND(NOW()&gt;=tbl_MTG_Set[[#This Row],[Heavy Printing Window Start]], NOW()&lt;=tbl_MTG_Set[[#This Row],[Heavy Printing Window End]])</f>
        <v/>
      </c>
      <c r="T386">
        <f>_xlfn.XLOOKUP(tbl_MTG_Set[[#This Row],[Type Name]], tbl_MTG_Set_Type[Set Type], tbl_MTG_Set_Type[Sell Window Month Start], "(Set Type not found)", 0, 1)</f>
        <v/>
      </c>
      <c r="U386" s="3">
        <f>tbl_MTG_Set[[#This Row],[Released On]]+tbl_MTG_Set[[#This Row],[Sell Window Month Start]]*365.25/12</f>
        <v/>
      </c>
      <c r="V386">
        <f>_xlfn.XLOOKUP(tbl_MTG_Set[[#This Row],[Type Name]], tbl_MTG_Set_Type[Set Type], tbl_MTG_Set_Type[Sell Window Month End], "(Set Type not found)", 0, 1)</f>
        <v/>
      </c>
      <c r="W386" s="3">
        <f>tbl_MTG_Set[[#This Row],[Released On]]+tbl_MTG_Set[[#This Row],[Sell Window Month End]]*365.25/12</f>
        <v/>
      </c>
      <c r="X386" s="3">
        <f>AND(NOW()&gt;=tbl_MTG_Set[[#This Row],[Sell Window Start]], NOW()&lt;=tbl_MTG_Set[[#This Row],[Sell Window End]])</f>
        <v/>
      </c>
      <c r="AG386" s="10" t="n"/>
      <c r="AH386" s="10" t="n"/>
      <c r="AM386" s="10">
        <f t="array" ref="AM3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6" s="10">
        <f t="array" ref="AN3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6" s="4">
        <f>_xlfn.XLOOKUP(tbl_MTG_Set[[#This Row],[Play Booster Box Product Id]], tbl_Product[Product Id], tbl_Product[Pack Size])</f>
        <v/>
      </c>
      <c r="AP386" s="10">
        <f>(tbl_MTG_Set[[#This Row],[Play Booster Box Cost]]+v_Item_Shipping_Cost_In)/tbl_MTG_Set[[#This Row],[Play Booster Box Size]]</f>
        <v/>
      </c>
      <c r="AQ386" s="10">
        <f t="array" ref="AQ3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6" s="10" t="n"/>
      <c r="AS386" s="10" t="n"/>
      <c r="AT386" s="17">
        <f>tbl_MTG_Set[[#This Row],[Play Booster CardMarket Profit]]/tbl_MTG_Set[[#This Row],[Play Booster Cost]]</f>
        <v/>
      </c>
      <c r="AU386" s="10">
        <f>_xlfn.XLOOKUP(tbl_MTG_Set[[#This Row],[Collector Booster Box Product Id]], tbl_Product[Product Id], tbl_Product[Min Cost])</f>
        <v/>
      </c>
      <c r="AV386" s="10">
        <f>_xlfn.XLOOKUP(tbl_MTG_Set[[#This Row],[Collector Booster Box Product Id]], tbl_Product[Product Id], tbl_Product[Best Source])</f>
        <v/>
      </c>
      <c r="AW386" s="4">
        <f>_xlfn.XLOOKUP(tbl_MTG_Set[[#This Row],[Collector Booster Box Product Id]], tbl_Product[Product Id], tbl_Product[Pack Size])</f>
        <v/>
      </c>
      <c r="AX386" s="10">
        <f>(tbl_MTG_Set[[#This Row],[Collector Booster Box Cost]] + v_Item_Shipping_Cost_In) / tbl_MTG_Set[[#This Row],[Collector Booster Box Size]]</f>
        <v/>
      </c>
      <c r="AY386" s="10">
        <f t="array" ref="AY3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6" s="10" t="n"/>
      <c r="BA3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6" s="17">
        <f>tbl_MTG_Set[[#This Row],[Collector Booster CardMarket Profit]]/tbl_MTG_Set[[#This Row],[Collector Booster Cost]]</f>
        <v/>
      </c>
      <c r="BC386" s="10" t="n"/>
      <c r="BF386" s="10">
        <f>tbl_MTG_Set[[#This Row],[Play Booster Sell Price CardMarket]]*tbl_MTG_Set[[#This Row],[Play Booster Expected Market Value]]/tbl_MTG_Set[[#This Row],[Play Boost Sealed Market Value]]</f>
        <v/>
      </c>
      <c r="BG3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6" s="10">
        <f>tbl_MTG_Set[[#This Row],[Play Singles CardMarket Profit]]/tbl_MTG_Set[[#This Row],[Play Booster Cost]]</f>
        <v/>
      </c>
      <c r="BI386" s="10">
        <f>tbl_MTG_Set[[#This Row],[Play Singles CardMarket Profit]]&gt;0</f>
        <v/>
      </c>
      <c r="BJ386" s="10" t="n"/>
      <c r="BK386" s="10" t="n"/>
      <c r="BL386" s="10">
        <f>tbl_MTG_Set[[#This Row],[Collector Booster Sell Price CardMarket]]*tbl_MTG_Set[[#This Row],[Collector Booster Expected Market Value]]/tbl_MTG_Set[[#This Row],[Collector Boost Sealed Market Value]]</f>
        <v/>
      </c>
      <c r="BM3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6" s="10">
        <f>tbl_MTG_Set[[#This Row],[Collector Singles CardMarket Profit]]/tbl_MTG_Set[[#This Row],[Collector Booster Cost]]</f>
        <v/>
      </c>
      <c r="BO386" s="10">
        <f>tbl_MTG_Set[[#This Row],[Collector Singles CardMarket Profit]]&gt;0</f>
        <v/>
      </c>
      <c r="BP3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7">
      <c r="A387" t="n">
        <v>385</v>
      </c>
      <c r="B387" t="inlineStr">
        <is>
          <t>Double Masters 2XM</t>
        </is>
      </c>
      <c r="C387" t="n">
        <v>384</v>
      </c>
      <c r="D387" s="3" t="n">
        <v>44050</v>
      </c>
      <c r="F387" t="inlineStr">
        <is>
          <t>en es fr de it pt ja ko ru 汉语 漢語</t>
        </is>
      </c>
      <c r="G387" t="n">
        <v>716</v>
      </c>
      <c r="H387">
        <f>MONTH(NOW())+12*YEAR(NOW())-MONTH(tbl_MTG_Set[[#This Row],[Released On]])-12*YEAR(tbl_MTG_Set[[#This Row],[Released On]])</f>
        <v/>
      </c>
      <c r="I387">
        <f>_xlfn.XLOOKUP(tbl_MTG_Set[[#This Row],[Type Name]], tbl_MTG_Set_Type[Set Type], tbl_MTG_Set_Type[Index], "(Set Type not found)")</f>
        <v/>
      </c>
      <c r="J387">
        <f>_xlfn.XLOOKUP(tbl_MTG_Set[[#This Row],[Type Name]], tbl_MTG_Set_Type[Set Type], tbl_MTG_Set_Type[Buy Window Month Start], "(Set Type not found)")</f>
        <v/>
      </c>
      <c r="K387" s="3">
        <f>tbl_MTG_Set[[#This Row],[Released On]]+tbl_MTG_Set[[#This Row],[Buy Window Month Start]]*365.25/12</f>
        <v/>
      </c>
      <c r="L387">
        <f>_xlfn.XLOOKUP(tbl_MTG_Set[[#This Row],[Type Name]], tbl_MTG_Set_Type[Set Type], tbl_MTG_Set_Type[Buy Window Month End], "(Set Type not found)", 0, 1)</f>
        <v/>
      </c>
      <c r="M387" s="3">
        <f>tbl_MTG_Set[[#This Row],[Released On]]+tbl_MTG_Set[[#This Row],[Buy Window Month End]]*365.25/12</f>
        <v/>
      </c>
      <c r="N387" s="3">
        <f>AND(NOW()&gt;=tbl_MTG_Set[[#This Row],[Buy Window Start]], NOW()&lt;=tbl_MTG_Set[[#This Row],[Buy Window End]])</f>
        <v/>
      </c>
      <c r="O387">
        <f>_xlfn.XLOOKUP(tbl_MTG_Set[[#This Row],[Type Name]], tbl_MTG_Set_Type[Set Type], tbl_MTG_Set_Type[Heavy Printing Window Month Start], "(Set Type not found)", 0, 1)</f>
        <v/>
      </c>
      <c r="P387" s="3">
        <f>tbl_MTG_Set[[#This Row],[Released On]]+tbl_MTG_Set[[#This Row],[Heavy Printing Window Month Start]]*365.25/12</f>
        <v/>
      </c>
      <c r="Q387">
        <f>_xlfn.XLOOKUP(tbl_MTG_Set[[#This Row],[Type Name]], tbl_MTG_Set_Type[Set Type], tbl_MTG_Set_Type[Heavy Printing Window Month End], "(Set Type not found)", 0, 1)</f>
        <v/>
      </c>
      <c r="R387" s="3">
        <f>tbl_MTG_Set[[#This Row],[Released On]]+tbl_MTG_Set[[#This Row],[Heavy Printing Window Month End]]*365.25/12</f>
        <v/>
      </c>
      <c r="S387" s="3">
        <f>AND(NOW()&gt;=tbl_MTG_Set[[#This Row],[Heavy Printing Window Start]], NOW()&lt;=tbl_MTG_Set[[#This Row],[Heavy Printing Window End]])</f>
        <v/>
      </c>
      <c r="T387">
        <f>_xlfn.XLOOKUP(tbl_MTG_Set[[#This Row],[Type Name]], tbl_MTG_Set_Type[Set Type], tbl_MTG_Set_Type[Sell Window Month Start], "(Set Type not found)", 0, 1)</f>
        <v/>
      </c>
      <c r="U387" s="3">
        <f>tbl_MTG_Set[[#This Row],[Released On]]+tbl_MTG_Set[[#This Row],[Sell Window Month Start]]*365.25/12</f>
        <v/>
      </c>
      <c r="V387">
        <f>_xlfn.XLOOKUP(tbl_MTG_Set[[#This Row],[Type Name]], tbl_MTG_Set_Type[Set Type], tbl_MTG_Set_Type[Sell Window Month End], "(Set Type not found)", 0, 1)</f>
        <v/>
      </c>
      <c r="W387" s="3">
        <f>tbl_MTG_Set[[#This Row],[Released On]]+tbl_MTG_Set[[#This Row],[Sell Window Month End]]*365.25/12</f>
        <v/>
      </c>
      <c r="X387" s="3">
        <f>AND(NOW()&gt;=tbl_MTG_Set[[#This Row],[Sell Window Start]], NOW()&lt;=tbl_MTG_Set[[#This Row],[Sell Window End]])</f>
        <v/>
      </c>
      <c r="AG387" s="10" t="n"/>
      <c r="AH387" s="10" t="n"/>
      <c r="AM387" s="10">
        <f t="array" ref="AM3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7" s="10">
        <f t="array" ref="AN3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7" s="4">
        <f>_xlfn.XLOOKUP(tbl_MTG_Set[[#This Row],[Play Booster Box Product Id]], tbl_Product[Product Id], tbl_Product[Pack Size])</f>
        <v/>
      </c>
      <c r="AP387" s="10">
        <f>(tbl_MTG_Set[[#This Row],[Play Booster Box Cost]]+v_Item_Shipping_Cost_In)/tbl_MTG_Set[[#This Row],[Play Booster Box Size]]</f>
        <v/>
      </c>
      <c r="AQ387" s="10">
        <f t="array" ref="AQ3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7" s="10" t="n"/>
      <c r="AS387" s="10" t="n"/>
      <c r="AT387" s="17">
        <f>tbl_MTG_Set[[#This Row],[Play Booster CardMarket Profit]]/tbl_MTG_Set[[#This Row],[Play Booster Cost]]</f>
        <v/>
      </c>
      <c r="AU387" s="10">
        <f>_xlfn.XLOOKUP(tbl_MTG_Set[[#This Row],[Collector Booster Box Product Id]], tbl_Product[Product Id], tbl_Product[Min Cost])</f>
        <v/>
      </c>
      <c r="AV387" s="10">
        <f>_xlfn.XLOOKUP(tbl_MTG_Set[[#This Row],[Collector Booster Box Product Id]], tbl_Product[Product Id], tbl_Product[Best Source])</f>
        <v/>
      </c>
      <c r="AW387" s="4">
        <f>_xlfn.XLOOKUP(tbl_MTG_Set[[#This Row],[Collector Booster Box Product Id]], tbl_Product[Product Id], tbl_Product[Pack Size])</f>
        <v/>
      </c>
      <c r="AX387" s="10">
        <f>(tbl_MTG_Set[[#This Row],[Collector Booster Box Cost]] + v_Item_Shipping_Cost_In) / tbl_MTG_Set[[#This Row],[Collector Booster Box Size]]</f>
        <v/>
      </c>
      <c r="AY387" s="10">
        <f t="array" ref="AY3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7" s="10" t="n"/>
      <c r="BA3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7" s="17">
        <f>tbl_MTG_Set[[#This Row],[Collector Booster CardMarket Profit]]/tbl_MTG_Set[[#This Row],[Collector Booster Cost]]</f>
        <v/>
      </c>
      <c r="BC387" s="10" t="n"/>
      <c r="BF387" s="10">
        <f>tbl_MTG_Set[[#This Row],[Play Booster Sell Price CardMarket]]*tbl_MTG_Set[[#This Row],[Play Booster Expected Market Value]]/tbl_MTG_Set[[#This Row],[Play Boost Sealed Market Value]]</f>
        <v/>
      </c>
      <c r="BG3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7" s="10">
        <f>tbl_MTG_Set[[#This Row],[Play Singles CardMarket Profit]]/tbl_MTG_Set[[#This Row],[Play Booster Cost]]</f>
        <v/>
      </c>
      <c r="BI387" s="10">
        <f>tbl_MTG_Set[[#This Row],[Play Singles CardMarket Profit]]&gt;0</f>
        <v/>
      </c>
      <c r="BJ387" s="10" t="n"/>
      <c r="BK387" s="10" t="n"/>
      <c r="BL387" s="10">
        <f>tbl_MTG_Set[[#This Row],[Collector Booster Sell Price CardMarket]]*tbl_MTG_Set[[#This Row],[Collector Booster Expected Market Value]]/tbl_MTG_Set[[#This Row],[Collector Boost Sealed Market Value]]</f>
        <v/>
      </c>
      <c r="BM3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7" s="10">
        <f>tbl_MTG_Set[[#This Row],[Collector Singles CardMarket Profit]]/tbl_MTG_Set[[#This Row],[Collector Booster Cost]]</f>
        <v/>
      </c>
      <c r="BO387" s="10">
        <f>tbl_MTG_Set[[#This Row],[Collector Singles CardMarket Profit]]&gt;0</f>
        <v/>
      </c>
      <c r="BP3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8">
      <c r="A388" t="n">
        <v>386</v>
      </c>
      <c r="B388" t="inlineStr">
        <is>
          <t>Double Masters Tokens T2XM</t>
        </is>
      </c>
      <c r="C388" t="n">
        <v>31</v>
      </c>
      <c r="D388" s="3" t="n">
        <v>44050</v>
      </c>
      <c r="F388" t="inlineStr">
        <is>
          <t>en es fr de it pt ja ko ru 汉语 漢語</t>
        </is>
      </c>
      <c r="G388" t="n">
        <v>718</v>
      </c>
      <c r="H388">
        <f>MONTH(NOW())+12*YEAR(NOW())-MONTH(tbl_MTG_Set[[#This Row],[Released On]])-12*YEAR(tbl_MTG_Set[[#This Row],[Released On]])</f>
        <v/>
      </c>
      <c r="I388">
        <f>_xlfn.XLOOKUP(tbl_MTG_Set[[#This Row],[Type Name]], tbl_MTG_Set_Type[Set Type], tbl_MTG_Set_Type[Index], "(Set Type not found)")</f>
        <v/>
      </c>
      <c r="J388">
        <f>_xlfn.XLOOKUP(tbl_MTG_Set[[#This Row],[Type Name]], tbl_MTG_Set_Type[Set Type], tbl_MTG_Set_Type[Buy Window Month Start], "(Set Type not found)")</f>
        <v/>
      </c>
      <c r="K388" s="3">
        <f>tbl_MTG_Set[[#This Row],[Released On]]+tbl_MTG_Set[[#This Row],[Buy Window Month Start]]*365.25/12</f>
        <v/>
      </c>
      <c r="L388">
        <f>_xlfn.XLOOKUP(tbl_MTG_Set[[#This Row],[Type Name]], tbl_MTG_Set_Type[Set Type], tbl_MTG_Set_Type[Buy Window Month End], "(Set Type not found)", 0, 1)</f>
        <v/>
      </c>
      <c r="M388" s="3">
        <f>tbl_MTG_Set[[#This Row],[Released On]]+tbl_MTG_Set[[#This Row],[Buy Window Month End]]*365.25/12</f>
        <v/>
      </c>
      <c r="N388" s="3">
        <f>AND(NOW()&gt;=tbl_MTG_Set[[#This Row],[Buy Window Start]], NOW()&lt;=tbl_MTG_Set[[#This Row],[Buy Window End]])</f>
        <v/>
      </c>
      <c r="O388">
        <f>_xlfn.XLOOKUP(tbl_MTG_Set[[#This Row],[Type Name]], tbl_MTG_Set_Type[Set Type], tbl_MTG_Set_Type[Heavy Printing Window Month Start], "(Set Type not found)", 0, 1)</f>
        <v/>
      </c>
      <c r="P388" s="3">
        <f>tbl_MTG_Set[[#This Row],[Released On]]+tbl_MTG_Set[[#This Row],[Heavy Printing Window Month Start]]*365.25/12</f>
        <v/>
      </c>
      <c r="Q388">
        <f>_xlfn.XLOOKUP(tbl_MTG_Set[[#This Row],[Type Name]], tbl_MTG_Set_Type[Set Type], tbl_MTG_Set_Type[Heavy Printing Window Month End], "(Set Type not found)", 0, 1)</f>
        <v/>
      </c>
      <c r="R388" s="3">
        <f>tbl_MTG_Set[[#This Row],[Released On]]+tbl_MTG_Set[[#This Row],[Heavy Printing Window Month End]]*365.25/12</f>
        <v/>
      </c>
      <c r="S388" s="3">
        <f>AND(NOW()&gt;=tbl_MTG_Set[[#This Row],[Heavy Printing Window Start]], NOW()&lt;=tbl_MTG_Set[[#This Row],[Heavy Printing Window End]])</f>
        <v/>
      </c>
      <c r="T388">
        <f>_xlfn.XLOOKUP(tbl_MTG_Set[[#This Row],[Type Name]], tbl_MTG_Set_Type[Set Type], tbl_MTG_Set_Type[Sell Window Month Start], "(Set Type not found)", 0, 1)</f>
        <v/>
      </c>
      <c r="U388" s="3">
        <f>tbl_MTG_Set[[#This Row],[Released On]]+tbl_MTG_Set[[#This Row],[Sell Window Month Start]]*365.25/12</f>
        <v/>
      </c>
      <c r="V388">
        <f>_xlfn.XLOOKUP(tbl_MTG_Set[[#This Row],[Type Name]], tbl_MTG_Set_Type[Set Type], tbl_MTG_Set_Type[Sell Window Month End], "(Set Type not found)", 0, 1)</f>
        <v/>
      </c>
      <c r="W388" s="3">
        <f>tbl_MTG_Set[[#This Row],[Released On]]+tbl_MTG_Set[[#This Row],[Sell Window Month End]]*365.25/12</f>
        <v/>
      </c>
      <c r="X388" s="3">
        <f>AND(NOW()&gt;=tbl_MTG_Set[[#This Row],[Sell Window Start]], NOW()&lt;=tbl_MTG_Set[[#This Row],[Sell Window End]])</f>
        <v/>
      </c>
      <c r="AG388" s="10" t="n"/>
      <c r="AH388" s="10" t="n"/>
      <c r="AM388" s="10">
        <f t="array" ref="AM3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8" s="10">
        <f t="array" ref="AN3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8" s="4">
        <f>_xlfn.XLOOKUP(tbl_MTG_Set[[#This Row],[Play Booster Box Product Id]], tbl_Product[Product Id], tbl_Product[Pack Size])</f>
        <v/>
      </c>
      <c r="AP388" s="10">
        <f>(tbl_MTG_Set[[#This Row],[Play Booster Box Cost]]+v_Item_Shipping_Cost_In)/tbl_MTG_Set[[#This Row],[Play Booster Box Size]]</f>
        <v/>
      </c>
      <c r="AQ388" s="10">
        <f t="array" ref="AQ3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8" s="10" t="n"/>
      <c r="AS388" s="10" t="n"/>
      <c r="AT388" s="17">
        <f>tbl_MTG_Set[[#This Row],[Play Booster CardMarket Profit]]/tbl_MTG_Set[[#This Row],[Play Booster Cost]]</f>
        <v/>
      </c>
      <c r="AU388" s="10">
        <f>_xlfn.XLOOKUP(tbl_MTG_Set[[#This Row],[Collector Booster Box Product Id]], tbl_Product[Product Id], tbl_Product[Min Cost])</f>
        <v/>
      </c>
      <c r="AV388" s="10">
        <f>_xlfn.XLOOKUP(tbl_MTG_Set[[#This Row],[Collector Booster Box Product Id]], tbl_Product[Product Id], tbl_Product[Best Source])</f>
        <v/>
      </c>
      <c r="AW388" s="4">
        <f>_xlfn.XLOOKUP(tbl_MTG_Set[[#This Row],[Collector Booster Box Product Id]], tbl_Product[Product Id], tbl_Product[Pack Size])</f>
        <v/>
      </c>
      <c r="AX388" s="10">
        <f>(tbl_MTG_Set[[#This Row],[Collector Booster Box Cost]] + v_Item_Shipping_Cost_In) / tbl_MTG_Set[[#This Row],[Collector Booster Box Size]]</f>
        <v/>
      </c>
      <c r="AY388" s="10">
        <f t="array" ref="AY3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8" s="10" t="n"/>
      <c r="BA3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8" s="17">
        <f>tbl_MTG_Set[[#This Row],[Collector Booster CardMarket Profit]]/tbl_MTG_Set[[#This Row],[Collector Booster Cost]]</f>
        <v/>
      </c>
      <c r="BC388" s="10" t="n"/>
      <c r="BF388" s="10">
        <f>tbl_MTG_Set[[#This Row],[Play Booster Sell Price CardMarket]]*tbl_MTG_Set[[#This Row],[Play Booster Expected Market Value]]/tbl_MTG_Set[[#This Row],[Play Boost Sealed Market Value]]</f>
        <v/>
      </c>
      <c r="BG3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8" s="10">
        <f>tbl_MTG_Set[[#This Row],[Play Singles CardMarket Profit]]/tbl_MTG_Set[[#This Row],[Play Booster Cost]]</f>
        <v/>
      </c>
      <c r="BI388" s="10">
        <f>tbl_MTG_Set[[#This Row],[Play Singles CardMarket Profit]]&gt;0</f>
        <v/>
      </c>
      <c r="BJ388" s="10" t="n"/>
      <c r="BK388" s="10" t="n"/>
      <c r="BL388" s="10">
        <f>tbl_MTG_Set[[#This Row],[Collector Booster Sell Price CardMarket]]*tbl_MTG_Set[[#This Row],[Collector Booster Expected Market Value]]/tbl_MTG_Set[[#This Row],[Collector Boost Sealed Market Value]]</f>
        <v/>
      </c>
      <c r="BM3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8" s="10">
        <f>tbl_MTG_Set[[#This Row],[Collector Singles CardMarket Profit]]/tbl_MTG_Set[[#This Row],[Collector Booster Cost]]</f>
        <v/>
      </c>
      <c r="BO388" s="10">
        <f>tbl_MTG_Set[[#This Row],[Collector Singles CardMarket Profit]]&gt;0</f>
        <v/>
      </c>
      <c r="BP3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9">
      <c r="A389" t="n">
        <v>387</v>
      </c>
      <c r="B389" t="inlineStr">
        <is>
          <t>2019 Heroes of the Realm PH19</t>
        </is>
      </c>
      <c r="C389" t="n">
        <v>7</v>
      </c>
      <c r="D389" s="3" t="n">
        <v>44044</v>
      </c>
      <c r="F389" t="inlineStr">
        <is>
          <t>en es fr de it pt ja ko ru 汉语 漢語</t>
        </is>
      </c>
      <c r="G389" t="n">
        <v>720</v>
      </c>
      <c r="H389">
        <f>MONTH(NOW())+12*YEAR(NOW())-MONTH(tbl_MTG_Set[[#This Row],[Released On]])-12*YEAR(tbl_MTG_Set[[#This Row],[Released On]])</f>
        <v/>
      </c>
      <c r="I389">
        <f>_xlfn.XLOOKUP(tbl_MTG_Set[[#This Row],[Type Name]], tbl_MTG_Set_Type[Set Type], tbl_MTG_Set_Type[Index], "(Set Type not found)")</f>
        <v/>
      </c>
      <c r="J389">
        <f>_xlfn.XLOOKUP(tbl_MTG_Set[[#This Row],[Type Name]], tbl_MTG_Set_Type[Set Type], tbl_MTG_Set_Type[Buy Window Month Start], "(Set Type not found)")</f>
        <v/>
      </c>
      <c r="K389" s="3">
        <f>tbl_MTG_Set[[#This Row],[Released On]]+tbl_MTG_Set[[#This Row],[Buy Window Month Start]]*365.25/12</f>
        <v/>
      </c>
      <c r="L389">
        <f>_xlfn.XLOOKUP(tbl_MTG_Set[[#This Row],[Type Name]], tbl_MTG_Set_Type[Set Type], tbl_MTG_Set_Type[Buy Window Month End], "(Set Type not found)", 0, 1)</f>
        <v/>
      </c>
      <c r="M389" s="3">
        <f>tbl_MTG_Set[[#This Row],[Released On]]+tbl_MTG_Set[[#This Row],[Buy Window Month End]]*365.25/12</f>
        <v/>
      </c>
      <c r="N389" s="3">
        <f>AND(NOW()&gt;=tbl_MTG_Set[[#This Row],[Buy Window Start]], NOW()&lt;=tbl_MTG_Set[[#This Row],[Buy Window End]])</f>
        <v/>
      </c>
      <c r="O389">
        <f>_xlfn.XLOOKUP(tbl_MTG_Set[[#This Row],[Type Name]], tbl_MTG_Set_Type[Set Type], tbl_MTG_Set_Type[Heavy Printing Window Month Start], "(Set Type not found)", 0, 1)</f>
        <v/>
      </c>
      <c r="P389" s="3">
        <f>tbl_MTG_Set[[#This Row],[Released On]]+tbl_MTG_Set[[#This Row],[Heavy Printing Window Month Start]]*365.25/12</f>
        <v/>
      </c>
      <c r="Q389">
        <f>_xlfn.XLOOKUP(tbl_MTG_Set[[#This Row],[Type Name]], tbl_MTG_Set_Type[Set Type], tbl_MTG_Set_Type[Heavy Printing Window Month End], "(Set Type not found)", 0, 1)</f>
        <v/>
      </c>
      <c r="R389" s="3">
        <f>tbl_MTG_Set[[#This Row],[Released On]]+tbl_MTG_Set[[#This Row],[Heavy Printing Window Month End]]*365.25/12</f>
        <v/>
      </c>
      <c r="S389" s="3">
        <f>AND(NOW()&gt;=tbl_MTG_Set[[#This Row],[Heavy Printing Window Start]], NOW()&lt;=tbl_MTG_Set[[#This Row],[Heavy Printing Window End]])</f>
        <v/>
      </c>
      <c r="T389">
        <f>_xlfn.XLOOKUP(tbl_MTG_Set[[#This Row],[Type Name]], tbl_MTG_Set_Type[Set Type], tbl_MTG_Set_Type[Sell Window Month Start], "(Set Type not found)", 0, 1)</f>
        <v/>
      </c>
      <c r="U389" s="3">
        <f>tbl_MTG_Set[[#This Row],[Released On]]+tbl_MTG_Set[[#This Row],[Sell Window Month Start]]*365.25/12</f>
        <v/>
      </c>
      <c r="V389">
        <f>_xlfn.XLOOKUP(tbl_MTG_Set[[#This Row],[Type Name]], tbl_MTG_Set_Type[Set Type], tbl_MTG_Set_Type[Sell Window Month End], "(Set Type not found)", 0, 1)</f>
        <v/>
      </c>
      <c r="W389" s="3">
        <f>tbl_MTG_Set[[#This Row],[Released On]]+tbl_MTG_Set[[#This Row],[Sell Window Month End]]*365.25/12</f>
        <v/>
      </c>
      <c r="X389" s="3">
        <f>AND(NOW()&gt;=tbl_MTG_Set[[#This Row],[Sell Window Start]], NOW()&lt;=tbl_MTG_Set[[#This Row],[Sell Window End]])</f>
        <v/>
      </c>
      <c r="AG389" s="10" t="n"/>
      <c r="AH389" s="10" t="n"/>
      <c r="AM389" s="10">
        <f t="array" ref="AM3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9" s="10">
        <f t="array" ref="AN3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9" s="4">
        <f>_xlfn.XLOOKUP(tbl_MTG_Set[[#This Row],[Play Booster Box Product Id]], tbl_Product[Product Id], tbl_Product[Pack Size])</f>
        <v/>
      </c>
      <c r="AP389" s="10">
        <f>(tbl_MTG_Set[[#This Row],[Play Booster Box Cost]]+v_Item_Shipping_Cost_In)/tbl_MTG_Set[[#This Row],[Play Booster Box Size]]</f>
        <v/>
      </c>
      <c r="AQ389" s="10">
        <f t="array" ref="AQ3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89" s="10" t="n"/>
      <c r="AS389" s="10" t="n"/>
      <c r="AT389" s="17">
        <f>tbl_MTG_Set[[#This Row],[Play Booster CardMarket Profit]]/tbl_MTG_Set[[#This Row],[Play Booster Cost]]</f>
        <v/>
      </c>
      <c r="AU389" s="10">
        <f>_xlfn.XLOOKUP(tbl_MTG_Set[[#This Row],[Collector Booster Box Product Id]], tbl_Product[Product Id], tbl_Product[Min Cost])</f>
        <v/>
      </c>
      <c r="AV389" s="10">
        <f>_xlfn.XLOOKUP(tbl_MTG_Set[[#This Row],[Collector Booster Box Product Id]], tbl_Product[Product Id], tbl_Product[Best Source])</f>
        <v/>
      </c>
      <c r="AW389" s="4">
        <f>_xlfn.XLOOKUP(tbl_MTG_Set[[#This Row],[Collector Booster Box Product Id]], tbl_Product[Product Id], tbl_Product[Pack Size])</f>
        <v/>
      </c>
      <c r="AX389" s="10">
        <f>(tbl_MTG_Set[[#This Row],[Collector Booster Box Cost]] + v_Item_Shipping_Cost_In) / tbl_MTG_Set[[#This Row],[Collector Booster Box Size]]</f>
        <v/>
      </c>
      <c r="AY389" s="10">
        <f t="array" ref="AY3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89" s="10" t="n"/>
      <c r="BA3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9" s="17">
        <f>tbl_MTG_Set[[#This Row],[Collector Booster CardMarket Profit]]/tbl_MTG_Set[[#This Row],[Collector Booster Cost]]</f>
        <v/>
      </c>
      <c r="BC389" s="10" t="n"/>
      <c r="BF389" s="10">
        <f>tbl_MTG_Set[[#This Row],[Play Booster Sell Price CardMarket]]*tbl_MTG_Set[[#This Row],[Play Booster Expected Market Value]]/tbl_MTG_Set[[#This Row],[Play Boost Sealed Market Value]]</f>
        <v/>
      </c>
      <c r="BG3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9" s="10">
        <f>tbl_MTG_Set[[#This Row],[Play Singles CardMarket Profit]]/tbl_MTG_Set[[#This Row],[Play Booster Cost]]</f>
        <v/>
      </c>
      <c r="BI389" s="10">
        <f>tbl_MTG_Set[[#This Row],[Play Singles CardMarket Profit]]&gt;0</f>
        <v/>
      </c>
      <c r="BJ389" s="10" t="n"/>
      <c r="BK389" s="10" t="n"/>
      <c r="BL389" s="10">
        <f>tbl_MTG_Set[[#This Row],[Collector Booster Sell Price CardMarket]]*tbl_MTG_Set[[#This Row],[Collector Booster Expected Market Value]]/tbl_MTG_Set[[#This Row],[Collector Boost Sealed Market Value]]</f>
        <v/>
      </c>
      <c r="BM3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9" s="10">
        <f>tbl_MTG_Set[[#This Row],[Collector Singles CardMarket Profit]]/tbl_MTG_Set[[#This Row],[Collector Booster Cost]]</f>
        <v/>
      </c>
      <c r="BO389" s="10">
        <f>tbl_MTG_Set[[#This Row],[Collector Singles CardMarket Profit]]&gt;0</f>
        <v/>
      </c>
      <c r="BP3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0">
      <c r="A390" t="n">
        <v>388</v>
      </c>
      <c r="B390" t="inlineStr">
        <is>
          <t>Jumpstart JMP</t>
        </is>
      </c>
      <c r="C390" t="n">
        <v>497</v>
      </c>
      <c r="D390" s="3" t="n">
        <v>44029</v>
      </c>
      <c r="F390" t="inlineStr">
        <is>
          <t>en es fr de it pt ja ko ru 汉语 漢語</t>
        </is>
      </c>
      <c r="G390" t="n">
        <v>722</v>
      </c>
      <c r="H390">
        <f>MONTH(NOW())+12*YEAR(NOW())-MONTH(tbl_MTG_Set[[#This Row],[Released On]])-12*YEAR(tbl_MTG_Set[[#This Row],[Released On]])</f>
        <v/>
      </c>
      <c r="I390">
        <f>_xlfn.XLOOKUP(tbl_MTG_Set[[#This Row],[Type Name]], tbl_MTG_Set_Type[Set Type], tbl_MTG_Set_Type[Index], "(Set Type not found)")</f>
        <v/>
      </c>
      <c r="J390">
        <f>_xlfn.XLOOKUP(tbl_MTG_Set[[#This Row],[Type Name]], tbl_MTG_Set_Type[Set Type], tbl_MTG_Set_Type[Buy Window Month Start], "(Set Type not found)")</f>
        <v/>
      </c>
      <c r="K390" s="3">
        <f>tbl_MTG_Set[[#This Row],[Released On]]+tbl_MTG_Set[[#This Row],[Buy Window Month Start]]*365.25/12</f>
        <v/>
      </c>
      <c r="L390">
        <f>_xlfn.XLOOKUP(tbl_MTG_Set[[#This Row],[Type Name]], tbl_MTG_Set_Type[Set Type], tbl_MTG_Set_Type[Buy Window Month End], "(Set Type not found)", 0, 1)</f>
        <v/>
      </c>
      <c r="M390" s="3">
        <f>tbl_MTG_Set[[#This Row],[Released On]]+tbl_MTG_Set[[#This Row],[Buy Window Month End]]*365.25/12</f>
        <v/>
      </c>
      <c r="N390" s="3">
        <f>AND(NOW()&gt;=tbl_MTG_Set[[#This Row],[Buy Window Start]], NOW()&lt;=tbl_MTG_Set[[#This Row],[Buy Window End]])</f>
        <v/>
      </c>
      <c r="O390">
        <f>_xlfn.XLOOKUP(tbl_MTG_Set[[#This Row],[Type Name]], tbl_MTG_Set_Type[Set Type], tbl_MTG_Set_Type[Heavy Printing Window Month Start], "(Set Type not found)", 0, 1)</f>
        <v/>
      </c>
      <c r="P390" s="3">
        <f>tbl_MTG_Set[[#This Row],[Released On]]+tbl_MTG_Set[[#This Row],[Heavy Printing Window Month Start]]*365.25/12</f>
        <v/>
      </c>
      <c r="Q390">
        <f>_xlfn.XLOOKUP(tbl_MTG_Set[[#This Row],[Type Name]], tbl_MTG_Set_Type[Set Type], tbl_MTG_Set_Type[Heavy Printing Window Month End], "(Set Type not found)", 0, 1)</f>
        <v/>
      </c>
      <c r="R390" s="3">
        <f>tbl_MTG_Set[[#This Row],[Released On]]+tbl_MTG_Set[[#This Row],[Heavy Printing Window Month End]]*365.25/12</f>
        <v/>
      </c>
      <c r="S390" s="3">
        <f>AND(NOW()&gt;=tbl_MTG_Set[[#This Row],[Heavy Printing Window Start]], NOW()&lt;=tbl_MTG_Set[[#This Row],[Heavy Printing Window End]])</f>
        <v/>
      </c>
      <c r="T390">
        <f>_xlfn.XLOOKUP(tbl_MTG_Set[[#This Row],[Type Name]], tbl_MTG_Set_Type[Set Type], tbl_MTG_Set_Type[Sell Window Month Start], "(Set Type not found)", 0, 1)</f>
        <v/>
      </c>
      <c r="U390" s="3">
        <f>tbl_MTG_Set[[#This Row],[Released On]]+tbl_MTG_Set[[#This Row],[Sell Window Month Start]]*365.25/12</f>
        <v/>
      </c>
      <c r="V390">
        <f>_xlfn.XLOOKUP(tbl_MTG_Set[[#This Row],[Type Name]], tbl_MTG_Set_Type[Set Type], tbl_MTG_Set_Type[Sell Window Month End], "(Set Type not found)", 0, 1)</f>
        <v/>
      </c>
      <c r="W390" s="3">
        <f>tbl_MTG_Set[[#This Row],[Released On]]+tbl_MTG_Set[[#This Row],[Sell Window Month End]]*365.25/12</f>
        <v/>
      </c>
      <c r="X390" s="3">
        <f>AND(NOW()&gt;=tbl_MTG_Set[[#This Row],[Sell Window Start]], NOW()&lt;=tbl_MTG_Set[[#This Row],[Sell Window End]])</f>
        <v/>
      </c>
      <c r="AG390" s="10" t="n"/>
      <c r="AH390" s="10" t="n"/>
      <c r="AM390" s="10">
        <f t="array" ref="AM3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0" s="10">
        <f t="array" ref="AN3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0" s="4">
        <f>_xlfn.XLOOKUP(tbl_MTG_Set[[#This Row],[Play Booster Box Product Id]], tbl_Product[Product Id], tbl_Product[Pack Size])</f>
        <v/>
      </c>
      <c r="AP390" s="10">
        <f>(tbl_MTG_Set[[#This Row],[Play Booster Box Cost]]+v_Item_Shipping_Cost_In)/tbl_MTG_Set[[#This Row],[Play Booster Box Size]]</f>
        <v/>
      </c>
      <c r="AQ390" s="10">
        <f t="array" ref="AQ3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0" s="10" t="n"/>
      <c r="AS390" s="10" t="n"/>
      <c r="AT390" s="17">
        <f>tbl_MTG_Set[[#This Row],[Play Booster CardMarket Profit]]/tbl_MTG_Set[[#This Row],[Play Booster Cost]]</f>
        <v/>
      </c>
      <c r="AU390" s="10">
        <f>_xlfn.XLOOKUP(tbl_MTG_Set[[#This Row],[Collector Booster Box Product Id]], tbl_Product[Product Id], tbl_Product[Min Cost])</f>
        <v/>
      </c>
      <c r="AV390" s="10">
        <f>_xlfn.XLOOKUP(tbl_MTG_Set[[#This Row],[Collector Booster Box Product Id]], tbl_Product[Product Id], tbl_Product[Best Source])</f>
        <v/>
      </c>
      <c r="AW390" s="4">
        <f>_xlfn.XLOOKUP(tbl_MTG_Set[[#This Row],[Collector Booster Box Product Id]], tbl_Product[Product Id], tbl_Product[Pack Size])</f>
        <v/>
      </c>
      <c r="AX390" s="10">
        <f>(tbl_MTG_Set[[#This Row],[Collector Booster Box Cost]] + v_Item_Shipping_Cost_In) / tbl_MTG_Set[[#This Row],[Collector Booster Box Size]]</f>
        <v/>
      </c>
      <c r="AY390" s="10">
        <f t="array" ref="AY3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0" s="10" t="n"/>
      <c r="BA3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0" s="17">
        <f>tbl_MTG_Set[[#This Row],[Collector Booster CardMarket Profit]]/tbl_MTG_Set[[#This Row],[Collector Booster Cost]]</f>
        <v/>
      </c>
      <c r="BC390" s="10" t="n"/>
      <c r="BF390" s="10">
        <f>tbl_MTG_Set[[#This Row],[Play Booster Sell Price CardMarket]]*tbl_MTG_Set[[#This Row],[Play Booster Expected Market Value]]/tbl_MTG_Set[[#This Row],[Play Boost Sealed Market Value]]</f>
        <v/>
      </c>
      <c r="BG3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0" s="10">
        <f>tbl_MTG_Set[[#This Row],[Play Singles CardMarket Profit]]/tbl_MTG_Set[[#This Row],[Play Booster Cost]]</f>
        <v/>
      </c>
      <c r="BI390" s="10">
        <f>tbl_MTG_Set[[#This Row],[Play Singles CardMarket Profit]]&gt;0</f>
        <v/>
      </c>
      <c r="BJ390" s="10" t="n"/>
      <c r="BK390" s="10" t="n"/>
      <c r="BL390" s="10">
        <f>tbl_MTG_Set[[#This Row],[Collector Booster Sell Price CardMarket]]*tbl_MTG_Set[[#This Row],[Collector Booster Expected Market Value]]/tbl_MTG_Set[[#This Row],[Collector Boost Sealed Market Value]]</f>
        <v/>
      </c>
      <c r="BM3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0" s="10">
        <f>tbl_MTG_Set[[#This Row],[Collector Singles CardMarket Profit]]/tbl_MTG_Set[[#This Row],[Collector Booster Cost]]</f>
        <v/>
      </c>
      <c r="BO390" s="10">
        <f>tbl_MTG_Set[[#This Row],[Collector Singles CardMarket Profit]]&gt;0</f>
        <v/>
      </c>
      <c r="BP3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1">
      <c r="A391" t="n">
        <v>389</v>
      </c>
      <c r="B391" t="inlineStr">
        <is>
          <t>Jumpstart Arena Exclusives AJMP</t>
        </is>
      </c>
      <c r="C391" t="n">
        <v>18</v>
      </c>
      <c r="D391" s="3" t="n">
        <v>44029</v>
      </c>
      <c r="F391" t="inlineStr">
        <is>
          <t>en es fr de it pt ja ko ru 汉语 漢語</t>
        </is>
      </c>
      <c r="G391" t="n">
        <v>724</v>
      </c>
      <c r="H391">
        <f>MONTH(NOW())+12*YEAR(NOW())-MONTH(tbl_MTG_Set[[#This Row],[Released On]])-12*YEAR(tbl_MTG_Set[[#This Row],[Released On]])</f>
        <v/>
      </c>
      <c r="I391">
        <f>_xlfn.XLOOKUP(tbl_MTG_Set[[#This Row],[Type Name]], tbl_MTG_Set_Type[Set Type], tbl_MTG_Set_Type[Index], "(Set Type not found)")</f>
        <v/>
      </c>
      <c r="J391">
        <f>_xlfn.XLOOKUP(tbl_MTG_Set[[#This Row],[Type Name]], tbl_MTG_Set_Type[Set Type], tbl_MTG_Set_Type[Buy Window Month Start], "(Set Type not found)")</f>
        <v/>
      </c>
      <c r="K391" s="3">
        <f>tbl_MTG_Set[[#This Row],[Released On]]+tbl_MTG_Set[[#This Row],[Buy Window Month Start]]*365.25/12</f>
        <v/>
      </c>
      <c r="L391">
        <f>_xlfn.XLOOKUP(tbl_MTG_Set[[#This Row],[Type Name]], tbl_MTG_Set_Type[Set Type], tbl_MTG_Set_Type[Buy Window Month End], "(Set Type not found)", 0, 1)</f>
        <v/>
      </c>
      <c r="M391" s="3">
        <f>tbl_MTG_Set[[#This Row],[Released On]]+tbl_MTG_Set[[#This Row],[Buy Window Month End]]*365.25/12</f>
        <v/>
      </c>
      <c r="N391" s="3">
        <f>AND(NOW()&gt;=tbl_MTG_Set[[#This Row],[Buy Window Start]], NOW()&lt;=tbl_MTG_Set[[#This Row],[Buy Window End]])</f>
        <v/>
      </c>
      <c r="O391">
        <f>_xlfn.XLOOKUP(tbl_MTG_Set[[#This Row],[Type Name]], tbl_MTG_Set_Type[Set Type], tbl_MTG_Set_Type[Heavy Printing Window Month Start], "(Set Type not found)", 0, 1)</f>
        <v/>
      </c>
      <c r="P391" s="3">
        <f>tbl_MTG_Set[[#This Row],[Released On]]+tbl_MTG_Set[[#This Row],[Heavy Printing Window Month Start]]*365.25/12</f>
        <v/>
      </c>
      <c r="Q391">
        <f>_xlfn.XLOOKUP(tbl_MTG_Set[[#This Row],[Type Name]], tbl_MTG_Set_Type[Set Type], tbl_MTG_Set_Type[Heavy Printing Window Month End], "(Set Type not found)", 0, 1)</f>
        <v/>
      </c>
      <c r="R391" s="3">
        <f>tbl_MTG_Set[[#This Row],[Released On]]+tbl_MTG_Set[[#This Row],[Heavy Printing Window Month End]]*365.25/12</f>
        <v/>
      </c>
      <c r="S391" s="3">
        <f>AND(NOW()&gt;=tbl_MTG_Set[[#This Row],[Heavy Printing Window Start]], NOW()&lt;=tbl_MTG_Set[[#This Row],[Heavy Printing Window End]])</f>
        <v/>
      </c>
      <c r="T391">
        <f>_xlfn.XLOOKUP(tbl_MTG_Set[[#This Row],[Type Name]], tbl_MTG_Set_Type[Set Type], tbl_MTG_Set_Type[Sell Window Month Start], "(Set Type not found)", 0, 1)</f>
        <v/>
      </c>
      <c r="U391" s="3">
        <f>tbl_MTG_Set[[#This Row],[Released On]]+tbl_MTG_Set[[#This Row],[Sell Window Month Start]]*365.25/12</f>
        <v/>
      </c>
      <c r="V391">
        <f>_xlfn.XLOOKUP(tbl_MTG_Set[[#This Row],[Type Name]], tbl_MTG_Set_Type[Set Type], tbl_MTG_Set_Type[Sell Window Month End], "(Set Type not found)", 0, 1)</f>
        <v/>
      </c>
      <c r="W391" s="3">
        <f>tbl_MTG_Set[[#This Row],[Released On]]+tbl_MTG_Set[[#This Row],[Sell Window Month End]]*365.25/12</f>
        <v/>
      </c>
      <c r="X391" s="3">
        <f>AND(NOW()&gt;=tbl_MTG_Set[[#This Row],[Sell Window Start]], NOW()&lt;=tbl_MTG_Set[[#This Row],[Sell Window End]])</f>
        <v/>
      </c>
      <c r="AG391" s="10" t="n"/>
      <c r="AH391" s="10" t="n"/>
      <c r="AM391" s="10">
        <f t="array" ref="AM3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1" s="10">
        <f t="array" ref="AN3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1" s="4">
        <f>_xlfn.XLOOKUP(tbl_MTG_Set[[#This Row],[Play Booster Box Product Id]], tbl_Product[Product Id], tbl_Product[Pack Size])</f>
        <v/>
      </c>
      <c r="AP391" s="10">
        <f>(tbl_MTG_Set[[#This Row],[Play Booster Box Cost]]+v_Item_Shipping_Cost_In)/tbl_MTG_Set[[#This Row],[Play Booster Box Size]]</f>
        <v/>
      </c>
      <c r="AQ391" s="10">
        <f t="array" ref="AQ3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1" s="10" t="n"/>
      <c r="AS391" s="10" t="n"/>
      <c r="AT391" s="17">
        <f>tbl_MTG_Set[[#This Row],[Play Booster CardMarket Profit]]/tbl_MTG_Set[[#This Row],[Play Booster Cost]]</f>
        <v/>
      </c>
      <c r="AU391" s="10">
        <f>_xlfn.XLOOKUP(tbl_MTG_Set[[#This Row],[Collector Booster Box Product Id]], tbl_Product[Product Id], tbl_Product[Min Cost])</f>
        <v/>
      </c>
      <c r="AV391" s="10">
        <f>_xlfn.XLOOKUP(tbl_MTG_Set[[#This Row],[Collector Booster Box Product Id]], tbl_Product[Product Id], tbl_Product[Best Source])</f>
        <v/>
      </c>
      <c r="AW391" s="4">
        <f>_xlfn.XLOOKUP(tbl_MTG_Set[[#This Row],[Collector Booster Box Product Id]], tbl_Product[Product Id], tbl_Product[Pack Size])</f>
        <v/>
      </c>
      <c r="AX391" s="10">
        <f>(tbl_MTG_Set[[#This Row],[Collector Booster Box Cost]] + v_Item_Shipping_Cost_In) / tbl_MTG_Set[[#This Row],[Collector Booster Box Size]]</f>
        <v/>
      </c>
      <c r="AY391" s="10">
        <f t="array" ref="AY3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1" s="10" t="n"/>
      <c r="BA3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1" s="17">
        <f>tbl_MTG_Set[[#This Row],[Collector Booster CardMarket Profit]]/tbl_MTG_Set[[#This Row],[Collector Booster Cost]]</f>
        <v/>
      </c>
      <c r="BC391" s="10" t="n"/>
      <c r="BF391" s="10">
        <f>tbl_MTG_Set[[#This Row],[Play Booster Sell Price CardMarket]]*tbl_MTG_Set[[#This Row],[Play Booster Expected Market Value]]/tbl_MTG_Set[[#This Row],[Play Boost Sealed Market Value]]</f>
        <v/>
      </c>
      <c r="BG3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1" s="10">
        <f>tbl_MTG_Set[[#This Row],[Play Singles CardMarket Profit]]/tbl_MTG_Set[[#This Row],[Play Booster Cost]]</f>
        <v/>
      </c>
      <c r="BI391" s="10">
        <f>tbl_MTG_Set[[#This Row],[Play Singles CardMarket Profit]]&gt;0</f>
        <v/>
      </c>
      <c r="BJ391" s="10" t="n"/>
      <c r="BK391" s="10" t="n"/>
      <c r="BL391" s="10">
        <f>tbl_MTG_Set[[#This Row],[Collector Booster Sell Price CardMarket]]*tbl_MTG_Set[[#This Row],[Collector Booster Expected Market Value]]/tbl_MTG_Set[[#This Row],[Collector Boost Sealed Market Value]]</f>
        <v/>
      </c>
      <c r="BM3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1" s="10">
        <f>tbl_MTG_Set[[#This Row],[Collector Singles CardMarket Profit]]/tbl_MTG_Set[[#This Row],[Collector Booster Cost]]</f>
        <v/>
      </c>
      <c r="BO391" s="10">
        <f>tbl_MTG_Set[[#This Row],[Collector Singles CardMarket Profit]]&gt;0</f>
        <v/>
      </c>
      <c r="BP3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2">
      <c r="A392" t="n">
        <v>390</v>
      </c>
      <c r="B392" t="inlineStr">
        <is>
          <t>Jumpstart Front Cards FJMP</t>
        </is>
      </c>
      <c r="C392" t="n">
        <v>46</v>
      </c>
      <c r="D392" s="3" t="n">
        <v>44000</v>
      </c>
      <c r="F392" t="inlineStr">
        <is>
          <t>en es fr de it pt ja ko ru 汉语 漢語</t>
        </is>
      </c>
      <c r="G392" t="n">
        <v>726</v>
      </c>
      <c r="H392">
        <f>MONTH(NOW())+12*YEAR(NOW())-MONTH(tbl_MTG_Set[[#This Row],[Released On]])-12*YEAR(tbl_MTG_Set[[#This Row],[Released On]])</f>
        <v/>
      </c>
      <c r="I392">
        <f>_xlfn.XLOOKUP(tbl_MTG_Set[[#This Row],[Type Name]], tbl_MTG_Set_Type[Set Type], tbl_MTG_Set_Type[Index], "(Set Type not found)")</f>
        <v/>
      </c>
      <c r="J392">
        <f>_xlfn.XLOOKUP(tbl_MTG_Set[[#This Row],[Type Name]], tbl_MTG_Set_Type[Set Type], tbl_MTG_Set_Type[Buy Window Month Start], "(Set Type not found)")</f>
        <v/>
      </c>
      <c r="K392" s="3">
        <f>tbl_MTG_Set[[#This Row],[Released On]]+tbl_MTG_Set[[#This Row],[Buy Window Month Start]]*365.25/12</f>
        <v/>
      </c>
      <c r="L392">
        <f>_xlfn.XLOOKUP(tbl_MTG_Set[[#This Row],[Type Name]], tbl_MTG_Set_Type[Set Type], tbl_MTG_Set_Type[Buy Window Month End], "(Set Type not found)", 0, 1)</f>
        <v/>
      </c>
      <c r="M392" s="3">
        <f>tbl_MTG_Set[[#This Row],[Released On]]+tbl_MTG_Set[[#This Row],[Buy Window Month End]]*365.25/12</f>
        <v/>
      </c>
      <c r="N392" s="3">
        <f>AND(NOW()&gt;=tbl_MTG_Set[[#This Row],[Buy Window Start]], NOW()&lt;=tbl_MTG_Set[[#This Row],[Buy Window End]])</f>
        <v/>
      </c>
      <c r="O392">
        <f>_xlfn.XLOOKUP(tbl_MTG_Set[[#This Row],[Type Name]], tbl_MTG_Set_Type[Set Type], tbl_MTG_Set_Type[Heavy Printing Window Month Start], "(Set Type not found)", 0, 1)</f>
        <v/>
      </c>
      <c r="P392" s="3">
        <f>tbl_MTG_Set[[#This Row],[Released On]]+tbl_MTG_Set[[#This Row],[Heavy Printing Window Month Start]]*365.25/12</f>
        <v/>
      </c>
      <c r="Q392">
        <f>_xlfn.XLOOKUP(tbl_MTG_Set[[#This Row],[Type Name]], tbl_MTG_Set_Type[Set Type], tbl_MTG_Set_Type[Heavy Printing Window Month End], "(Set Type not found)", 0, 1)</f>
        <v/>
      </c>
      <c r="R392" s="3">
        <f>tbl_MTG_Set[[#This Row],[Released On]]+tbl_MTG_Set[[#This Row],[Heavy Printing Window Month End]]*365.25/12</f>
        <v/>
      </c>
      <c r="S392" s="3">
        <f>AND(NOW()&gt;=tbl_MTG_Set[[#This Row],[Heavy Printing Window Start]], NOW()&lt;=tbl_MTG_Set[[#This Row],[Heavy Printing Window End]])</f>
        <v/>
      </c>
      <c r="T392">
        <f>_xlfn.XLOOKUP(tbl_MTG_Set[[#This Row],[Type Name]], tbl_MTG_Set_Type[Set Type], tbl_MTG_Set_Type[Sell Window Month Start], "(Set Type not found)", 0, 1)</f>
        <v/>
      </c>
      <c r="U392" s="3">
        <f>tbl_MTG_Set[[#This Row],[Released On]]+tbl_MTG_Set[[#This Row],[Sell Window Month Start]]*365.25/12</f>
        <v/>
      </c>
      <c r="V392">
        <f>_xlfn.XLOOKUP(tbl_MTG_Set[[#This Row],[Type Name]], tbl_MTG_Set_Type[Set Type], tbl_MTG_Set_Type[Sell Window Month End], "(Set Type not found)", 0, 1)</f>
        <v/>
      </c>
      <c r="W392" s="3">
        <f>tbl_MTG_Set[[#This Row],[Released On]]+tbl_MTG_Set[[#This Row],[Sell Window Month End]]*365.25/12</f>
        <v/>
      </c>
      <c r="X392" s="3">
        <f>AND(NOW()&gt;=tbl_MTG_Set[[#This Row],[Sell Window Start]], NOW()&lt;=tbl_MTG_Set[[#This Row],[Sell Window End]])</f>
        <v/>
      </c>
      <c r="AG392" s="10" t="n"/>
      <c r="AH392" s="10" t="n"/>
      <c r="AM392" s="10">
        <f t="array" ref="AM3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2" s="10">
        <f t="array" ref="AN3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2" s="4">
        <f>_xlfn.XLOOKUP(tbl_MTG_Set[[#This Row],[Play Booster Box Product Id]], tbl_Product[Product Id], tbl_Product[Pack Size])</f>
        <v/>
      </c>
      <c r="AP392" s="10">
        <f>(tbl_MTG_Set[[#This Row],[Play Booster Box Cost]]+v_Item_Shipping_Cost_In)/tbl_MTG_Set[[#This Row],[Play Booster Box Size]]</f>
        <v/>
      </c>
      <c r="AQ392" s="10">
        <f t="array" ref="AQ3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2" s="10" t="n"/>
      <c r="AS392" s="10" t="n"/>
      <c r="AT392" s="17">
        <f>tbl_MTG_Set[[#This Row],[Play Booster CardMarket Profit]]/tbl_MTG_Set[[#This Row],[Play Booster Cost]]</f>
        <v/>
      </c>
      <c r="AU392" s="10">
        <f>_xlfn.XLOOKUP(tbl_MTG_Set[[#This Row],[Collector Booster Box Product Id]], tbl_Product[Product Id], tbl_Product[Min Cost])</f>
        <v/>
      </c>
      <c r="AV392" s="10">
        <f>_xlfn.XLOOKUP(tbl_MTG_Set[[#This Row],[Collector Booster Box Product Id]], tbl_Product[Product Id], tbl_Product[Best Source])</f>
        <v/>
      </c>
      <c r="AW392" s="4">
        <f>_xlfn.XLOOKUP(tbl_MTG_Set[[#This Row],[Collector Booster Box Product Id]], tbl_Product[Product Id], tbl_Product[Pack Size])</f>
        <v/>
      </c>
      <c r="AX392" s="10">
        <f>(tbl_MTG_Set[[#This Row],[Collector Booster Box Cost]] + v_Item_Shipping_Cost_In) / tbl_MTG_Set[[#This Row],[Collector Booster Box Size]]</f>
        <v/>
      </c>
      <c r="AY392" s="10">
        <f t="array" ref="AY3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2" s="10" t="n"/>
      <c r="BA3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2" s="17">
        <f>tbl_MTG_Set[[#This Row],[Collector Booster CardMarket Profit]]/tbl_MTG_Set[[#This Row],[Collector Booster Cost]]</f>
        <v/>
      </c>
      <c r="BC392" s="10" t="n"/>
      <c r="BF392" s="10">
        <f>tbl_MTG_Set[[#This Row],[Play Booster Sell Price CardMarket]]*tbl_MTG_Set[[#This Row],[Play Booster Expected Market Value]]/tbl_MTG_Set[[#This Row],[Play Boost Sealed Market Value]]</f>
        <v/>
      </c>
      <c r="BG3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2" s="10">
        <f>tbl_MTG_Set[[#This Row],[Play Singles CardMarket Profit]]/tbl_MTG_Set[[#This Row],[Play Booster Cost]]</f>
        <v/>
      </c>
      <c r="BI392" s="10">
        <f>tbl_MTG_Set[[#This Row],[Play Singles CardMarket Profit]]&gt;0</f>
        <v/>
      </c>
      <c r="BJ392" s="10" t="n"/>
      <c r="BK392" s="10" t="n"/>
      <c r="BL392" s="10">
        <f>tbl_MTG_Set[[#This Row],[Collector Booster Sell Price CardMarket]]*tbl_MTG_Set[[#This Row],[Collector Booster Expected Market Value]]/tbl_MTG_Set[[#This Row],[Collector Boost Sealed Market Value]]</f>
        <v/>
      </c>
      <c r="BM3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2" s="10">
        <f>tbl_MTG_Set[[#This Row],[Collector Singles CardMarket Profit]]/tbl_MTG_Set[[#This Row],[Collector Booster Cost]]</f>
        <v/>
      </c>
      <c r="BO392" s="10">
        <f>tbl_MTG_Set[[#This Row],[Collector Singles CardMarket Profit]]&gt;0</f>
        <v/>
      </c>
      <c r="BP3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3">
      <c r="A393" t="n">
        <v>391</v>
      </c>
      <c r="B393" t="inlineStr">
        <is>
          <t>Core Set 2021 M21</t>
        </is>
      </c>
      <c r="C393" t="n">
        <v>397</v>
      </c>
      <c r="D393" s="3" t="n">
        <v>44015</v>
      </c>
      <c r="F393" t="inlineStr">
        <is>
          <t>en es fr de it pt ja ko ru 汉语 漢語</t>
        </is>
      </c>
      <c r="G393" t="n">
        <v>728</v>
      </c>
      <c r="H393">
        <f>MONTH(NOW())+12*YEAR(NOW())-MONTH(tbl_MTG_Set[[#This Row],[Released On]])-12*YEAR(tbl_MTG_Set[[#This Row],[Released On]])</f>
        <v/>
      </c>
      <c r="I393">
        <f>_xlfn.XLOOKUP(tbl_MTG_Set[[#This Row],[Type Name]], tbl_MTG_Set_Type[Set Type], tbl_MTG_Set_Type[Index], "(Set Type not found)")</f>
        <v/>
      </c>
      <c r="J393">
        <f>_xlfn.XLOOKUP(tbl_MTG_Set[[#This Row],[Type Name]], tbl_MTG_Set_Type[Set Type], tbl_MTG_Set_Type[Buy Window Month Start], "(Set Type not found)")</f>
        <v/>
      </c>
      <c r="K393" s="3">
        <f>tbl_MTG_Set[[#This Row],[Released On]]+tbl_MTG_Set[[#This Row],[Buy Window Month Start]]*365.25/12</f>
        <v/>
      </c>
      <c r="L393">
        <f>_xlfn.XLOOKUP(tbl_MTG_Set[[#This Row],[Type Name]], tbl_MTG_Set_Type[Set Type], tbl_MTG_Set_Type[Buy Window Month End], "(Set Type not found)", 0, 1)</f>
        <v/>
      </c>
      <c r="M393" s="3">
        <f>tbl_MTG_Set[[#This Row],[Released On]]+tbl_MTG_Set[[#This Row],[Buy Window Month End]]*365.25/12</f>
        <v/>
      </c>
      <c r="N393" s="3">
        <f>AND(NOW()&gt;=tbl_MTG_Set[[#This Row],[Buy Window Start]], NOW()&lt;=tbl_MTG_Set[[#This Row],[Buy Window End]])</f>
        <v/>
      </c>
      <c r="O393">
        <f>_xlfn.XLOOKUP(tbl_MTG_Set[[#This Row],[Type Name]], tbl_MTG_Set_Type[Set Type], tbl_MTG_Set_Type[Heavy Printing Window Month Start], "(Set Type not found)", 0, 1)</f>
        <v/>
      </c>
      <c r="P393" s="3">
        <f>tbl_MTG_Set[[#This Row],[Released On]]+tbl_MTG_Set[[#This Row],[Heavy Printing Window Month Start]]*365.25/12</f>
        <v/>
      </c>
      <c r="Q393">
        <f>_xlfn.XLOOKUP(tbl_MTG_Set[[#This Row],[Type Name]], tbl_MTG_Set_Type[Set Type], tbl_MTG_Set_Type[Heavy Printing Window Month End], "(Set Type not found)", 0, 1)</f>
        <v/>
      </c>
      <c r="R393" s="3">
        <f>tbl_MTG_Set[[#This Row],[Released On]]+tbl_MTG_Set[[#This Row],[Heavy Printing Window Month End]]*365.25/12</f>
        <v/>
      </c>
      <c r="S393" s="3">
        <f>AND(NOW()&gt;=tbl_MTG_Set[[#This Row],[Heavy Printing Window Start]], NOW()&lt;=tbl_MTG_Set[[#This Row],[Heavy Printing Window End]])</f>
        <v/>
      </c>
      <c r="T393">
        <f>_xlfn.XLOOKUP(tbl_MTG_Set[[#This Row],[Type Name]], tbl_MTG_Set_Type[Set Type], tbl_MTG_Set_Type[Sell Window Month Start], "(Set Type not found)", 0, 1)</f>
        <v/>
      </c>
      <c r="U393" s="3">
        <f>tbl_MTG_Set[[#This Row],[Released On]]+tbl_MTG_Set[[#This Row],[Sell Window Month Start]]*365.25/12</f>
        <v/>
      </c>
      <c r="V393">
        <f>_xlfn.XLOOKUP(tbl_MTG_Set[[#This Row],[Type Name]], tbl_MTG_Set_Type[Set Type], tbl_MTG_Set_Type[Sell Window Month End], "(Set Type not found)", 0, 1)</f>
        <v/>
      </c>
      <c r="W393" s="3">
        <f>tbl_MTG_Set[[#This Row],[Released On]]+tbl_MTG_Set[[#This Row],[Sell Window Month End]]*365.25/12</f>
        <v/>
      </c>
      <c r="X393" s="3">
        <f>AND(NOW()&gt;=tbl_MTG_Set[[#This Row],[Sell Window Start]], NOW()&lt;=tbl_MTG_Set[[#This Row],[Sell Window End]])</f>
        <v/>
      </c>
      <c r="AG393" s="10" t="n"/>
      <c r="AH393" s="10" t="n"/>
      <c r="AM393" s="10">
        <f t="array" ref="AM3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3" s="10">
        <f t="array" ref="AN3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3" s="4">
        <f>_xlfn.XLOOKUP(tbl_MTG_Set[[#This Row],[Play Booster Box Product Id]], tbl_Product[Product Id], tbl_Product[Pack Size])</f>
        <v/>
      </c>
      <c r="AP393" s="10">
        <f>(tbl_MTG_Set[[#This Row],[Play Booster Box Cost]]+v_Item_Shipping_Cost_In)/tbl_MTG_Set[[#This Row],[Play Booster Box Size]]</f>
        <v/>
      </c>
      <c r="AQ393" s="10">
        <f t="array" ref="AQ3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3" s="10" t="n"/>
      <c r="AS393" s="10" t="n"/>
      <c r="AT393" s="17">
        <f>tbl_MTG_Set[[#This Row],[Play Booster CardMarket Profit]]/tbl_MTG_Set[[#This Row],[Play Booster Cost]]</f>
        <v/>
      </c>
      <c r="AU393" s="10">
        <f>_xlfn.XLOOKUP(tbl_MTG_Set[[#This Row],[Collector Booster Box Product Id]], tbl_Product[Product Id], tbl_Product[Min Cost])</f>
        <v/>
      </c>
      <c r="AV393" s="10">
        <f>_xlfn.XLOOKUP(tbl_MTG_Set[[#This Row],[Collector Booster Box Product Id]], tbl_Product[Product Id], tbl_Product[Best Source])</f>
        <v/>
      </c>
      <c r="AW393" s="4">
        <f>_xlfn.XLOOKUP(tbl_MTG_Set[[#This Row],[Collector Booster Box Product Id]], tbl_Product[Product Id], tbl_Product[Pack Size])</f>
        <v/>
      </c>
      <c r="AX393" s="10">
        <f>(tbl_MTG_Set[[#This Row],[Collector Booster Box Cost]] + v_Item_Shipping_Cost_In) / tbl_MTG_Set[[#This Row],[Collector Booster Box Size]]</f>
        <v/>
      </c>
      <c r="AY393" s="10">
        <f t="array" ref="AY3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3" s="10" t="n"/>
      <c r="BA3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3" s="17">
        <f>tbl_MTG_Set[[#This Row],[Collector Booster CardMarket Profit]]/tbl_MTG_Set[[#This Row],[Collector Booster Cost]]</f>
        <v/>
      </c>
      <c r="BC393" s="10" t="n"/>
      <c r="BF393" s="10">
        <f>tbl_MTG_Set[[#This Row],[Play Booster Sell Price CardMarket]]*tbl_MTG_Set[[#This Row],[Play Booster Expected Market Value]]/tbl_MTG_Set[[#This Row],[Play Boost Sealed Market Value]]</f>
        <v/>
      </c>
      <c r="BG3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3" s="10">
        <f>tbl_MTG_Set[[#This Row],[Play Singles CardMarket Profit]]/tbl_MTG_Set[[#This Row],[Play Booster Cost]]</f>
        <v/>
      </c>
      <c r="BI393" s="10">
        <f>tbl_MTG_Set[[#This Row],[Play Singles CardMarket Profit]]&gt;0</f>
        <v/>
      </c>
      <c r="BJ393" s="10" t="n"/>
      <c r="BK393" s="10" t="n"/>
      <c r="BL393" s="10">
        <f>tbl_MTG_Set[[#This Row],[Collector Booster Sell Price CardMarket]]*tbl_MTG_Set[[#This Row],[Collector Booster Expected Market Value]]/tbl_MTG_Set[[#This Row],[Collector Boost Sealed Market Value]]</f>
        <v/>
      </c>
      <c r="BM3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3" s="10">
        <f>tbl_MTG_Set[[#This Row],[Collector Singles CardMarket Profit]]/tbl_MTG_Set[[#This Row],[Collector Booster Cost]]</f>
        <v/>
      </c>
      <c r="BO393" s="10">
        <f>tbl_MTG_Set[[#This Row],[Collector Singles CardMarket Profit]]&gt;0</f>
        <v/>
      </c>
      <c r="BP3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4">
      <c r="A394" t="n">
        <v>392</v>
      </c>
      <c r="B394" t="inlineStr">
        <is>
          <t>Core Set 2021 Promos PM21</t>
        </is>
      </c>
      <c r="C394" t="n">
        <v>137</v>
      </c>
      <c r="D394" s="3" t="n">
        <v>44015</v>
      </c>
      <c r="F394" t="inlineStr">
        <is>
          <t>en es fr de it pt ja ko ru 汉语 漢語</t>
        </is>
      </c>
      <c r="G394" t="n">
        <v>730</v>
      </c>
      <c r="H394">
        <f>MONTH(NOW())+12*YEAR(NOW())-MONTH(tbl_MTG_Set[[#This Row],[Released On]])-12*YEAR(tbl_MTG_Set[[#This Row],[Released On]])</f>
        <v/>
      </c>
      <c r="I394">
        <f>_xlfn.XLOOKUP(tbl_MTG_Set[[#This Row],[Type Name]], tbl_MTG_Set_Type[Set Type], tbl_MTG_Set_Type[Index], "(Set Type not found)")</f>
        <v/>
      </c>
      <c r="J394">
        <f>_xlfn.XLOOKUP(tbl_MTG_Set[[#This Row],[Type Name]], tbl_MTG_Set_Type[Set Type], tbl_MTG_Set_Type[Buy Window Month Start], "(Set Type not found)")</f>
        <v/>
      </c>
      <c r="K394" s="3">
        <f>tbl_MTG_Set[[#This Row],[Released On]]+tbl_MTG_Set[[#This Row],[Buy Window Month Start]]*365.25/12</f>
        <v/>
      </c>
      <c r="L394">
        <f>_xlfn.XLOOKUP(tbl_MTG_Set[[#This Row],[Type Name]], tbl_MTG_Set_Type[Set Type], tbl_MTG_Set_Type[Buy Window Month End], "(Set Type not found)", 0, 1)</f>
        <v/>
      </c>
      <c r="M394" s="3">
        <f>tbl_MTG_Set[[#This Row],[Released On]]+tbl_MTG_Set[[#This Row],[Buy Window Month End]]*365.25/12</f>
        <v/>
      </c>
      <c r="N394" s="3">
        <f>AND(NOW()&gt;=tbl_MTG_Set[[#This Row],[Buy Window Start]], NOW()&lt;=tbl_MTG_Set[[#This Row],[Buy Window End]])</f>
        <v/>
      </c>
      <c r="O394">
        <f>_xlfn.XLOOKUP(tbl_MTG_Set[[#This Row],[Type Name]], tbl_MTG_Set_Type[Set Type], tbl_MTG_Set_Type[Heavy Printing Window Month Start], "(Set Type not found)", 0, 1)</f>
        <v/>
      </c>
      <c r="P394" s="3">
        <f>tbl_MTG_Set[[#This Row],[Released On]]+tbl_MTG_Set[[#This Row],[Heavy Printing Window Month Start]]*365.25/12</f>
        <v/>
      </c>
      <c r="Q394">
        <f>_xlfn.XLOOKUP(tbl_MTG_Set[[#This Row],[Type Name]], tbl_MTG_Set_Type[Set Type], tbl_MTG_Set_Type[Heavy Printing Window Month End], "(Set Type not found)", 0, 1)</f>
        <v/>
      </c>
      <c r="R394" s="3">
        <f>tbl_MTG_Set[[#This Row],[Released On]]+tbl_MTG_Set[[#This Row],[Heavy Printing Window Month End]]*365.25/12</f>
        <v/>
      </c>
      <c r="S394" s="3">
        <f>AND(NOW()&gt;=tbl_MTG_Set[[#This Row],[Heavy Printing Window Start]], NOW()&lt;=tbl_MTG_Set[[#This Row],[Heavy Printing Window End]])</f>
        <v/>
      </c>
      <c r="T394">
        <f>_xlfn.XLOOKUP(tbl_MTG_Set[[#This Row],[Type Name]], tbl_MTG_Set_Type[Set Type], tbl_MTG_Set_Type[Sell Window Month Start], "(Set Type not found)", 0, 1)</f>
        <v/>
      </c>
      <c r="U394" s="3">
        <f>tbl_MTG_Set[[#This Row],[Released On]]+tbl_MTG_Set[[#This Row],[Sell Window Month Start]]*365.25/12</f>
        <v/>
      </c>
      <c r="V394">
        <f>_xlfn.XLOOKUP(tbl_MTG_Set[[#This Row],[Type Name]], tbl_MTG_Set_Type[Set Type], tbl_MTG_Set_Type[Sell Window Month End], "(Set Type not found)", 0, 1)</f>
        <v/>
      </c>
      <c r="W394" s="3">
        <f>tbl_MTG_Set[[#This Row],[Released On]]+tbl_MTG_Set[[#This Row],[Sell Window Month End]]*365.25/12</f>
        <v/>
      </c>
      <c r="X394" s="3">
        <f>AND(NOW()&gt;=tbl_MTG_Set[[#This Row],[Sell Window Start]], NOW()&lt;=tbl_MTG_Set[[#This Row],[Sell Window End]])</f>
        <v/>
      </c>
      <c r="AG394" s="10" t="n"/>
      <c r="AH394" s="10" t="n"/>
      <c r="AM394" s="10">
        <f t="array" ref="AM3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4" s="10">
        <f t="array" ref="AN3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4" s="4">
        <f>_xlfn.XLOOKUP(tbl_MTG_Set[[#This Row],[Play Booster Box Product Id]], tbl_Product[Product Id], tbl_Product[Pack Size])</f>
        <v/>
      </c>
      <c r="AP394" s="10">
        <f>(tbl_MTG_Set[[#This Row],[Play Booster Box Cost]]+v_Item_Shipping_Cost_In)/tbl_MTG_Set[[#This Row],[Play Booster Box Size]]</f>
        <v/>
      </c>
      <c r="AQ394" s="10">
        <f t="array" ref="AQ3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4" s="10" t="n"/>
      <c r="AS394" s="10" t="n"/>
      <c r="AT394" s="17">
        <f>tbl_MTG_Set[[#This Row],[Play Booster CardMarket Profit]]/tbl_MTG_Set[[#This Row],[Play Booster Cost]]</f>
        <v/>
      </c>
      <c r="AU394" s="10">
        <f>_xlfn.XLOOKUP(tbl_MTG_Set[[#This Row],[Collector Booster Box Product Id]], tbl_Product[Product Id], tbl_Product[Min Cost])</f>
        <v/>
      </c>
      <c r="AV394" s="10">
        <f>_xlfn.XLOOKUP(tbl_MTG_Set[[#This Row],[Collector Booster Box Product Id]], tbl_Product[Product Id], tbl_Product[Best Source])</f>
        <v/>
      </c>
      <c r="AW394" s="4">
        <f>_xlfn.XLOOKUP(tbl_MTG_Set[[#This Row],[Collector Booster Box Product Id]], tbl_Product[Product Id], tbl_Product[Pack Size])</f>
        <v/>
      </c>
      <c r="AX394" s="10">
        <f>(tbl_MTG_Set[[#This Row],[Collector Booster Box Cost]] + v_Item_Shipping_Cost_In) / tbl_MTG_Set[[#This Row],[Collector Booster Box Size]]</f>
        <v/>
      </c>
      <c r="AY394" s="10">
        <f t="array" ref="AY3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4" s="10" t="n"/>
      <c r="BA3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4" s="17">
        <f>tbl_MTG_Set[[#This Row],[Collector Booster CardMarket Profit]]/tbl_MTG_Set[[#This Row],[Collector Booster Cost]]</f>
        <v/>
      </c>
      <c r="BC394" s="10" t="n"/>
      <c r="BF394" s="10">
        <f>tbl_MTG_Set[[#This Row],[Play Booster Sell Price CardMarket]]*tbl_MTG_Set[[#This Row],[Play Booster Expected Market Value]]/tbl_MTG_Set[[#This Row],[Play Boost Sealed Market Value]]</f>
        <v/>
      </c>
      <c r="BG3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4" s="10">
        <f>tbl_MTG_Set[[#This Row],[Play Singles CardMarket Profit]]/tbl_MTG_Set[[#This Row],[Play Booster Cost]]</f>
        <v/>
      </c>
      <c r="BI394" s="10">
        <f>tbl_MTG_Set[[#This Row],[Play Singles CardMarket Profit]]&gt;0</f>
        <v/>
      </c>
      <c r="BJ394" s="10" t="n"/>
      <c r="BK394" s="10" t="n"/>
      <c r="BL394" s="10">
        <f>tbl_MTG_Set[[#This Row],[Collector Booster Sell Price CardMarket]]*tbl_MTG_Set[[#This Row],[Collector Booster Expected Market Value]]/tbl_MTG_Set[[#This Row],[Collector Boost Sealed Market Value]]</f>
        <v/>
      </c>
      <c r="BM3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4" s="10">
        <f>tbl_MTG_Set[[#This Row],[Collector Singles CardMarket Profit]]/tbl_MTG_Set[[#This Row],[Collector Booster Cost]]</f>
        <v/>
      </c>
      <c r="BO394" s="10">
        <f>tbl_MTG_Set[[#This Row],[Collector Singles CardMarket Profit]]&gt;0</f>
        <v/>
      </c>
      <c r="BP3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5">
      <c r="A395" t="n">
        <v>393</v>
      </c>
      <c r="B395" t="inlineStr">
        <is>
          <t>Core Set 2021 Tokens TM21</t>
        </is>
      </c>
      <c r="C395" t="n">
        <v>20</v>
      </c>
      <c r="D395" s="3" t="n">
        <v>44015</v>
      </c>
      <c r="F395" t="inlineStr">
        <is>
          <t>en es fr de it pt ja ko ru 汉语 漢語</t>
        </is>
      </c>
      <c r="G395" t="n">
        <v>732</v>
      </c>
      <c r="H395">
        <f>MONTH(NOW())+12*YEAR(NOW())-MONTH(tbl_MTG_Set[[#This Row],[Released On]])-12*YEAR(tbl_MTG_Set[[#This Row],[Released On]])</f>
        <v/>
      </c>
      <c r="I395">
        <f>_xlfn.XLOOKUP(tbl_MTG_Set[[#This Row],[Type Name]], tbl_MTG_Set_Type[Set Type], tbl_MTG_Set_Type[Index], "(Set Type not found)")</f>
        <v/>
      </c>
      <c r="J395">
        <f>_xlfn.XLOOKUP(tbl_MTG_Set[[#This Row],[Type Name]], tbl_MTG_Set_Type[Set Type], tbl_MTG_Set_Type[Buy Window Month Start], "(Set Type not found)")</f>
        <v/>
      </c>
      <c r="K395" s="3">
        <f>tbl_MTG_Set[[#This Row],[Released On]]+tbl_MTG_Set[[#This Row],[Buy Window Month Start]]*365.25/12</f>
        <v/>
      </c>
      <c r="L395">
        <f>_xlfn.XLOOKUP(tbl_MTG_Set[[#This Row],[Type Name]], tbl_MTG_Set_Type[Set Type], tbl_MTG_Set_Type[Buy Window Month End], "(Set Type not found)", 0, 1)</f>
        <v/>
      </c>
      <c r="M395" s="3">
        <f>tbl_MTG_Set[[#This Row],[Released On]]+tbl_MTG_Set[[#This Row],[Buy Window Month End]]*365.25/12</f>
        <v/>
      </c>
      <c r="N395" s="3">
        <f>AND(NOW()&gt;=tbl_MTG_Set[[#This Row],[Buy Window Start]], NOW()&lt;=tbl_MTG_Set[[#This Row],[Buy Window End]])</f>
        <v/>
      </c>
      <c r="O395">
        <f>_xlfn.XLOOKUP(tbl_MTG_Set[[#This Row],[Type Name]], tbl_MTG_Set_Type[Set Type], tbl_MTG_Set_Type[Heavy Printing Window Month Start], "(Set Type not found)", 0, 1)</f>
        <v/>
      </c>
      <c r="P395" s="3">
        <f>tbl_MTG_Set[[#This Row],[Released On]]+tbl_MTG_Set[[#This Row],[Heavy Printing Window Month Start]]*365.25/12</f>
        <v/>
      </c>
      <c r="Q395">
        <f>_xlfn.XLOOKUP(tbl_MTG_Set[[#This Row],[Type Name]], tbl_MTG_Set_Type[Set Type], tbl_MTG_Set_Type[Heavy Printing Window Month End], "(Set Type not found)", 0, 1)</f>
        <v/>
      </c>
      <c r="R395" s="3">
        <f>tbl_MTG_Set[[#This Row],[Released On]]+tbl_MTG_Set[[#This Row],[Heavy Printing Window Month End]]*365.25/12</f>
        <v/>
      </c>
      <c r="S395" s="3">
        <f>AND(NOW()&gt;=tbl_MTG_Set[[#This Row],[Heavy Printing Window Start]], NOW()&lt;=tbl_MTG_Set[[#This Row],[Heavy Printing Window End]])</f>
        <v/>
      </c>
      <c r="T395">
        <f>_xlfn.XLOOKUP(tbl_MTG_Set[[#This Row],[Type Name]], tbl_MTG_Set_Type[Set Type], tbl_MTG_Set_Type[Sell Window Month Start], "(Set Type not found)", 0, 1)</f>
        <v/>
      </c>
      <c r="U395" s="3">
        <f>tbl_MTG_Set[[#This Row],[Released On]]+tbl_MTG_Set[[#This Row],[Sell Window Month Start]]*365.25/12</f>
        <v/>
      </c>
      <c r="V395">
        <f>_xlfn.XLOOKUP(tbl_MTG_Set[[#This Row],[Type Name]], tbl_MTG_Set_Type[Set Type], tbl_MTG_Set_Type[Sell Window Month End], "(Set Type not found)", 0, 1)</f>
        <v/>
      </c>
      <c r="W395" s="3">
        <f>tbl_MTG_Set[[#This Row],[Released On]]+tbl_MTG_Set[[#This Row],[Sell Window Month End]]*365.25/12</f>
        <v/>
      </c>
      <c r="X395" s="3">
        <f>AND(NOW()&gt;=tbl_MTG_Set[[#This Row],[Sell Window Start]], NOW()&lt;=tbl_MTG_Set[[#This Row],[Sell Window End]])</f>
        <v/>
      </c>
      <c r="AG395" s="10" t="n"/>
      <c r="AH395" s="10" t="n"/>
      <c r="AM395" s="10">
        <f t="array" ref="AM3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5" s="10">
        <f t="array" ref="AN3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5" s="4">
        <f>_xlfn.XLOOKUP(tbl_MTG_Set[[#This Row],[Play Booster Box Product Id]], tbl_Product[Product Id], tbl_Product[Pack Size])</f>
        <v/>
      </c>
      <c r="AP395" s="10">
        <f>(tbl_MTG_Set[[#This Row],[Play Booster Box Cost]]+v_Item_Shipping_Cost_In)/tbl_MTG_Set[[#This Row],[Play Booster Box Size]]</f>
        <v/>
      </c>
      <c r="AQ395" s="10">
        <f t="array" ref="AQ3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5" s="10" t="n"/>
      <c r="AS395" s="10" t="n"/>
      <c r="AT395" s="17">
        <f>tbl_MTG_Set[[#This Row],[Play Booster CardMarket Profit]]/tbl_MTG_Set[[#This Row],[Play Booster Cost]]</f>
        <v/>
      </c>
      <c r="AU395" s="10">
        <f>_xlfn.XLOOKUP(tbl_MTG_Set[[#This Row],[Collector Booster Box Product Id]], tbl_Product[Product Id], tbl_Product[Min Cost])</f>
        <v/>
      </c>
      <c r="AV395" s="10">
        <f>_xlfn.XLOOKUP(tbl_MTG_Set[[#This Row],[Collector Booster Box Product Id]], tbl_Product[Product Id], tbl_Product[Best Source])</f>
        <v/>
      </c>
      <c r="AW395" s="4">
        <f>_xlfn.XLOOKUP(tbl_MTG_Set[[#This Row],[Collector Booster Box Product Id]], tbl_Product[Product Id], tbl_Product[Pack Size])</f>
        <v/>
      </c>
      <c r="AX395" s="10">
        <f>(tbl_MTG_Set[[#This Row],[Collector Booster Box Cost]] + v_Item_Shipping_Cost_In) / tbl_MTG_Set[[#This Row],[Collector Booster Box Size]]</f>
        <v/>
      </c>
      <c r="AY395" s="10">
        <f t="array" ref="AY3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5" s="10" t="n"/>
      <c r="BA3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5" s="17">
        <f>tbl_MTG_Set[[#This Row],[Collector Booster CardMarket Profit]]/tbl_MTG_Set[[#This Row],[Collector Booster Cost]]</f>
        <v/>
      </c>
      <c r="BC395" s="10" t="n"/>
      <c r="BF395" s="10">
        <f>tbl_MTG_Set[[#This Row],[Play Booster Sell Price CardMarket]]*tbl_MTG_Set[[#This Row],[Play Booster Expected Market Value]]/tbl_MTG_Set[[#This Row],[Play Boost Sealed Market Value]]</f>
        <v/>
      </c>
      <c r="BG3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5" s="10">
        <f>tbl_MTG_Set[[#This Row],[Play Singles CardMarket Profit]]/tbl_MTG_Set[[#This Row],[Play Booster Cost]]</f>
        <v/>
      </c>
      <c r="BI395" s="10">
        <f>tbl_MTG_Set[[#This Row],[Play Singles CardMarket Profit]]&gt;0</f>
        <v/>
      </c>
      <c r="BJ395" s="10" t="n"/>
      <c r="BK395" s="10" t="n"/>
      <c r="BL395" s="10">
        <f>tbl_MTG_Set[[#This Row],[Collector Booster Sell Price CardMarket]]*tbl_MTG_Set[[#This Row],[Collector Booster Expected Market Value]]/tbl_MTG_Set[[#This Row],[Collector Boost Sealed Market Value]]</f>
        <v/>
      </c>
      <c r="BM3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5" s="10">
        <f>tbl_MTG_Set[[#This Row],[Collector Singles CardMarket Profit]]/tbl_MTG_Set[[#This Row],[Collector Booster Cost]]</f>
        <v/>
      </c>
      <c r="BO395" s="10">
        <f>tbl_MTG_Set[[#This Row],[Collector Singles CardMarket Profit]]&gt;0</f>
        <v/>
      </c>
      <c r="BP3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6">
      <c r="A396" t="n">
        <v>394</v>
      </c>
      <c r="B396" t="inlineStr">
        <is>
          <t>Signature Spellbook: Chandra SS3</t>
        </is>
      </c>
      <c r="C396" t="n">
        <v>8</v>
      </c>
      <c r="D396" s="3" t="n">
        <v>44008</v>
      </c>
      <c r="F396" t="inlineStr">
        <is>
          <t>en es fr de it pt ja ko ru 汉语 漢語</t>
        </is>
      </c>
      <c r="G396" t="n">
        <v>734</v>
      </c>
      <c r="H396">
        <f>MONTH(NOW())+12*YEAR(NOW())-MONTH(tbl_MTG_Set[[#This Row],[Released On]])-12*YEAR(tbl_MTG_Set[[#This Row],[Released On]])</f>
        <v/>
      </c>
      <c r="I396">
        <f>_xlfn.XLOOKUP(tbl_MTG_Set[[#This Row],[Type Name]], tbl_MTG_Set_Type[Set Type], tbl_MTG_Set_Type[Index], "(Set Type not found)")</f>
        <v/>
      </c>
      <c r="J396">
        <f>_xlfn.XLOOKUP(tbl_MTG_Set[[#This Row],[Type Name]], tbl_MTG_Set_Type[Set Type], tbl_MTG_Set_Type[Buy Window Month Start], "(Set Type not found)")</f>
        <v/>
      </c>
      <c r="K396" s="3">
        <f>tbl_MTG_Set[[#This Row],[Released On]]+tbl_MTG_Set[[#This Row],[Buy Window Month Start]]*365.25/12</f>
        <v/>
      </c>
      <c r="L396">
        <f>_xlfn.XLOOKUP(tbl_MTG_Set[[#This Row],[Type Name]], tbl_MTG_Set_Type[Set Type], tbl_MTG_Set_Type[Buy Window Month End], "(Set Type not found)", 0, 1)</f>
        <v/>
      </c>
      <c r="M396" s="3">
        <f>tbl_MTG_Set[[#This Row],[Released On]]+tbl_MTG_Set[[#This Row],[Buy Window Month End]]*365.25/12</f>
        <v/>
      </c>
      <c r="N396" s="3">
        <f>AND(NOW()&gt;=tbl_MTG_Set[[#This Row],[Buy Window Start]], NOW()&lt;=tbl_MTG_Set[[#This Row],[Buy Window End]])</f>
        <v/>
      </c>
      <c r="O396">
        <f>_xlfn.XLOOKUP(tbl_MTG_Set[[#This Row],[Type Name]], tbl_MTG_Set_Type[Set Type], tbl_MTG_Set_Type[Heavy Printing Window Month Start], "(Set Type not found)", 0, 1)</f>
        <v/>
      </c>
      <c r="P396" s="3">
        <f>tbl_MTG_Set[[#This Row],[Released On]]+tbl_MTG_Set[[#This Row],[Heavy Printing Window Month Start]]*365.25/12</f>
        <v/>
      </c>
      <c r="Q396">
        <f>_xlfn.XLOOKUP(tbl_MTG_Set[[#This Row],[Type Name]], tbl_MTG_Set_Type[Set Type], tbl_MTG_Set_Type[Heavy Printing Window Month End], "(Set Type not found)", 0, 1)</f>
        <v/>
      </c>
      <c r="R396" s="3">
        <f>tbl_MTG_Set[[#This Row],[Released On]]+tbl_MTG_Set[[#This Row],[Heavy Printing Window Month End]]*365.25/12</f>
        <v/>
      </c>
      <c r="S396" s="3">
        <f>AND(NOW()&gt;=tbl_MTG_Set[[#This Row],[Heavy Printing Window Start]], NOW()&lt;=tbl_MTG_Set[[#This Row],[Heavy Printing Window End]])</f>
        <v/>
      </c>
      <c r="T396">
        <f>_xlfn.XLOOKUP(tbl_MTG_Set[[#This Row],[Type Name]], tbl_MTG_Set_Type[Set Type], tbl_MTG_Set_Type[Sell Window Month Start], "(Set Type not found)", 0, 1)</f>
        <v/>
      </c>
      <c r="U396" s="3">
        <f>tbl_MTG_Set[[#This Row],[Released On]]+tbl_MTG_Set[[#This Row],[Sell Window Month Start]]*365.25/12</f>
        <v/>
      </c>
      <c r="V396">
        <f>_xlfn.XLOOKUP(tbl_MTG_Set[[#This Row],[Type Name]], tbl_MTG_Set_Type[Set Type], tbl_MTG_Set_Type[Sell Window Month End], "(Set Type not found)", 0, 1)</f>
        <v/>
      </c>
      <c r="W396" s="3">
        <f>tbl_MTG_Set[[#This Row],[Released On]]+tbl_MTG_Set[[#This Row],[Sell Window Month End]]*365.25/12</f>
        <v/>
      </c>
      <c r="X396" s="3">
        <f>AND(NOW()&gt;=tbl_MTG_Set[[#This Row],[Sell Window Start]], NOW()&lt;=tbl_MTG_Set[[#This Row],[Sell Window End]])</f>
        <v/>
      </c>
      <c r="AG396" s="10" t="n"/>
      <c r="AH396" s="10" t="n"/>
      <c r="AM396" s="10">
        <f t="array" ref="AM3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6" s="10">
        <f t="array" ref="AN3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6" s="4">
        <f>_xlfn.XLOOKUP(tbl_MTG_Set[[#This Row],[Play Booster Box Product Id]], tbl_Product[Product Id], tbl_Product[Pack Size])</f>
        <v/>
      </c>
      <c r="AP396" s="10">
        <f>(tbl_MTG_Set[[#This Row],[Play Booster Box Cost]]+v_Item_Shipping_Cost_In)/tbl_MTG_Set[[#This Row],[Play Booster Box Size]]</f>
        <v/>
      </c>
      <c r="AQ396" s="10">
        <f t="array" ref="AQ3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6" s="10" t="n"/>
      <c r="AS396" s="10" t="n"/>
      <c r="AT396" s="17">
        <f>tbl_MTG_Set[[#This Row],[Play Booster CardMarket Profit]]/tbl_MTG_Set[[#This Row],[Play Booster Cost]]</f>
        <v/>
      </c>
      <c r="AU396" s="10">
        <f>_xlfn.XLOOKUP(tbl_MTG_Set[[#This Row],[Collector Booster Box Product Id]], tbl_Product[Product Id], tbl_Product[Min Cost])</f>
        <v/>
      </c>
      <c r="AV396" s="10">
        <f>_xlfn.XLOOKUP(tbl_MTG_Set[[#This Row],[Collector Booster Box Product Id]], tbl_Product[Product Id], tbl_Product[Best Source])</f>
        <v/>
      </c>
      <c r="AW396" s="4">
        <f>_xlfn.XLOOKUP(tbl_MTG_Set[[#This Row],[Collector Booster Box Product Id]], tbl_Product[Product Id], tbl_Product[Pack Size])</f>
        <v/>
      </c>
      <c r="AX396" s="10">
        <f>(tbl_MTG_Set[[#This Row],[Collector Booster Box Cost]] + v_Item_Shipping_Cost_In) / tbl_MTG_Set[[#This Row],[Collector Booster Box Size]]</f>
        <v/>
      </c>
      <c r="AY396" s="10">
        <f t="array" ref="AY3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6" s="10" t="n"/>
      <c r="BA3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6" s="17">
        <f>tbl_MTG_Set[[#This Row],[Collector Booster CardMarket Profit]]/tbl_MTG_Set[[#This Row],[Collector Booster Cost]]</f>
        <v/>
      </c>
      <c r="BC396" s="10" t="n"/>
      <c r="BF396" s="10">
        <f>tbl_MTG_Set[[#This Row],[Play Booster Sell Price CardMarket]]*tbl_MTG_Set[[#This Row],[Play Booster Expected Market Value]]/tbl_MTG_Set[[#This Row],[Play Boost Sealed Market Value]]</f>
        <v/>
      </c>
      <c r="BG3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6" s="10">
        <f>tbl_MTG_Set[[#This Row],[Play Singles CardMarket Profit]]/tbl_MTG_Set[[#This Row],[Play Booster Cost]]</f>
        <v/>
      </c>
      <c r="BI396" s="10">
        <f>tbl_MTG_Set[[#This Row],[Play Singles CardMarket Profit]]&gt;0</f>
        <v/>
      </c>
      <c r="BJ396" s="10" t="n"/>
      <c r="BK396" s="10" t="n"/>
      <c r="BL396" s="10">
        <f>tbl_MTG_Set[[#This Row],[Collector Booster Sell Price CardMarket]]*tbl_MTG_Set[[#This Row],[Collector Booster Expected Market Value]]/tbl_MTG_Set[[#This Row],[Collector Boost Sealed Market Value]]</f>
        <v/>
      </c>
      <c r="BM3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6" s="10">
        <f>tbl_MTG_Set[[#This Row],[Collector Singles CardMarket Profit]]/tbl_MTG_Set[[#This Row],[Collector Booster Cost]]</f>
        <v/>
      </c>
      <c r="BO396" s="10">
        <f>tbl_MTG_Set[[#This Row],[Collector Singles CardMarket Profit]]&gt;0</f>
        <v/>
      </c>
      <c r="BP3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7">
      <c r="A397" t="n">
        <v>395</v>
      </c>
      <c r="B397" t="inlineStr">
        <is>
          <t>MTG Arena Cube ARENA</t>
        </is>
      </c>
      <c r="C397" t="n">
        <v>550</v>
      </c>
      <c r="D397" s="3" t="n">
        <v>43992</v>
      </c>
      <c r="F397" t="n">
        <v>0</v>
      </c>
      <c r="G397" t="n">
        <v>736</v>
      </c>
      <c r="H397">
        <f>MONTH(NOW())+12*YEAR(NOW())-MONTH(tbl_MTG_Set[[#This Row],[Released On]])-12*YEAR(tbl_MTG_Set[[#This Row],[Released On]])</f>
        <v/>
      </c>
      <c r="I397">
        <f>_xlfn.XLOOKUP(tbl_MTG_Set[[#This Row],[Type Name]], tbl_MTG_Set_Type[Set Type], tbl_MTG_Set_Type[Index], "(Set Type not found)")</f>
        <v/>
      </c>
      <c r="J397">
        <f>_xlfn.XLOOKUP(tbl_MTG_Set[[#This Row],[Type Name]], tbl_MTG_Set_Type[Set Type], tbl_MTG_Set_Type[Buy Window Month Start], "(Set Type not found)")</f>
        <v/>
      </c>
      <c r="K397" s="3">
        <f>tbl_MTG_Set[[#This Row],[Released On]]+tbl_MTG_Set[[#This Row],[Buy Window Month Start]]*365.25/12</f>
        <v/>
      </c>
      <c r="L397">
        <f>_xlfn.XLOOKUP(tbl_MTG_Set[[#This Row],[Type Name]], tbl_MTG_Set_Type[Set Type], tbl_MTG_Set_Type[Buy Window Month End], "(Set Type not found)", 0, 1)</f>
        <v/>
      </c>
      <c r="M397" s="3">
        <f>tbl_MTG_Set[[#This Row],[Released On]]+tbl_MTG_Set[[#This Row],[Buy Window Month End]]*365.25/12</f>
        <v/>
      </c>
      <c r="N397" s="3">
        <f>AND(NOW()&gt;=tbl_MTG_Set[[#This Row],[Buy Window Start]], NOW()&lt;=tbl_MTG_Set[[#This Row],[Buy Window End]])</f>
        <v/>
      </c>
      <c r="O397">
        <f>_xlfn.XLOOKUP(tbl_MTG_Set[[#This Row],[Type Name]], tbl_MTG_Set_Type[Set Type], tbl_MTG_Set_Type[Heavy Printing Window Month Start], "(Set Type not found)", 0, 1)</f>
        <v/>
      </c>
      <c r="P397" s="3">
        <f>tbl_MTG_Set[[#This Row],[Released On]]+tbl_MTG_Set[[#This Row],[Heavy Printing Window Month Start]]*365.25/12</f>
        <v/>
      </c>
      <c r="Q397">
        <f>_xlfn.XLOOKUP(tbl_MTG_Set[[#This Row],[Type Name]], tbl_MTG_Set_Type[Set Type], tbl_MTG_Set_Type[Heavy Printing Window Month End], "(Set Type not found)", 0, 1)</f>
        <v/>
      </c>
      <c r="R397" s="3">
        <f>tbl_MTG_Set[[#This Row],[Released On]]+tbl_MTG_Set[[#This Row],[Heavy Printing Window Month End]]*365.25/12</f>
        <v/>
      </c>
      <c r="S397" s="3">
        <f>AND(NOW()&gt;=tbl_MTG_Set[[#This Row],[Heavy Printing Window Start]], NOW()&lt;=tbl_MTG_Set[[#This Row],[Heavy Printing Window End]])</f>
        <v/>
      </c>
      <c r="T397">
        <f>_xlfn.XLOOKUP(tbl_MTG_Set[[#This Row],[Type Name]], tbl_MTG_Set_Type[Set Type], tbl_MTG_Set_Type[Sell Window Month Start], "(Set Type not found)", 0, 1)</f>
        <v/>
      </c>
      <c r="U397" s="3">
        <f>tbl_MTG_Set[[#This Row],[Released On]]+tbl_MTG_Set[[#This Row],[Sell Window Month Start]]*365.25/12</f>
        <v/>
      </c>
      <c r="V397">
        <f>_xlfn.XLOOKUP(tbl_MTG_Set[[#This Row],[Type Name]], tbl_MTG_Set_Type[Set Type], tbl_MTG_Set_Type[Sell Window Month End], "(Set Type not found)", 0, 1)</f>
        <v/>
      </c>
      <c r="W397" s="3">
        <f>tbl_MTG_Set[[#This Row],[Released On]]+tbl_MTG_Set[[#This Row],[Sell Window Month End]]*365.25/12</f>
        <v/>
      </c>
      <c r="X397" s="3">
        <f>AND(NOW()&gt;=tbl_MTG_Set[[#This Row],[Sell Window Start]], NOW()&lt;=tbl_MTG_Set[[#This Row],[Sell Window End]])</f>
        <v/>
      </c>
      <c r="AG397" s="10" t="n"/>
      <c r="AH397" s="10" t="n"/>
      <c r="AM397" s="10">
        <f t="array" ref="AM3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7" s="10">
        <f t="array" ref="AN3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7" s="4">
        <f>_xlfn.XLOOKUP(tbl_MTG_Set[[#This Row],[Play Booster Box Product Id]], tbl_Product[Product Id], tbl_Product[Pack Size])</f>
        <v/>
      </c>
      <c r="AP397" s="10">
        <f>(tbl_MTG_Set[[#This Row],[Play Booster Box Cost]]+v_Item_Shipping_Cost_In)/tbl_MTG_Set[[#This Row],[Play Booster Box Size]]</f>
        <v/>
      </c>
      <c r="AQ397" s="10">
        <f t="array" ref="AQ3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7" s="10" t="n"/>
      <c r="AS397" s="10" t="n"/>
      <c r="AT397" s="17">
        <f>tbl_MTG_Set[[#This Row],[Play Booster CardMarket Profit]]/tbl_MTG_Set[[#This Row],[Play Booster Cost]]</f>
        <v/>
      </c>
      <c r="AU397" s="10">
        <f>_xlfn.XLOOKUP(tbl_MTG_Set[[#This Row],[Collector Booster Box Product Id]], tbl_Product[Product Id], tbl_Product[Min Cost])</f>
        <v/>
      </c>
      <c r="AV397" s="10">
        <f>_xlfn.XLOOKUP(tbl_MTG_Set[[#This Row],[Collector Booster Box Product Id]], tbl_Product[Product Id], tbl_Product[Best Source])</f>
        <v/>
      </c>
      <c r="AW397" s="4">
        <f>_xlfn.XLOOKUP(tbl_MTG_Set[[#This Row],[Collector Booster Box Product Id]], tbl_Product[Product Id], tbl_Product[Pack Size])</f>
        <v/>
      </c>
      <c r="AX397" s="10">
        <f>(tbl_MTG_Set[[#This Row],[Collector Booster Box Cost]] + v_Item_Shipping_Cost_In) / tbl_MTG_Set[[#This Row],[Collector Booster Box Size]]</f>
        <v/>
      </c>
      <c r="AY397" s="10">
        <f t="array" ref="AY3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7" s="10" t="n"/>
      <c r="BA3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7" s="17">
        <f>tbl_MTG_Set[[#This Row],[Collector Booster CardMarket Profit]]/tbl_MTG_Set[[#This Row],[Collector Booster Cost]]</f>
        <v/>
      </c>
      <c r="BC397" s="10" t="n"/>
      <c r="BF397" s="10">
        <f>tbl_MTG_Set[[#This Row],[Play Booster Sell Price CardMarket]]*tbl_MTG_Set[[#This Row],[Play Booster Expected Market Value]]/tbl_MTG_Set[[#This Row],[Play Boost Sealed Market Value]]</f>
        <v/>
      </c>
      <c r="BG3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7" s="10">
        <f>tbl_MTG_Set[[#This Row],[Play Singles CardMarket Profit]]/tbl_MTG_Set[[#This Row],[Play Booster Cost]]</f>
        <v/>
      </c>
      <c r="BI397" s="10">
        <f>tbl_MTG_Set[[#This Row],[Play Singles CardMarket Profit]]&gt;0</f>
        <v/>
      </c>
      <c r="BJ397" s="10" t="n"/>
      <c r="BK397" s="10" t="n"/>
      <c r="BL397" s="10">
        <f>tbl_MTG_Set[[#This Row],[Collector Booster Sell Price CardMarket]]*tbl_MTG_Set[[#This Row],[Collector Booster Expected Market Value]]/tbl_MTG_Set[[#This Row],[Collector Boost Sealed Market Value]]</f>
        <v/>
      </c>
      <c r="BM3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7" s="10">
        <f>tbl_MTG_Set[[#This Row],[Collector Singles CardMarket Profit]]/tbl_MTG_Set[[#This Row],[Collector Booster Cost]]</f>
        <v/>
      </c>
      <c r="BO397" s="10">
        <f>tbl_MTG_Set[[#This Row],[Collector Singles CardMarket Profit]]&gt;0</f>
        <v/>
      </c>
      <c r="BP3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8">
      <c r="A398" t="n">
        <v>396</v>
      </c>
      <c r="B398" t="inlineStr">
        <is>
          <t>Historic Anthology 3 HA3</t>
        </is>
      </c>
      <c r="C398" t="n">
        <v>27</v>
      </c>
      <c r="D398" s="3" t="n">
        <v>43972</v>
      </c>
      <c r="F398" t="inlineStr">
        <is>
          <t>en es fr de it pt ja ko ru 汉语 漢語</t>
        </is>
      </c>
      <c r="G398" t="n">
        <v>738</v>
      </c>
      <c r="H398">
        <f>MONTH(NOW())+12*YEAR(NOW())-MONTH(tbl_MTG_Set[[#This Row],[Released On]])-12*YEAR(tbl_MTG_Set[[#This Row],[Released On]])</f>
        <v/>
      </c>
      <c r="I398">
        <f>_xlfn.XLOOKUP(tbl_MTG_Set[[#This Row],[Type Name]], tbl_MTG_Set_Type[Set Type], tbl_MTG_Set_Type[Index], "(Set Type not found)")</f>
        <v/>
      </c>
      <c r="J398">
        <f>_xlfn.XLOOKUP(tbl_MTG_Set[[#This Row],[Type Name]], tbl_MTG_Set_Type[Set Type], tbl_MTG_Set_Type[Buy Window Month Start], "(Set Type not found)")</f>
        <v/>
      </c>
      <c r="K398" s="3">
        <f>tbl_MTG_Set[[#This Row],[Released On]]+tbl_MTG_Set[[#This Row],[Buy Window Month Start]]*365.25/12</f>
        <v/>
      </c>
      <c r="L398">
        <f>_xlfn.XLOOKUP(tbl_MTG_Set[[#This Row],[Type Name]], tbl_MTG_Set_Type[Set Type], tbl_MTG_Set_Type[Buy Window Month End], "(Set Type not found)", 0, 1)</f>
        <v/>
      </c>
      <c r="M398" s="3">
        <f>tbl_MTG_Set[[#This Row],[Released On]]+tbl_MTG_Set[[#This Row],[Buy Window Month End]]*365.25/12</f>
        <v/>
      </c>
      <c r="N398" s="3">
        <f>AND(NOW()&gt;=tbl_MTG_Set[[#This Row],[Buy Window Start]], NOW()&lt;=tbl_MTG_Set[[#This Row],[Buy Window End]])</f>
        <v/>
      </c>
      <c r="O398">
        <f>_xlfn.XLOOKUP(tbl_MTG_Set[[#This Row],[Type Name]], tbl_MTG_Set_Type[Set Type], tbl_MTG_Set_Type[Heavy Printing Window Month Start], "(Set Type not found)", 0, 1)</f>
        <v/>
      </c>
      <c r="P398" s="3">
        <f>tbl_MTG_Set[[#This Row],[Released On]]+tbl_MTG_Set[[#This Row],[Heavy Printing Window Month Start]]*365.25/12</f>
        <v/>
      </c>
      <c r="Q398">
        <f>_xlfn.XLOOKUP(tbl_MTG_Set[[#This Row],[Type Name]], tbl_MTG_Set_Type[Set Type], tbl_MTG_Set_Type[Heavy Printing Window Month End], "(Set Type not found)", 0, 1)</f>
        <v/>
      </c>
      <c r="R398" s="3">
        <f>tbl_MTG_Set[[#This Row],[Released On]]+tbl_MTG_Set[[#This Row],[Heavy Printing Window Month End]]*365.25/12</f>
        <v/>
      </c>
      <c r="S398" s="3">
        <f>AND(NOW()&gt;=tbl_MTG_Set[[#This Row],[Heavy Printing Window Start]], NOW()&lt;=tbl_MTG_Set[[#This Row],[Heavy Printing Window End]])</f>
        <v/>
      </c>
      <c r="T398">
        <f>_xlfn.XLOOKUP(tbl_MTG_Set[[#This Row],[Type Name]], tbl_MTG_Set_Type[Set Type], tbl_MTG_Set_Type[Sell Window Month Start], "(Set Type not found)", 0, 1)</f>
        <v/>
      </c>
      <c r="U398" s="3">
        <f>tbl_MTG_Set[[#This Row],[Released On]]+tbl_MTG_Set[[#This Row],[Sell Window Month Start]]*365.25/12</f>
        <v/>
      </c>
      <c r="V398">
        <f>_xlfn.XLOOKUP(tbl_MTG_Set[[#This Row],[Type Name]], tbl_MTG_Set_Type[Set Type], tbl_MTG_Set_Type[Sell Window Month End], "(Set Type not found)", 0, 1)</f>
        <v/>
      </c>
      <c r="W398" s="3">
        <f>tbl_MTG_Set[[#This Row],[Released On]]+tbl_MTG_Set[[#This Row],[Sell Window Month End]]*365.25/12</f>
        <v/>
      </c>
      <c r="X398" s="3">
        <f>AND(NOW()&gt;=tbl_MTG_Set[[#This Row],[Sell Window Start]], NOW()&lt;=tbl_MTG_Set[[#This Row],[Sell Window End]])</f>
        <v/>
      </c>
      <c r="AG398" s="10" t="n"/>
      <c r="AH398" s="10" t="n"/>
      <c r="AM398" s="10">
        <f t="array" ref="AM3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8" s="10">
        <f t="array" ref="AN3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8" s="4">
        <f>_xlfn.XLOOKUP(tbl_MTG_Set[[#This Row],[Play Booster Box Product Id]], tbl_Product[Product Id], tbl_Product[Pack Size])</f>
        <v/>
      </c>
      <c r="AP398" s="10">
        <f>(tbl_MTG_Set[[#This Row],[Play Booster Box Cost]]+v_Item_Shipping_Cost_In)/tbl_MTG_Set[[#This Row],[Play Booster Box Size]]</f>
        <v/>
      </c>
      <c r="AQ398" s="10">
        <f t="array" ref="AQ3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8" s="10" t="n"/>
      <c r="AS398" s="10" t="n"/>
      <c r="AT398" s="17">
        <f>tbl_MTG_Set[[#This Row],[Play Booster CardMarket Profit]]/tbl_MTG_Set[[#This Row],[Play Booster Cost]]</f>
        <v/>
      </c>
      <c r="AU398" s="10">
        <f>_xlfn.XLOOKUP(tbl_MTG_Set[[#This Row],[Collector Booster Box Product Id]], tbl_Product[Product Id], tbl_Product[Min Cost])</f>
        <v/>
      </c>
      <c r="AV398" s="10">
        <f>_xlfn.XLOOKUP(tbl_MTG_Set[[#This Row],[Collector Booster Box Product Id]], tbl_Product[Product Id], tbl_Product[Best Source])</f>
        <v/>
      </c>
      <c r="AW398" s="4">
        <f>_xlfn.XLOOKUP(tbl_MTG_Set[[#This Row],[Collector Booster Box Product Id]], tbl_Product[Product Id], tbl_Product[Pack Size])</f>
        <v/>
      </c>
      <c r="AX398" s="10">
        <f>(tbl_MTG_Set[[#This Row],[Collector Booster Box Cost]] + v_Item_Shipping_Cost_In) / tbl_MTG_Set[[#This Row],[Collector Booster Box Size]]</f>
        <v/>
      </c>
      <c r="AY398" s="10">
        <f t="array" ref="AY3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8" s="10" t="n"/>
      <c r="BA3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8" s="17">
        <f>tbl_MTG_Set[[#This Row],[Collector Booster CardMarket Profit]]/tbl_MTG_Set[[#This Row],[Collector Booster Cost]]</f>
        <v/>
      </c>
      <c r="BC398" s="10" t="n"/>
      <c r="BF398" s="10">
        <f>tbl_MTG_Set[[#This Row],[Play Booster Sell Price CardMarket]]*tbl_MTG_Set[[#This Row],[Play Booster Expected Market Value]]/tbl_MTG_Set[[#This Row],[Play Boost Sealed Market Value]]</f>
        <v/>
      </c>
      <c r="BG3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8" s="10">
        <f>tbl_MTG_Set[[#This Row],[Play Singles CardMarket Profit]]/tbl_MTG_Set[[#This Row],[Play Booster Cost]]</f>
        <v/>
      </c>
      <c r="BI398" s="10">
        <f>tbl_MTG_Set[[#This Row],[Play Singles CardMarket Profit]]&gt;0</f>
        <v/>
      </c>
      <c r="BJ398" s="10" t="n"/>
      <c r="BK398" s="10" t="n"/>
      <c r="BL398" s="10">
        <f>tbl_MTG_Set[[#This Row],[Collector Booster Sell Price CardMarket]]*tbl_MTG_Set[[#This Row],[Collector Booster Expected Market Value]]/tbl_MTG_Set[[#This Row],[Collector Boost Sealed Market Value]]</f>
        <v/>
      </c>
      <c r="BM3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8" s="10">
        <f>tbl_MTG_Set[[#This Row],[Collector Singles CardMarket Profit]]/tbl_MTG_Set[[#This Row],[Collector Booster Cost]]</f>
        <v/>
      </c>
      <c r="BO398" s="10">
        <f>tbl_MTG_Set[[#This Row],[Collector Singles CardMarket Profit]]&gt;0</f>
        <v/>
      </c>
      <c r="BP3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9">
      <c r="A399" t="n">
        <v>397</v>
      </c>
      <c r="B399" t="inlineStr">
        <is>
          <t>Love Your LGS 2020 PLG20</t>
        </is>
      </c>
      <c r="C399" t="n">
        <v>2</v>
      </c>
      <c r="D399" s="3" t="n">
        <v>43969</v>
      </c>
      <c r="F399" t="inlineStr">
        <is>
          <t>en es fr de it pt ja ko ru 汉语 漢語</t>
        </is>
      </c>
      <c r="G399" t="n">
        <v>740</v>
      </c>
      <c r="H399">
        <f>MONTH(NOW())+12*YEAR(NOW())-MONTH(tbl_MTG_Set[[#This Row],[Released On]])-12*YEAR(tbl_MTG_Set[[#This Row],[Released On]])</f>
        <v/>
      </c>
      <c r="I399">
        <f>_xlfn.XLOOKUP(tbl_MTG_Set[[#This Row],[Type Name]], tbl_MTG_Set_Type[Set Type], tbl_MTG_Set_Type[Index], "(Set Type not found)")</f>
        <v/>
      </c>
      <c r="J399">
        <f>_xlfn.XLOOKUP(tbl_MTG_Set[[#This Row],[Type Name]], tbl_MTG_Set_Type[Set Type], tbl_MTG_Set_Type[Buy Window Month Start], "(Set Type not found)")</f>
        <v/>
      </c>
      <c r="K399" s="3">
        <f>tbl_MTG_Set[[#This Row],[Released On]]+tbl_MTG_Set[[#This Row],[Buy Window Month Start]]*365.25/12</f>
        <v/>
      </c>
      <c r="L399">
        <f>_xlfn.XLOOKUP(tbl_MTG_Set[[#This Row],[Type Name]], tbl_MTG_Set_Type[Set Type], tbl_MTG_Set_Type[Buy Window Month End], "(Set Type not found)", 0, 1)</f>
        <v/>
      </c>
      <c r="M399" s="3">
        <f>tbl_MTG_Set[[#This Row],[Released On]]+tbl_MTG_Set[[#This Row],[Buy Window Month End]]*365.25/12</f>
        <v/>
      </c>
      <c r="N399" s="3">
        <f>AND(NOW()&gt;=tbl_MTG_Set[[#This Row],[Buy Window Start]], NOW()&lt;=tbl_MTG_Set[[#This Row],[Buy Window End]])</f>
        <v/>
      </c>
      <c r="O399">
        <f>_xlfn.XLOOKUP(tbl_MTG_Set[[#This Row],[Type Name]], tbl_MTG_Set_Type[Set Type], tbl_MTG_Set_Type[Heavy Printing Window Month Start], "(Set Type not found)", 0, 1)</f>
        <v/>
      </c>
      <c r="P399" s="3">
        <f>tbl_MTG_Set[[#This Row],[Released On]]+tbl_MTG_Set[[#This Row],[Heavy Printing Window Month Start]]*365.25/12</f>
        <v/>
      </c>
      <c r="Q399">
        <f>_xlfn.XLOOKUP(tbl_MTG_Set[[#This Row],[Type Name]], tbl_MTG_Set_Type[Set Type], tbl_MTG_Set_Type[Heavy Printing Window Month End], "(Set Type not found)", 0, 1)</f>
        <v/>
      </c>
      <c r="R399" s="3">
        <f>tbl_MTG_Set[[#This Row],[Released On]]+tbl_MTG_Set[[#This Row],[Heavy Printing Window Month End]]*365.25/12</f>
        <v/>
      </c>
      <c r="S399" s="3">
        <f>AND(NOW()&gt;=tbl_MTG_Set[[#This Row],[Heavy Printing Window Start]], NOW()&lt;=tbl_MTG_Set[[#This Row],[Heavy Printing Window End]])</f>
        <v/>
      </c>
      <c r="T399">
        <f>_xlfn.XLOOKUP(tbl_MTG_Set[[#This Row],[Type Name]], tbl_MTG_Set_Type[Set Type], tbl_MTG_Set_Type[Sell Window Month Start], "(Set Type not found)", 0, 1)</f>
        <v/>
      </c>
      <c r="U399" s="3">
        <f>tbl_MTG_Set[[#This Row],[Released On]]+tbl_MTG_Set[[#This Row],[Sell Window Month Start]]*365.25/12</f>
        <v/>
      </c>
      <c r="V399">
        <f>_xlfn.XLOOKUP(tbl_MTG_Set[[#This Row],[Type Name]], tbl_MTG_Set_Type[Set Type], tbl_MTG_Set_Type[Sell Window Month End], "(Set Type not found)", 0, 1)</f>
        <v/>
      </c>
      <c r="W399" s="3">
        <f>tbl_MTG_Set[[#This Row],[Released On]]+tbl_MTG_Set[[#This Row],[Sell Window Month End]]*365.25/12</f>
        <v/>
      </c>
      <c r="X399" s="3">
        <f>AND(NOW()&gt;=tbl_MTG_Set[[#This Row],[Sell Window Start]], NOW()&lt;=tbl_MTG_Set[[#This Row],[Sell Window End]])</f>
        <v/>
      </c>
      <c r="AG399" s="10" t="n"/>
      <c r="AH399" s="10" t="n"/>
      <c r="AM399" s="10">
        <f t="array" ref="AM3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9" s="10">
        <f t="array" ref="AN3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9" s="4">
        <f>_xlfn.XLOOKUP(tbl_MTG_Set[[#This Row],[Play Booster Box Product Id]], tbl_Product[Product Id], tbl_Product[Pack Size])</f>
        <v/>
      </c>
      <c r="AP399" s="10">
        <f>(tbl_MTG_Set[[#This Row],[Play Booster Box Cost]]+v_Item_Shipping_Cost_In)/tbl_MTG_Set[[#This Row],[Play Booster Box Size]]</f>
        <v/>
      </c>
      <c r="AQ399" s="10">
        <f t="array" ref="AQ3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399" s="10" t="n"/>
      <c r="AS399" s="10" t="n"/>
      <c r="AT399" s="17">
        <f>tbl_MTG_Set[[#This Row],[Play Booster CardMarket Profit]]/tbl_MTG_Set[[#This Row],[Play Booster Cost]]</f>
        <v/>
      </c>
      <c r="AU399" s="10">
        <f>_xlfn.XLOOKUP(tbl_MTG_Set[[#This Row],[Collector Booster Box Product Id]], tbl_Product[Product Id], tbl_Product[Min Cost])</f>
        <v/>
      </c>
      <c r="AV399" s="10">
        <f>_xlfn.XLOOKUP(tbl_MTG_Set[[#This Row],[Collector Booster Box Product Id]], tbl_Product[Product Id], tbl_Product[Best Source])</f>
        <v/>
      </c>
      <c r="AW399" s="4">
        <f>_xlfn.XLOOKUP(tbl_MTG_Set[[#This Row],[Collector Booster Box Product Id]], tbl_Product[Product Id], tbl_Product[Pack Size])</f>
        <v/>
      </c>
      <c r="AX399" s="10">
        <f>(tbl_MTG_Set[[#This Row],[Collector Booster Box Cost]] + v_Item_Shipping_Cost_In) / tbl_MTG_Set[[#This Row],[Collector Booster Box Size]]</f>
        <v/>
      </c>
      <c r="AY399" s="10">
        <f t="array" ref="AY3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399" s="10" t="n"/>
      <c r="BA3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9" s="17">
        <f>tbl_MTG_Set[[#This Row],[Collector Booster CardMarket Profit]]/tbl_MTG_Set[[#This Row],[Collector Booster Cost]]</f>
        <v/>
      </c>
      <c r="BC399" s="10" t="n"/>
      <c r="BF399" s="10">
        <f>tbl_MTG_Set[[#This Row],[Play Booster Sell Price CardMarket]]*tbl_MTG_Set[[#This Row],[Play Booster Expected Market Value]]/tbl_MTG_Set[[#This Row],[Play Boost Sealed Market Value]]</f>
        <v/>
      </c>
      <c r="BG3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9" s="10">
        <f>tbl_MTG_Set[[#This Row],[Play Singles CardMarket Profit]]/tbl_MTG_Set[[#This Row],[Play Booster Cost]]</f>
        <v/>
      </c>
      <c r="BI399" s="10">
        <f>tbl_MTG_Set[[#This Row],[Play Singles CardMarket Profit]]&gt;0</f>
        <v/>
      </c>
      <c r="BJ399" s="10" t="n"/>
      <c r="BK399" s="10" t="n"/>
      <c r="BL399" s="10">
        <f>tbl_MTG_Set[[#This Row],[Collector Booster Sell Price CardMarket]]*tbl_MTG_Set[[#This Row],[Collector Booster Expected Market Value]]/tbl_MTG_Set[[#This Row],[Collector Boost Sealed Market Value]]</f>
        <v/>
      </c>
      <c r="BM3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9" s="10">
        <f>tbl_MTG_Set[[#This Row],[Collector Singles CardMarket Profit]]/tbl_MTG_Set[[#This Row],[Collector Booster Cost]]</f>
        <v/>
      </c>
      <c r="BO399" s="10">
        <f>tbl_MTG_Set[[#This Row],[Collector Singles CardMarket Profit]]&gt;0</f>
        <v/>
      </c>
      <c r="BP3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0">
      <c r="A400" t="n">
        <v>398</v>
      </c>
      <c r="B400" t="inlineStr">
        <is>
          <t>Ikoria: Lair of Behemoths IKO</t>
        </is>
      </c>
      <c r="C400" t="n">
        <v>390</v>
      </c>
      <c r="D400" s="3" t="n">
        <v>43945</v>
      </c>
      <c r="F400" t="inlineStr">
        <is>
          <t>en es fr de it pt ja ko ru 汉语 漢語</t>
        </is>
      </c>
      <c r="G400" t="n">
        <v>742</v>
      </c>
      <c r="H400">
        <f>MONTH(NOW())+12*YEAR(NOW())-MONTH(tbl_MTG_Set[[#This Row],[Released On]])-12*YEAR(tbl_MTG_Set[[#This Row],[Released On]])</f>
        <v/>
      </c>
      <c r="I400">
        <f>_xlfn.XLOOKUP(tbl_MTG_Set[[#This Row],[Type Name]], tbl_MTG_Set_Type[Set Type], tbl_MTG_Set_Type[Index], "(Set Type not found)")</f>
        <v/>
      </c>
      <c r="J400">
        <f>_xlfn.XLOOKUP(tbl_MTG_Set[[#This Row],[Type Name]], tbl_MTG_Set_Type[Set Type], tbl_MTG_Set_Type[Buy Window Month Start], "(Set Type not found)")</f>
        <v/>
      </c>
      <c r="K400" s="3">
        <f>tbl_MTG_Set[[#This Row],[Released On]]+tbl_MTG_Set[[#This Row],[Buy Window Month Start]]*365.25/12</f>
        <v/>
      </c>
      <c r="L400">
        <f>_xlfn.XLOOKUP(tbl_MTG_Set[[#This Row],[Type Name]], tbl_MTG_Set_Type[Set Type], tbl_MTG_Set_Type[Buy Window Month End], "(Set Type not found)", 0, 1)</f>
        <v/>
      </c>
      <c r="M400" s="3">
        <f>tbl_MTG_Set[[#This Row],[Released On]]+tbl_MTG_Set[[#This Row],[Buy Window Month End]]*365.25/12</f>
        <v/>
      </c>
      <c r="N400" s="3">
        <f>AND(NOW()&gt;=tbl_MTG_Set[[#This Row],[Buy Window Start]], NOW()&lt;=tbl_MTG_Set[[#This Row],[Buy Window End]])</f>
        <v/>
      </c>
      <c r="O400">
        <f>_xlfn.XLOOKUP(tbl_MTG_Set[[#This Row],[Type Name]], tbl_MTG_Set_Type[Set Type], tbl_MTG_Set_Type[Heavy Printing Window Month Start], "(Set Type not found)", 0, 1)</f>
        <v/>
      </c>
      <c r="P400" s="3">
        <f>tbl_MTG_Set[[#This Row],[Released On]]+tbl_MTG_Set[[#This Row],[Heavy Printing Window Month Start]]*365.25/12</f>
        <v/>
      </c>
      <c r="Q400">
        <f>_xlfn.XLOOKUP(tbl_MTG_Set[[#This Row],[Type Name]], tbl_MTG_Set_Type[Set Type], tbl_MTG_Set_Type[Heavy Printing Window Month End], "(Set Type not found)", 0, 1)</f>
        <v/>
      </c>
      <c r="R400" s="3">
        <f>tbl_MTG_Set[[#This Row],[Released On]]+tbl_MTG_Set[[#This Row],[Heavy Printing Window Month End]]*365.25/12</f>
        <v/>
      </c>
      <c r="S400" s="3">
        <f>AND(NOW()&gt;=tbl_MTG_Set[[#This Row],[Heavy Printing Window Start]], NOW()&lt;=tbl_MTG_Set[[#This Row],[Heavy Printing Window End]])</f>
        <v/>
      </c>
      <c r="T400">
        <f>_xlfn.XLOOKUP(tbl_MTG_Set[[#This Row],[Type Name]], tbl_MTG_Set_Type[Set Type], tbl_MTG_Set_Type[Sell Window Month Start], "(Set Type not found)", 0, 1)</f>
        <v/>
      </c>
      <c r="U400" s="3">
        <f>tbl_MTG_Set[[#This Row],[Released On]]+tbl_MTG_Set[[#This Row],[Sell Window Month Start]]*365.25/12</f>
        <v/>
      </c>
      <c r="V400">
        <f>_xlfn.XLOOKUP(tbl_MTG_Set[[#This Row],[Type Name]], tbl_MTG_Set_Type[Set Type], tbl_MTG_Set_Type[Sell Window Month End], "(Set Type not found)", 0, 1)</f>
        <v/>
      </c>
      <c r="W400" s="3">
        <f>tbl_MTG_Set[[#This Row],[Released On]]+tbl_MTG_Set[[#This Row],[Sell Window Month End]]*365.25/12</f>
        <v/>
      </c>
      <c r="X400" s="3">
        <f>AND(NOW()&gt;=tbl_MTG_Set[[#This Row],[Sell Window Start]], NOW()&lt;=tbl_MTG_Set[[#This Row],[Sell Window End]])</f>
        <v/>
      </c>
      <c r="AG400" s="10" t="n"/>
      <c r="AH400" s="10" t="n"/>
      <c r="AM400" s="10">
        <f t="array" ref="AM4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0" s="10">
        <f t="array" ref="AN4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0" s="4">
        <f>_xlfn.XLOOKUP(tbl_MTG_Set[[#This Row],[Play Booster Box Product Id]], tbl_Product[Product Id], tbl_Product[Pack Size])</f>
        <v/>
      </c>
      <c r="AP400" s="10">
        <f>(tbl_MTG_Set[[#This Row],[Play Booster Box Cost]]+v_Item_Shipping_Cost_In)/tbl_MTG_Set[[#This Row],[Play Booster Box Size]]</f>
        <v/>
      </c>
      <c r="AQ400" s="10">
        <f t="array" ref="AQ4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0" s="10" t="n"/>
      <c r="AS400" s="10" t="n"/>
      <c r="AT400" s="17">
        <f>tbl_MTG_Set[[#This Row],[Play Booster CardMarket Profit]]/tbl_MTG_Set[[#This Row],[Play Booster Cost]]</f>
        <v/>
      </c>
      <c r="AU400" s="10">
        <f>_xlfn.XLOOKUP(tbl_MTG_Set[[#This Row],[Collector Booster Box Product Id]], tbl_Product[Product Id], tbl_Product[Min Cost])</f>
        <v/>
      </c>
      <c r="AV400" s="10">
        <f>_xlfn.XLOOKUP(tbl_MTG_Set[[#This Row],[Collector Booster Box Product Id]], tbl_Product[Product Id], tbl_Product[Best Source])</f>
        <v/>
      </c>
      <c r="AW400" s="4">
        <f>_xlfn.XLOOKUP(tbl_MTG_Set[[#This Row],[Collector Booster Box Product Id]], tbl_Product[Product Id], tbl_Product[Pack Size])</f>
        <v/>
      </c>
      <c r="AX400" s="10">
        <f>(tbl_MTG_Set[[#This Row],[Collector Booster Box Cost]] + v_Item_Shipping_Cost_In) / tbl_MTG_Set[[#This Row],[Collector Booster Box Size]]</f>
        <v/>
      </c>
      <c r="AY400" s="10">
        <f t="array" ref="AY4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0" s="10" t="n"/>
      <c r="BA4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0" s="17">
        <f>tbl_MTG_Set[[#This Row],[Collector Booster CardMarket Profit]]/tbl_MTG_Set[[#This Row],[Collector Booster Cost]]</f>
        <v/>
      </c>
      <c r="BC400" s="10" t="n"/>
      <c r="BF400" s="10">
        <f>tbl_MTG_Set[[#This Row],[Play Booster Sell Price CardMarket]]*tbl_MTG_Set[[#This Row],[Play Booster Expected Market Value]]/tbl_MTG_Set[[#This Row],[Play Boost Sealed Market Value]]</f>
        <v/>
      </c>
      <c r="BG4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0" s="10">
        <f>tbl_MTG_Set[[#This Row],[Play Singles CardMarket Profit]]/tbl_MTG_Set[[#This Row],[Play Booster Cost]]</f>
        <v/>
      </c>
      <c r="BI400" s="10">
        <f>tbl_MTG_Set[[#This Row],[Play Singles CardMarket Profit]]&gt;0</f>
        <v/>
      </c>
      <c r="BJ400" s="10" t="n"/>
      <c r="BK400" s="10" t="n"/>
      <c r="BL400" s="10">
        <f>tbl_MTG_Set[[#This Row],[Collector Booster Sell Price CardMarket]]*tbl_MTG_Set[[#This Row],[Collector Booster Expected Market Value]]/tbl_MTG_Set[[#This Row],[Collector Boost Sealed Market Value]]</f>
        <v/>
      </c>
      <c r="BM4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0" s="10">
        <f>tbl_MTG_Set[[#This Row],[Collector Singles CardMarket Profit]]/tbl_MTG_Set[[#This Row],[Collector Booster Cost]]</f>
        <v/>
      </c>
      <c r="BO400" s="10">
        <f>tbl_MTG_Set[[#This Row],[Collector Singles CardMarket Profit]]&gt;0</f>
        <v/>
      </c>
      <c r="BP4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1">
      <c r="A401" t="n">
        <v>399</v>
      </c>
      <c r="B401" t="inlineStr">
        <is>
          <t>Ikoria: Lair of Behemoths Promos PIKO</t>
        </is>
      </c>
      <c r="C401" t="n">
        <v>137</v>
      </c>
      <c r="D401" s="3" t="n">
        <v>43945</v>
      </c>
      <c r="F401" t="inlineStr">
        <is>
          <t>en es fr de it pt ja ko ru 汉语 漢語</t>
        </is>
      </c>
      <c r="G401" t="n">
        <v>744</v>
      </c>
      <c r="H401">
        <f>MONTH(NOW())+12*YEAR(NOW())-MONTH(tbl_MTG_Set[[#This Row],[Released On]])-12*YEAR(tbl_MTG_Set[[#This Row],[Released On]])</f>
        <v/>
      </c>
      <c r="I401">
        <f>_xlfn.XLOOKUP(tbl_MTG_Set[[#This Row],[Type Name]], tbl_MTG_Set_Type[Set Type], tbl_MTG_Set_Type[Index], "(Set Type not found)")</f>
        <v/>
      </c>
      <c r="J401">
        <f>_xlfn.XLOOKUP(tbl_MTG_Set[[#This Row],[Type Name]], tbl_MTG_Set_Type[Set Type], tbl_MTG_Set_Type[Buy Window Month Start], "(Set Type not found)")</f>
        <v/>
      </c>
      <c r="K401" s="3">
        <f>tbl_MTG_Set[[#This Row],[Released On]]+tbl_MTG_Set[[#This Row],[Buy Window Month Start]]*365.25/12</f>
        <v/>
      </c>
      <c r="L401">
        <f>_xlfn.XLOOKUP(tbl_MTG_Set[[#This Row],[Type Name]], tbl_MTG_Set_Type[Set Type], tbl_MTG_Set_Type[Buy Window Month End], "(Set Type not found)", 0, 1)</f>
        <v/>
      </c>
      <c r="M401" s="3">
        <f>tbl_MTG_Set[[#This Row],[Released On]]+tbl_MTG_Set[[#This Row],[Buy Window Month End]]*365.25/12</f>
        <v/>
      </c>
      <c r="N401" s="3">
        <f>AND(NOW()&gt;=tbl_MTG_Set[[#This Row],[Buy Window Start]], NOW()&lt;=tbl_MTG_Set[[#This Row],[Buy Window End]])</f>
        <v/>
      </c>
      <c r="O401">
        <f>_xlfn.XLOOKUP(tbl_MTG_Set[[#This Row],[Type Name]], tbl_MTG_Set_Type[Set Type], tbl_MTG_Set_Type[Heavy Printing Window Month Start], "(Set Type not found)", 0, 1)</f>
        <v/>
      </c>
      <c r="P401" s="3">
        <f>tbl_MTG_Set[[#This Row],[Released On]]+tbl_MTG_Set[[#This Row],[Heavy Printing Window Month Start]]*365.25/12</f>
        <v/>
      </c>
      <c r="Q401">
        <f>_xlfn.XLOOKUP(tbl_MTG_Set[[#This Row],[Type Name]], tbl_MTG_Set_Type[Set Type], tbl_MTG_Set_Type[Heavy Printing Window Month End], "(Set Type not found)", 0, 1)</f>
        <v/>
      </c>
      <c r="R401" s="3">
        <f>tbl_MTG_Set[[#This Row],[Released On]]+tbl_MTG_Set[[#This Row],[Heavy Printing Window Month End]]*365.25/12</f>
        <v/>
      </c>
      <c r="S401" s="3">
        <f>AND(NOW()&gt;=tbl_MTG_Set[[#This Row],[Heavy Printing Window Start]], NOW()&lt;=tbl_MTG_Set[[#This Row],[Heavy Printing Window End]])</f>
        <v/>
      </c>
      <c r="T401">
        <f>_xlfn.XLOOKUP(tbl_MTG_Set[[#This Row],[Type Name]], tbl_MTG_Set_Type[Set Type], tbl_MTG_Set_Type[Sell Window Month Start], "(Set Type not found)", 0, 1)</f>
        <v/>
      </c>
      <c r="U401" s="3">
        <f>tbl_MTG_Set[[#This Row],[Released On]]+tbl_MTG_Set[[#This Row],[Sell Window Month Start]]*365.25/12</f>
        <v/>
      </c>
      <c r="V401">
        <f>_xlfn.XLOOKUP(tbl_MTG_Set[[#This Row],[Type Name]], tbl_MTG_Set_Type[Set Type], tbl_MTG_Set_Type[Sell Window Month End], "(Set Type not found)", 0, 1)</f>
        <v/>
      </c>
      <c r="W401" s="3">
        <f>tbl_MTG_Set[[#This Row],[Released On]]+tbl_MTG_Set[[#This Row],[Sell Window Month End]]*365.25/12</f>
        <v/>
      </c>
      <c r="X401" s="3">
        <f>AND(NOW()&gt;=tbl_MTG_Set[[#This Row],[Sell Window Start]], NOW()&lt;=tbl_MTG_Set[[#This Row],[Sell Window End]])</f>
        <v/>
      </c>
      <c r="AG401" s="10" t="n"/>
      <c r="AH401" s="10" t="n"/>
      <c r="AM401" s="10">
        <f t="array" ref="AM4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1" s="10">
        <f t="array" ref="AN4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1" s="4">
        <f>_xlfn.XLOOKUP(tbl_MTG_Set[[#This Row],[Play Booster Box Product Id]], tbl_Product[Product Id], tbl_Product[Pack Size])</f>
        <v/>
      </c>
      <c r="AP401" s="10">
        <f>(tbl_MTG_Set[[#This Row],[Play Booster Box Cost]]+v_Item_Shipping_Cost_In)/tbl_MTG_Set[[#This Row],[Play Booster Box Size]]</f>
        <v/>
      </c>
      <c r="AQ401" s="10">
        <f t="array" ref="AQ4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1" s="10" t="n"/>
      <c r="AS401" s="10" t="n"/>
      <c r="AT401" s="17">
        <f>tbl_MTG_Set[[#This Row],[Play Booster CardMarket Profit]]/tbl_MTG_Set[[#This Row],[Play Booster Cost]]</f>
        <v/>
      </c>
      <c r="AU401" s="10">
        <f>_xlfn.XLOOKUP(tbl_MTG_Set[[#This Row],[Collector Booster Box Product Id]], tbl_Product[Product Id], tbl_Product[Min Cost])</f>
        <v/>
      </c>
      <c r="AV401" s="10">
        <f>_xlfn.XLOOKUP(tbl_MTG_Set[[#This Row],[Collector Booster Box Product Id]], tbl_Product[Product Id], tbl_Product[Best Source])</f>
        <v/>
      </c>
      <c r="AW401" s="4">
        <f>_xlfn.XLOOKUP(tbl_MTG_Set[[#This Row],[Collector Booster Box Product Id]], tbl_Product[Product Id], tbl_Product[Pack Size])</f>
        <v/>
      </c>
      <c r="AX401" s="10">
        <f>(tbl_MTG_Set[[#This Row],[Collector Booster Box Cost]] + v_Item_Shipping_Cost_In) / tbl_MTG_Set[[#This Row],[Collector Booster Box Size]]</f>
        <v/>
      </c>
      <c r="AY401" s="10">
        <f t="array" ref="AY4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1" s="10" t="n"/>
      <c r="BA4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1" s="17">
        <f>tbl_MTG_Set[[#This Row],[Collector Booster CardMarket Profit]]/tbl_MTG_Set[[#This Row],[Collector Booster Cost]]</f>
        <v/>
      </c>
      <c r="BC401" s="10" t="n"/>
      <c r="BF401" s="10">
        <f>tbl_MTG_Set[[#This Row],[Play Booster Sell Price CardMarket]]*tbl_MTG_Set[[#This Row],[Play Booster Expected Market Value]]/tbl_MTG_Set[[#This Row],[Play Boost Sealed Market Value]]</f>
        <v/>
      </c>
      <c r="BG4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1" s="10">
        <f>tbl_MTG_Set[[#This Row],[Play Singles CardMarket Profit]]/tbl_MTG_Set[[#This Row],[Play Booster Cost]]</f>
        <v/>
      </c>
      <c r="BI401" s="10">
        <f>tbl_MTG_Set[[#This Row],[Play Singles CardMarket Profit]]&gt;0</f>
        <v/>
      </c>
      <c r="BJ401" s="10" t="n"/>
      <c r="BK401" s="10" t="n"/>
      <c r="BL401" s="10">
        <f>tbl_MTG_Set[[#This Row],[Collector Booster Sell Price CardMarket]]*tbl_MTG_Set[[#This Row],[Collector Booster Expected Market Value]]/tbl_MTG_Set[[#This Row],[Collector Boost Sealed Market Value]]</f>
        <v/>
      </c>
      <c r="BM4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1" s="10">
        <f>tbl_MTG_Set[[#This Row],[Collector Singles CardMarket Profit]]/tbl_MTG_Set[[#This Row],[Collector Booster Cost]]</f>
        <v/>
      </c>
      <c r="BO401" s="10">
        <f>tbl_MTG_Set[[#This Row],[Collector Singles CardMarket Profit]]&gt;0</f>
        <v/>
      </c>
      <c r="BP4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2">
      <c r="A402" t="n">
        <v>400</v>
      </c>
      <c r="B402" t="inlineStr">
        <is>
          <t>Ikoria: Lair of Behemoths Tokens TIKO</t>
        </is>
      </c>
      <c r="C402" t="n">
        <v>14</v>
      </c>
      <c r="D402" s="3" t="n">
        <v>43945</v>
      </c>
      <c r="F402" t="inlineStr">
        <is>
          <t>en es fr de it pt ja ko ru 汉语 漢語</t>
        </is>
      </c>
      <c r="G402" t="n">
        <v>746</v>
      </c>
      <c r="H402">
        <f>MONTH(NOW())+12*YEAR(NOW())-MONTH(tbl_MTG_Set[[#This Row],[Released On]])-12*YEAR(tbl_MTG_Set[[#This Row],[Released On]])</f>
        <v/>
      </c>
      <c r="I402">
        <f>_xlfn.XLOOKUP(tbl_MTG_Set[[#This Row],[Type Name]], tbl_MTG_Set_Type[Set Type], tbl_MTG_Set_Type[Index], "(Set Type not found)")</f>
        <v/>
      </c>
      <c r="J402">
        <f>_xlfn.XLOOKUP(tbl_MTG_Set[[#This Row],[Type Name]], tbl_MTG_Set_Type[Set Type], tbl_MTG_Set_Type[Buy Window Month Start], "(Set Type not found)")</f>
        <v/>
      </c>
      <c r="K402" s="3">
        <f>tbl_MTG_Set[[#This Row],[Released On]]+tbl_MTG_Set[[#This Row],[Buy Window Month Start]]*365.25/12</f>
        <v/>
      </c>
      <c r="L402">
        <f>_xlfn.XLOOKUP(tbl_MTG_Set[[#This Row],[Type Name]], tbl_MTG_Set_Type[Set Type], tbl_MTG_Set_Type[Buy Window Month End], "(Set Type not found)", 0, 1)</f>
        <v/>
      </c>
      <c r="M402" s="3">
        <f>tbl_MTG_Set[[#This Row],[Released On]]+tbl_MTG_Set[[#This Row],[Buy Window Month End]]*365.25/12</f>
        <v/>
      </c>
      <c r="N402" s="3">
        <f>AND(NOW()&gt;=tbl_MTG_Set[[#This Row],[Buy Window Start]], NOW()&lt;=tbl_MTG_Set[[#This Row],[Buy Window End]])</f>
        <v/>
      </c>
      <c r="O402">
        <f>_xlfn.XLOOKUP(tbl_MTG_Set[[#This Row],[Type Name]], tbl_MTG_Set_Type[Set Type], tbl_MTG_Set_Type[Heavy Printing Window Month Start], "(Set Type not found)", 0, 1)</f>
        <v/>
      </c>
      <c r="P402" s="3">
        <f>tbl_MTG_Set[[#This Row],[Released On]]+tbl_MTG_Set[[#This Row],[Heavy Printing Window Month Start]]*365.25/12</f>
        <v/>
      </c>
      <c r="Q402">
        <f>_xlfn.XLOOKUP(tbl_MTG_Set[[#This Row],[Type Name]], tbl_MTG_Set_Type[Set Type], tbl_MTG_Set_Type[Heavy Printing Window Month End], "(Set Type not found)", 0, 1)</f>
        <v/>
      </c>
      <c r="R402" s="3">
        <f>tbl_MTG_Set[[#This Row],[Released On]]+tbl_MTG_Set[[#This Row],[Heavy Printing Window Month End]]*365.25/12</f>
        <v/>
      </c>
      <c r="S402" s="3">
        <f>AND(NOW()&gt;=tbl_MTG_Set[[#This Row],[Heavy Printing Window Start]], NOW()&lt;=tbl_MTG_Set[[#This Row],[Heavy Printing Window End]])</f>
        <v/>
      </c>
      <c r="T402">
        <f>_xlfn.XLOOKUP(tbl_MTG_Set[[#This Row],[Type Name]], tbl_MTG_Set_Type[Set Type], tbl_MTG_Set_Type[Sell Window Month Start], "(Set Type not found)", 0, 1)</f>
        <v/>
      </c>
      <c r="U402" s="3">
        <f>tbl_MTG_Set[[#This Row],[Released On]]+tbl_MTG_Set[[#This Row],[Sell Window Month Start]]*365.25/12</f>
        <v/>
      </c>
      <c r="V402">
        <f>_xlfn.XLOOKUP(tbl_MTG_Set[[#This Row],[Type Name]], tbl_MTG_Set_Type[Set Type], tbl_MTG_Set_Type[Sell Window Month End], "(Set Type not found)", 0, 1)</f>
        <v/>
      </c>
      <c r="W402" s="3">
        <f>tbl_MTG_Set[[#This Row],[Released On]]+tbl_MTG_Set[[#This Row],[Sell Window Month End]]*365.25/12</f>
        <v/>
      </c>
      <c r="X402" s="3">
        <f>AND(NOW()&gt;=tbl_MTG_Set[[#This Row],[Sell Window Start]], NOW()&lt;=tbl_MTG_Set[[#This Row],[Sell Window End]])</f>
        <v/>
      </c>
      <c r="AG402" s="10" t="n"/>
      <c r="AH402" s="10" t="n"/>
      <c r="AM402" s="10">
        <f t="array" ref="AM4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2" s="10">
        <f t="array" ref="AN4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2" s="4">
        <f>_xlfn.XLOOKUP(tbl_MTG_Set[[#This Row],[Play Booster Box Product Id]], tbl_Product[Product Id], tbl_Product[Pack Size])</f>
        <v/>
      </c>
      <c r="AP402" s="10">
        <f>(tbl_MTG_Set[[#This Row],[Play Booster Box Cost]]+v_Item_Shipping_Cost_In)/tbl_MTG_Set[[#This Row],[Play Booster Box Size]]</f>
        <v/>
      </c>
      <c r="AQ402" s="10">
        <f t="array" ref="AQ4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2" s="10" t="n"/>
      <c r="AS402" s="10" t="n"/>
      <c r="AT402" s="17">
        <f>tbl_MTG_Set[[#This Row],[Play Booster CardMarket Profit]]/tbl_MTG_Set[[#This Row],[Play Booster Cost]]</f>
        <v/>
      </c>
      <c r="AU402" s="10">
        <f>_xlfn.XLOOKUP(tbl_MTG_Set[[#This Row],[Collector Booster Box Product Id]], tbl_Product[Product Id], tbl_Product[Min Cost])</f>
        <v/>
      </c>
      <c r="AV402" s="10">
        <f>_xlfn.XLOOKUP(tbl_MTG_Set[[#This Row],[Collector Booster Box Product Id]], tbl_Product[Product Id], tbl_Product[Best Source])</f>
        <v/>
      </c>
      <c r="AW402" s="4">
        <f>_xlfn.XLOOKUP(tbl_MTG_Set[[#This Row],[Collector Booster Box Product Id]], tbl_Product[Product Id], tbl_Product[Pack Size])</f>
        <v/>
      </c>
      <c r="AX402" s="10">
        <f>(tbl_MTG_Set[[#This Row],[Collector Booster Box Cost]] + v_Item_Shipping_Cost_In) / tbl_MTG_Set[[#This Row],[Collector Booster Box Size]]</f>
        <v/>
      </c>
      <c r="AY402" s="10">
        <f t="array" ref="AY4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2" s="10" t="n"/>
      <c r="BA4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2" s="17">
        <f>tbl_MTG_Set[[#This Row],[Collector Booster CardMarket Profit]]/tbl_MTG_Set[[#This Row],[Collector Booster Cost]]</f>
        <v/>
      </c>
      <c r="BC402" s="10" t="n"/>
      <c r="BF402" s="10">
        <f>tbl_MTG_Set[[#This Row],[Play Booster Sell Price CardMarket]]*tbl_MTG_Set[[#This Row],[Play Booster Expected Market Value]]/tbl_MTG_Set[[#This Row],[Play Boost Sealed Market Value]]</f>
        <v/>
      </c>
      <c r="BG4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2" s="10">
        <f>tbl_MTG_Set[[#This Row],[Play Singles CardMarket Profit]]/tbl_MTG_Set[[#This Row],[Play Booster Cost]]</f>
        <v/>
      </c>
      <c r="BI402" s="10">
        <f>tbl_MTG_Set[[#This Row],[Play Singles CardMarket Profit]]&gt;0</f>
        <v/>
      </c>
      <c r="BJ402" s="10" t="n"/>
      <c r="BK402" s="10" t="n"/>
      <c r="BL402" s="10">
        <f>tbl_MTG_Set[[#This Row],[Collector Booster Sell Price CardMarket]]*tbl_MTG_Set[[#This Row],[Collector Booster Expected Market Value]]/tbl_MTG_Set[[#This Row],[Collector Boost Sealed Market Value]]</f>
        <v/>
      </c>
      <c r="BM4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2" s="10">
        <f>tbl_MTG_Set[[#This Row],[Collector Singles CardMarket Profit]]/tbl_MTG_Set[[#This Row],[Collector Booster Cost]]</f>
        <v/>
      </c>
      <c r="BO402" s="10">
        <f>tbl_MTG_Set[[#This Row],[Collector Singles CardMarket Profit]]&gt;0</f>
        <v/>
      </c>
      <c r="BP4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3">
      <c r="A403" t="n">
        <v>401</v>
      </c>
      <c r="B403" t="inlineStr">
        <is>
          <t>Commander 2020 C20</t>
        </is>
      </c>
      <c r="C403" t="n">
        <v>322</v>
      </c>
      <c r="D403" s="3" t="n">
        <v>43938</v>
      </c>
      <c r="F403" t="inlineStr">
        <is>
          <t>en es fr de it pt ja ko ru 汉语 漢語</t>
        </is>
      </c>
      <c r="G403" t="n">
        <v>748</v>
      </c>
      <c r="H403">
        <f>MONTH(NOW())+12*YEAR(NOW())-MONTH(tbl_MTG_Set[[#This Row],[Released On]])-12*YEAR(tbl_MTG_Set[[#This Row],[Released On]])</f>
        <v/>
      </c>
      <c r="I403">
        <f>_xlfn.XLOOKUP(tbl_MTG_Set[[#This Row],[Type Name]], tbl_MTG_Set_Type[Set Type], tbl_MTG_Set_Type[Index], "(Set Type not found)")</f>
        <v/>
      </c>
      <c r="J403">
        <f>_xlfn.XLOOKUP(tbl_MTG_Set[[#This Row],[Type Name]], tbl_MTG_Set_Type[Set Type], tbl_MTG_Set_Type[Buy Window Month Start], "(Set Type not found)")</f>
        <v/>
      </c>
      <c r="K403" s="3">
        <f>tbl_MTG_Set[[#This Row],[Released On]]+tbl_MTG_Set[[#This Row],[Buy Window Month Start]]*365.25/12</f>
        <v/>
      </c>
      <c r="L403">
        <f>_xlfn.XLOOKUP(tbl_MTG_Set[[#This Row],[Type Name]], tbl_MTG_Set_Type[Set Type], tbl_MTG_Set_Type[Buy Window Month End], "(Set Type not found)", 0, 1)</f>
        <v/>
      </c>
      <c r="M403" s="3">
        <f>tbl_MTG_Set[[#This Row],[Released On]]+tbl_MTG_Set[[#This Row],[Buy Window Month End]]*365.25/12</f>
        <v/>
      </c>
      <c r="N403" s="3">
        <f>AND(NOW()&gt;=tbl_MTG_Set[[#This Row],[Buy Window Start]], NOW()&lt;=tbl_MTG_Set[[#This Row],[Buy Window End]])</f>
        <v/>
      </c>
      <c r="O403">
        <f>_xlfn.XLOOKUP(tbl_MTG_Set[[#This Row],[Type Name]], tbl_MTG_Set_Type[Set Type], tbl_MTG_Set_Type[Heavy Printing Window Month Start], "(Set Type not found)", 0, 1)</f>
        <v/>
      </c>
      <c r="P403" s="3">
        <f>tbl_MTG_Set[[#This Row],[Released On]]+tbl_MTG_Set[[#This Row],[Heavy Printing Window Month Start]]*365.25/12</f>
        <v/>
      </c>
      <c r="Q403">
        <f>_xlfn.XLOOKUP(tbl_MTG_Set[[#This Row],[Type Name]], tbl_MTG_Set_Type[Set Type], tbl_MTG_Set_Type[Heavy Printing Window Month End], "(Set Type not found)", 0, 1)</f>
        <v/>
      </c>
      <c r="R403" s="3">
        <f>tbl_MTG_Set[[#This Row],[Released On]]+tbl_MTG_Set[[#This Row],[Heavy Printing Window Month End]]*365.25/12</f>
        <v/>
      </c>
      <c r="S403" s="3">
        <f>AND(NOW()&gt;=tbl_MTG_Set[[#This Row],[Heavy Printing Window Start]], NOW()&lt;=tbl_MTG_Set[[#This Row],[Heavy Printing Window End]])</f>
        <v/>
      </c>
      <c r="T403">
        <f>_xlfn.XLOOKUP(tbl_MTG_Set[[#This Row],[Type Name]], tbl_MTG_Set_Type[Set Type], tbl_MTG_Set_Type[Sell Window Month Start], "(Set Type not found)", 0, 1)</f>
        <v/>
      </c>
      <c r="U403" s="3">
        <f>tbl_MTG_Set[[#This Row],[Released On]]+tbl_MTG_Set[[#This Row],[Sell Window Month Start]]*365.25/12</f>
        <v/>
      </c>
      <c r="V403">
        <f>_xlfn.XLOOKUP(tbl_MTG_Set[[#This Row],[Type Name]], tbl_MTG_Set_Type[Set Type], tbl_MTG_Set_Type[Sell Window Month End], "(Set Type not found)", 0, 1)</f>
        <v/>
      </c>
      <c r="W403" s="3">
        <f>tbl_MTG_Set[[#This Row],[Released On]]+tbl_MTG_Set[[#This Row],[Sell Window Month End]]*365.25/12</f>
        <v/>
      </c>
      <c r="X403" s="3">
        <f>AND(NOW()&gt;=tbl_MTG_Set[[#This Row],[Sell Window Start]], NOW()&lt;=tbl_MTG_Set[[#This Row],[Sell Window End]])</f>
        <v/>
      </c>
      <c r="AG403" s="10" t="n"/>
      <c r="AH403" s="10" t="n"/>
      <c r="AM403" s="10">
        <f t="array" ref="AM4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3" s="10">
        <f t="array" ref="AN4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3" s="4">
        <f>_xlfn.XLOOKUP(tbl_MTG_Set[[#This Row],[Play Booster Box Product Id]], tbl_Product[Product Id], tbl_Product[Pack Size])</f>
        <v/>
      </c>
      <c r="AP403" s="10">
        <f>(tbl_MTG_Set[[#This Row],[Play Booster Box Cost]]+v_Item_Shipping_Cost_In)/tbl_MTG_Set[[#This Row],[Play Booster Box Size]]</f>
        <v/>
      </c>
      <c r="AQ403" s="10">
        <f t="array" ref="AQ4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3" s="10" t="n"/>
      <c r="AS403" s="10" t="n"/>
      <c r="AT403" s="17">
        <f>tbl_MTG_Set[[#This Row],[Play Booster CardMarket Profit]]/tbl_MTG_Set[[#This Row],[Play Booster Cost]]</f>
        <v/>
      </c>
      <c r="AU403" s="10">
        <f>_xlfn.XLOOKUP(tbl_MTG_Set[[#This Row],[Collector Booster Box Product Id]], tbl_Product[Product Id], tbl_Product[Min Cost])</f>
        <v/>
      </c>
      <c r="AV403" s="10">
        <f>_xlfn.XLOOKUP(tbl_MTG_Set[[#This Row],[Collector Booster Box Product Id]], tbl_Product[Product Id], tbl_Product[Best Source])</f>
        <v/>
      </c>
      <c r="AW403" s="4">
        <f>_xlfn.XLOOKUP(tbl_MTG_Set[[#This Row],[Collector Booster Box Product Id]], tbl_Product[Product Id], tbl_Product[Pack Size])</f>
        <v/>
      </c>
      <c r="AX403" s="10">
        <f>(tbl_MTG_Set[[#This Row],[Collector Booster Box Cost]] + v_Item_Shipping_Cost_In) / tbl_MTG_Set[[#This Row],[Collector Booster Box Size]]</f>
        <v/>
      </c>
      <c r="AY403" s="10">
        <f t="array" ref="AY4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3" s="10" t="n"/>
      <c r="BA4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3" s="17">
        <f>tbl_MTG_Set[[#This Row],[Collector Booster CardMarket Profit]]/tbl_MTG_Set[[#This Row],[Collector Booster Cost]]</f>
        <v/>
      </c>
      <c r="BC403" s="10" t="n"/>
      <c r="BF403" s="10">
        <f>tbl_MTG_Set[[#This Row],[Play Booster Sell Price CardMarket]]*tbl_MTG_Set[[#This Row],[Play Booster Expected Market Value]]/tbl_MTG_Set[[#This Row],[Play Boost Sealed Market Value]]</f>
        <v/>
      </c>
      <c r="BG4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3" s="10">
        <f>tbl_MTG_Set[[#This Row],[Play Singles CardMarket Profit]]/tbl_MTG_Set[[#This Row],[Play Booster Cost]]</f>
        <v/>
      </c>
      <c r="BI403" s="10">
        <f>tbl_MTG_Set[[#This Row],[Play Singles CardMarket Profit]]&gt;0</f>
        <v/>
      </c>
      <c r="BJ403" s="10" t="n"/>
      <c r="BK403" s="10" t="n"/>
      <c r="BL403" s="10">
        <f>tbl_MTG_Set[[#This Row],[Collector Booster Sell Price CardMarket]]*tbl_MTG_Set[[#This Row],[Collector Booster Expected Market Value]]/tbl_MTG_Set[[#This Row],[Collector Boost Sealed Market Value]]</f>
        <v/>
      </c>
      <c r="BM4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3" s="10">
        <f>tbl_MTG_Set[[#This Row],[Collector Singles CardMarket Profit]]/tbl_MTG_Set[[#This Row],[Collector Booster Cost]]</f>
        <v/>
      </c>
      <c r="BO403" s="10">
        <f>tbl_MTG_Set[[#This Row],[Collector Singles CardMarket Profit]]&gt;0</f>
        <v/>
      </c>
      <c r="BP4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4">
      <c r="A404" t="n">
        <v>402</v>
      </c>
      <c r="B404" t="inlineStr">
        <is>
          <t>Commander 2020 Tokens TC20</t>
        </is>
      </c>
      <c r="C404" t="n">
        <v>20</v>
      </c>
      <c r="D404" s="3" t="n">
        <v>43938</v>
      </c>
      <c r="F404" t="inlineStr">
        <is>
          <t>en es fr de it pt ja ko ru 汉语 漢語</t>
        </is>
      </c>
      <c r="G404" t="n">
        <v>750</v>
      </c>
      <c r="H404">
        <f>MONTH(NOW())+12*YEAR(NOW())-MONTH(tbl_MTG_Set[[#This Row],[Released On]])-12*YEAR(tbl_MTG_Set[[#This Row],[Released On]])</f>
        <v/>
      </c>
      <c r="I404">
        <f>_xlfn.XLOOKUP(tbl_MTG_Set[[#This Row],[Type Name]], tbl_MTG_Set_Type[Set Type], tbl_MTG_Set_Type[Index], "(Set Type not found)")</f>
        <v/>
      </c>
      <c r="J404">
        <f>_xlfn.XLOOKUP(tbl_MTG_Set[[#This Row],[Type Name]], tbl_MTG_Set_Type[Set Type], tbl_MTG_Set_Type[Buy Window Month Start], "(Set Type not found)")</f>
        <v/>
      </c>
      <c r="K404" s="3">
        <f>tbl_MTG_Set[[#This Row],[Released On]]+tbl_MTG_Set[[#This Row],[Buy Window Month Start]]*365.25/12</f>
        <v/>
      </c>
      <c r="L404">
        <f>_xlfn.XLOOKUP(tbl_MTG_Set[[#This Row],[Type Name]], tbl_MTG_Set_Type[Set Type], tbl_MTG_Set_Type[Buy Window Month End], "(Set Type not found)", 0, 1)</f>
        <v/>
      </c>
      <c r="M404" s="3">
        <f>tbl_MTG_Set[[#This Row],[Released On]]+tbl_MTG_Set[[#This Row],[Buy Window Month End]]*365.25/12</f>
        <v/>
      </c>
      <c r="N404" s="3">
        <f>AND(NOW()&gt;=tbl_MTG_Set[[#This Row],[Buy Window Start]], NOW()&lt;=tbl_MTG_Set[[#This Row],[Buy Window End]])</f>
        <v/>
      </c>
      <c r="O404">
        <f>_xlfn.XLOOKUP(tbl_MTG_Set[[#This Row],[Type Name]], tbl_MTG_Set_Type[Set Type], tbl_MTG_Set_Type[Heavy Printing Window Month Start], "(Set Type not found)", 0, 1)</f>
        <v/>
      </c>
      <c r="P404" s="3">
        <f>tbl_MTG_Set[[#This Row],[Released On]]+tbl_MTG_Set[[#This Row],[Heavy Printing Window Month Start]]*365.25/12</f>
        <v/>
      </c>
      <c r="Q404">
        <f>_xlfn.XLOOKUP(tbl_MTG_Set[[#This Row],[Type Name]], tbl_MTG_Set_Type[Set Type], tbl_MTG_Set_Type[Heavy Printing Window Month End], "(Set Type not found)", 0, 1)</f>
        <v/>
      </c>
      <c r="R404" s="3">
        <f>tbl_MTG_Set[[#This Row],[Released On]]+tbl_MTG_Set[[#This Row],[Heavy Printing Window Month End]]*365.25/12</f>
        <v/>
      </c>
      <c r="S404" s="3">
        <f>AND(NOW()&gt;=tbl_MTG_Set[[#This Row],[Heavy Printing Window Start]], NOW()&lt;=tbl_MTG_Set[[#This Row],[Heavy Printing Window End]])</f>
        <v/>
      </c>
      <c r="T404">
        <f>_xlfn.XLOOKUP(tbl_MTG_Set[[#This Row],[Type Name]], tbl_MTG_Set_Type[Set Type], tbl_MTG_Set_Type[Sell Window Month Start], "(Set Type not found)", 0, 1)</f>
        <v/>
      </c>
      <c r="U404" s="3">
        <f>tbl_MTG_Set[[#This Row],[Released On]]+tbl_MTG_Set[[#This Row],[Sell Window Month Start]]*365.25/12</f>
        <v/>
      </c>
      <c r="V404">
        <f>_xlfn.XLOOKUP(tbl_MTG_Set[[#This Row],[Type Name]], tbl_MTG_Set_Type[Set Type], tbl_MTG_Set_Type[Sell Window Month End], "(Set Type not found)", 0, 1)</f>
        <v/>
      </c>
      <c r="W404" s="3">
        <f>tbl_MTG_Set[[#This Row],[Released On]]+tbl_MTG_Set[[#This Row],[Sell Window Month End]]*365.25/12</f>
        <v/>
      </c>
      <c r="X404" s="3">
        <f>AND(NOW()&gt;=tbl_MTG_Set[[#This Row],[Sell Window Start]], NOW()&lt;=tbl_MTG_Set[[#This Row],[Sell Window End]])</f>
        <v/>
      </c>
      <c r="AG404" s="10" t="n"/>
      <c r="AH404" s="10" t="n"/>
      <c r="AM404" s="10">
        <f t="array" ref="AM4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4" s="10">
        <f t="array" ref="AN4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4" s="4">
        <f>_xlfn.XLOOKUP(tbl_MTG_Set[[#This Row],[Play Booster Box Product Id]], tbl_Product[Product Id], tbl_Product[Pack Size])</f>
        <v/>
      </c>
      <c r="AP404" s="10">
        <f>(tbl_MTG_Set[[#This Row],[Play Booster Box Cost]]+v_Item_Shipping_Cost_In)/tbl_MTG_Set[[#This Row],[Play Booster Box Size]]</f>
        <v/>
      </c>
      <c r="AQ404" s="10">
        <f t="array" ref="AQ4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4" s="10" t="n"/>
      <c r="AS404" s="10" t="n"/>
      <c r="AT404" s="17">
        <f>tbl_MTG_Set[[#This Row],[Play Booster CardMarket Profit]]/tbl_MTG_Set[[#This Row],[Play Booster Cost]]</f>
        <v/>
      </c>
      <c r="AU404" s="10">
        <f>_xlfn.XLOOKUP(tbl_MTG_Set[[#This Row],[Collector Booster Box Product Id]], tbl_Product[Product Id], tbl_Product[Min Cost])</f>
        <v/>
      </c>
      <c r="AV404" s="10">
        <f>_xlfn.XLOOKUP(tbl_MTG_Set[[#This Row],[Collector Booster Box Product Id]], tbl_Product[Product Id], tbl_Product[Best Source])</f>
        <v/>
      </c>
      <c r="AW404" s="4">
        <f>_xlfn.XLOOKUP(tbl_MTG_Set[[#This Row],[Collector Booster Box Product Id]], tbl_Product[Product Id], tbl_Product[Pack Size])</f>
        <v/>
      </c>
      <c r="AX404" s="10">
        <f>(tbl_MTG_Set[[#This Row],[Collector Booster Box Cost]] + v_Item_Shipping_Cost_In) / tbl_MTG_Set[[#This Row],[Collector Booster Box Size]]</f>
        <v/>
      </c>
      <c r="AY404" s="10">
        <f t="array" ref="AY4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4" s="10" t="n"/>
      <c r="BA4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4" s="17">
        <f>tbl_MTG_Set[[#This Row],[Collector Booster CardMarket Profit]]/tbl_MTG_Set[[#This Row],[Collector Booster Cost]]</f>
        <v/>
      </c>
      <c r="BC404" s="10" t="n"/>
      <c r="BF404" s="10">
        <f>tbl_MTG_Set[[#This Row],[Play Booster Sell Price CardMarket]]*tbl_MTG_Set[[#This Row],[Play Booster Expected Market Value]]/tbl_MTG_Set[[#This Row],[Play Boost Sealed Market Value]]</f>
        <v/>
      </c>
      <c r="BG4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4" s="10">
        <f>tbl_MTG_Set[[#This Row],[Play Singles CardMarket Profit]]/tbl_MTG_Set[[#This Row],[Play Booster Cost]]</f>
        <v/>
      </c>
      <c r="BI404" s="10">
        <f>tbl_MTG_Set[[#This Row],[Play Singles CardMarket Profit]]&gt;0</f>
        <v/>
      </c>
      <c r="BJ404" s="10" t="n"/>
      <c r="BK404" s="10" t="n"/>
      <c r="BL404" s="10">
        <f>tbl_MTG_Set[[#This Row],[Collector Booster Sell Price CardMarket]]*tbl_MTG_Set[[#This Row],[Collector Booster Expected Market Value]]/tbl_MTG_Set[[#This Row],[Collector Boost Sealed Market Value]]</f>
        <v/>
      </c>
      <c r="BM4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4" s="10">
        <f>tbl_MTG_Set[[#This Row],[Collector Singles CardMarket Profit]]/tbl_MTG_Set[[#This Row],[Collector Booster Cost]]</f>
        <v/>
      </c>
      <c r="BO404" s="10">
        <f>tbl_MTG_Set[[#This Row],[Collector Singles CardMarket Profit]]&gt;0</f>
        <v/>
      </c>
      <c r="BP4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5">
      <c r="A405" t="n">
        <v>403</v>
      </c>
      <c r="B405" t="inlineStr">
        <is>
          <t>Commander 2020 Oversized OC20</t>
        </is>
      </c>
      <c r="C405" t="n">
        <v>5</v>
      </c>
      <c r="D405" s="3" t="n">
        <v>43938</v>
      </c>
      <c r="F405" t="inlineStr">
        <is>
          <t>en es fr de it pt ja ko ru 汉语 漢語</t>
        </is>
      </c>
      <c r="G405" t="n">
        <v>752</v>
      </c>
      <c r="H405">
        <f>MONTH(NOW())+12*YEAR(NOW())-MONTH(tbl_MTG_Set[[#This Row],[Released On]])-12*YEAR(tbl_MTG_Set[[#This Row],[Released On]])</f>
        <v/>
      </c>
      <c r="I405">
        <f>_xlfn.XLOOKUP(tbl_MTG_Set[[#This Row],[Type Name]], tbl_MTG_Set_Type[Set Type], tbl_MTG_Set_Type[Index], "(Set Type not found)")</f>
        <v/>
      </c>
      <c r="J405">
        <f>_xlfn.XLOOKUP(tbl_MTG_Set[[#This Row],[Type Name]], tbl_MTG_Set_Type[Set Type], tbl_MTG_Set_Type[Buy Window Month Start], "(Set Type not found)")</f>
        <v/>
      </c>
      <c r="K405" s="3">
        <f>tbl_MTG_Set[[#This Row],[Released On]]+tbl_MTG_Set[[#This Row],[Buy Window Month Start]]*365.25/12</f>
        <v/>
      </c>
      <c r="L405">
        <f>_xlfn.XLOOKUP(tbl_MTG_Set[[#This Row],[Type Name]], tbl_MTG_Set_Type[Set Type], tbl_MTG_Set_Type[Buy Window Month End], "(Set Type not found)", 0, 1)</f>
        <v/>
      </c>
      <c r="M405" s="3">
        <f>tbl_MTG_Set[[#This Row],[Released On]]+tbl_MTG_Set[[#This Row],[Buy Window Month End]]*365.25/12</f>
        <v/>
      </c>
      <c r="N405" s="3">
        <f>AND(NOW()&gt;=tbl_MTG_Set[[#This Row],[Buy Window Start]], NOW()&lt;=tbl_MTG_Set[[#This Row],[Buy Window End]])</f>
        <v/>
      </c>
      <c r="O405">
        <f>_xlfn.XLOOKUP(tbl_MTG_Set[[#This Row],[Type Name]], tbl_MTG_Set_Type[Set Type], tbl_MTG_Set_Type[Heavy Printing Window Month Start], "(Set Type not found)", 0, 1)</f>
        <v/>
      </c>
      <c r="P405" s="3">
        <f>tbl_MTG_Set[[#This Row],[Released On]]+tbl_MTG_Set[[#This Row],[Heavy Printing Window Month Start]]*365.25/12</f>
        <v/>
      </c>
      <c r="Q405">
        <f>_xlfn.XLOOKUP(tbl_MTG_Set[[#This Row],[Type Name]], tbl_MTG_Set_Type[Set Type], tbl_MTG_Set_Type[Heavy Printing Window Month End], "(Set Type not found)", 0, 1)</f>
        <v/>
      </c>
      <c r="R405" s="3">
        <f>tbl_MTG_Set[[#This Row],[Released On]]+tbl_MTG_Set[[#This Row],[Heavy Printing Window Month End]]*365.25/12</f>
        <v/>
      </c>
      <c r="S405" s="3">
        <f>AND(NOW()&gt;=tbl_MTG_Set[[#This Row],[Heavy Printing Window Start]], NOW()&lt;=tbl_MTG_Set[[#This Row],[Heavy Printing Window End]])</f>
        <v/>
      </c>
      <c r="T405">
        <f>_xlfn.XLOOKUP(tbl_MTG_Set[[#This Row],[Type Name]], tbl_MTG_Set_Type[Set Type], tbl_MTG_Set_Type[Sell Window Month Start], "(Set Type not found)", 0, 1)</f>
        <v/>
      </c>
      <c r="U405" s="3">
        <f>tbl_MTG_Set[[#This Row],[Released On]]+tbl_MTG_Set[[#This Row],[Sell Window Month Start]]*365.25/12</f>
        <v/>
      </c>
      <c r="V405">
        <f>_xlfn.XLOOKUP(tbl_MTG_Set[[#This Row],[Type Name]], tbl_MTG_Set_Type[Set Type], tbl_MTG_Set_Type[Sell Window Month End], "(Set Type not found)", 0, 1)</f>
        <v/>
      </c>
      <c r="W405" s="3">
        <f>tbl_MTG_Set[[#This Row],[Released On]]+tbl_MTG_Set[[#This Row],[Sell Window Month End]]*365.25/12</f>
        <v/>
      </c>
      <c r="X405" s="3">
        <f>AND(NOW()&gt;=tbl_MTG_Set[[#This Row],[Sell Window Start]], NOW()&lt;=tbl_MTG_Set[[#This Row],[Sell Window End]])</f>
        <v/>
      </c>
      <c r="AG405" s="10" t="n"/>
      <c r="AH405" s="10" t="n"/>
      <c r="AM405" s="10">
        <f t="array" ref="AM4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5" s="10">
        <f t="array" ref="AN4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5" s="4">
        <f>_xlfn.XLOOKUP(tbl_MTG_Set[[#This Row],[Play Booster Box Product Id]], tbl_Product[Product Id], tbl_Product[Pack Size])</f>
        <v/>
      </c>
      <c r="AP405" s="10">
        <f>(tbl_MTG_Set[[#This Row],[Play Booster Box Cost]]+v_Item_Shipping_Cost_In)/tbl_MTG_Set[[#This Row],[Play Booster Box Size]]</f>
        <v/>
      </c>
      <c r="AQ405" s="10">
        <f t="array" ref="AQ4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5" s="10" t="n"/>
      <c r="AS405" s="10" t="n"/>
      <c r="AT405" s="17">
        <f>tbl_MTG_Set[[#This Row],[Play Booster CardMarket Profit]]/tbl_MTG_Set[[#This Row],[Play Booster Cost]]</f>
        <v/>
      </c>
      <c r="AU405" s="10">
        <f>_xlfn.XLOOKUP(tbl_MTG_Set[[#This Row],[Collector Booster Box Product Id]], tbl_Product[Product Id], tbl_Product[Min Cost])</f>
        <v/>
      </c>
      <c r="AV405" s="10">
        <f>_xlfn.XLOOKUP(tbl_MTG_Set[[#This Row],[Collector Booster Box Product Id]], tbl_Product[Product Id], tbl_Product[Best Source])</f>
        <v/>
      </c>
      <c r="AW405" s="4">
        <f>_xlfn.XLOOKUP(tbl_MTG_Set[[#This Row],[Collector Booster Box Product Id]], tbl_Product[Product Id], tbl_Product[Pack Size])</f>
        <v/>
      </c>
      <c r="AX405" s="10">
        <f>(tbl_MTG_Set[[#This Row],[Collector Booster Box Cost]] + v_Item_Shipping_Cost_In) / tbl_MTG_Set[[#This Row],[Collector Booster Box Size]]</f>
        <v/>
      </c>
      <c r="AY405" s="10">
        <f t="array" ref="AY4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5" s="10" t="n"/>
      <c r="BA4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5" s="17">
        <f>tbl_MTG_Set[[#This Row],[Collector Booster CardMarket Profit]]/tbl_MTG_Set[[#This Row],[Collector Booster Cost]]</f>
        <v/>
      </c>
      <c r="BC405" s="10" t="n"/>
      <c r="BF405" s="10">
        <f>tbl_MTG_Set[[#This Row],[Play Booster Sell Price CardMarket]]*tbl_MTG_Set[[#This Row],[Play Booster Expected Market Value]]/tbl_MTG_Set[[#This Row],[Play Boost Sealed Market Value]]</f>
        <v/>
      </c>
      <c r="BG4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5" s="10">
        <f>tbl_MTG_Set[[#This Row],[Play Singles CardMarket Profit]]/tbl_MTG_Set[[#This Row],[Play Booster Cost]]</f>
        <v/>
      </c>
      <c r="BI405" s="10">
        <f>tbl_MTG_Set[[#This Row],[Play Singles CardMarket Profit]]&gt;0</f>
        <v/>
      </c>
      <c r="BJ405" s="10" t="n"/>
      <c r="BK405" s="10" t="n"/>
      <c r="BL405" s="10">
        <f>tbl_MTG_Set[[#This Row],[Collector Booster Sell Price CardMarket]]*tbl_MTG_Set[[#This Row],[Collector Booster Expected Market Value]]/tbl_MTG_Set[[#This Row],[Collector Boost Sealed Market Value]]</f>
        <v/>
      </c>
      <c r="BM4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5" s="10">
        <f>tbl_MTG_Set[[#This Row],[Collector Singles CardMarket Profit]]/tbl_MTG_Set[[#This Row],[Collector Booster Cost]]</f>
        <v/>
      </c>
      <c r="BO405" s="10">
        <f>tbl_MTG_Set[[#This Row],[Collector Singles CardMarket Profit]]&gt;0</f>
        <v/>
      </c>
      <c r="BP4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6">
      <c r="A406" t="n">
        <v>404</v>
      </c>
      <c r="B406" t="inlineStr">
        <is>
          <t>Historic Anthology 2 HA2</t>
        </is>
      </c>
      <c r="C406" t="n">
        <v>25</v>
      </c>
      <c r="D406" s="3" t="n">
        <v>43902</v>
      </c>
      <c r="F406" t="inlineStr">
        <is>
          <t>en es fr de it pt ja ko ru 汉语 漢語</t>
        </is>
      </c>
      <c r="G406" t="n">
        <v>754</v>
      </c>
      <c r="H406">
        <f>MONTH(NOW())+12*YEAR(NOW())-MONTH(tbl_MTG_Set[[#This Row],[Released On]])-12*YEAR(tbl_MTG_Set[[#This Row],[Released On]])</f>
        <v/>
      </c>
      <c r="I406">
        <f>_xlfn.XLOOKUP(tbl_MTG_Set[[#This Row],[Type Name]], tbl_MTG_Set_Type[Set Type], tbl_MTG_Set_Type[Index], "(Set Type not found)")</f>
        <v/>
      </c>
      <c r="J406">
        <f>_xlfn.XLOOKUP(tbl_MTG_Set[[#This Row],[Type Name]], tbl_MTG_Set_Type[Set Type], tbl_MTG_Set_Type[Buy Window Month Start], "(Set Type not found)")</f>
        <v/>
      </c>
      <c r="K406" s="3">
        <f>tbl_MTG_Set[[#This Row],[Released On]]+tbl_MTG_Set[[#This Row],[Buy Window Month Start]]*365.25/12</f>
        <v/>
      </c>
      <c r="L406">
        <f>_xlfn.XLOOKUP(tbl_MTG_Set[[#This Row],[Type Name]], tbl_MTG_Set_Type[Set Type], tbl_MTG_Set_Type[Buy Window Month End], "(Set Type not found)", 0, 1)</f>
        <v/>
      </c>
      <c r="M406" s="3">
        <f>tbl_MTG_Set[[#This Row],[Released On]]+tbl_MTG_Set[[#This Row],[Buy Window Month End]]*365.25/12</f>
        <v/>
      </c>
      <c r="N406" s="3">
        <f>AND(NOW()&gt;=tbl_MTG_Set[[#This Row],[Buy Window Start]], NOW()&lt;=tbl_MTG_Set[[#This Row],[Buy Window End]])</f>
        <v/>
      </c>
      <c r="O406">
        <f>_xlfn.XLOOKUP(tbl_MTG_Set[[#This Row],[Type Name]], tbl_MTG_Set_Type[Set Type], tbl_MTG_Set_Type[Heavy Printing Window Month Start], "(Set Type not found)", 0, 1)</f>
        <v/>
      </c>
      <c r="P406" s="3">
        <f>tbl_MTG_Set[[#This Row],[Released On]]+tbl_MTG_Set[[#This Row],[Heavy Printing Window Month Start]]*365.25/12</f>
        <v/>
      </c>
      <c r="Q406">
        <f>_xlfn.XLOOKUP(tbl_MTG_Set[[#This Row],[Type Name]], tbl_MTG_Set_Type[Set Type], tbl_MTG_Set_Type[Heavy Printing Window Month End], "(Set Type not found)", 0, 1)</f>
        <v/>
      </c>
      <c r="R406" s="3">
        <f>tbl_MTG_Set[[#This Row],[Released On]]+tbl_MTG_Set[[#This Row],[Heavy Printing Window Month End]]*365.25/12</f>
        <v/>
      </c>
      <c r="S406" s="3">
        <f>AND(NOW()&gt;=tbl_MTG_Set[[#This Row],[Heavy Printing Window Start]], NOW()&lt;=tbl_MTG_Set[[#This Row],[Heavy Printing Window End]])</f>
        <v/>
      </c>
      <c r="T406">
        <f>_xlfn.XLOOKUP(tbl_MTG_Set[[#This Row],[Type Name]], tbl_MTG_Set_Type[Set Type], tbl_MTG_Set_Type[Sell Window Month Start], "(Set Type not found)", 0, 1)</f>
        <v/>
      </c>
      <c r="U406" s="3">
        <f>tbl_MTG_Set[[#This Row],[Released On]]+tbl_MTG_Set[[#This Row],[Sell Window Month Start]]*365.25/12</f>
        <v/>
      </c>
      <c r="V406">
        <f>_xlfn.XLOOKUP(tbl_MTG_Set[[#This Row],[Type Name]], tbl_MTG_Set_Type[Set Type], tbl_MTG_Set_Type[Sell Window Month End], "(Set Type not found)", 0, 1)</f>
        <v/>
      </c>
      <c r="W406" s="3">
        <f>tbl_MTG_Set[[#This Row],[Released On]]+tbl_MTG_Set[[#This Row],[Sell Window Month End]]*365.25/12</f>
        <v/>
      </c>
      <c r="X406" s="3">
        <f>AND(NOW()&gt;=tbl_MTG_Set[[#This Row],[Sell Window Start]], NOW()&lt;=tbl_MTG_Set[[#This Row],[Sell Window End]])</f>
        <v/>
      </c>
      <c r="AG406" s="10" t="n"/>
      <c r="AH406" s="10" t="n"/>
      <c r="AM406" s="10">
        <f t="array" ref="AM4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6" s="10">
        <f t="array" ref="AN4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6" s="4">
        <f>_xlfn.XLOOKUP(tbl_MTG_Set[[#This Row],[Play Booster Box Product Id]], tbl_Product[Product Id], tbl_Product[Pack Size])</f>
        <v/>
      </c>
      <c r="AP406" s="10">
        <f>(tbl_MTG_Set[[#This Row],[Play Booster Box Cost]]+v_Item_Shipping_Cost_In)/tbl_MTG_Set[[#This Row],[Play Booster Box Size]]</f>
        <v/>
      </c>
      <c r="AQ406" s="10">
        <f t="array" ref="AQ4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6" s="10" t="n"/>
      <c r="AS406" s="10" t="n"/>
      <c r="AT406" s="17">
        <f>tbl_MTG_Set[[#This Row],[Play Booster CardMarket Profit]]/tbl_MTG_Set[[#This Row],[Play Booster Cost]]</f>
        <v/>
      </c>
      <c r="AU406" s="10">
        <f>_xlfn.XLOOKUP(tbl_MTG_Set[[#This Row],[Collector Booster Box Product Id]], tbl_Product[Product Id], tbl_Product[Min Cost])</f>
        <v/>
      </c>
      <c r="AV406" s="10">
        <f>_xlfn.XLOOKUP(tbl_MTG_Set[[#This Row],[Collector Booster Box Product Id]], tbl_Product[Product Id], tbl_Product[Best Source])</f>
        <v/>
      </c>
      <c r="AW406" s="4">
        <f>_xlfn.XLOOKUP(tbl_MTG_Set[[#This Row],[Collector Booster Box Product Id]], tbl_Product[Product Id], tbl_Product[Pack Size])</f>
        <v/>
      </c>
      <c r="AX406" s="10">
        <f>(tbl_MTG_Set[[#This Row],[Collector Booster Box Cost]] + v_Item_Shipping_Cost_In) / tbl_MTG_Set[[#This Row],[Collector Booster Box Size]]</f>
        <v/>
      </c>
      <c r="AY406" s="10">
        <f t="array" ref="AY4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6" s="10" t="n"/>
      <c r="BA4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6" s="17">
        <f>tbl_MTG_Set[[#This Row],[Collector Booster CardMarket Profit]]/tbl_MTG_Set[[#This Row],[Collector Booster Cost]]</f>
        <v/>
      </c>
      <c r="BC406" s="10" t="n"/>
      <c r="BF406" s="10">
        <f>tbl_MTG_Set[[#This Row],[Play Booster Sell Price CardMarket]]*tbl_MTG_Set[[#This Row],[Play Booster Expected Market Value]]/tbl_MTG_Set[[#This Row],[Play Boost Sealed Market Value]]</f>
        <v/>
      </c>
      <c r="BG4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6" s="10">
        <f>tbl_MTG_Set[[#This Row],[Play Singles CardMarket Profit]]/tbl_MTG_Set[[#This Row],[Play Booster Cost]]</f>
        <v/>
      </c>
      <c r="BI406" s="10">
        <f>tbl_MTG_Set[[#This Row],[Play Singles CardMarket Profit]]&gt;0</f>
        <v/>
      </c>
      <c r="BJ406" s="10" t="n"/>
      <c r="BK406" s="10" t="n"/>
      <c r="BL406" s="10">
        <f>tbl_MTG_Set[[#This Row],[Collector Booster Sell Price CardMarket]]*tbl_MTG_Set[[#This Row],[Collector Booster Expected Market Value]]/tbl_MTG_Set[[#This Row],[Collector Boost Sealed Market Value]]</f>
        <v/>
      </c>
      <c r="BM4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6" s="10">
        <f>tbl_MTG_Set[[#This Row],[Collector Singles CardMarket Profit]]/tbl_MTG_Set[[#This Row],[Collector Booster Cost]]</f>
        <v/>
      </c>
      <c r="BO406" s="10">
        <f>tbl_MTG_Set[[#This Row],[Collector Singles CardMarket Profit]]&gt;0</f>
        <v/>
      </c>
      <c r="BP4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7">
      <c r="A407" t="n">
        <v>405</v>
      </c>
      <c r="B407" t="inlineStr">
        <is>
          <t>Unsanctioned UND</t>
        </is>
      </c>
      <c r="C407" t="n">
        <v>96</v>
      </c>
      <c r="D407" s="3" t="n">
        <v>43890</v>
      </c>
      <c r="F407" t="inlineStr">
        <is>
          <t>en es fr de it pt ja ko ru 汉语 漢語</t>
        </is>
      </c>
      <c r="G407" t="n">
        <v>756</v>
      </c>
      <c r="H407">
        <f>MONTH(NOW())+12*YEAR(NOW())-MONTH(tbl_MTG_Set[[#This Row],[Released On]])-12*YEAR(tbl_MTG_Set[[#This Row],[Released On]])</f>
        <v/>
      </c>
      <c r="I407">
        <f>_xlfn.XLOOKUP(tbl_MTG_Set[[#This Row],[Type Name]], tbl_MTG_Set_Type[Set Type], tbl_MTG_Set_Type[Index], "(Set Type not found)")</f>
        <v/>
      </c>
      <c r="J407">
        <f>_xlfn.XLOOKUP(tbl_MTG_Set[[#This Row],[Type Name]], tbl_MTG_Set_Type[Set Type], tbl_MTG_Set_Type[Buy Window Month Start], "(Set Type not found)")</f>
        <v/>
      </c>
      <c r="K407" s="3">
        <f>tbl_MTG_Set[[#This Row],[Released On]]+tbl_MTG_Set[[#This Row],[Buy Window Month Start]]*365.25/12</f>
        <v/>
      </c>
      <c r="L407">
        <f>_xlfn.XLOOKUP(tbl_MTG_Set[[#This Row],[Type Name]], tbl_MTG_Set_Type[Set Type], tbl_MTG_Set_Type[Buy Window Month End], "(Set Type not found)", 0, 1)</f>
        <v/>
      </c>
      <c r="M407" s="3">
        <f>tbl_MTG_Set[[#This Row],[Released On]]+tbl_MTG_Set[[#This Row],[Buy Window Month End]]*365.25/12</f>
        <v/>
      </c>
      <c r="N407" s="3">
        <f>AND(NOW()&gt;=tbl_MTG_Set[[#This Row],[Buy Window Start]], NOW()&lt;=tbl_MTG_Set[[#This Row],[Buy Window End]])</f>
        <v/>
      </c>
      <c r="O407">
        <f>_xlfn.XLOOKUP(tbl_MTG_Set[[#This Row],[Type Name]], tbl_MTG_Set_Type[Set Type], tbl_MTG_Set_Type[Heavy Printing Window Month Start], "(Set Type not found)", 0, 1)</f>
        <v/>
      </c>
      <c r="P407" s="3">
        <f>tbl_MTG_Set[[#This Row],[Released On]]+tbl_MTG_Set[[#This Row],[Heavy Printing Window Month Start]]*365.25/12</f>
        <v/>
      </c>
      <c r="Q407">
        <f>_xlfn.XLOOKUP(tbl_MTG_Set[[#This Row],[Type Name]], tbl_MTG_Set_Type[Set Type], tbl_MTG_Set_Type[Heavy Printing Window Month End], "(Set Type not found)", 0, 1)</f>
        <v/>
      </c>
      <c r="R407" s="3">
        <f>tbl_MTG_Set[[#This Row],[Released On]]+tbl_MTG_Set[[#This Row],[Heavy Printing Window Month End]]*365.25/12</f>
        <v/>
      </c>
      <c r="S407" s="3">
        <f>AND(NOW()&gt;=tbl_MTG_Set[[#This Row],[Heavy Printing Window Start]], NOW()&lt;=tbl_MTG_Set[[#This Row],[Heavy Printing Window End]])</f>
        <v/>
      </c>
      <c r="T407">
        <f>_xlfn.XLOOKUP(tbl_MTG_Set[[#This Row],[Type Name]], tbl_MTG_Set_Type[Set Type], tbl_MTG_Set_Type[Sell Window Month Start], "(Set Type not found)", 0, 1)</f>
        <v/>
      </c>
      <c r="U407" s="3">
        <f>tbl_MTG_Set[[#This Row],[Released On]]+tbl_MTG_Set[[#This Row],[Sell Window Month Start]]*365.25/12</f>
        <v/>
      </c>
      <c r="V407">
        <f>_xlfn.XLOOKUP(tbl_MTG_Set[[#This Row],[Type Name]], tbl_MTG_Set_Type[Set Type], tbl_MTG_Set_Type[Sell Window Month End], "(Set Type not found)", 0, 1)</f>
        <v/>
      </c>
      <c r="W407" s="3">
        <f>tbl_MTG_Set[[#This Row],[Released On]]+tbl_MTG_Set[[#This Row],[Sell Window Month End]]*365.25/12</f>
        <v/>
      </c>
      <c r="X407" s="3">
        <f>AND(NOW()&gt;=tbl_MTG_Set[[#This Row],[Sell Window Start]], NOW()&lt;=tbl_MTG_Set[[#This Row],[Sell Window End]])</f>
        <v/>
      </c>
      <c r="AG407" s="10" t="n"/>
      <c r="AH407" s="10" t="n"/>
      <c r="AM407" s="10">
        <f t="array" ref="AM4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7" s="10">
        <f t="array" ref="AN4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7" s="4">
        <f>_xlfn.XLOOKUP(tbl_MTG_Set[[#This Row],[Play Booster Box Product Id]], tbl_Product[Product Id], tbl_Product[Pack Size])</f>
        <v/>
      </c>
      <c r="AP407" s="10">
        <f>(tbl_MTG_Set[[#This Row],[Play Booster Box Cost]]+v_Item_Shipping_Cost_In)/tbl_MTG_Set[[#This Row],[Play Booster Box Size]]</f>
        <v/>
      </c>
      <c r="AQ407" s="10">
        <f t="array" ref="AQ4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7" s="10" t="n"/>
      <c r="AS407" s="10" t="n"/>
      <c r="AT407" s="17">
        <f>tbl_MTG_Set[[#This Row],[Play Booster CardMarket Profit]]/tbl_MTG_Set[[#This Row],[Play Booster Cost]]</f>
        <v/>
      </c>
      <c r="AU407" s="10">
        <f>_xlfn.XLOOKUP(tbl_MTG_Set[[#This Row],[Collector Booster Box Product Id]], tbl_Product[Product Id], tbl_Product[Min Cost])</f>
        <v/>
      </c>
      <c r="AV407" s="10">
        <f>_xlfn.XLOOKUP(tbl_MTG_Set[[#This Row],[Collector Booster Box Product Id]], tbl_Product[Product Id], tbl_Product[Best Source])</f>
        <v/>
      </c>
      <c r="AW407" s="4">
        <f>_xlfn.XLOOKUP(tbl_MTG_Set[[#This Row],[Collector Booster Box Product Id]], tbl_Product[Product Id], tbl_Product[Pack Size])</f>
        <v/>
      </c>
      <c r="AX407" s="10">
        <f>(tbl_MTG_Set[[#This Row],[Collector Booster Box Cost]] + v_Item_Shipping_Cost_In) / tbl_MTG_Set[[#This Row],[Collector Booster Box Size]]</f>
        <v/>
      </c>
      <c r="AY407" s="10">
        <f t="array" ref="AY4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7" s="10" t="n"/>
      <c r="BA4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7" s="17">
        <f>tbl_MTG_Set[[#This Row],[Collector Booster CardMarket Profit]]/tbl_MTG_Set[[#This Row],[Collector Booster Cost]]</f>
        <v/>
      </c>
      <c r="BC407" s="10" t="n"/>
      <c r="BF407" s="10">
        <f>tbl_MTG_Set[[#This Row],[Play Booster Sell Price CardMarket]]*tbl_MTG_Set[[#This Row],[Play Booster Expected Market Value]]/tbl_MTG_Set[[#This Row],[Play Boost Sealed Market Value]]</f>
        <v/>
      </c>
      <c r="BG4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7" s="10">
        <f>tbl_MTG_Set[[#This Row],[Play Singles CardMarket Profit]]/tbl_MTG_Set[[#This Row],[Play Booster Cost]]</f>
        <v/>
      </c>
      <c r="BI407" s="10">
        <f>tbl_MTG_Set[[#This Row],[Play Singles CardMarket Profit]]&gt;0</f>
        <v/>
      </c>
      <c r="BJ407" s="10" t="n"/>
      <c r="BK407" s="10" t="n"/>
      <c r="BL407" s="10">
        <f>tbl_MTG_Set[[#This Row],[Collector Booster Sell Price CardMarket]]*tbl_MTG_Set[[#This Row],[Collector Booster Expected Market Value]]/tbl_MTG_Set[[#This Row],[Collector Boost Sealed Market Value]]</f>
        <v/>
      </c>
      <c r="BM4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7" s="10">
        <f>tbl_MTG_Set[[#This Row],[Collector Singles CardMarket Profit]]/tbl_MTG_Set[[#This Row],[Collector Booster Cost]]</f>
        <v/>
      </c>
      <c r="BO407" s="10">
        <f>tbl_MTG_Set[[#This Row],[Collector Singles CardMarket Profit]]&gt;0</f>
        <v/>
      </c>
      <c r="BP4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8">
      <c r="A408" t="n">
        <v>406</v>
      </c>
      <c r="B408" t="inlineStr">
        <is>
          <t>Unsanctioned Tokens TUND</t>
        </is>
      </c>
      <c r="C408" t="n">
        <v>6</v>
      </c>
      <c r="D408" s="3" t="n">
        <v>43890</v>
      </c>
      <c r="F408" t="inlineStr">
        <is>
          <t>en es fr de it pt ja ko ru 汉语 漢語</t>
        </is>
      </c>
      <c r="G408" t="n">
        <v>758</v>
      </c>
      <c r="H408">
        <f>MONTH(NOW())+12*YEAR(NOW())-MONTH(tbl_MTG_Set[[#This Row],[Released On]])-12*YEAR(tbl_MTG_Set[[#This Row],[Released On]])</f>
        <v/>
      </c>
      <c r="I408">
        <f>_xlfn.XLOOKUP(tbl_MTG_Set[[#This Row],[Type Name]], tbl_MTG_Set_Type[Set Type], tbl_MTG_Set_Type[Index], "(Set Type not found)")</f>
        <v/>
      </c>
      <c r="J408">
        <f>_xlfn.XLOOKUP(tbl_MTG_Set[[#This Row],[Type Name]], tbl_MTG_Set_Type[Set Type], tbl_MTG_Set_Type[Buy Window Month Start], "(Set Type not found)")</f>
        <v/>
      </c>
      <c r="K408" s="3">
        <f>tbl_MTG_Set[[#This Row],[Released On]]+tbl_MTG_Set[[#This Row],[Buy Window Month Start]]*365.25/12</f>
        <v/>
      </c>
      <c r="L408">
        <f>_xlfn.XLOOKUP(tbl_MTG_Set[[#This Row],[Type Name]], tbl_MTG_Set_Type[Set Type], tbl_MTG_Set_Type[Buy Window Month End], "(Set Type not found)", 0, 1)</f>
        <v/>
      </c>
      <c r="M408" s="3">
        <f>tbl_MTG_Set[[#This Row],[Released On]]+tbl_MTG_Set[[#This Row],[Buy Window Month End]]*365.25/12</f>
        <v/>
      </c>
      <c r="N408" s="3">
        <f>AND(NOW()&gt;=tbl_MTG_Set[[#This Row],[Buy Window Start]], NOW()&lt;=tbl_MTG_Set[[#This Row],[Buy Window End]])</f>
        <v/>
      </c>
      <c r="O408">
        <f>_xlfn.XLOOKUP(tbl_MTG_Set[[#This Row],[Type Name]], tbl_MTG_Set_Type[Set Type], tbl_MTG_Set_Type[Heavy Printing Window Month Start], "(Set Type not found)", 0, 1)</f>
        <v/>
      </c>
      <c r="P408" s="3">
        <f>tbl_MTG_Set[[#This Row],[Released On]]+tbl_MTG_Set[[#This Row],[Heavy Printing Window Month Start]]*365.25/12</f>
        <v/>
      </c>
      <c r="Q408">
        <f>_xlfn.XLOOKUP(tbl_MTG_Set[[#This Row],[Type Name]], tbl_MTG_Set_Type[Set Type], tbl_MTG_Set_Type[Heavy Printing Window Month End], "(Set Type not found)", 0, 1)</f>
        <v/>
      </c>
      <c r="R408" s="3">
        <f>tbl_MTG_Set[[#This Row],[Released On]]+tbl_MTG_Set[[#This Row],[Heavy Printing Window Month End]]*365.25/12</f>
        <v/>
      </c>
      <c r="S408" s="3">
        <f>AND(NOW()&gt;=tbl_MTG_Set[[#This Row],[Heavy Printing Window Start]], NOW()&lt;=tbl_MTG_Set[[#This Row],[Heavy Printing Window End]])</f>
        <v/>
      </c>
      <c r="T408">
        <f>_xlfn.XLOOKUP(tbl_MTG_Set[[#This Row],[Type Name]], tbl_MTG_Set_Type[Set Type], tbl_MTG_Set_Type[Sell Window Month Start], "(Set Type not found)", 0, 1)</f>
        <v/>
      </c>
      <c r="U408" s="3">
        <f>tbl_MTG_Set[[#This Row],[Released On]]+tbl_MTG_Set[[#This Row],[Sell Window Month Start]]*365.25/12</f>
        <v/>
      </c>
      <c r="V408">
        <f>_xlfn.XLOOKUP(tbl_MTG_Set[[#This Row],[Type Name]], tbl_MTG_Set_Type[Set Type], tbl_MTG_Set_Type[Sell Window Month End], "(Set Type not found)", 0, 1)</f>
        <v/>
      </c>
      <c r="W408" s="3">
        <f>tbl_MTG_Set[[#This Row],[Released On]]+tbl_MTG_Set[[#This Row],[Sell Window Month End]]*365.25/12</f>
        <v/>
      </c>
      <c r="X408" s="3">
        <f>AND(NOW()&gt;=tbl_MTG_Set[[#This Row],[Sell Window Start]], NOW()&lt;=tbl_MTG_Set[[#This Row],[Sell Window End]])</f>
        <v/>
      </c>
      <c r="AG408" s="10" t="n"/>
      <c r="AH408" s="10" t="n"/>
      <c r="AM408" s="10">
        <f t="array" ref="AM4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8" s="10">
        <f t="array" ref="AN4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8" s="4">
        <f>_xlfn.XLOOKUP(tbl_MTG_Set[[#This Row],[Play Booster Box Product Id]], tbl_Product[Product Id], tbl_Product[Pack Size])</f>
        <v/>
      </c>
      <c r="AP408" s="10">
        <f>(tbl_MTG_Set[[#This Row],[Play Booster Box Cost]]+v_Item_Shipping_Cost_In)/tbl_MTG_Set[[#This Row],[Play Booster Box Size]]</f>
        <v/>
      </c>
      <c r="AQ408" s="10">
        <f t="array" ref="AQ4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8" s="10" t="n"/>
      <c r="AS408" s="10" t="n"/>
      <c r="AT408" s="17">
        <f>tbl_MTG_Set[[#This Row],[Play Booster CardMarket Profit]]/tbl_MTG_Set[[#This Row],[Play Booster Cost]]</f>
        <v/>
      </c>
      <c r="AU408" s="10">
        <f>_xlfn.XLOOKUP(tbl_MTG_Set[[#This Row],[Collector Booster Box Product Id]], tbl_Product[Product Id], tbl_Product[Min Cost])</f>
        <v/>
      </c>
      <c r="AV408" s="10">
        <f>_xlfn.XLOOKUP(tbl_MTG_Set[[#This Row],[Collector Booster Box Product Id]], tbl_Product[Product Id], tbl_Product[Best Source])</f>
        <v/>
      </c>
      <c r="AW408" s="4">
        <f>_xlfn.XLOOKUP(tbl_MTG_Set[[#This Row],[Collector Booster Box Product Id]], tbl_Product[Product Id], tbl_Product[Pack Size])</f>
        <v/>
      </c>
      <c r="AX408" s="10">
        <f>(tbl_MTG_Set[[#This Row],[Collector Booster Box Cost]] + v_Item_Shipping_Cost_In) / tbl_MTG_Set[[#This Row],[Collector Booster Box Size]]</f>
        <v/>
      </c>
      <c r="AY408" s="10">
        <f t="array" ref="AY4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8" s="10" t="n"/>
      <c r="BA4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8" s="17">
        <f>tbl_MTG_Set[[#This Row],[Collector Booster CardMarket Profit]]/tbl_MTG_Set[[#This Row],[Collector Booster Cost]]</f>
        <v/>
      </c>
      <c r="BC408" s="10" t="n"/>
      <c r="BF408" s="10">
        <f>tbl_MTG_Set[[#This Row],[Play Booster Sell Price CardMarket]]*tbl_MTG_Set[[#This Row],[Play Booster Expected Market Value]]/tbl_MTG_Set[[#This Row],[Play Boost Sealed Market Value]]</f>
        <v/>
      </c>
      <c r="BG4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8" s="10">
        <f>tbl_MTG_Set[[#This Row],[Play Singles CardMarket Profit]]/tbl_MTG_Set[[#This Row],[Play Booster Cost]]</f>
        <v/>
      </c>
      <c r="BI408" s="10">
        <f>tbl_MTG_Set[[#This Row],[Play Singles CardMarket Profit]]&gt;0</f>
        <v/>
      </c>
      <c r="BJ408" s="10" t="n"/>
      <c r="BK408" s="10" t="n"/>
      <c r="BL408" s="10">
        <f>tbl_MTG_Set[[#This Row],[Collector Booster Sell Price CardMarket]]*tbl_MTG_Set[[#This Row],[Collector Booster Expected Market Value]]/tbl_MTG_Set[[#This Row],[Collector Boost Sealed Market Value]]</f>
        <v/>
      </c>
      <c r="BM4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8" s="10">
        <f>tbl_MTG_Set[[#This Row],[Collector Singles CardMarket Profit]]/tbl_MTG_Set[[#This Row],[Collector Booster Cost]]</f>
        <v/>
      </c>
      <c r="BO408" s="10">
        <f>tbl_MTG_Set[[#This Row],[Collector Singles CardMarket Profit]]&gt;0</f>
        <v/>
      </c>
      <c r="BP4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9">
      <c r="A409" t="n">
        <v>407</v>
      </c>
      <c r="B409" t="inlineStr">
        <is>
          <t>Theros Beyond Death THB</t>
        </is>
      </c>
      <c r="C409" t="n">
        <v>358</v>
      </c>
      <c r="D409" s="3" t="n">
        <v>43854</v>
      </c>
      <c r="E409" t="inlineStr">
        <is>
          <t>Standard Expansion</t>
        </is>
      </c>
      <c r="F409" t="inlineStr">
        <is>
          <t>en es fr de it pt ja ko ru 汉语 漢語</t>
        </is>
      </c>
      <c r="G409" t="n">
        <v>760</v>
      </c>
      <c r="H409">
        <f>MONTH(NOW())+12*YEAR(NOW())-MONTH(tbl_MTG_Set[[#This Row],[Released On]])-12*YEAR(tbl_MTG_Set[[#This Row],[Released On]])</f>
        <v/>
      </c>
      <c r="I409">
        <f>_xlfn.XLOOKUP(tbl_MTG_Set[[#This Row],[Type Name]], tbl_MTG_Set_Type[Set Type], tbl_MTG_Set_Type[Index], "(Set Type not found)")</f>
        <v/>
      </c>
      <c r="J409">
        <f>_xlfn.XLOOKUP(tbl_MTG_Set[[#This Row],[Type Name]], tbl_MTG_Set_Type[Set Type], tbl_MTG_Set_Type[Buy Window Month Start], "(Set Type not found)")</f>
        <v/>
      </c>
      <c r="K409" s="3">
        <f>tbl_MTG_Set[[#This Row],[Released On]]+tbl_MTG_Set[[#This Row],[Buy Window Month Start]]*365.25/12</f>
        <v/>
      </c>
      <c r="L409">
        <f>_xlfn.XLOOKUP(tbl_MTG_Set[[#This Row],[Type Name]], tbl_MTG_Set_Type[Set Type], tbl_MTG_Set_Type[Buy Window Month End], "(Set Type not found)", 0, 1)</f>
        <v/>
      </c>
      <c r="M409" s="3">
        <f>tbl_MTG_Set[[#This Row],[Released On]]+tbl_MTG_Set[[#This Row],[Buy Window Month End]]*365.25/12</f>
        <v/>
      </c>
      <c r="N409" s="3">
        <f>AND(NOW()&gt;=tbl_MTG_Set[[#This Row],[Buy Window Start]], NOW()&lt;=tbl_MTG_Set[[#This Row],[Buy Window End]])</f>
        <v/>
      </c>
      <c r="O409">
        <f>_xlfn.XLOOKUP(tbl_MTG_Set[[#This Row],[Type Name]], tbl_MTG_Set_Type[Set Type], tbl_MTG_Set_Type[Heavy Printing Window Month Start], "(Set Type not found)", 0, 1)</f>
        <v/>
      </c>
      <c r="P409" s="3">
        <f>tbl_MTG_Set[[#This Row],[Released On]]+tbl_MTG_Set[[#This Row],[Heavy Printing Window Month Start]]*365.25/12</f>
        <v/>
      </c>
      <c r="Q409">
        <f>_xlfn.XLOOKUP(tbl_MTG_Set[[#This Row],[Type Name]], tbl_MTG_Set_Type[Set Type], tbl_MTG_Set_Type[Heavy Printing Window Month End], "(Set Type not found)", 0, 1)</f>
        <v/>
      </c>
      <c r="R409" s="3">
        <f>tbl_MTG_Set[[#This Row],[Released On]]+tbl_MTG_Set[[#This Row],[Heavy Printing Window Month End]]*365.25/12</f>
        <v/>
      </c>
      <c r="S409" s="3">
        <f>AND(NOW()&gt;=tbl_MTG_Set[[#This Row],[Heavy Printing Window Start]], NOW()&lt;=tbl_MTG_Set[[#This Row],[Heavy Printing Window End]])</f>
        <v/>
      </c>
      <c r="T409">
        <f>_xlfn.XLOOKUP(tbl_MTG_Set[[#This Row],[Type Name]], tbl_MTG_Set_Type[Set Type], tbl_MTG_Set_Type[Sell Window Month Start], "(Set Type not found)", 0, 1)</f>
        <v/>
      </c>
      <c r="U409" s="3">
        <f>tbl_MTG_Set[[#This Row],[Released On]]+tbl_MTG_Set[[#This Row],[Sell Window Month Start]]*365.25/12</f>
        <v/>
      </c>
      <c r="V409">
        <f>_xlfn.XLOOKUP(tbl_MTG_Set[[#This Row],[Type Name]], tbl_MTG_Set_Type[Set Type], tbl_MTG_Set_Type[Sell Window Month End], "(Set Type not found)", 0, 1)</f>
        <v/>
      </c>
      <c r="W409" s="3">
        <f>tbl_MTG_Set[[#This Row],[Released On]]+tbl_MTG_Set[[#This Row],[Sell Window Month End]]*365.25/12</f>
        <v/>
      </c>
      <c r="X409" s="3">
        <f>AND(NOW()&gt;=tbl_MTG_Set[[#This Row],[Sell Window Start]], NOW()&lt;=tbl_MTG_Set[[#This Row],[Sell Window End]])</f>
        <v/>
      </c>
      <c r="AG409" s="10" t="n"/>
      <c r="AH409" s="10" t="n"/>
      <c r="AM409" s="10">
        <f t="array" ref="AM4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9" s="10">
        <f t="array" ref="AN4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9" s="4">
        <f>_xlfn.XLOOKUP(tbl_MTG_Set[[#This Row],[Play Booster Box Product Id]], tbl_Product[Product Id], tbl_Product[Pack Size])</f>
        <v/>
      </c>
      <c r="AP409" s="10">
        <f>(tbl_MTG_Set[[#This Row],[Play Booster Box Cost]]+v_Item_Shipping_Cost_In)/tbl_MTG_Set[[#This Row],[Play Booster Box Size]]</f>
        <v/>
      </c>
      <c r="AQ409" s="10">
        <f t="array" ref="AQ4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09" s="10" t="n"/>
      <c r="AS409" s="10" t="n"/>
      <c r="AT409" s="17">
        <f>tbl_MTG_Set[[#This Row],[Play Booster CardMarket Profit]]/tbl_MTG_Set[[#This Row],[Play Booster Cost]]</f>
        <v/>
      </c>
      <c r="AU409" s="10">
        <f>_xlfn.XLOOKUP(tbl_MTG_Set[[#This Row],[Collector Booster Box Product Id]], tbl_Product[Product Id], tbl_Product[Min Cost])</f>
        <v/>
      </c>
      <c r="AV409" s="10">
        <f>_xlfn.XLOOKUP(tbl_MTG_Set[[#This Row],[Collector Booster Box Product Id]], tbl_Product[Product Id], tbl_Product[Best Source])</f>
        <v/>
      </c>
      <c r="AW409" s="4">
        <f>_xlfn.XLOOKUP(tbl_MTG_Set[[#This Row],[Collector Booster Box Product Id]], tbl_Product[Product Id], tbl_Product[Pack Size])</f>
        <v/>
      </c>
      <c r="AX409" s="10">
        <f>(tbl_MTG_Set[[#This Row],[Collector Booster Box Cost]] + v_Item_Shipping_Cost_In) / tbl_MTG_Set[[#This Row],[Collector Booster Box Size]]</f>
        <v/>
      </c>
      <c r="AY409" s="10">
        <f t="array" ref="AY4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09" s="10" t="n"/>
      <c r="BA4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9" s="17">
        <f>tbl_MTG_Set[[#This Row],[Collector Booster CardMarket Profit]]/tbl_MTG_Set[[#This Row],[Collector Booster Cost]]</f>
        <v/>
      </c>
      <c r="BC409" s="10" t="n"/>
      <c r="BF409" s="10">
        <f>tbl_MTG_Set[[#This Row],[Play Booster Sell Price CardMarket]]*tbl_MTG_Set[[#This Row],[Play Booster Expected Market Value]]/tbl_MTG_Set[[#This Row],[Play Boost Sealed Market Value]]</f>
        <v/>
      </c>
      <c r="BG4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9" s="10">
        <f>tbl_MTG_Set[[#This Row],[Play Singles CardMarket Profit]]/tbl_MTG_Set[[#This Row],[Play Booster Cost]]</f>
        <v/>
      </c>
      <c r="BI409" s="10">
        <f>tbl_MTG_Set[[#This Row],[Play Singles CardMarket Profit]]&gt;0</f>
        <v/>
      </c>
      <c r="BJ409" s="10" t="n"/>
      <c r="BK409" s="10" t="n"/>
      <c r="BL409" s="10">
        <f>tbl_MTG_Set[[#This Row],[Collector Booster Sell Price CardMarket]]*tbl_MTG_Set[[#This Row],[Collector Booster Expected Market Value]]/tbl_MTG_Set[[#This Row],[Collector Boost Sealed Market Value]]</f>
        <v/>
      </c>
      <c r="BM4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9" s="10">
        <f>tbl_MTG_Set[[#This Row],[Collector Singles CardMarket Profit]]/tbl_MTG_Set[[#This Row],[Collector Booster Cost]]</f>
        <v/>
      </c>
      <c r="BO409" s="10">
        <f>tbl_MTG_Set[[#This Row],[Collector Singles CardMarket Profit]]&gt;0</f>
        <v/>
      </c>
      <c r="BP4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0">
      <c r="A410" t="n">
        <v>408</v>
      </c>
      <c r="B410" t="inlineStr">
        <is>
          <t>Theros Beyond Death Promos PTHB</t>
        </is>
      </c>
      <c r="C410" t="n">
        <v>137</v>
      </c>
      <c r="D410" s="3" t="n">
        <v>43854</v>
      </c>
      <c r="E410" t="inlineStr">
        <is>
          <t>Standard Expansion</t>
        </is>
      </c>
      <c r="F410" t="inlineStr">
        <is>
          <t>en es fr de it pt ja ko ru 汉语 漢語</t>
        </is>
      </c>
      <c r="G410" t="n">
        <v>762</v>
      </c>
      <c r="H410">
        <f>MONTH(NOW())+12*YEAR(NOW())-MONTH(tbl_MTG_Set[[#This Row],[Released On]])-12*YEAR(tbl_MTG_Set[[#This Row],[Released On]])</f>
        <v/>
      </c>
      <c r="I410">
        <f>_xlfn.XLOOKUP(tbl_MTG_Set[[#This Row],[Type Name]], tbl_MTG_Set_Type[Set Type], tbl_MTG_Set_Type[Index], "(Set Type not found)")</f>
        <v/>
      </c>
      <c r="J410">
        <f>_xlfn.XLOOKUP(tbl_MTG_Set[[#This Row],[Type Name]], tbl_MTG_Set_Type[Set Type], tbl_MTG_Set_Type[Buy Window Month Start], "(Set Type not found)")</f>
        <v/>
      </c>
      <c r="K410" s="3">
        <f>tbl_MTG_Set[[#This Row],[Released On]]+tbl_MTG_Set[[#This Row],[Buy Window Month Start]]*365.25/12</f>
        <v/>
      </c>
      <c r="L410">
        <f>_xlfn.XLOOKUP(tbl_MTG_Set[[#This Row],[Type Name]], tbl_MTG_Set_Type[Set Type], tbl_MTG_Set_Type[Buy Window Month End], "(Set Type not found)", 0, 1)</f>
        <v/>
      </c>
      <c r="M410" s="3">
        <f>tbl_MTG_Set[[#This Row],[Released On]]+tbl_MTG_Set[[#This Row],[Buy Window Month End]]*365.25/12</f>
        <v/>
      </c>
      <c r="N410" s="3">
        <f>AND(NOW()&gt;=tbl_MTG_Set[[#This Row],[Buy Window Start]], NOW()&lt;=tbl_MTG_Set[[#This Row],[Buy Window End]])</f>
        <v/>
      </c>
      <c r="O410">
        <f>_xlfn.XLOOKUP(tbl_MTG_Set[[#This Row],[Type Name]], tbl_MTG_Set_Type[Set Type], tbl_MTG_Set_Type[Heavy Printing Window Month Start], "(Set Type not found)", 0, 1)</f>
        <v/>
      </c>
      <c r="P410" s="3">
        <f>tbl_MTG_Set[[#This Row],[Released On]]+tbl_MTG_Set[[#This Row],[Heavy Printing Window Month Start]]*365.25/12</f>
        <v/>
      </c>
      <c r="Q410">
        <f>_xlfn.XLOOKUP(tbl_MTG_Set[[#This Row],[Type Name]], tbl_MTG_Set_Type[Set Type], tbl_MTG_Set_Type[Heavy Printing Window Month End], "(Set Type not found)", 0, 1)</f>
        <v/>
      </c>
      <c r="R410" s="3">
        <f>tbl_MTG_Set[[#This Row],[Released On]]+tbl_MTG_Set[[#This Row],[Heavy Printing Window Month End]]*365.25/12</f>
        <v/>
      </c>
      <c r="S410" s="3">
        <f>AND(NOW()&gt;=tbl_MTG_Set[[#This Row],[Heavy Printing Window Start]], NOW()&lt;=tbl_MTG_Set[[#This Row],[Heavy Printing Window End]])</f>
        <v/>
      </c>
      <c r="T410">
        <f>_xlfn.XLOOKUP(tbl_MTG_Set[[#This Row],[Type Name]], tbl_MTG_Set_Type[Set Type], tbl_MTG_Set_Type[Sell Window Month Start], "(Set Type not found)", 0, 1)</f>
        <v/>
      </c>
      <c r="U410" s="3">
        <f>tbl_MTG_Set[[#This Row],[Released On]]+tbl_MTG_Set[[#This Row],[Sell Window Month Start]]*365.25/12</f>
        <v/>
      </c>
      <c r="V410">
        <f>_xlfn.XLOOKUP(tbl_MTG_Set[[#This Row],[Type Name]], tbl_MTG_Set_Type[Set Type], tbl_MTG_Set_Type[Sell Window Month End], "(Set Type not found)", 0, 1)</f>
        <v/>
      </c>
      <c r="W410" s="3">
        <f>tbl_MTG_Set[[#This Row],[Released On]]+tbl_MTG_Set[[#This Row],[Sell Window Month End]]*365.25/12</f>
        <v/>
      </c>
      <c r="X410" s="3">
        <f>AND(NOW()&gt;=tbl_MTG_Set[[#This Row],[Sell Window Start]], NOW()&lt;=tbl_MTG_Set[[#This Row],[Sell Window End]])</f>
        <v/>
      </c>
      <c r="AG410" s="10" t="n"/>
      <c r="AH410" s="10" t="n"/>
      <c r="AM410" s="10">
        <f t="array" ref="AM4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0" s="10">
        <f t="array" ref="AN4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0" s="4">
        <f>_xlfn.XLOOKUP(tbl_MTG_Set[[#This Row],[Play Booster Box Product Id]], tbl_Product[Product Id], tbl_Product[Pack Size])</f>
        <v/>
      </c>
      <c r="AP410" s="10">
        <f>(tbl_MTG_Set[[#This Row],[Play Booster Box Cost]]+v_Item_Shipping_Cost_In)/tbl_MTG_Set[[#This Row],[Play Booster Box Size]]</f>
        <v/>
      </c>
      <c r="AQ410" s="10">
        <f t="array" ref="AQ4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0" s="10" t="n"/>
      <c r="AS410" s="10" t="n"/>
      <c r="AT410" s="17">
        <f>tbl_MTG_Set[[#This Row],[Play Booster CardMarket Profit]]/tbl_MTG_Set[[#This Row],[Play Booster Cost]]</f>
        <v/>
      </c>
      <c r="AU410" s="10">
        <f>_xlfn.XLOOKUP(tbl_MTG_Set[[#This Row],[Collector Booster Box Product Id]], tbl_Product[Product Id], tbl_Product[Min Cost])</f>
        <v/>
      </c>
      <c r="AV410" s="10">
        <f>_xlfn.XLOOKUP(tbl_MTG_Set[[#This Row],[Collector Booster Box Product Id]], tbl_Product[Product Id], tbl_Product[Best Source])</f>
        <v/>
      </c>
      <c r="AW410" s="4">
        <f>_xlfn.XLOOKUP(tbl_MTG_Set[[#This Row],[Collector Booster Box Product Id]], tbl_Product[Product Id], tbl_Product[Pack Size])</f>
        <v/>
      </c>
      <c r="AX410" s="10">
        <f>(tbl_MTG_Set[[#This Row],[Collector Booster Box Cost]] + v_Item_Shipping_Cost_In) / tbl_MTG_Set[[#This Row],[Collector Booster Box Size]]</f>
        <v/>
      </c>
      <c r="AY410" s="10">
        <f t="array" ref="AY4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0" s="10" t="n"/>
      <c r="BA4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0" s="17">
        <f>tbl_MTG_Set[[#This Row],[Collector Booster CardMarket Profit]]/tbl_MTG_Set[[#This Row],[Collector Booster Cost]]</f>
        <v/>
      </c>
      <c r="BC410" s="10" t="n"/>
      <c r="BF410" s="10">
        <f>tbl_MTG_Set[[#This Row],[Play Booster Sell Price CardMarket]]*tbl_MTG_Set[[#This Row],[Play Booster Expected Market Value]]/tbl_MTG_Set[[#This Row],[Play Boost Sealed Market Value]]</f>
        <v/>
      </c>
      <c r="BG4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0" s="10">
        <f>tbl_MTG_Set[[#This Row],[Play Singles CardMarket Profit]]/tbl_MTG_Set[[#This Row],[Play Booster Cost]]</f>
        <v/>
      </c>
      <c r="BI410" s="10">
        <f>tbl_MTG_Set[[#This Row],[Play Singles CardMarket Profit]]&gt;0</f>
        <v/>
      </c>
      <c r="BJ410" s="10" t="n"/>
      <c r="BK410" s="10" t="n"/>
      <c r="BL410" s="10">
        <f>tbl_MTG_Set[[#This Row],[Collector Booster Sell Price CardMarket]]*tbl_MTG_Set[[#This Row],[Collector Booster Expected Market Value]]/tbl_MTG_Set[[#This Row],[Collector Boost Sealed Market Value]]</f>
        <v/>
      </c>
      <c r="BM4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0" s="10">
        <f>tbl_MTG_Set[[#This Row],[Collector Singles CardMarket Profit]]/tbl_MTG_Set[[#This Row],[Collector Booster Cost]]</f>
        <v/>
      </c>
      <c r="BO410" s="10">
        <f>tbl_MTG_Set[[#This Row],[Collector Singles CardMarket Profit]]&gt;0</f>
        <v/>
      </c>
      <c r="BP4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1">
      <c r="A411" t="n">
        <v>409</v>
      </c>
      <c r="B411" t="inlineStr">
        <is>
          <t>Theros Beyond Death Tokens TTHB</t>
        </is>
      </c>
      <c r="C411" t="n">
        <v>14</v>
      </c>
      <c r="D411" s="3" t="n">
        <v>43854</v>
      </c>
      <c r="E411" t="inlineStr">
        <is>
          <t>Standard Expansion</t>
        </is>
      </c>
      <c r="F411" t="inlineStr">
        <is>
          <t>en es fr de it pt ja ko ru 汉语 漢語</t>
        </is>
      </c>
      <c r="G411" t="n">
        <v>764</v>
      </c>
      <c r="H411">
        <f>MONTH(NOW())+12*YEAR(NOW())-MONTH(tbl_MTG_Set[[#This Row],[Released On]])-12*YEAR(tbl_MTG_Set[[#This Row],[Released On]])</f>
        <v/>
      </c>
      <c r="I411">
        <f>_xlfn.XLOOKUP(tbl_MTG_Set[[#This Row],[Type Name]], tbl_MTG_Set_Type[Set Type], tbl_MTG_Set_Type[Index], "(Set Type not found)")</f>
        <v/>
      </c>
      <c r="J411">
        <f>_xlfn.XLOOKUP(tbl_MTG_Set[[#This Row],[Type Name]], tbl_MTG_Set_Type[Set Type], tbl_MTG_Set_Type[Buy Window Month Start], "(Set Type not found)")</f>
        <v/>
      </c>
      <c r="K411" s="3">
        <f>tbl_MTG_Set[[#This Row],[Released On]]+tbl_MTG_Set[[#This Row],[Buy Window Month Start]]*365.25/12</f>
        <v/>
      </c>
      <c r="L411">
        <f>_xlfn.XLOOKUP(tbl_MTG_Set[[#This Row],[Type Name]], tbl_MTG_Set_Type[Set Type], tbl_MTG_Set_Type[Buy Window Month End], "(Set Type not found)", 0, 1)</f>
        <v/>
      </c>
      <c r="M411" s="3">
        <f>tbl_MTG_Set[[#This Row],[Released On]]+tbl_MTG_Set[[#This Row],[Buy Window Month End]]*365.25/12</f>
        <v/>
      </c>
      <c r="N411" s="3">
        <f>AND(NOW()&gt;=tbl_MTG_Set[[#This Row],[Buy Window Start]], NOW()&lt;=tbl_MTG_Set[[#This Row],[Buy Window End]])</f>
        <v/>
      </c>
      <c r="O411">
        <f>_xlfn.XLOOKUP(tbl_MTG_Set[[#This Row],[Type Name]], tbl_MTG_Set_Type[Set Type], tbl_MTG_Set_Type[Heavy Printing Window Month Start], "(Set Type not found)", 0, 1)</f>
        <v/>
      </c>
      <c r="P411" s="3">
        <f>tbl_MTG_Set[[#This Row],[Released On]]+tbl_MTG_Set[[#This Row],[Heavy Printing Window Month Start]]*365.25/12</f>
        <v/>
      </c>
      <c r="Q411">
        <f>_xlfn.XLOOKUP(tbl_MTG_Set[[#This Row],[Type Name]], tbl_MTG_Set_Type[Set Type], tbl_MTG_Set_Type[Heavy Printing Window Month End], "(Set Type not found)", 0, 1)</f>
        <v/>
      </c>
      <c r="R411" s="3">
        <f>tbl_MTG_Set[[#This Row],[Released On]]+tbl_MTG_Set[[#This Row],[Heavy Printing Window Month End]]*365.25/12</f>
        <v/>
      </c>
      <c r="S411" s="3">
        <f>AND(NOW()&gt;=tbl_MTG_Set[[#This Row],[Heavy Printing Window Start]], NOW()&lt;=tbl_MTG_Set[[#This Row],[Heavy Printing Window End]])</f>
        <v/>
      </c>
      <c r="T411">
        <f>_xlfn.XLOOKUP(tbl_MTG_Set[[#This Row],[Type Name]], tbl_MTG_Set_Type[Set Type], tbl_MTG_Set_Type[Sell Window Month Start], "(Set Type not found)", 0, 1)</f>
        <v/>
      </c>
      <c r="U411" s="3">
        <f>tbl_MTG_Set[[#This Row],[Released On]]+tbl_MTG_Set[[#This Row],[Sell Window Month Start]]*365.25/12</f>
        <v/>
      </c>
      <c r="V411">
        <f>_xlfn.XLOOKUP(tbl_MTG_Set[[#This Row],[Type Name]], tbl_MTG_Set_Type[Set Type], tbl_MTG_Set_Type[Sell Window Month End], "(Set Type not found)", 0, 1)</f>
        <v/>
      </c>
      <c r="W411" s="3">
        <f>tbl_MTG_Set[[#This Row],[Released On]]+tbl_MTG_Set[[#This Row],[Sell Window Month End]]*365.25/12</f>
        <v/>
      </c>
      <c r="X411" s="3">
        <f>AND(NOW()&gt;=tbl_MTG_Set[[#This Row],[Sell Window Start]], NOW()&lt;=tbl_MTG_Set[[#This Row],[Sell Window End]])</f>
        <v/>
      </c>
      <c r="AG411" s="10" t="n"/>
      <c r="AH411" s="10" t="n"/>
      <c r="AM411" s="10">
        <f t="array" ref="AM4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1" s="10">
        <f t="array" ref="AN4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1" s="4">
        <f>_xlfn.XLOOKUP(tbl_MTG_Set[[#This Row],[Play Booster Box Product Id]], tbl_Product[Product Id], tbl_Product[Pack Size])</f>
        <v/>
      </c>
      <c r="AP411" s="10">
        <f>(tbl_MTG_Set[[#This Row],[Play Booster Box Cost]]+v_Item_Shipping_Cost_In)/tbl_MTG_Set[[#This Row],[Play Booster Box Size]]</f>
        <v/>
      </c>
      <c r="AQ411" s="10">
        <f t="array" ref="AQ4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1" s="10" t="n"/>
      <c r="AS411" s="10" t="n"/>
      <c r="AT411" s="17">
        <f>tbl_MTG_Set[[#This Row],[Play Booster CardMarket Profit]]/tbl_MTG_Set[[#This Row],[Play Booster Cost]]</f>
        <v/>
      </c>
      <c r="AU411" s="10">
        <f>_xlfn.XLOOKUP(tbl_MTG_Set[[#This Row],[Collector Booster Box Product Id]], tbl_Product[Product Id], tbl_Product[Min Cost])</f>
        <v/>
      </c>
      <c r="AV411" s="10">
        <f>_xlfn.XLOOKUP(tbl_MTG_Set[[#This Row],[Collector Booster Box Product Id]], tbl_Product[Product Id], tbl_Product[Best Source])</f>
        <v/>
      </c>
      <c r="AW411" s="4">
        <f>_xlfn.XLOOKUP(tbl_MTG_Set[[#This Row],[Collector Booster Box Product Id]], tbl_Product[Product Id], tbl_Product[Pack Size])</f>
        <v/>
      </c>
      <c r="AX411" s="10">
        <f>(tbl_MTG_Set[[#This Row],[Collector Booster Box Cost]] + v_Item_Shipping_Cost_In) / tbl_MTG_Set[[#This Row],[Collector Booster Box Size]]</f>
        <v/>
      </c>
      <c r="AY411" s="10">
        <f t="array" ref="AY4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1" s="10" t="n"/>
      <c r="BA4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1" s="17">
        <f>tbl_MTG_Set[[#This Row],[Collector Booster CardMarket Profit]]/tbl_MTG_Set[[#This Row],[Collector Booster Cost]]</f>
        <v/>
      </c>
      <c r="BC411" s="10" t="n"/>
      <c r="BF411" s="10">
        <f>tbl_MTG_Set[[#This Row],[Play Booster Sell Price CardMarket]]*tbl_MTG_Set[[#This Row],[Play Booster Expected Market Value]]/tbl_MTG_Set[[#This Row],[Play Boost Sealed Market Value]]</f>
        <v/>
      </c>
      <c r="BG4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1" s="10">
        <f>tbl_MTG_Set[[#This Row],[Play Singles CardMarket Profit]]/tbl_MTG_Set[[#This Row],[Play Booster Cost]]</f>
        <v/>
      </c>
      <c r="BI411" s="10">
        <f>tbl_MTG_Set[[#This Row],[Play Singles CardMarket Profit]]&gt;0</f>
        <v/>
      </c>
      <c r="BJ411" s="10" t="n"/>
      <c r="BK411" s="10" t="n"/>
      <c r="BL411" s="10">
        <f>tbl_MTG_Set[[#This Row],[Collector Booster Sell Price CardMarket]]*tbl_MTG_Set[[#This Row],[Collector Booster Expected Market Value]]/tbl_MTG_Set[[#This Row],[Collector Boost Sealed Market Value]]</f>
        <v/>
      </c>
      <c r="BM4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1" s="10">
        <f>tbl_MTG_Set[[#This Row],[Collector Singles CardMarket Profit]]/tbl_MTG_Set[[#This Row],[Collector Booster Cost]]</f>
        <v/>
      </c>
      <c r="BO411" s="10">
        <f>tbl_MTG_Set[[#This Row],[Collector Singles CardMarket Profit]]&gt;0</f>
        <v/>
      </c>
      <c r="BP4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2">
      <c r="A412" t="n">
        <v>410</v>
      </c>
      <c r="B412" t="inlineStr">
        <is>
          <t>MagicFest 2020 PF20</t>
        </is>
      </c>
      <c r="C412" t="n">
        <v>6</v>
      </c>
      <c r="D412" s="3" t="n">
        <v>43831</v>
      </c>
      <c r="F412" t="inlineStr">
        <is>
          <t>en es fr de it pt ja ko ru 汉语 漢語</t>
        </is>
      </c>
      <c r="G412" t="n">
        <v>766</v>
      </c>
      <c r="H412">
        <f>MONTH(NOW())+12*YEAR(NOW())-MONTH(tbl_MTG_Set[[#This Row],[Released On]])-12*YEAR(tbl_MTG_Set[[#This Row],[Released On]])</f>
        <v/>
      </c>
      <c r="I412">
        <f>_xlfn.XLOOKUP(tbl_MTG_Set[[#This Row],[Type Name]], tbl_MTG_Set_Type[Set Type], tbl_MTG_Set_Type[Index], "(Set Type not found)")</f>
        <v/>
      </c>
      <c r="J412">
        <f>_xlfn.XLOOKUP(tbl_MTG_Set[[#This Row],[Type Name]], tbl_MTG_Set_Type[Set Type], tbl_MTG_Set_Type[Buy Window Month Start], "(Set Type not found)")</f>
        <v/>
      </c>
      <c r="K412" s="3">
        <f>tbl_MTG_Set[[#This Row],[Released On]]+tbl_MTG_Set[[#This Row],[Buy Window Month Start]]*365.25/12</f>
        <v/>
      </c>
      <c r="L412">
        <f>_xlfn.XLOOKUP(tbl_MTG_Set[[#This Row],[Type Name]], tbl_MTG_Set_Type[Set Type], tbl_MTG_Set_Type[Buy Window Month End], "(Set Type not found)", 0, 1)</f>
        <v/>
      </c>
      <c r="M412" s="3">
        <f>tbl_MTG_Set[[#This Row],[Released On]]+tbl_MTG_Set[[#This Row],[Buy Window Month End]]*365.25/12</f>
        <v/>
      </c>
      <c r="N412" s="3">
        <f>AND(NOW()&gt;=tbl_MTG_Set[[#This Row],[Buy Window Start]], NOW()&lt;=tbl_MTG_Set[[#This Row],[Buy Window End]])</f>
        <v/>
      </c>
      <c r="O412">
        <f>_xlfn.XLOOKUP(tbl_MTG_Set[[#This Row],[Type Name]], tbl_MTG_Set_Type[Set Type], tbl_MTG_Set_Type[Heavy Printing Window Month Start], "(Set Type not found)", 0, 1)</f>
        <v/>
      </c>
      <c r="P412" s="3">
        <f>tbl_MTG_Set[[#This Row],[Released On]]+tbl_MTG_Set[[#This Row],[Heavy Printing Window Month Start]]*365.25/12</f>
        <v/>
      </c>
      <c r="Q412">
        <f>_xlfn.XLOOKUP(tbl_MTG_Set[[#This Row],[Type Name]], tbl_MTG_Set_Type[Set Type], tbl_MTG_Set_Type[Heavy Printing Window Month End], "(Set Type not found)", 0, 1)</f>
        <v/>
      </c>
      <c r="R412" s="3">
        <f>tbl_MTG_Set[[#This Row],[Released On]]+tbl_MTG_Set[[#This Row],[Heavy Printing Window Month End]]*365.25/12</f>
        <v/>
      </c>
      <c r="S412" s="3">
        <f>AND(NOW()&gt;=tbl_MTG_Set[[#This Row],[Heavy Printing Window Start]], NOW()&lt;=tbl_MTG_Set[[#This Row],[Heavy Printing Window End]])</f>
        <v/>
      </c>
      <c r="T412">
        <f>_xlfn.XLOOKUP(tbl_MTG_Set[[#This Row],[Type Name]], tbl_MTG_Set_Type[Set Type], tbl_MTG_Set_Type[Sell Window Month Start], "(Set Type not found)", 0, 1)</f>
        <v/>
      </c>
      <c r="U412" s="3">
        <f>tbl_MTG_Set[[#This Row],[Released On]]+tbl_MTG_Set[[#This Row],[Sell Window Month Start]]*365.25/12</f>
        <v/>
      </c>
      <c r="V412">
        <f>_xlfn.XLOOKUP(tbl_MTG_Set[[#This Row],[Type Name]], tbl_MTG_Set_Type[Set Type], tbl_MTG_Set_Type[Sell Window Month End], "(Set Type not found)", 0, 1)</f>
        <v/>
      </c>
      <c r="W412" s="3">
        <f>tbl_MTG_Set[[#This Row],[Released On]]+tbl_MTG_Set[[#This Row],[Sell Window Month End]]*365.25/12</f>
        <v/>
      </c>
      <c r="X412" s="3">
        <f>AND(NOW()&gt;=tbl_MTG_Set[[#This Row],[Sell Window Start]], NOW()&lt;=tbl_MTG_Set[[#This Row],[Sell Window End]])</f>
        <v/>
      </c>
      <c r="AG412" s="10" t="n"/>
      <c r="AH412" s="10" t="n"/>
      <c r="AM412" s="10">
        <f t="array" ref="AM4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2" s="10">
        <f t="array" ref="AN4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2" s="4">
        <f>_xlfn.XLOOKUP(tbl_MTG_Set[[#This Row],[Play Booster Box Product Id]], tbl_Product[Product Id], tbl_Product[Pack Size])</f>
        <v/>
      </c>
      <c r="AP412" s="10">
        <f>(tbl_MTG_Set[[#This Row],[Play Booster Box Cost]]+v_Item_Shipping_Cost_In)/tbl_MTG_Set[[#This Row],[Play Booster Box Size]]</f>
        <v/>
      </c>
      <c r="AQ412" s="10">
        <f t="array" ref="AQ4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2" s="10" t="n"/>
      <c r="AS412" s="10" t="n"/>
      <c r="AT412" s="17">
        <f>tbl_MTG_Set[[#This Row],[Play Booster CardMarket Profit]]/tbl_MTG_Set[[#This Row],[Play Booster Cost]]</f>
        <v/>
      </c>
      <c r="AU412" s="10">
        <f>_xlfn.XLOOKUP(tbl_MTG_Set[[#This Row],[Collector Booster Box Product Id]], tbl_Product[Product Id], tbl_Product[Min Cost])</f>
        <v/>
      </c>
      <c r="AV412" s="10">
        <f>_xlfn.XLOOKUP(tbl_MTG_Set[[#This Row],[Collector Booster Box Product Id]], tbl_Product[Product Id], tbl_Product[Best Source])</f>
        <v/>
      </c>
      <c r="AW412" s="4">
        <f>_xlfn.XLOOKUP(tbl_MTG_Set[[#This Row],[Collector Booster Box Product Id]], tbl_Product[Product Id], tbl_Product[Pack Size])</f>
        <v/>
      </c>
      <c r="AX412" s="10">
        <f>(tbl_MTG_Set[[#This Row],[Collector Booster Box Cost]] + v_Item_Shipping_Cost_In) / tbl_MTG_Set[[#This Row],[Collector Booster Box Size]]</f>
        <v/>
      </c>
      <c r="AY412" s="10">
        <f t="array" ref="AY4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2" s="10" t="n"/>
      <c r="BA4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2" s="17">
        <f>tbl_MTG_Set[[#This Row],[Collector Booster CardMarket Profit]]/tbl_MTG_Set[[#This Row],[Collector Booster Cost]]</f>
        <v/>
      </c>
      <c r="BC412" s="10" t="n"/>
      <c r="BF412" s="10">
        <f>tbl_MTG_Set[[#This Row],[Play Booster Sell Price CardMarket]]*tbl_MTG_Set[[#This Row],[Play Booster Expected Market Value]]/tbl_MTG_Set[[#This Row],[Play Boost Sealed Market Value]]</f>
        <v/>
      </c>
      <c r="BG4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2" s="10">
        <f>tbl_MTG_Set[[#This Row],[Play Singles CardMarket Profit]]/tbl_MTG_Set[[#This Row],[Play Booster Cost]]</f>
        <v/>
      </c>
      <c r="BI412" s="10">
        <f>tbl_MTG_Set[[#This Row],[Play Singles CardMarket Profit]]&gt;0</f>
        <v/>
      </c>
      <c r="BJ412" s="10" t="n"/>
      <c r="BK412" s="10" t="n"/>
      <c r="BL412" s="10">
        <f>tbl_MTG_Set[[#This Row],[Collector Booster Sell Price CardMarket]]*tbl_MTG_Set[[#This Row],[Collector Booster Expected Market Value]]/tbl_MTG_Set[[#This Row],[Collector Boost Sealed Market Value]]</f>
        <v/>
      </c>
      <c r="BM4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2" s="10">
        <f>tbl_MTG_Set[[#This Row],[Collector Singles CardMarket Profit]]/tbl_MTG_Set[[#This Row],[Collector Booster Cost]]</f>
        <v/>
      </c>
      <c r="BO412" s="10">
        <f>tbl_MTG_Set[[#This Row],[Collector Singles CardMarket Profit]]&gt;0</f>
        <v/>
      </c>
      <c r="BP4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3">
      <c r="A413" t="n">
        <v>411</v>
      </c>
      <c r="B413" t="inlineStr">
        <is>
          <t>Judge Gift Cards 2020 J20</t>
        </is>
      </c>
      <c r="C413" t="n">
        <v>10</v>
      </c>
      <c r="D413" s="3" t="n">
        <v>43831</v>
      </c>
      <c r="F413" t="inlineStr">
        <is>
          <t>en es fr de it pt ja ko ru 汉语 漢語</t>
        </is>
      </c>
      <c r="G413" t="n">
        <v>768</v>
      </c>
      <c r="H413">
        <f>MONTH(NOW())+12*YEAR(NOW())-MONTH(tbl_MTG_Set[[#This Row],[Released On]])-12*YEAR(tbl_MTG_Set[[#This Row],[Released On]])</f>
        <v/>
      </c>
      <c r="I413">
        <f>_xlfn.XLOOKUP(tbl_MTG_Set[[#This Row],[Type Name]], tbl_MTG_Set_Type[Set Type], tbl_MTG_Set_Type[Index], "(Set Type not found)")</f>
        <v/>
      </c>
      <c r="J413">
        <f>_xlfn.XLOOKUP(tbl_MTG_Set[[#This Row],[Type Name]], tbl_MTG_Set_Type[Set Type], tbl_MTG_Set_Type[Buy Window Month Start], "(Set Type not found)")</f>
        <v/>
      </c>
      <c r="K413" s="3">
        <f>tbl_MTG_Set[[#This Row],[Released On]]+tbl_MTG_Set[[#This Row],[Buy Window Month Start]]*365.25/12</f>
        <v/>
      </c>
      <c r="L413">
        <f>_xlfn.XLOOKUP(tbl_MTG_Set[[#This Row],[Type Name]], tbl_MTG_Set_Type[Set Type], tbl_MTG_Set_Type[Buy Window Month End], "(Set Type not found)", 0, 1)</f>
        <v/>
      </c>
      <c r="M413" s="3">
        <f>tbl_MTG_Set[[#This Row],[Released On]]+tbl_MTG_Set[[#This Row],[Buy Window Month End]]*365.25/12</f>
        <v/>
      </c>
      <c r="N413" s="3">
        <f>AND(NOW()&gt;=tbl_MTG_Set[[#This Row],[Buy Window Start]], NOW()&lt;=tbl_MTG_Set[[#This Row],[Buy Window End]])</f>
        <v/>
      </c>
      <c r="O413">
        <f>_xlfn.XLOOKUP(tbl_MTG_Set[[#This Row],[Type Name]], tbl_MTG_Set_Type[Set Type], tbl_MTG_Set_Type[Heavy Printing Window Month Start], "(Set Type not found)", 0, 1)</f>
        <v/>
      </c>
      <c r="P413" s="3">
        <f>tbl_MTG_Set[[#This Row],[Released On]]+tbl_MTG_Set[[#This Row],[Heavy Printing Window Month Start]]*365.25/12</f>
        <v/>
      </c>
      <c r="Q413">
        <f>_xlfn.XLOOKUP(tbl_MTG_Set[[#This Row],[Type Name]], tbl_MTG_Set_Type[Set Type], tbl_MTG_Set_Type[Heavy Printing Window Month End], "(Set Type not found)", 0, 1)</f>
        <v/>
      </c>
      <c r="R413" s="3">
        <f>tbl_MTG_Set[[#This Row],[Released On]]+tbl_MTG_Set[[#This Row],[Heavy Printing Window Month End]]*365.25/12</f>
        <v/>
      </c>
      <c r="S413" s="3">
        <f>AND(NOW()&gt;=tbl_MTG_Set[[#This Row],[Heavy Printing Window Start]], NOW()&lt;=tbl_MTG_Set[[#This Row],[Heavy Printing Window End]])</f>
        <v/>
      </c>
      <c r="T413">
        <f>_xlfn.XLOOKUP(tbl_MTG_Set[[#This Row],[Type Name]], tbl_MTG_Set_Type[Set Type], tbl_MTG_Set_Type[Sell Window Month Start], "(Set Type not found)", 0, 1)</f>
        <v/>
      </c>
      <c r="U413" s="3">
        <f>tbl_MTG_Set[[#This Row],[Released On]]+tbl_MTG_Set[[#This Row],[Sell Window Month Start]]*365.25/12</f>
        <v/>
      </c>
      <c r="V413">
        <f>_xlfn.XLOOKUP(tbl_MTG_Set[[#This Row],[Type Name]], tbl_MTG_Set_Type[Set Type], tbl_MTG_Set_Type[Sell Window Month End], "(Set Type not found)", 0, 1)</f>
        <v/>
      </c>
      <c r="W413" s="3">
        <f>tbl_MTG_Set[[#This Row],[Released On]]+tbl_MTG_Set[[#This Row],[Sell Window Month End]]*365.25/12</f>
        <v/>
      </c>
      <c r="X413" s="3">
        <f>AND(NOW()&gt;=tbl_MTG_Set[[#This Row],[Sell Window Start]], NOW()&lt;=tbl_MTG_Set[[#This Row],[Sell Window End]])</f>
        <v/>
      </c>
      <c r="AG413" s="10" t="n"/>
      <c r="AH413" s="10" t="n"/>
      <c r="AM413" s="10">
        <f t="array" ref="AM4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3" s="10">
        <f t="array" ref="AN4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3" s="4">
        <f>_xlfn.XLOOKUP(tbl_MTG_Set[[#This Row],[Play Booster Box Product Id]], tbl_Product[Product Id], tbl_Product[Pack Size])</f>
        <v/>
      </c>
      <c r="AP413" s="10">
        <f>(tbl_MTG_Set[[#This Row],[Play Booster Box Cost]]+v_Item_Shipping_Cost_In)/tbl_MTG_Set[[#This Row],[Play Booster Box Size]]</f>
        <v/>
      </c>
      <c r="AQ413" s="10">
        <f t="array" ref="AQ4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3" s="10" t="n"/>
      <c r="AS413" s="10" t="n"/>
      <c r="AT413" s="17">
        <f>tbl_MTG_Set[[#This Row],[Play Booster CardMarket Profit]]/tbl_MTG_Set[[#This Row],[Play Booster Cost]]</f>
        <v/>
      </c>
      <c r="AU413" s="10">
        <f>_xlfn.XLOOKUP(tbl_MTG_Set[[#This Row],[Collector Booster Box Product Id]], tbl_Product[Product Id], tbl_Product[Min Cost])</f>
        <v/>
      </c>
      <c r="AV413" s="10">
        <f>_xlfn.XLOOKUP(tbl_MTG_Set[[#This Row],[Collector Booster Box Product Id]], tbl_Product[Product Id], tbl_Product[Best Source])</f>
        <v/>
      </c>
      <c r="AW413" s="4">
        <f>_xlfn.XLOOKUP(tbl_MTG_Set[[#This Row],[Collector Booster Box Product Id]], tbl_Product[Product Id], tbl_Product[Pack Size])</f>
        <v/>
      </c>
      <c r="AX413" s="10">
        <f>(tbl_MTG_Set[[#This Row],[Collector Booster Box Cost]] + v_Item_Shipping_Cost_In) / tbl_MTG_Set[[#This Row],[Collector Booster Box Size]]</f>
        <v/>
      </c>
      <c r="AY413" s="10">
        <f t="array" ref="AY4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3" s="10" t="n"/>
      <c r="BA4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3" s="17">
        <f>tbl_MTG_Set[[#This Row],[Collector Booster CardMarket Profit]]/tbl_MTG_Set[[#This Row],[Collector Booster Cost]]</f>
        <v/>
      </c>
      <c r="BC413" s="10" t="n"/>
      <c r="BF413" s="10">
        <f>tbl_MTG_Set[[#This Row],[Play Booster Sell Price CardMarket]]*tbl_MTG_Set[[#This Row],[Play Booster Expected Market Value]]/tbl_MTG_Set[[#This Row],[Play Boost Sealed Market Value]]</f>
        <v/>
      </c>
      <c r="BG4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3" s="10">
        <f>tbl_MTG_Set[[#This Row],[Play Singles CardMarket Profit]]/tbl_MTG_Set[[#This Row],[Play Booster Cost]]</f>
        <v/>
      </c>
      <c r="BI413" s="10">
        <f>tbl_MTG_Set[[#This Row],[Play Singles CardMarket Profit]]&gt;0</f>
        <v/>
      </c>
      <c r="BJ413" s="10" t="n"/>
      <c r="BK413" s="10" t="n"/>
      <c r="BL413" s="10">
        <f>tbl_MTG_Set[[#This Row],[Collector Booster Sell Price CardMarket]]*tbl_MTG_Set[[#This Row],[Collector Booster Expected Market Value]]/tbl_MTG_Set[[#This Row],[Collector Boost Sealed Market Value]]</f>
        <v/>
      </c>
      <c r="BM4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3" s="10">
        <f>tbl_MTG_Set[[#This Row],[Collector Singles CardMarket Profit]]/tbl_MTG_Set[[#This Row],[Collector Booster Cost]]</f>
        <v/>
      </c>
      <c r="BO413" s="10">
        <f>tbl_MTG_Set[[#This Row],[Collector Singles CardMarket Profit]]&gt;0</f>
        <v/>
      </c>
      <c r="BP4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4">
      <c r="A414" t="n">
        <v>412</v>
      </c>
      <c r="B414" t="inlineStr">
        <is>
          <t>Secret Lair Drop SLD</t>
        </is>
      </c>
      <c r="C414" t="n">
        <v>2302</v>
      </c>
      <c r="D414" s="3" t="n">
        <v>43801</v>
      </c>
      <c r="F414" t="inlineStr">
        <is>
          <t>en es fr de it pt ja ko ru 汉语 漢語</t>
        </is>
      </c>
      <c r="G414" t="n">
        <v>770</v>
      </c>
      <c r="H414">
        <f>MONTH(NOW())+12*YEAR(NOW())-MONTH(tbl_MTG_Set[[#This Row],[Released On]])-12*YEAR(tbl_MTG_Set[[#This Row],[Released On]])</f>
        <v/>
      </c>
      <c r="I414">
        <f>_xlfn.XLOOKUP(tbl_MTG_Set[[#This Row],[Type Name]], tbl_MTG_Set_Type[Set Type], tbl_MTG_Set_Type[Index], "(Set Type not found)")</f>
        <v/>
      </c>
      <c r="J414">
        <f>_xlfn.XLOOKUP(tbl_MTG_Set[[#This Row],[Type Name]], tbl_MTG_Set_Type[Set Type], tbl_MTG_Set_Type[Buy Window Month Start], "(Set Type not found)")</f>
        <v/>
      </c>
      <c r="K414" s="3">
        <f>tbl_MTG_Set[[#This Row],[Released On]]+tbl_MTG_Set[[#This Row],[Buy Window Month Start]]*365.25/12</f>
        <v/>
      </c>
      <c r="L414">
        <f>_xlfn.XLOOKUP(tbl_MTG_Set[[#This Row],[Type Name]], tbl_MTG_Set_Type[Set Type], tbl_MTG_Set_Type[Buy Window Month End], "(Set Type not found)", 0, 1)</f>
        <v/>
      </c>
      <c r="M414" s="3">
        <f>tbl_MTG_Set[[#This Row],[Released On]]+tbl_MTG_Set[[#This Row],[Buy Window Month End]]*365.25/12</f>
        <v/>
      </c>
      <c r="N414" s="3">
        <f>AND(NOW()&gt;=tbl_MTG_Set[[#This Row],[Buy Window Start]], NOW()&lt;=tbl_MTG_Set[[#This Row],[Buy Window End]])</f>
        <v/>
      </c>
      <c r="O414">
        <f>_xlfn.XLOOKUP(tbl_MTG_Set[[#This Row],[Type Name]], tbl_MTG_Set_Type[Set Type], tbl_MTG_Set_Type[Heavy Printing Window Month Start], "(Set Type not found)", 0, 1)</f>
        <v/>
      </c>
      <c r="P414" s="3">
        <f>tbl_MTG_Set[[#This Row],[Released On]]+tbl_MTG_Set[[#This Row],[Heavy Printing Window Month Start]]*365.25/12</f>
        <v/>
      </c>
      <c r="Q414">
        <f>_xlfn.XLOOKUP(tbl_MTG_Set[[#This Row],[Type Name]], tbl_MTG_Set_Type[Set Type], tbl_MTG_Set_Type[Heavy Printing Window Month End], "(Set Type not found)", 0, 1)</f>
        <v/>
      </c>
      <c r="R414" s="3">
        <f>tbl_MTG_Set[[#This Row],[Released On]]+tbl_MTG_Set[[#This Row],[Heavy Printing Window Month End]]*365.25/12</f>
        <v/>
      </c>
      <c r="S414" s="3">
        <f>AND(NOW()&gt;=tbl_MTG_Set[[#This Row],[Heavy Printing Window Start]], NOW()&lt;=tbl_MTG_Set[[#This Row],[Heavy Printing Window End]])</f>
        <v/>
      </c>
      <c r="T414">
        <f>_xlfn.XLOOKUP(tbl_MTG_Set[[#This Row],[Type Name]], tbl_MTG_Set_Type[Set Type], tbl_MTG_Set_Type[Sell Window Month Start], "(Set Type not found)", 0, 1)</f>
        <v/>
      </c>
      <c r="U414" s="3">
        <f>tbl_MTG_Set[[#This Row],[Released On]]+tbl_MTG_Set[[#This Row],[Sell Window Month Start]]*365.25/12</f>
        <v/>
      </c>
      <c r="V414">
        <f>_xlfn.XLOOKUP(tbl_MTG_Set[[#This Row],[Type Name]], tbl_MTG_Set_Type[Set Type], tbl_MTG_Set_Type[Sell Window Month End], "(Set Type not found)", 0, 1)</f>
        <v/>
      </c>
      <c r="W414" s="3">
        <f>tbl_MTG_Set[[#This Row],[Released On]]+tbl_MTG_Set[[#This Row],[Sell Window Month End]]*365.25/12</f>
        <v/>
      </c>
      <c r="X414" s="3">
        <f>AND(NOW()&gt;=tbl_MTG_Set[[#This Row],[Sell Window Start]], NOW()&lt;=tbl_MTG_Set[[#This Row],[Sell Window End]])</f>
        <v/>
      </c>
      <c r="AG414" s="10" t="n"/>
      <c r="AH414" s="10" t="n"/>
      <c r="AM414" s="10">
        <f t="array" ref="AM4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4" s="10">
        <f t="array" ref="AN4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4" s="4">
        <f>_xlfn.XLOOKUP(tbl_MTG_Set[[#This Row],[Play Booster Box Product Id]], tbl_Product[Product Id], tbl_Product[Pack Size])</f>
        <v/>
      </c>
      <c r="AP414" s="10">
        <f>(tbl_MTG_Set[[#This Row],[Play Booster Box Cost]]+v_Item_Shipping_Cost_In)/tbl_MTG_Set[[#This Row],[Play Booster Box Size]]</f>
        <v/>
      </c>
      <c r="AQ414" s="10">
        <f t="array" ref="AQ4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4" s="10" t="n"/>
      <c r="AS414" s="10" t="n"/>
      <c r="AT414" s="17">
        <f>tbl_MTG_Set[[#This Row],[Play Booster CardMarket Profit]]/tbl_MTG_Set[[#This Row],[Play Booster Cost]]</f>
        <v/>
      </c>
      <c r="AU414" s="10">
        <f>_xlfn.XLOOKUP(tbl_MTG_Set[[#This Row],[Collector Booster Box Product Id]], tbl_Product[Product Id], tbl_Product[Min Cost])</f>
        <v/>
      </c>
      <c r="AV414" s="10">
        <f>_xlfn.XLOOKUP(tbl_MTG_Set[[#This Row],[Collector Booster Box Product Id]], tbl_Product[Product Id], tbl_Product[Best Source])</f>
        <v/>
      </c>
      <c r="AW414" s="4">
        <f>_xlfn.XLOOKUP(tbl_MTG_Set[[#This Row],[Collector Booster Box Product Id]], tbl_Product[Product Id], tbl_Product[Pack Size])</f>
        <v/>
      </c>
      <c r="AX414" s="10">
        <f>(tbl_MTG_Set[[#This Row],[Collector Booster Box Cost]] + v_Item_Shipping_Cost_In) / tbl_MTG_Set[[#This Row],[Collector Booster Box Size]]</f>
        <v/>
      </c>
      <c r="AY414" s="10">
        <f t="array" ref="AY4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4" s="10" t="n"/>
      <c r="BA4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4" s="17">
        <f>tbl_MTG_Set[[#This Row],[Collector Booster CardMarket Profit]]/tbl_MTG_Set[[#This Row],[Collector Booster Cost]]</f>
        <v/>
      </c>
      <c r="BC414" s="10" t="n"/>
      <c r="BF414" s="10">
        <f>tbl_MTG_Set[[#This Row],[Play Booster Sell Price CardMarket]]*tbl_MTG_Set[[#This Row],[Play Booster Expected Market Value]]/tbl_MTG_Set[[#This Row],[Play Boost Sealed Market Value]]</f>
        <v/>
      </c>
      <c r="BG4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4" s="10">
        <f>tbl_MTG_Set[[#This Row],[Play Singles CardMarket Profit]]/tbl_MTG_Set[[#This Row],[Play Booster Cost]]</f>
        <v/>
      </c>
      <c r="BI414" s="10">
        <f>tbl_MTG_Set[[#This Row],[Play Singles CardMarket Profit]]&gt;0</f>
        <v/>
      </c>
      <c r="BJ414" s="10" t="n"/>
      <c r="BK414" s="10" t="n"/>
      <c r="BL414" s="10">
        <f>tbl_MTG_Set[[#This Row],[Collector Booster Sell Price CardMarket]]*tbl_MTG_Set[[#This Row],[Collector Booster Expected Market Value]]/tbl_MTG_Set[[#This Row],[Collector Boost Sealed Market Value]]</f>
        <v/>
      </c>
      <c r="BM4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4" s="10">
        <f>tbl_MTG_Set[[#This Row],[Collector Singles CardMarket Profit]]/tbl_MTG_Set[[#This Row],[Collector Booster Cost]]</f>
        <v/>
      </c>
      <c r="BO414" s="10">
        <f>tbl_MTG_Set[[#This Row],[Collector Singles CardMarket Profit]]&gt;0</f>
        <v/>
      </c>
      <c r="BP4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5">
      <c r="A415" t="n">
        <v>413</v>
      </c>
      <c r="B415" t="inlineStr">
        <is>
          <t>Secret Lair Showcase Planes PSSC</t>
        </is>
      </c>
      <c r="C415" t="n">
        <v>10</v>
      </c>
      <c r="D415" s="3" t="n">
        <v>45709</v>
      </c>
      <c r="F415" t="inlineStr">
        <is>
          <t>en es fr de it pt ja ko ru 汉语 漢語</t>
        </is>
      </c>
      <c r="G415" t="n">
        <v>772</v>
      </c>
      <c r="H415">
        <f>MONTH(NOW())+12*YEAR(NOW())-MONTH(tbl_MTG_Set[[#This Row],[Released On]])-12*YEAR(tbl_MTG_Set[[#This Row],[Released On]])</f>
        <v/>
      </c>
      <c r="I415">
        <f>_xlfn.XLOOKUP(tbl_MTG_Set[[#This Row],[Type Name]], tbl_MTG_Set_Type[Set Type], tbl_MTG_Set_Type[Index], "(Set Type not found)")</f>
        <v/>
      </c>
      <c r="J415">
        <f>_xlfn.XLOOKUP(tbl_MTG_Set[[#This Row],[Type Name]], tbl_MTG_Set_Type[Set Type], tbl_MTG_Set_Type[Buy Window Month Start], "(Set Type not found)")</f>
        <v/>
      </c>
      <c r="K415" s="3">
        <f>tbl_MTG_Set[[#This Row],[Released On]]+tbl_MTG_Set[[#This Row],[Buy Window Month Start]]*365.25/12</f>
        <v/>
      </c>
      <c r="L415">
        <f>_xlfn.XLOOKUP(tbl_MTG_Set[[#This Row],[Type Name]], tbl_MTG_Set_Type[Set Type], tbl_MTG_Set_Type[Buy Window Month End], "(Set Type not found)", 0, 1)</f>
        <v/>
      </c>
      <c r="M415" s="3">
        <f>tbl_MTG_Set[[#This Row],[Released On]]+tbl_MTG_Set[[#This Row],[Buy Window Month End]]*365.25/12</f>
        <v/>
      </c>
      <c r="N415" s="3">
        <f>AND(NOW()&gt;=tbl_MTG_Set[[#This Row],[Buy Window Start]], NOW()&lt;=tbl_MTG_Set[[#This Row],[Buy Window End]])</f>
        <v/>
      </c>
      <c r="O415">
        <f>_xlfn.XLOOKUP(tbl_MTG_Set[[#This Row],[Type Name]], tbl_MTG_Set_Type[Set Type], tbl_MTG_Set_Type[Heavy Printing Window Month Start], "(Set Type not found)", 0, 1)</f>
        <v/>
      </c>
      <c r="P415" s="3">
        <f>tbl_MTG_Set[[#This Row],[Released On]]+tbl_MTG_Set[[#This Row],[Heavy Printing Window Month Start]]*365.25/12</f>
        <v/>
      </c>
      <c r="Q415">
        <f>_xlfn.XLOOKUP(tbl_MTG_Set[[#This Row],[Type Name]], tbl_MTG_Set_Type[Set Type], tbl_MTG_Set_Type[Heavy Printing Window Month End], "(Set Type not found)", 0, 1)</f>
        <v/>
      </c>
      <c r="R415" s="3">
        <f>tbl_MTG_Set[[#This Row],[Released On]]+tbl_MTG_Set[[#This Row],[Heavy Printing Window Month End]]*365.25/12</f>
        <v/>
      </c>
      <c r="S415" s="3">
        <f>AND(NOW()&gt;=tbl_MTG_Set[[#This Row],[Heavy Printing Window Start]], NOW()&lt;=tbl_MTG_Set[[#This Row],[Heavy Printing Window End]])</f>
        <v/>
      </c>
      <c r="T415">
        <f>_xlfn.XLOOKUP(tbl_MTG_Set[[#This Row],[Type Name]], tbl_MTG_Set_Type[Set Type], tbl_MTG_Set_Type[Sell Window Month Start], "(Set Type not found)", 0, 1)</f>
        <v/>
      </c>
      <c r="U415" s="3">
        <f>tbl_MTG_Set[[#This Row],[Released On]]+tbl_MTG_Set[[#This Row],[Sell Window Month Start]]*365.25/12</f>
        <v/>
      </c>
      <c r="V415">
        <f>_xlfn.XLOOKUP(tbl_MTG_Set[[#This Row],[Type Name]], tbl_MTG_Set_Type[Set Type], tbl_MTG_Set_Type[Sell Window Month End], "(Set Type not found)", 0, 1)</f>
        <v/>
      </c>
      <c r="W415" s="3">
        <f>tbl_MTG_Set[[#This Row],[Released On]]+tbl_MTG_Set[[#This Row],[Sell Window Month End]]*365.25/12</f>
        <v/>
      </c>
      <c r="X415" s="3">
        <f>AND(NOW()&gt;=tbl_MTG_Set[[#This Row],[Sell Window Start]], NOW()&lt;=tbl_MTG_Set[[#This Row],[Sell Window End]])</f>
        <v/>
      </c>
      <c r="AG415" s="10" t="n"/>
      <c r="AH415" s="10" t="n"/>
      <c r="AM415" s="10">
        <f t="array" ref="AM4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5" s="10">
        <f t="array" ref="AN4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5" s="4">
        <f>_xlfn.XLOOKUP(tbl_MTG_Set[[#This Row],[Play Booster Box Product Id]], tbl_Product[Product Id], tbl_Product[Pack Size])</f>
        <v/>
      </c>
      <c r="AP415" s="10">
        <f>(tbl_MTG_Set[[#This Row],[Play Booster Box Cost]]+v_Item_Shipping_Cost_In)/tbl_MTG_Set[[#This Row],[Play Booster Box Size]]</f>
        <v/>
      </c>
      <c r="AQ415" s="10">
        <f t="array" ref="AQ4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5" s="10" t="n"/>
      <c r="AS415" s="10" t="n"/>
      <c r="AT415" s="17">
        <f>tbl_MTG_Set[[#This Row],[Play Booster CardMarket Profit]]/tbl_MTG_Set[[#This Row],[Play Booster Cost]]</f>
        <v/>
      </c>
      <c r="AU415" s="10">
        <f>_xlfn.XLOOKUP(tbl_MTG_Set[[#This Row],[Collector Booster Box Product Id]], tbl_Product[Product Id], tbl_Product[Min Cost])</f>
        <v/>
      </c>
      <c r="AV415" s="10">
        <f>_xlfn.XLOOKUP(tbl_MTG_Set[[#This Row],[Collector Booster Box Product Id]], tbl_Product[Product Id], tbl_Product[Best Source])</f>
        <v/>
      </c>
      <c r="AW415" s="4">
        <f>_xlfn.XLOOKUP(tbl_MTG_Set[[#This Row],[Collector Booster Box Product Id]], tbl_Product[Product Id], tbl_Product[Pack Size])</f>
        <v/>
      </c>
      <c r="AX415" s="10">
        <f>(tbl_MTG_Set[[#This Row],[Collector Booster Box Cost]] + v_Item_Shipping_Cost_In) / tbl_MTG_Set[[#This Row],[Collector Booster Box Size]]</f>
        <v/>
      </c>
      <c r="AY415" s="10">
        <f t="array" ref="AY4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5" s="10" t="n"/>
      <c r="BA4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5" s="17">
        <f>tbl_MTG_Set[[#This Row],[Collector Booster CardMarket Profit]]/tbl_MTG_Set[[#This Row],[Collector Booster Cost]]</f>
        <v/>
      </c>
      <c r="BC415" s="10" t="n"/>
      <c r="BF415" s="10">
        <f>tbl_MTG_Set[[#This Row],[Play Booster Sell Price CardMarket]]*tbl_MTG_Set[[#This Row],[Play Booster Expected Market Value]]/tbl_MTG_Set[[#This Row],[Play Boost Sealed Market Value]]</f>
        <v/>
      </c>
      <c r="BG4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5" s="10">
        <f>tbl_MTG_Set[[#This Row],[Play Singles CardMarket Profit]]/tbl_MTG_Set[[#This Row],[Play Booster Cost]]</f>
        <v/>
      </c>
      <c r="BI415" s="10">
        <f>tbl_MTG_Set[[#This Row],[Play Singles CardMarket Profit]]&gt;0</f>
        <v/>
      </c>
      <c r="BJ415" s="10" t="n"/>
      <c r="BK415" s="10" t="n"/>
      <c r="BL415" s="10">
        <f>tbl_MTG_Set[[#This Row],[Collector Booster Sell Price CardMarket]]*tbl_MTG_Set[[#This Row],[Collector Booster Expected Market Value]]/tbl_MTG_Set[[#This Row],[Collector Boost Sealed Market Value]]</f>
        <v/>
      </c>
      <c r="BM4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5" s="10">
        <f>tbl_MTG_Set[[#This Row],[Collector Singles CardMarket Profit]]/tbl_MTG_Set[[#This Row],[Collector Booster Cost]]</f>
        <v/>
      </c>
      <c r="BO415" s="10">
        <f>tbl_MTG_Set[[#This Row],[Collector Singles CardMarket Profit]]&gt;0</f>
        <v/>
      </c>
      <c r="BP4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6">
      <c r="A416" t="n">
        <v>414</v>
      </c>
      <c r="B416" t="inlineStr">
        <is>
          <t>Secret Lair Promo SLP</t>
        </is>
      </c>
      <c r="C416" t="n">
        <v>47</v>
      </c>
      <c r="D416" s="3" t="n">
        <v>44974</v>
      </c>
      <c r="F416" t="inlineStr">
        <is>
          <t>en es fr de it pt ja ko ru 汉语 漢語</t>
        </is>
      </c>
      <c r="G416" t="n">
        <v>774</v>
      </c>
      <c r="H416">
        <f>MONTH(NOW())+12*YEAR(NOW())-MONTH(tbl_MTG_Set[[#This Row],[Released On]])-12*YEAR(tbl_MTG_Set[[#This Row],[Released On]])</f>
        <v/>
      </c>
      <c r="I416">
        <f>_xlfn.XLOOKUP(tbl_MTG_Set[[#This Row],[Type Name]], tbl_MTG_Set_Type[Set Type], tbl_MTG_Set_Type[Index], "(Set Type not found)")</f>
        <v/>
      </c>
      <c r="J416">
        <f>_xlfn.XLOOKUP(tbl_MTG_Set[[#This Row],[Type Name]], tbl_MTG_Set_Type[Set Type], tbl_MTG_Set_Type[Buy Window Month Start], "(Set Type not found)")</f>
        <v/>
      </c>
      <c r="K416" s="3">
        <f>tbl_MTG_Set[[#This Row],[Released On]]+tbl_MTG_Set[[#This Row],[Buy Window Month Start]]*365.25/12</f>
        <v/>
      </c>
      <c r="L416">
        <f>_xlfn.XLOOKUP(tbl_MTG_Set[[#This Row],[Type Name]], tbl_MTG_Set_Type[Set Type], tbl_MTG_Set_Type[Buy Window Month End], "(Set Type not found)", 0, 1)</f>
        <v/>
      </c>
      <c r="M416" s="3">
        <f>tbl_MTG_Set[[#This Row],[Released On]]+tbl_MTG_Set[[#This Row],[Buy Window Month End]]*365.25/12</f>
        <v/>
      </c>
      <c r="N416" s="3">
        <f>AND(NOW()&gt;=tbl_MTG_Set[[#This Row],[Buy Window Start]], NOW()&lt;=tbl_MTG_Set[[#This Row],[Buy Window End]])</f>
        <v/>
      </c>
      <c r="O416">
        <f>_xlfn.XLOOKUP(tbl_MTG_Set[[#This Row],[Type Name]], tbl_MTG_Set_Type[Set Type], tbl_MTG_Set_Type[Heavy Printing Window Month Start], "(Set Type not found)", 0, 1)</f>
        <v/>
      </c>
      <c r="P416" s="3">
        <f>tbl_MTG_Set[[#This Row],[Released On]]+tbl_MTG_Set[[#This Row],[Heavy Printing Window Month Start]]*365.25/12</f>
        <v/>
      </c>
      <c r="Q416">
        <f>_xlfn.XLOOKUP(tbl_MTG_Set[[#This Row],[Type Name]], tbl_MTG_Set_Type[Set Type], tbl_MTG_Set_Type[Heavy Printing Window Month End], "(Set Type not found)", 0, 1)</f>
        <v/>
      </c>
      <c r="R416" s="3">
        <f>tbl_MTG_Set[[#This Row],[Released On]]+tbl_MTG_Set[[#This Row],[Heavy Printing Window Month End]]*365.25/12</f>
        <v/>
      </c>
      <c r="S416" s="3">
        <f>AND(NOW()&gt;=tbl_MTG_Set[[#This Row],[Heavy Printing Window Start]], NOW()&lt;=tbl_MTG_Set[[#This Row],[Heavy Printing Window End]])</f>
        <v/>
      </c>
      <c r="T416">
        <f>_xlfn.XLOOKUP(tbl_MTG_Set[[#This Row],[Type Name]], tbl_MTG_Set_Type[Set Type], tbl_MTG_Set_Type[Sell Window Month Start], "(Set Type not found)", 0, 1)</f>
        <v/>
      </c>
      <c r="U416" s="3">
        <f>tbl_MTG_Set[[#This Row],[Released On]]+tbl_MTG_Set[[#This Row],[Sell Window Month Start]]*365.25/12</f>
        <v/>
      </c>
      <c r="V416">
        <f>_xlfn.XLOOKUP(tbl_MTG_Set[[#This Row],[Type Name]], tbl_MTG_Set_Type[Set Type], tbl_MTG_Set_Type[Sell Window Month End], "(Set Type not found)", 0, 1)</f>
        <v/>
      </c>
      <c r="W416" s="3">
        <f>tbl_MTG_Set[[#This Row],[Released On]]+tbl_MTG_Set[[#This Row],[Sell Window Month End]]*365.25/12</f>
        <v/>
      </c>
      <c r="X416" s="3">
        <f>AND(NOW()&gt;=tbl_MTG_Set[[#This Row],[Sell Window Start]], NOW()&lt;=tbl_MTG_Set[[#This Row],[Sell Window End]])</f>
        <v/>
      </c>
      <c r="AG416" s="10" t="n"/>
      <c r="AH416" s="10" t="n"/>
      <c r="AM416" s="10">
        <f t="array" ref="AM4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6" s="10">
        <f t="array" ref="AN4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6" s="4">
        <f>_xlfn.XLOOKUP(tbl_MTG_Set[[#This Row],[Play Booster Box Product Id]], tbl_Product[Product Id], tbl_Product[Pack Size])</f>
        <v/>
      </c>
      <c r="AP416" s="10">
        <f>(tbl_MTG_Set[[#This Row],[Play Booster Box Cost]]+v_Item_Shipping_Cost_In)/tbl_MTG_Set[[#This Row],[Play Booster Box Size]]</f>
        <v/>
      </c>
      <c r="AQ416" s="10">
        <f t="array" ref="AQ4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6" s="10" t="n"/>
      <c r="AS416" s="10" t="n"/>
      <c r="AT416" s="17">
        <f>tbl_MTG_Set[[#This Row],[Play Booster CardMarket Profit]]/tbl_MTG_Set[[#This Row],[Play Booster Cost]]</f>
        <v/>
      </c>
      <c r="AU416" s="10">
        <f>_xlfn.XLOOKUP(tbl_MTG_Set[[#This Row],[Collector Booster Box Product Id]], tbl_Product[Product Id], tbl_Product[Min Cost])</f>
        <v/>
      </c>
      <c r="AV416" s="10">
        <f>_xlfn.XLOOKUP(tbl_MTG_Set[[#This Row],[Collector Booster Box Product Id]], tbl_Product[Product Id], tbl_Product[Best Source])</f>
        <v/>
      </c>
      <c r="AW416" s="4">
        <f>_xlfn.XLOOKUP(tbl_MTG_Set[[#This Row],[Collector Booster Box Product Id]], tbl_Product[Product Id], tbl_Product[Pack Size])</f>
        <v/>
      </c>
      <c r="AX416" s="10">
        <f>(tbl_MTG_Set[[#This Row],[Collector Booster Box Cost]] + v_Item_Shipping_Cost_In) / tbl_MTG_Set[[#This Row],[Collector Booster Box Size]]</f>
        <v/>
      </c>
      <c r="AY416" s="10">
        <f t="array" ref="AY4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6" s="10" t="n"/>
      <c r="BA4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6" s="17">
        <f>tbl_MTG_Set[[#This Row],[Collector Booster CardMarket Profit]]/tbl_MTG_Set[[#This Row],[Collector Booster Cost]]</f>
        <v/>
      </c>
      <c r="BC416" s="10" t="n"/>
      <c r="BF416" s="10">
        <f>tbl_MTG_Set[[#This Row],[Play Booster Sell Price CardMarket]]*tbl_MTG_Set[[#This Row],[Play Booster Expected Market Value]]/tbl_MTG_Set[[#This Row],[Play Boost Sealed Market Value]]</f>
        <v/>
      </c>
      <c r="BG4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6" s="10">
        <f>tbl_MTG_Set[[#This Row],[Play Singles CardMarket Profit]]/tbl_MTG_Set[[#This Row],[Play Booster Cost]]</f>
        <v/>
      </c>
      <c r="BI416" s="10">
        <f>tbl_MTG_Set[[#This Row],[Play Singles CardMarket Profit]]&gt;0</f>
        <v/>
      </c>
      <c r="BJ416" s="10" t="n"/>
      <c r="BK416" s="10" t="n"/>
      <c r="BL416" s="10">
        <f>tbl_MTG_Set[[#This Row],[Collector Booster Sell Price CardMarket]]*tbl_MTG_Set[[#This Row],[Collector Booster Expected Market Value]]/tbl_MTG_Set[[#This Row],[Collector Boost Sealed Market Value]]</f>
        <v/>
      </c>
      <c r="BM4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6" s="10">
        <f>tbl_MTG_Set[[#This Row],[Collector Singles CardMarket Profit]]/tbl_MTG_Set[[#This Row],[Collector Booster Cost]]</f>
        <v/>
      </c>
      <c r="BO416" s="10">
        <f>tbl_MTG_Set[[#This Row],[Collector Singles CardMarket Profit]]&gt;0</f>
        <v/>
      </c>
      <c r="BP4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7">
      <c r="A417" t="n">
        <v>415</v>
      </c>
      <c r="B417" t="inlineStr">
        <is>
          <t>Secret Lair Countdown SLC</t>
        </is>
      </c>
      <c r="C417" t="n">
        <v>84</v>
      </c>
      <c r="D417" s="3" t="n">
        <v>44866</v>
      </c>
      <c r="F417" t="inlineStr">
        <is>
          <t>en es fr de it pt ja ko ru 汉语 漢語</t>
        </is>
      </c>
      <c r="G417" t="n">
        <v>776</v>
      </c>
      <c r="H417">
        <f>MONTH(NOW())+12*YEAR(NOW())-MONTH(tbl_MTG_Set[[#This Row],[Released On]])-12*YEAR(tbl_MTG_Set[[#This Row],[Released On]])</f>
        <v/>
      </c>
      <c r="I417">
        <f>_xlfn.XLOOKUP(tbl_MTG_Set[[#This Row],[Type Name]], tbl_MTG_Set_Type[Set Type], tbl_MTG_Set_Type[Index], "(Set Type not found)")</f>
        <v/>
      </c>
      <c r="J417">
        <f>_xlfn.XLOOKUP(tbl_MTG_Set[[#This Row],[Type Name]], tbl_MTG_Set_Type[Set Type], tbl_MTG_Set_Type[Buy Window Month Start], "(Set Type not found)")</f>
        <v/>
      </c>
      <c r="K417" s="3">
        <f>tbl_MTG_Set[[#This Row],[Released On]]+tbl_MTG_Set[[#This Row],[Buy Window Month Start]]*365.25/12</f>
        <v/>
      </c>
      <c r="L417">
        <f>_xlfn.XLOOKUP(tbl_MTG_Set[[#This Row],[Type Name]], tbl_MTG_Set_Type[Set Type], tbl_MTG_Set_Type[Buy Window Month End], "(Set Type not found)", 0, 1)</f>
        <v/>
      </c>
      <c r="M417" s="3">
        <f>tbl_MTG_Set[[#This Row],[Released On]]+tbl_MTG_Set[[#This Row],[Buy Window Month End]]*365.25/12</f>
        <v/>
      </c>
      <c r="N417" s="3">
        <f>AND(NOW()&gt;=tbl_MTG_Set[[#This Row],[Buy Window Start]], NOW()&lt;=tbl_MTG_Set[[#This Row],[Buy Window End]])</f>
        <v/>
      </c>
      <c r="O417">
        <f>_xlfn.XLOOKUP(tbl_MTG_Set[[#This Row],[Type Name]], tbl_MTG_Set_Type[Set Type], tbl_MTG_Set_Type[Heavy Printing Window Month Start], "(Set Type not found)", 0, 1)</f>
        <v/>
      </c>
      <c r="P417" s="3">
        <f>tbl_MTG_Set[[#This Row],[Released On]]+tbl_MTG_Set[[#This Row],[Heavy Printing Window Month Start]]*365.25/12</f>
        <v/>
      </c>
      <c r="Q417">
        <f>_xlfn.XLOOKUP(tbl_MTG_Set[[#This Row],[Type Name]], tbl_MTG_Set_Type[Set Type], tbl_MTG_Set_Type[Heavy Printing Window Month End], "(Set Type not found)", 0, 1)</f>
        <v/>
      </c>
      <c r="R417" s="3">
        <f>tbl_MTG_Set[[#This Row],[Released On]]+tbl_MTG_Set[[#This Row],[Heavy Printing Window Month End]]*365.25/12</f>
        <v/>
      </c>
      <c r="S417" s="3">
        <f>AND(NOW()&gt;=tbl_MTG_Set[[#This Row],[Heavy Printing Window Start]], NOW()&lt;=tbl_MTG_Set[[#This Row],[Heavy Printing Window End]])</f>
        <v/>
      </c>
      <c r="T417">
        <f>_xlfn.XLOOKUP(tbl_MTG_Set[[#This Row],[Type Name]], tbl_MTG_Set_Type[Set Type], tbl_MTG_Set_Type[Sell Window Month Start], "(Set Type not found)", 0, 1)</f>
        <v/>
      </c>
      <c r="U417" s="3">
        <f>tbl_MTG_Set[[#This Row],[Released On]]+tbl_MTG_Set[[#This Row],[Sell Window Month Start]]*365.25/12</f>
        <v/>
      </c>
      <c r="V417">
        <f>_xlfn.XLOOKUP(tbl_MTG_Set[[#This Row],[Type Name]], tbl_MTG_Set_Type[Set Type], tbl_MTG_Set_Type[Sell Window Month End], "(Set Type not found)", 0, 1)</f>
        <v/>
      </c>
      <c r="W417" s="3">
        <f>tbl_MTG_Set[[#This Row],[Released On]]+tbl_MTG_Set[[#This Row],[Sell Window Month End]]*365.25/12</f>
        <v/>
      </c>
      <c r="X417" s="3">
        <f>AND(NOW()&gt;=tbl_MTG_Set[[#This Row],[Sell Window Start]], NOW()&lt;=tbl_MTG_Set[[#This Row],[Sell Window End]])</f>
        <v/>
      </c>
      <c r="AG417" s="10" t="n"/>
      <c r="AH417" s="10" t="n"/>
      <c r="AM417" s="10">
        <f t="array" ref="AM4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7" s="10">
        <f t="array" ref="AN4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7" s="4">
        <f>_xlfn.XLOOKUP(tbl_MTG_Set[[#This Row],[Play Booster Box Product Id]], tbl_Product[Product Id], tbl_Product[Pack Size])</f>
        <v/>
      </c>
      <c r="AP417" s="10">
        <f>(tbl_MTG_Set[[#This Row],[Play Booster Box Cost]]+v_Item_Shipping_Cost_In)/tbl_MTG_Set[[#This Row],[Play Booster Box Size]]</f>
        <v/>
      </c>
      <c r="AQ417" s="10">
        <f t="array" ref="AQ4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7" s="10" t="n"/>
      <c r="AS417" s="10" t="n"/>
      <c r="AT417" s="17">
        <f>tbl_MTG_Set[[#This Row],[Play Booster CardMarket Profit]]/tbl_MTG_Set[[#This Row],[Play Booster Cost]]</f>
        <v/>
      </c>
      <c r="AU417" s="10">
        <f>_xlfn.XLOOKUP(tbl_MTG_Set[[#This Row],[Collector Booster Box Product Id]], tbl_Product[Product Id], tbl_Product[Min Cost])</f>
        <v/>
      </c>
      <c r="AV417" s="10">
        <f>_xlfn.XLOOKUP(tbl_MTG_Set[[#This Row],[Collector Booster Box Product Id]], tbl_Product[Product Id], tbl_Product[Best Source])</f>
        <v/>
      </c>
      <c r="AW417" s="4">
        <f>_xlfn.XLOOKUP(tbl_MTG_Set[[#This Row],[Collector Booster Box Product Id]], tbl_Product[Product Id], tbl_Product[Pack Size])</f>
        <v/>
      </c>
      <c r="AX417" s="10">
        <f>(tbl_MTG_Set[[#This Row],[Collector Booster Box Cost]] + v_Item_Shipping_Cost_In) / tbl_MTG_Set[[#This Row],[Collector Booster Box Size]]</f>
        <v/>
      </c>
      <c r="AY417" s="10">
        <f t="array" ref="AY4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7" s="10" t="n"/>
      <c r="BA4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7" s="17">
        <f>tbl_MTG_Set[[#This Row],[Collector Booster CardMarket Profit]]/tbl_MTG_Set[[#This Row],[Collector Booster Cost]]</f>
        <v/>
      </c>
      <c r="BC417" s="10" t="n"/>
      <c r="BF417" s="10">
        <f>tbl_MTG_Set[[#This Row],[Play Booster Sell Price CardMarket]]*tbl_MTG_Set[[#This Row],[Play Booster Expected Market Value]]/tbl_MTG_Set[[#This Row],[Play Boost Sealed Market Value]]</f>
        <v/>
      </c>
      <c r="BG4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7" s="10">
        <f>tbl_MTG_Set[[#This Row],[Play Singles CardMarket Profit]]/tbl_MTG_Set[[#This Row],[Play Booster Cost]]</f>
        <v/>
      </c>
      <c r="BI417" s="10">
        <f>tbl_MTG_Set[[#This Row],[Play Singles CardMarket Profit]]&gt;0</f>
        <v/>
      </c>
      <c r="BJ417" s="10" t="n"/>
      <c r="BK417" s="10" t="n"/>
      <c r="BL417" s="10">
        <f>tbl_MTG_Set[[#This Row],[Collector Booster Sell Price CardMarket]]*tbl_MTG_Set[[#This Row],[Collector Booster Expected Market Value]]/tbl_MTG_Set[[#This Row],[Collector Boost Sealed Market Value]]</f>
        <v/>
      </c>
      <c r="BM4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7" s="10">
        <f>tbl_MTG_Set[[#This Row],[Collector Singles CardMarket Profit]]/tbl_MTG_Set[[#This Row],[Collector Booster Cost]]</f>
        <v/>
      </c>
      <c r="BO417" s="10">
        <f>tbl_MTG_Set[[#This Row],[Collector Singles CardMarket Profit]]&gt;0</f>
        <v/>
      </c>
      <c r="BP4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8">
      <c r="A418" t="n">
        <v>416</v>
      </c>
      <c r="B418" t="inlineStr">
        <is>
          <t>Universes Within SLX</t>
        </is>
      </c>
      <c r="C418" t="n">
        <v>30</v>
      </c>
      <c r="D418" s="3" t="n">
        <v>44623</v>
      </c>
      <c r="F418" t="inlineStr">
        <is>
          <t>en es fr de it pt ja ko ru 汉语 漢語</t>
        </is>
      </c>
      <c r="G418" t="n">
        <v>778</v>
      </c>
      <c r="H418">
        <f>MONTH(NOW())+12*YEAR(NOW())-MONTH(tbl_MTG_Set[[#This Row],[Released On]])-12*YEAR(tbl_MTG_Set[[#This Row],[Released On]])</f>
        <v/>
      </c>
      <c r="I418">
        <f>_xlfn.XLOOKUP(tbl_MTG_Set[[#This Row],[Type Name]], tbl_MTG_Set_Type[Set Type], tbl_MTG_Set_Type[Index], "(Set Type not found)")</f>
        <v/>
      </c>
      <c r="J418">
        <f>_xlfn.XLOOKUP(tbl_MTG_Set[[#This Row],[Type Name]], tbl_MTG_Set_Type[Set Type], tbl_MTG_Set_Type[Buy Window Month Start], "(Set Type not found)")</f>
        <v/>
      </c>
      <c r="K418" s="3">
        <f>tbl_MTG_Set[[#This Row],[Released On]]+tbl_MTG_Set[[#This Row],[Buy Window Month Start]]*365.25/12</f>
        <v/>
      </c>
      <c r="L418">
        <f>_xlfn.XLOOKUP(tbl_MTG_Set[[#This Row],[Type Name]], tbl_MTG_Set_Type[Set Type], tbl_MTG_Set_Type[Buy Window Month End], "(Set Type not found)", 0, 1)</f>
        <v/>
      </c>
      <c r="M418" s="3">
        <f>tbl_MTG_Set[[#This Row],[Released On]]+tbl_MTG_Set[[#This Row],[Buy Window Month End]]*365.25/12</f>
        <v/>
      </c>
      <c r="N418" s="3">
        <f>AND(NOW()&gt;=tbl_MTG_Set[[#This Row],[Buy Window Start]], NOW()&lt;=tbl_MTG_Set[[#This Row],[Buy Window End]])</f>
        <v/>
      </c>
      <c r="O418">
        <f>_xlfn.XLOOKUP(tbl_MTG_Set[[#This Row],[Type Name]], tbl_MTG_Set_Type[Set Type], tbl_MTG_Set_Type[Heavy Printing Window Month Start], "(Set Type not found)", 0, 1)</f>
        <v/>
      </c>
      <c r="P418" s="3">
        <f>tbl_MTG_Set[[#This Row],[Released On]]+tbl_MTG_Set[[#This Row],[Heavy Printing Window Month Start]]*365.25/12</f>
        <v/>
      </c>
      <c r="Q418">
        <f>_xlfn.XLOOKUP(tbl_MTG_Set[[#This Row],[Type Name]], tbl_MTG_Set_Type[Set Type], tbl_MTG_Set_Type[Heavy Printing Window Month End], "(Set Type not found)", 0, 1)</f>
        <v/>
      </c>
      <c r="R418" s="3">
        <f>tbl_MTG_Set[[#This Row],[Released On]]+tbl_MTG_Set[[#This Row],[Heavy Printing Window Month End]]*365.25/12</f>
        <v/>
      </c>
      <c r="S418" s="3">
        <f>AND(NOW()&gt;=tbl_MTG_Set[[#This Row],[Heavy Printing Window Start]], NOW()&lt;=tbl_MTG_Set[[#This Row],[Heavy Printing Window End]])</f>
        <v/>
      </c>
      <c r="T418">
        <f>_xlfn.XLOOKUP(tbl_MTG_Set[[#This Row],[Type Name]], tbl_MTG_Set_Type[Set Type], tbl_MTG_Set_Type[Sell Window Month Start], "(Set Type not found)", 0, 1)</f>
        <v/>
      </c>
      <c r="U418" s="3">
        <f>tbl_MTG_Set[[#This Row],[Released On]]+tbl_MTG_Set[[#This Row],[Sell Window Month Start]]*365.25/12</f>
        <v/>
      </c>
      <c r="V418">
        <f>_xlfn.XLOOKUP(tbl_MTG_Set[[#This Row],[Type Name]], tbl_MTG_Set_Type[Set Type], tbl_MTG_Set_Type[Sell Window Month End], "(Set Type not found)", 0, 1)</f>
        <v/>
      </c>
      <c r="W418" s="3">
        <f>tbl_MTG_Set[[#This Row],[Released On]]+tbl_MTG_Set[[#This Row],[Sell Window Month End]]*365.25/12</f>
        <v/>
      </c>
      <c r="X418" s="3">
        <f>AND(NOW()&gt;=tbl_MTG_Set[[#This Row],[Sell Window Start]], NOW()&lt;=tbl_MTG_Set[[#This Row],[Sell Window End]])</f>
        <v/>
      </c>
      <c r="AG418" s="10" t="n"/>
      <c r="AH418" s="10" t="n"/>
      <c r="AM418" s="10">
        <f t="array" ref="AM4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8" s="10">
        <f t="array" ref="AN4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8" s="4">
        <f>_xlfn.XLOOKUP(tbl_MTG_Set[[#This Row],[Play Booster Box Product Id]], tbl_Product[Product Id], tbl_Product[Pack Size])</f>
        <v/>
      </c>
      <c r="AP418" s="10">
        <f>(tbl_MTG_Set[[#This Row],[Play Booster Box Cost]]+v_Item_Shipping_Cost_In)/tbl_MTG_Set[[#This Row],[Play Booster Box Size]]</f>
        <v/>
      </c>
      <c r="AQ418" s="10">
        <f t="array" ref="AQ4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8" s="10" t="n"/>
      <c r="AS418" s="10" t="n"/>
      <c r="AT418" s="17">
        <f>tbl_MTG_Set[[#This Row],[Play Booster CardMarket Profit]]/tbl_MTG_Set[[#This Row],[Play Booster Cost]]</f>
        <v/>
      </c>
      <c r="AU418" s="10">
        <f>_xlfn.XLOOKUP(tbl_MTG_Set[[#This Row],[Collector Booster Box Product Id]], tbl_Product[Product Id], tbl_Product[Min Cost])</f>
        <v/>
      </c>
      <c r="AV418" s="10">
        <f>_xlfn.XLOOKUP(tbl_MTG_Set[[#This Row],[Collector Booster Box Product Id]], tbl_Product[Product Id], tbl_Product[Best Source])</f>
        <v/>
      </c>
      <c r="AW418" s="4">
        <f>_xlfn.XLOOKUP(tbl_MTG_Set[[#This Row],[Collector Booster Box Product Id]], tbl_Product[Product Id], tbl_Product[Pack Size])</f>
        <v/>
      </c>
      <c r="AX418" s="10">
        <f>(tbl_MTG_Set[[#This Row],[Collector Booster Box Cost]] + v_Item_Shipping_Cost_In) / tbl_MTG_Set[[#This Row],[Collector Booster Box Size]]</f>
        <v/>
      </c>
      <c r="AY418" s="10">
        <f t="array" ref="AY4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8" s="10" t="n"/>
      <c r="BA4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8" s="17">
        <f>tbl_MTG_Set[[#This Row],[Collector Booster CardMarket Profit]]/tbl_MTG_Set[[#This Row],[Collector Booster Cost]]</f>
        <v/>
      </c>
      <c r="BC418" s="10" t="n"/>
      <c r="BF418" s="10">
        <f>tbl_MTG_Set[[#This Row],[Play Booster Sell Price CardMarket]]*tbl_MTG_Set[[#This Row],[Play Booster Expected Market Value]]/tbl_MTG_Set[[#This Row],[Play Boost Sealed Market Value]]</f>
        <v/>
      </c>
      <c r="BG4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8" s="10">
        <f>tbl_MTG_Set[[#This Row],[Play Singles CardMarket Profit]]/tbl_MTG_Set[[#This Row],[Play Booster Cost]]</f>
        <v/>
      </c>
      <c r="BI418" s="10">
        <f>tbl_MTG_Set[[#This Row],[Play Singles CardMarket Profit]]&gt;0</f>
        <v/>
      </c>
      <c r="BJ418" s="10" t="n"/>
      <c r="BK418" s="10" t="n"/>
      <c r="BL418" s="10">
        <f>tbl_MTG_Set[[#This Row],[Collector Booster Sell Price CardMarket]]*tbl_MTG_Set[[#This Row],[Collector Booster Expected Market Value]]/tbl_MTG_Set[[#This Row],[Collector Boost Sealed Market Value]]</f>
        <v/>
      </c>
      <c r="BM4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8" s="10">
        <f>tbl_MTG_Set[[#This Row],[Collector Singles CardMarket Profit]]/tbl_MTG_Set[[#This Row],[Collector Booster Cost]]</f>
        <v/>
      </c>
      <c r="BO418" s="10">
        <f>tbl_MTG_Set[[#This Row],[Collector Singles CardMarket Profit]]&gt;0</f>
        <v/>
      </c>
      <c r="BP4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9">
      <c r="A419" t="n">
        <v>417</v>
      </c>
      <c r="B419" t="inlineStr">
        <is>
          <t>Secret Lair: Ultimate Edition SLU</t>
        </is>
      </c>
      <c r="C419" t="n">
        <v>16</v>
      </c>
      <c r="D419" s="3" t="n">
        <v>43980</v>
      </c>
      <c r="F419" t="inlineStr">
        <is>
          <t>en es fr de it pt ja ko ru 汉语 漢語</t>
        </is>
      </c>
      <c r="G419" t="n">
        <v>780</v>
      </c>
      <c r="H419">
        <f>MONTH(NOW())+12*YEAR(NOW())-MONTH(tbl_MTG_Set[[#This Row],[Released On]])-12*YEAR(tbl_MTG_Set[[#This Row],[Released On]])</f>
        <v/>
      </c>
      <c r="I419">
        <f>_xlfn.XLOOKUP(tbl_MTG_Set[[#This Row],[Type Name]], tbl_MTG_Set_Type[Set Type], tbl_MTG_Set_Type[Index], "(Set Type not found)")</f>
        <v/>
      </c>
      <c r="J419">
        <f>_xlfn.XLOOKUP(tbl_MTG_Set[[#This Row],[Type Name]], tbl_MTG_Set_Type[Set Type], tbl_MTG_Set_Type[Buy Window Month Start], "(Set Type not found)")</f>
        <v/>
      </c>
      <c r="K419" s="3">
        <f>tbl_MTG_Set[[#This Row],[Released On]]+tbl_MTG_Set[[#This Row],[Buy Window Month Start]]*365.25/12</f>
        <v/>
      </c>
      <c r="L419">
        <f>_xlfn.XLOOKUP(tbl_MTG_Set[[#This Row],[Type Name]], tbl_MTG_Set_Type[Set Type], tbl_MTG_Set_Type[Buy Window Month End], "(Set Type not found)", 0, 1)</f>
        <v/>
      </c>
      <c r="M419" s="3">
        <f>tbl_MTG_Set[[#This Row],[Released On]]+tbl_MTG_Set[[#This Row],[Buy Window Month End]]*365.25/12</f>
        <v/>
      </c>
      <c r="N419" s="3">
        <f>AND(NOW()&gt;=tbl_MTG_Set[[#This Row],[Buy Window Start]], NOW()&lt;=tbl_MTG_Set[[#This Row],[Buy Window End]])</f>
        <v/>
      </c>
      <c r="O419">
        <f>_xlfn.XLOOKUP(tbl_MTG_Set[[#This Row],[Type Name]], tbl_MTG_Set_Type[Set Type], tbl_MTG_Set_Type[Heavy Printing Window Month Start], "(Set Type not found)", 0, 1)</f>
        <v/>
      </c>
      <c r="P419" s="3">
        <f>tbl_MTG_Set[[#This Row],[Released On]]+tbl_MTG_Set[[#This Row],[Heavy Printing Window Month Start]]*365.25/12</f>
        <v/>
      </c>
      <c r="Q419">
        <f>_xlfn.XLOOKUP(tbl_MTG_Set[[#This Row],[Type Name]], tbl_MTG_Set_Type[Set Type], tbl_MTG_Set_Type[Heavy Printing Window Month End], "(Set Type not found)", 0, 1)</f>
        <v/>
      </c>
      <c r="R419" s="3">
        <f>tbl_MTG_Set[[#This Row],[Released On]]+tbl_MTG_Set[[#This Row],[Heavy Printing Window Month End]]*365.25/12</f>
        <v/>
      </c>
      <c r="S419" s="3">
        <f>AND(NOW()&gt;=tbl_MTG_Set[[#This Row],[Heavy Printing Window Start]], NOW()&lt;=tbl_MTG_Set[[#This Row],[Heavy Printing Window End]])</f>
        <v/>
      </c>
      <c r="T419">
        <f>_xlfn.XLOOKUP(tbl_MTG_Set[[#This Row],[Type Name]], tbl_MTG_Set_Type[Set Type], tbl_MTG_Set_Type[Sell Window Month Start], "(Set Type not found)", 0, 1)</f>
        <v/>
      </c>
      <c r="U419" s="3">
        <f>tbl_MTG_Set[[#This Row],[Released On]]+tbl_MTG_Set[[#This Row],[Sell Window Month Start]]*365.25/12</f>
        <v/>
      </c>
      <c r="V419">
        <f>_xlfn.XLOOKUP(tbl_MTG_Set[[#This Row],[Type Name]], tbl_MTG_Set_Type[Set Type], tbl_MTG_Set_Type[Sell Window Month End], "(Set Type not found)", 0, 1)</f>
        <v/>
      </c>
      <c r="W419" s="3">
        <f>tbl_MTG_Set[[#This Row],[Released On]]+tbl_MTG_Set[[#This Row],[Sell Window Month End]]*365.25/12</f>
        <v/>
      </c>
      <c r="X419" s="3">
        <f>AND(NOW()&gt;=tbl_MTG_Set[[#This Row],[Sell Window Start]], NOW()&lt;=tbl_MTG_Set[[#This Row],[Sell Window End]])</f>
        <v/>
      </c>
      <c r="AG419" s="10" t="n"/>
      <c r="AH419" s="10" t="n"/>
      <c r="AM419" s="10">
        <f t="array" ref="AM4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9" s="10">
        <f t="array" ref="AN4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9" s="4">
        <f>_xlfn.XLOOKUP(tbl_MTG_Set[[#This Row],[Play Booster Box Product Id]], tbl_Product[Product Id], tbl_Product[Pack Size])</f>
        <v/>
      </c>
      <c r="AP419" s="10">
        <f>(tbl_MTG_Set[[#This Row],[Play Booster Box Cost]]+v_Item_Shipping_Cost_In)/tbl_MTG_Set[[#This Row],[Play Booster Box Size]]</f>
        <v/>
      </c>
      <c r="AQ419" s="10">
        <f t="array" ref="AQ4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19" s="10" t="n"/>
      <c r="AS419" s="10" t="n"/>
      <c r="AT419" s="17">
        <f>tbl_MTG_Set[[#This Row],[Play Booster CardMarket Profit]]/tbl_MTG_Set[[#This Row],[Play Booster Cost]]</f>
        <v/>
      </c>
      <c r="AU419" s="10">
        <f>_xlfn.XLOOKUP(tbl_MTG_Set[[#This Row],[Collector Booster Box Product Id]], tbl_Product[Product Id], tbl_Product[Min Cost])</f>
        <v/>
      </c>
      <c r="AV419" s="10">
        <f>_xlfn.XLOOKUP(tbl_MTG_Set[[#This Row],[Collector Booster Box Product Id]], tbl_Product[Product Id], tbl_Product[Best Source])</f>
        <v/>
      </c>
      <c r="AW419" s="4">
        <f>_xlfn.XLOOKUP(tbl_MTG_Set[[#This Row],[Collector Booster Box Product Id]], tbl_Product[Product Id], tbl_Product[Pack Size])</f>
        <v/>
      </c>
      <c r="AX419" s="10">
        <f>(tbl_MTG_Set[[#This Row],[Collector Booster Box Cost]] + v_Item_Shipping_Cost_In) / tbl_MTG_Set[[#This Row],[Collector Booster Box Size]]</f>
        <v/>
      </c>
      <c r="AY419" s="10">
        <f t="array" ref="AY4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19" s="10" t="n"/>
      <c r="BA4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9" s="17">
        <f>tbl_MTG_Set[[#This Row],[Collector Booster CardMarket Profit]]/tbl_MTG_Set[[#This Row],[Collector Booster Cost]]</f>
        <v/>
      </c>
      <c r="BC419" s="10" t="n"/>
      <c r="BF419" s="10">
        <f>tbl_MTG_Set[[#This Row],[Play Booster Sell Price CardMarket]]*tbl_MTG_Set[[#This Row],[Play Booster Expected Market Value]]/tbl_MTG_Set[[#This Row],[Play Boost Sealed Market Value]]</f>
        <v/>
      </c>
      <c r="BG4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9" s="10">
        <f>tbl_MTG_Set[[#This Row],[Play Singles CardMarket Profit]]/tbl_MTG_Set[[#This Row],[Play Booster Cost]]</f>
        <v/>
      </c>
      <c r="BI419" s="10">
        <f>tbl_MTG_Set[[#This Row],[Play Singles CardMarket Profit]]&gt;0</f>
        <v/>
      </c>
      <c r="BJ419" s="10" t="n"/>
      <c r="BK419" s="10" t="n"/>
      <c r="BL419" s="10">
        <f>tbl_MTG_Set[[#This Row],[Collector Booster Sell Price CardMarket]]*tbl_MTG_Set[[#This Row],[Collector Booster Expected Market Value]]/tbl_MTG_Set[[#This Row],[Collector Boost Sealed Market Value]]</f>
        <v/>
      </c>
      <c r="BM4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9" s="10">
        <f>tbl_MTG_Set[[#This Row],[Collector Singles CardMarket Profit]]/tbl_MTG_Set[[#This Row],[Collector Booster Cost]]</f>
        <v/>
      </c>
      <c r="BO419" s="10">
        <f>tbl_MTG_Set[[#This Row],[Collector Singles CardMarket Profit]]&gt;0</f>
        <v/>
      </c>
      <c r="BP4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0">
      <c r="A420" t="n">
        <v>418</v>
      </c>
      <c r="B420" t="inlineStr">
        <is>
          <t>Historic Anthology 1 HA1</t>
        </is>
      </c>
      <c r="C420" t="n">
        <v>20</v>
      </c>
      <c r="D420" s="3" t="n">
        <v>43790</v>
      </c>
      <c r="F420" t="inlineStr">
        <is>
          <t>en es fr de it pt ja ko ru 汉语 漢語</t>
        </is>
      </c>
      <c r="G420" t="n">
        <v>782</v>
      </c>
      <c r="H420">
        <f>MONTH(NOW())+12*YEAR(NOW())-MONTH(tbl_MTG_Set[[#This Row],[Released On]])-12*YEAR(tbl_MTG_Set[[#This Row],[Released On]])</f>
        <v/>
      </c>
      <c r="I420">
        <f>_xlfn.XLOOKUP(tbl_MTG_Set[[#This Row],[Type Name]], tbl_MTG_Set_Type[Set Type], tbl_MTG_Set_Type[Index], "(Set Type not found)")</f>
        <v/>
      </c>
      <c r="J420">
        <f>_xlfn.XLOOKUP(tbl_MTG_Set[[#This Row],[Type Name]], tbl_MTG_Set_Type[Set Type], tbl_MTG_Set_Type[Buy Window Month Start], "(Set Type not found)")</f>
        <v/>
      </c>
      <c r="K420" s="3">
        <f>tbl_MTG_Set[[#This Row],[Released On]]+tbl_MTG_Set[[#This Row],[Buy Window Month Start]]*365.25/12</f>
        <v/>
      </c>
      <c r="L420">
        <f>_xlfn.XLOOKUP(tbl_MTG_Set[[#This Row],[Type Name]], tbl_MTG_Set_Type[Set Type], tbl_MTG_Set_Type[Buy Window Month End], "(Set Type not found)", 0, 1)</f>
        <v/>
      </c>
      <c r="M420" s="3">
        <f>tbl_MTG_Set[[#This Row],[Released On]]+tbl_MTG_Set[[#This Row],[Buy Window Month End]]*365.25/12</f>
        <v/>
      </c>
      <c r="N420" s="3">
        <f>AND(NOW()&gt;=tbl_MTG_Set[[#This Row],[Buy Window Start]], NOW()&lt;=tbl_MTG_Set[[#This Row],[Buy Window End]])</f>
        <v/>
      </c>
      <c r="O420">
        <f>_xlfn.XLOOKUP(tbl_MTG_Set[[#This Row],[Type Name]], tbl_MTG_Set_Type[Set Type], tbl_MTG_Set_Type[Heavy Printing Window Month Start], "(Set Type not found)", 0, 1)</f>
        <v/>
      </c>
      <c r="P420" s="3">
        <f>tbl_MTG_Set[[#This Row],[Released On]]+tbl_MTG_Set[[#This Row],[Heavy Printing Window Month Start]]*365.25/12</f>
        <v/>
      </c>
      <c r="Q420">
        <f>_xlfn.XLOOKUP(tbl_MTG_Set[[#This Row],[Type Name]], tbl_MTG_Set_Type[Set Type], tbl_MTG_Set_Type[Heavy Printing Window Month End], "(Set Type not found)", 0, 1)</f>
        <v/>
      </c>
      <c r="R420" s="3">
        <f>tbl_MTG_Set[[#This Row],[Released On]]+tbl_MTG_Set[[#This Row],[Heavy Printing Window Month End]]*365.25/12</f>
        <v/>
      </c>
      <c r="S420" s="3">
        <f>AND(NOW()&gt;=tbl_MTG_Set[[#This Row],[Heavy Printing Window Start]], NOW()&lt;=tbl_MTG_Set[[#This Row],[Heavy Printing Window End]])</f>
        <v/>
      </c>
      <c r="T420">
        <f>_xlfn.XLOOKUP(tbl_MTG_Set[[#This Row],[Type Name]], tbl_MTG_Set_Type[Set Type], tbl_MTG_Set_Type[Sell Window Month Start], "(Set Type not found)", 0, 1)</f>
        <v/>
      </c>
      <c r="U420" s="3">
        <f>tbl_MTG_Set[[#This Row],[Released On]]+tbl_MTG_Set[[#This Row],[Sell Window Month Start]]*365.25/12</f>
        <v/>
      </c>
      <c r="V420">
        <f>_xlfn.XLOOKUP(tbl_MTG_Set[[#This Row],[Type Name]], tbl_MTG_Set_Type[Set Type], tbl_MTG_Set_Type[Sell Window Month End], "(Set Type not found)", 0, 1)</f>
        <v/>
      </c>
      <c r="W420" s="3">
        <f>tbl_MTG_Set[[#This Row],[Released On]]+tbl_MTG_Set[[#This Row],[Sell Window Month End]]*365.25/12</f>
        <v/>
      </c>
      <c r="X420" s="3">
        <f>AND(NOW()&gt;=tbl_MTG_Set[[#This Row],[Sell Window Start]], NOW()&lt;=tbl_MTG_Set[[#This Row],[Sell Window End]])</f>
        <v/>
      </c>
      <c r="AG420" s="10" t="n"/>
      <c r="AH420" s="10" t="n"/>
      <c r="AM420" s="10">
        <f t="array" ref="AM4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0" s="10">
        <f t="array" ref="AN4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0" s="4">
        <f>_xlfn.XLOOKUP(tbl_MTG_Set[[#This Row],[Play Booster Box Product Id]], tbl_Product[Product Id], tbl_Product[Pack Size])</f>
        <v/>
      </c>
      <c r="AP420" s="10">
        <f>(tbl_MTG_Set[[#This Row],[Play Booster Box Cost]]+v_Item_Shipping_Cost_In)/tbl_MTG_Set[[#This Row],[Play Booster Box Size]]</f>
        <v/>
      </c>
      <c r="AQ420" s="10">
        <f t="array" ref="AQ4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0" s="10" t="n"/>
      <c r="AS420" s="10" t="n"/>
      <c r="AT420" s="17">
        <f>tbl_MTG_Set[[#This Row],[Play Booster CardMarket Profit]]/tbl_MTG_Set[[#This Row],[Play Booster Cost]]</f>
        <v/>
      </c>
      <c r="AU420" s="10">
        <f>_xlfn.XLOOKUP(tbl_MTG_Set[[#This Row],[Collector Booster Box Product Id]], tbl_Product[Product Id], tbl_Product[Min Cost])</f>
        <v/>
      </c>
      <c r="AV420" s="10">
        <f>_xlfn.XLOOKUP(tbl_MTG_Set[[#This Row],[Collector Booster Box Product Id]], tbl_Product[Product Id], tbl_Product[Best Source])</f>
        <v/>
      </c>
      <c r="AW420" s="4">
        <f>_xlfn.XLOOKUP(tbl_MTG_Set[[#This Row],[Collector Booster Box Product Id]], tbl_Product[Product Id], tbl_Product[Pack Size])</f>
        <v/>
      </c>
      <c r="AX420" s="10">
        <f>(tbl_MTG_Set[[#This Row],[Collector Booster Box Cost]] + v_Item_Shipping_Cost_In) / tbl_MTG_Set[[#This Row],[Collector Booster Box Size]]</f>
        <v/>
      </c>
      <c r="AY420" s="10">
        <f t="array" ref="AY4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0" s="10" t="n"/>
      <c r="BA4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0" s="17">
        <f>tbl_MTG_Set[[#This Row],[Collector Booster CardMarket Profit]]/tbl_MTG_Set[[#This Row],[Collector Booster Cost]]</f>
        <v/>
      </c>
      <c r="BC420" s="10" t="n"/>
      <c r="BF420" s="10">
        <f>tbl_MTG_Set[[#This Row],[Play Booster Sell Price CardMarket]]*tbl_MTG_Set[[#This Row],[Play Booster Expected Market Value]]/tbl_MTG_Set[[#This Row],[Play Boost Sealed Market Value]]</f>
        <v/>
      </c>
      <c r="BG4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0" s="10">
        <f>tbl_MTG_Set[[#This Row],[Play Singles CardMarket Profit]]/tbl_MTG_Set[[#This Row],[Play Booster Cost]]</f>
        <v/>
      </c>
      <c r="BI420" s="10">
        <f>tbl_MTG_Set[[#This Row],[Play Singles CardMarket Profit]]&gt;0</f>
        <v/>
      </c>
      <c r="BJ420" s="10" t="n"/>
      <c r="BK420" s="10" t="n"/>
      <c r="BL420" s="10">
        <f>tbl_MTG_Set[[#This Row],[Collector Booster Sell Price CardMarket]]*tbl_MTG_Set[[#This Row],[Collector Booster Expected Market Value]]/tbl_MTG_Set[[#This Row],[Collector Boost Sealed Market Value]]</f>
        <v/>
      </c>
      <c r="BM4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0" s="10">
        <f>tbl_MTG_Set[[#This Row],[Collector Singles CardMarket Profit]]/tbl_MTG_Set[[#This Row],[Collector Booster Cost]]</f>
        <v/>
      </c>
      <c r="BO420" s="10">
        <f>tbl_MTG_Set[[#This Row],[Collector Singles CardMarket Profit]]&gt;0</f>
        <v/>
      </c>
      <c r="BP4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1">
      <c r="A421" t="n">
        <v>419</v>
      </c>
      <c r="B421" t="inlineStr">
        <is>
          <t>Game Night 2019 GN2</t>
        </is>
      </c>
      <c r="C421" t="n">
        <v>64</v>
      </c>
      <c r="D421" s="3" t="n">
        <v>43784</v>
      </c>
      <c r="F421" t="inlineStr">
        <is>
          <t>en es fr de it pt ja ko ru 汉语 漢語</t>
        </is>
      </c>
      <c r="G421" t="n">
        <v>784</v>
      </c>
      <c r="H421">
        <f>MONTH(NOW())+12*YEAR(NOW())-MONTH(tbl_MTG_Set[[#This Row],[Released On]])-12*YEAR(tbl_MTG_Set[[#This Row],[Released On]])</f>
        <v/>
      </c>
      <c r="I421">
        <f>_xlfn.XLOOKUP(tbl_MTG_Set[[#This Row],[Type Name]], tbl_MTG_Set_Type[Set Type], tbl_MTG_Set_Type[Index], "(Set Type not found)")</f>
        <v/>
      </c>
      <c r="J421">
        <f>_xlfn.XLOOKUP(tbl_MTG_Set[[#This Row],[Type Name]], tbl_MTG_Set_Type[Set Type], tbl_MTG_Set_Type[Buy Window Month Start], "(Set Type not found)")</f>
        <v/>
      </c>
      <c r="K421" s="3">
        <f>tbl_MTG_Set[[#This Row],[Released On]]+tbl_MTG_Set[[#This Row],[Buy Window Month Start]]*365.25/12</f>
        <v/>
      </c>
      <c r="L421">
        <f>_xlfn.XLOOKUP(tbl_MTG_Set[[#This Row],[Type Name]], tbl_MTG_Set_Type[Set Type], tbl_MTG_Set_Type[Buy Window Month End], "(Set Type not found)", 0, 1)</f>
        <v/>
      </c>
      <c r="M421" s="3">
        <f>tbl_MTG_Set[[#This Row],[Released On]]+tbl_MTG_Set[[#This Row],[Buy Window Month End]]*365.25/12</f>
        <v/>
      </c>
      <c r="N421" s="3">
        <f>AND(NOW()&gt;=tbl_MTG_Set[[#This Row],[Buy Window Start]], NOW()&lt;=tbl_MTG_Set[[#This Row],[Buy Window End]])</f>
        <v/>
      </c>
      <c r="O421">
        <f>_xlfn.XLOOKUP(tbl_MTG_Set[[#This Row],[Type Name]], tbl_MTG_Set_Type[Set Type], tbl_MTG_Set_Type[Heavy Printing Window Month Start], "(Set Type not found)", 0, 1)</f>
        <v/>
      </c>
      <c r="P421" s="3">
        <f>tbl_MTG_Set[[#This Row],[Released On]]+tbl_MTG_Set[[#This Row],[Heavy Printing Window Month Start]]*365.25/12</f>
        <v/>
      </c>
      <c r="Q421">
        <f>_xlfn.XLOOKUP(tbl_MTG_Set[[#This Row],[Type Name]], tbl_MTG_Set_Type[Set Type], tbl_MTG_Set_Type[Heavy Printing Window Month End], "(Set Type not found)", 0, 1)</f>
        <v/>
      </c>
      <c r="R421" s="3">
        <f>tbl_MTG_Set[[#This Row],[Released On]]+tbl_MTG_Set[[#This Row],[Heavy Printing Window Month End]]*365.25/12</f>
        <v/>
      </c>
      <c r="S421" s="3">
        <f>AND(NOW()&gt;=tbl_MTG_Set[[#This Row],[Heavy Printing Window Start]], NOW()&lt;=tbl_MTG_Set[[#This Row],[Heavy Printing Window End]])</f>
        <v/>
      </c>
      <c r="T421">
        <f>_xlfn.XLOOKUP(tbl_MTG_Set[[#This Row],[Type Name]], tbl_MTG_Set_Type[Set Type], tbl_MTG_Set_Type[Sell Window Month Start], "(Set Type not found)", 0, 1)</f>
        <v/>
      </c>
      <c r="U421" s="3">
        <f>tbl_MTG_Set[[#This Row],[Released On]]+tbl_MTG_Set[[#This Row],[Sell Window Month Start]]*365.25/12</f>
        <v/>
      </c>
      <c r="V421">
        <f>_xlfn.XLOOKUP(tbl_MTG_Set[[#This Row],[Type Name]], tbl_MTG_Set_Type[Set Type], tbl_MTG_Set_Type[Sell Window Month End], "(Set Type not found)", 0, 1)</f>
        <v/>
      </c>
      <c r="W421" s="3">
        <f>tbl_MTG_Set[[#This Row],[Released On]]+tbl_MTG_Set[[#This Row],[Sell Window Month End]]*365.25/12</f>
        <v/>
      </c>
      <c r="X421" s="3">
        <f>AND(NOW()&gt;=tbl_MTG_Set[[#This Row],[Sell Window Start]], NOW()&lt;=tbl_MTG_Set[[#This Row],[Sell Window End]])</f>
        <v/>
      </c>
      <c r="AG421" s="10" t="n"/>
      <c r="AH421" s="10" t="n"/>
      <c r="AM421" s="10">
        <f t="array" ref="AM4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1" s="10">
        <f t="array" ref="AN4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1" s="4">
        <f>_xlfn.XLOOKUP(tbl_MTG_Set[[#This Row],[Play Booster Box Product Id]], tbl_Product[Product Id], tbl_Product[Pack Size])</f>
        <v/>
      </c>
      <c r="AP421" s="10">
        <f>(tbl_MTG_Set[[#This Row],[Play Booster Box Cost]]+v_Item_Shipping_Cost_In)/tbl_MTG_Set[[#This Row],[Play Booster Box Size]]</f>
        <v/>
      </c>
      <c r="AQ421" s="10">
        <f t="array" ref="AQ4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1" s="10" t="n"/>
      <c r="AS421" s="10" t="n"/>
      <c r="AT421" s="17">
        <f>tbl_MTG_Set[[#This Row],[Play Booster CardMarket Profit]]/tbl_MTG_Set[[#This Row],[Play Booster Cost]]</f>
        <v/>
      </c>
      <c r="AU421" s="10">
        <f>_xlfn.XLOOKUP(tbl_MTG_Set[[#This Row],[Collector Booster Box Product Id]], tbl_Product[Product Id], tbl_Product[Min Cost])</f>
        <v/>
      </c>
      <c r="AV421" s="10">
        <f>_xlfn.XLOOKUP(tbl_MTG_Set[[#This Row],[Collector Booster Box Product Id]], tbl_Product[Product Id], tbl_Product[Best Source])</f>
        <v/>
      </c>
      <c r="AW421" s="4">
        <f>_xlfn.XLOOKUP(tbl_MTG_Set[[#This Row],[Collector Booster Box Product Id]], tbl_Product[Product Id], tbl_Product[Pack Size])</f>
        <v/>
      </c>
      <c r="AX421" s="10">
        <f>(tbl_MTG_Set[[#This Row],[Collector Booster Box Cost]] + v_Item_Shipping_Cost_In) / tbl_MTG_Set[[#This Row],[Collector Booster Box Size]]</f>
        <v/>
      </c>
      <c r="AY421" s="10">
        <f t="array" ref="AY4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1" s="10" t="n"/>
      <c r="BA4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1" s="17">
        <f>tbl_MTG_Set[[#This Row],[Collector Booster CardMarket Profit]]/tbl_MTG_Set[[#This Row],[Collector Booster Cost]]</f>
        <v/>
      </c>
      <c r="BC421" s="10" t="n"/>
      <c r="BF421" s="10">
        <f>tbl_MTG_Set[[#This Row],[Play Booster Sell Price CardMarket]]*tbl_MTG_Set[[#This Row],[Play Booster Expected Market Value]]/tbl_MTG_Set[[#This Row],[Play Boost Sealed Market Value]]</f>
        <v/>
      </c>
      <c r="BG4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1" s="10">
        <f>tbl_MTG_Set[[#This Row],[Play Singles CardMarket Profit]]/tbl_MTG_Set[[#This Row],[Play Booster Cost]]</f>
        <v/>
      </c>
      <c r="BI421" s="10">
        <f>tbl_MTG_Set[[#This Row],[Play Singles CardMarket Profit]]&gt;0</f>
        <v/>
      </c>
      <c r="BJ421" s="10" t="n"/>
      <c r="BK421" s="10" t="n"/>
      <c r="BL421" s="10">
        <f>tbl_MTG_Set[[#This Row],[Collector Booster Sell Price CardMarket]]*tbl_MTG_Set[[#This Row],[Collector Booster Expected Market Value]]/tbl_MTG_Set[[#This Row],[Collector Boost Sealed Market Value]]</f>
        <v/>
      </c>
      <c r="BM4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1" s="10">
        <f>tbl_MTG_Set[[#This Row],[Collector Singles CardMarket Profit]]/tbl_MTG_Set[[#This Row],[Collector Booster Cost]]</f>
        <v/>
      </c>
      <c r="BO421" s="10">
        <f>tbl_MTG_Set[[#This Row],[Collector Singles CardMarket Profit]]&gt;0</f>
        <v/>
      </c>
      <c r="BP4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2">
      <c r="A422" t="n">
        <v>420</v>
      </c>
      <c r="B422" t="inlineStr">
        <is>
          <t>Game Night 2019 Tokens TGN2</t>
        </is>
      </c>
      <c r="C422" t="n">
        <v>3</v>
      </c>
      <c r="D422" s="3" t="n">
        <v>43784</v>
      </c>
      <c r="F422" t="inlineStr">
        <is>
          <t>en es fr de it pt ja ko ru 汉语 漢語</t>
        </is>
      </c>
      <c r="G422" t="n">
        <v>786</v>
      </c>
      <c r="H422">
        <f>MONTH(NOW())+12*YEAR(NOW())-MONTH(tbl_MTG_Set[[#This Row],[Released On]])-12*YEAR(tbl_MTG_Set[[#This Row],[Released On]])</f>
        <v/>
      </c>
      <c r="I422">
        <f>_xlfn.XLOOKUP(tbl_MTG_Set[[#This Row],[Type Name]], tbl_MTG_Set_Type[Set Type], tbl_MTG_Set_Type[Index], "(Set Type not found)")</f>
        <v/>
      </c>
      <c r="J422">
        <f>_xlfn.XLOOKUP(tbl_MTG_Set[[#This Row],[Type Name]], tbl_MTG_Set_Type[Set Type], tbl_MTG_Set_Type[Buy Window Month Start], "(Set Type not found)")</f>
        <v/>
      </c>
      <c r="K422" s="3">
        <f>tbl_MTG_Set[[#This Row],[Released On]]+tbl_MTG_Set[[#This Row],[Buy Window Month Start]]*365.25/12</f>
        <v/>
      </c>
      <c r="L422">
        <f>_xlfn.XLOOKUP(tbl_MTG_Set[[#This Row],[Type Name]], tbl_MTG_Set_Type[Set Type], tbl_MTG_Set_Type[Buy Window Month End], "(Set Type not found)", 0, 1)</f>
        <v/>
      </c>
      <c r="M422" s="3">
        <f>tbl_MTG_Set[[#This Row],[Released On]]+tbl_MTG_Set[[#This Row],[Buy Window Month End]]*365.25/12</f>
        <v/>
      </c>
      <c r="N422" s="3">
        <f>AND(NOW()&gt;=tbl_MTG_Set[[#This Row],[Buy Window Start]], NOW()&lt;=tbl_MTG_Set[[#This Row],[Buy Window End]])</f>
        <v/>
      </c>
      <c r="O422">
        <f>_xlfn.XLOOKUP(tbl_MTG_Set[[#This Row],[Type Name]], tbl_MTG_Set_Type[Set Type], tbl_MTG_Set_Type[Heavy Printing Window Month Start], "(Set Type not found)", 0, 1)</f>
        <v/>
      </c>
      <c r="P422" s="3">
        <f>tbl_MTG_Set[[#This Row],[Released On]]+tbl_MTG_Set[[#This Row],[Heavy Printing Window Month Start]]*365.25/12</f>
        <v/>
      </c>
      <c r="Q422">
        <f>_xlfn.XLOOKUP(tbl_MTG_Set[[#This Row],[Type Name]], tbl_MTG_Set_Type[Set Type], tbl_MTG_Set_Type[Heavy Printing Window Month End], "(Set Type not found)", 0, 1)</f>
        <v/>
      </c>
      <c r="R422" s="3">
        <f>tbl_MTG_Set[[#This Row],[Released On]]+tbl_MTG_Set[[#This Row],[Heavy Printing Window Month End]]*365.25/12</f>
        <v/>
      </c>
      <c r="S422" s="3">
        <f>AND(NOW()&gt;=tbl_MTG_Set[[#This Row],[Heavy Printing Window Start]], NOW()&lt;=tbl_MTG_Set[[#This Row],[Heavy Printing Window End]])</f>
        <v/>
      </c>
      <c r="T422">
        <f>_xlfn.XLOOKUP(tbl_MTG_Set[[#This Row],[Type Name]], tbl_MTG_Set_Type[Set Type], tbl_MTG_Set_Type[Sell Window Month Start], "(Set Type not found)", 0, 1)</f>
        <v/>
      </c>
      <c r="U422" s="3">
        <f>tbl_MTG_Set[[#This Row],[Released On]]+tbl_MTG_Set[[#This Row],[Sell Window Month Start]]*365.25/12</f>
        <v/>
      </c>
      <c r="V422">
        <f>_xlfn.XLOOKUP(tbl_MTG_Set[[#This Row],[Type Name]], tbl_MTG_Set_Type[Set Type], tbl_MTG_Set_Type[Sell Window Month End], "(Set Type not found)", 0, 1)</f>
        <v/>
      </c>
      <c r="W422" s="3">
        <f>tbl_MTG_Set[[#This Row],[Released On]]+tbl_MTG_Set[[#This Row],[Sell Window Month End]]*365.25/12</f>
        <v/>
      </c>
      <c r="X422" s="3">
        <f>AND(NOW()&gt;=tbl_MTG_Set[[#This Row],[Sell Window Start]], NOW()&lt;=tbl_MTG_Set[[#This Row],[Sell Window End]])</f>
        <v/>
      </c>
      <c r="AG422" s="10" t="n"/>
      <c r="AH422" s="10" t="n"/>
      <c r="AM422" s="10">
        <f t="array" ref="AM4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2" s="10">
        <f t="array" ref="AN4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2" s="4">
        <f>_xlfn.XLOOKUP(tbl_MTG_Set[[#This Row],[Play Booster Box Product Id]], tbl_Product[Product Id], tbl_Product[Pack Size])</f>
        <v/>
      </c>
      <c r="AP422" s="10">
        <f>(tbl_MTG_Set[[#This Row],[Play Booster Box Cost]]+v_Item_Shipping_Cost_In)/tbl_MTG_Set[[#This Row],[Play Booster Box Size]]</f>
        <v/>
      </c>
      <c r="AQ422" s="10">
        <f t="array" ref="AQ4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2" s="10" t="n"/>
      <c r="AS422" s="10" t="n"/>
      <c r="AT422" s="17">
        <f>tbl_MTG_Set[[#This Row],[Play Booster CardMarket Profit]]/tbl_MTG_Set[[#This Row],[Play Booster Cost]]</f>
        <v/>
      </c>
      <c r="AU422" s="10">
        <f>_xlfn.XLOOKUP(tbl_MTG_Set[[#This Row],[Collector Booster Box Product Id]], tbl_Product[Product Id], tbl_Product[Min Cost])</f>
        <v/>
      </c>
      <c r="AV422" s="10">
        <f>_xlfn.XLOOKUP(tbl_MTG_Set[[#This Row],[Collector Booster Box Product Id]], tbl_Product[Product Id], tbl_Product[Best Source])</f>
        <v/>
      </c>
      <c r="AW422" s="4">
        <f>_xlfn.XLOOKUP(tbl_MTG_Set[[#This Row],[Collector Booster Box Product Id]], tbl_Product[Product Id], tbl_Product[Pack Size])</f>
        <v/>
      </c>
      <c r="AX422" s="10">
        <f>(tbl_MTG_Set[[#This Row],[Collector Booster Box Cost]] + v_Item_Shipping_Cost_In) / tbl_MTG_Set[[#This Row],[Collector Booster Box Size]]</f>
        <v/>
      </c>
      <c r="AY422" s="10">
        <f t="array" ref="AY4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2" s="10" t="n"/>
      <c r="BA4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2" s="17">
        <f>tbl_MTG_Set[[#This Row],[Collector Booster CardMarket Profit]]/tbl_MTG_Set[[#This Row],[Collector Booster Cost]]</f>
        <v/>
      </c>
      <c r="BC422" s="10" t="n"/>
      <c r="BF422" s="10">
        <f>tbl_MTG_Set[[#This Row],[Play Booster Sell Price CardMarket]]*tbl_MTG_Set[[#This Row],[Play Booster Expected Market Value]]/tbl_MTG_Set[[#This Row],[Play Boost Sealed Market Value]]</f>
        <v/>
      </c>
      <c r="BG4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2" s="10">
        <f>tbl_MTG_Set[[#This Row],[Play Singles CardMarket Profit]]/tbl_MTG_Set[[#This Row],[Play Booster Cost]]</f>
        <v/>
      </c>
      <c r="BI422" s="10">
        <f>tbl_MTG_Set[[#This Row],[Play Singles CardMarket Profit]]&gt;0</f>
        <v/>
      </c>
      <c r="BJ422" s="10" t="n"/>
      <c r="BK422" s="10" t="n"/>
      <c r="BL422" s="10">
        <f>tbl_MTG_Set[[#This Row],[Collector Booster Sell Price CardMarket]]*tbl_MTG_Set[[#This Row],[Collector Booster Expected Market Value]]/tbl_MTG_Set[[#This Row],[Collector Boost Sealed Market Value]]</f>
        <v/>
      </c>
      <c r="BM4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2" s="10">
        <f>tbl_MTG_Set[[#This Row],[Collector Singles CardMarket Profit]]/tbl_MTG_Set[[#This Row],[Collector Booster Cost]]</f>
        <v/>
      </c>
      <c r="BO422" s="10">
        <f>tbl_MTG_Set[[#This Row],[Collector Singles CardMarket Profit]]&gt;0</f>
        <v/>
      </c>
      <c r="BP4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3">
      <c r="A423" t="n">
        <v>421</v>
      </c>
      <c r="B423" t="inlineStr">
        <is>
          <t>Mystery Booster Playtest Cards 2019 CMB1</t>
        </is>
      </c>
      <c r="C423" t="n">
        <v>121</v>
      </c>
      <c r="D423" s="3" t="n">
        <v>43776</v>
      </c>
      <c r="F423" t="inlineStr">
        <is>
          <t>en es fr de it pt ja ko ru 汉语 漢語</t>
        </is>
      </c>
      <c r="G423" t="n">
        <v>788</v>
      </c>
      <c r="H423">
        <f>MONTH(NOW())+12*YEAR(NOW())-MONTH(tbl_MTG_Set[[#This Row],[Released On]])-12*YEAR(tbl_MTG_Set[[#This Row],[Released On]])</f>
        <v/>
      </c>
      <c r="I423">
        <f>_xlfn.XLOOKUP(tbl_MTG_Set[[#This Row],[Type Name]], tbl_MTG_Set_Type[Set Type], tbl_MTG_Set_Type[Index], "(Set Type not found)")</f>
        <v/>
      </c>
      <c r="J423">
        <f>_xlfn.XLOOKUP(tbl_MTG_Set[[#This Row],[Type Name]], tbl_MTG_Set_Type[Set Type], tbl_MTG_Set_Type[Buy Window Month Start], "(Set Type not found)")</f>
        <v/>
      </c>
      <c r="K423" s="3">
        <f>tbl_MTG_Set[[#This Row],[Released On]]+tbl_MTG_Set[[#This Row],[Buy Window Month Start]]*365.25/12</f>
        <v/>
      </c>
      <c r="L423">
        <f>_xlfn.XLOOKUP(tbl_MTG_Set[[#This Row],[Type Name]], tbl_MTG_Set_Type[Set Type], tbl_MTG_Set_Type[Buy Window Month End], "(Set Type not found)", 0, 1)</f>
        <v/>
      </c>
      <c r="M423" s="3">
        <f>tbl_MTG_Set[[#This Row],[Released On]]+tbl_MTG_Set[[#This Row],[Buy Window Month End]]*365.25/12</f>
        <v/>
      </c>
      <c r="N423" s="3">
        <f>AND(NOW()&gt;=tbl_MTG_Set[[#This Row],[Buy Window Start]], NOW()&lt;=tbl_MTG_Set[[#This Row],[Buy Window End]])</f>
        <v/>
      </c>
      <c r="O423">
        <f>_xlfn.XLOOKUP(tbl_MTG_Set[[#This Row],[Type Name]], tbl_MTG_Set_Type[Set Type], tbl_MTG_Set_Type[Heavy Printing Window Month Start], "(Set Type not found)", 0, 1)</f>
        <v/>
      </c>
      <c r="P423" s="3">
        <f>tbl_MTG_Set[[#This Row],[Released On]]+tbl_MTG_Set[[#This Row],[Heavy Printing Window Month Start]]*365.25/12</f>
        <v/>
      </c>
      <c r="Q423">
        <f>_xlfn.XLOOKUP(tbl_MTG_Set[[#This Row],[Type Name]], tbl_MTG_Set_Type[Set Type], tbl_MTG_Set_Type[Heavy Printing Window Month End], "(Set Type not found)", 0, 1)</f>
        <v/>
      </c>
      <c r="R423" s="3">
        <f>tbl_MTG_Set[[#This Row],[Released On]]+tbl_MTG_Set[[#This Row],[Heavy Printing Window Month End]]*365.25/12</f>
        <v/>
      </c>
      <c r="S423" s="3">
        <f>AND(NOW()&gt;=tbl_MTG_Set[[#This Row],[Heavy Printing Window Start]], NOW()&lt;=tbl_MTG_Set[[#This Row],[Heavy Printing Window End]])</f>
        <v/>
      </c>
      <c r="T423">
        <f>_xlfn.XLOOKUP(tbl_MTG_Set[[#This Row],[Type Name]], tbl_MTG_Set_Type[Set Type], tbl_MTG_Set_Type[Sell Window Month Start], "(Set Type not found)", 0, 1)</f>
        <v/>
      </c>
      <c r="U423" s="3">
        <f>tbl_MTG_Set[[#This Row],[Released On]]+tbl_MTG_Set[[#This Row],[Sell Window Month Start]]*365.25/12</f>
        <v/>
      </c>
      <c r="V423">
        <f>_xlfn.XLOOKUP(tbl_MTG_Set[[#This Row],[Type Name]], tbl_MTG_Set_Type[Set Type], tbl_MTG_Set_Type[Sell Window Month End], "(Set Type not found)", 0, 1)</f>
        <v/>
      </c>
      <c r="W423" s="3">
        <f>tbl_MTG_Set[[#This Row],[Released On]]+tbl_MTG_Set[[#This Row],[Sell Window Month End]]*365.25/12</f>
        <v/>
      </c>
      <c r="X423" s="3">
        <f>AND(NOW()&gt;=tbl_MTG_Set[[#This Row],[Sell Window Start]], NOW()&lt;=tbl_MTG_Set[[#This Row],[Sell Window End]])</f>
        <v/>
      </c>
      <c r="AG423" s="10" t="n"/>
      <c r="AH423" s="10" t="n"/>
      <c r="AM423" s="10">
        <f t="array" ref="AM4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3" s="10">
        <f t="array" ref="AN4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3" s="4">
        <f>_xlfn.XLOOKUP(tbl_MTG_Set[[#This Row],[Play Booster Box Product Id]], tbl_Product[Product Id], tbl_Product[Pack Size])</f>
        <v/>
      </c>
      <c r="AP423" s="10">
        <f>(tbl_MTG_Set[[#This Row],[Play Booster Box Cost]]+v_Item_Shipping_Cost_In)/tbl_MTG_Set[[#This Row],[Play Booster Box Size]]</f>
        <v/>
      </c>
      <c r="AQ423" s="10">
        <f t="array" ref="AQ4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3" s="10" t="n"/>
      <c r="AS423" s="10" t="n"/>
      <c r="AT423" s="17">
        <f>tbl_MTG_Set[[#This Row],[Play Booster CardMarket Profit]]/tbl_MTG_Set[[#This Row],[Play Booster Cost]]</f>
        <v/>
      </c>
      <c r="AU423" s="10">
        <f>_xlfn.XLOOKUP(tbl_MTG_Set[[#This Row],[Collector Booster Box Product Id]], tbl_Product[Product Id], tbl_Product[Min Cost])</f>
        <v/>
      </c>
      <c r="AV423" s="10">
        <f>_xlfn.XLOOKUP(tbl_MTG_Set[[#This Row],[Collector Booster Box Product Id]], tbl_Product[Product Id], tbl_Product[Best Source])</f>
        <v/>
      </c>
      <c r="AW423" s="4">
        <f>_xlfn.XLOOKUP(tbl_MTG_Set[[#This Row],[Collector Booster Box Product Id]], tbl_Product[Product Id], tbl_Product[Pack Size])</f>
        <v/>
      </c>
      <c r="AX423" s="10">
        <f>(tbl_MTG_Set[[#This Row],[Collector Booster Box Cost]] + v_Item_Shipping_Cost_In) / tbl_MTG_Set[[#This Row],[Collector Booster Box Size]]</f>
        <v/>
      </c>
      <c r="AY423" s="10">
        <f t="array" ref="AY4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3" s="10" t="n"/>
      <c r="BA4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3" s="17">
        <f>tbl_MTG_Set[[#This Row],[Collector Booster CardMarket Profit]]/tbl_MTG_Set[[#This Row],[Collector Booster Cost]]</f>
        <v/>
      </c>
      <c r="BC423" s="10" t="n"/>
      <c r="BF423" s="10">
        <f>tbl_MTG_Set[[#This Row],[Play Booster Sell Price CardMarket]]*tbl_MTG_Set[[#This Row],[Play Booster Expected Market Value]]/tbl_MTG_Set[[#This Row],[Play Boost Sealed Market Value]]</f>
        <v/>
      </c>
      <c r="BG4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3" s="10">
        <f>tbl_MTG_Set[[#This Row],[Play Singles CardMarket Profit]]/tbl_MTG_Set[[#This Row],[Play Booster Cost]]</f>
        <v/>
      </c>
      <c r="BI423" s="10">
        <f>tbl_MTG_Set[[#This Row],[Play Singles CardMarket Profit]]&gt;0</f>
        <v/>
      </c>
      <c r="BJ423" s="10" t="n"/>
      <c r="BK423" s="10" t="n"/>
      <c r="BL423" s="10">
        <f>tbl_MTG_Set[[#This Row],[Collector Booster Sell Price CardMarket]]*tbl_MTG_Set[[#This Row],[Collector Booster Expected Market Value]]/tbl_MTG_Set[[#This Row],[Collector Boost Sealed Market Value]]</f>
        <v/>
      </c>
      <c r="BM4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3" s="10">
        <f>tbl_MTG_Set[[#This Row],[Collector Singles CardMarket Profit]]/tbl_MTG_Set[[#This Row],[Collector Booster Cost]]</f>
        <v/>
      </c>
      <c r="BO423" s="10">
        <f>tbl_MTG_Set[[#This Row],[Collector Singles CardMarket Profit]]&gt;0</f>
        <v/>
      </c>
      <c r="BP4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4">
      <c r="A424" t="n">
        <v>422</v>
      </c>
      <c r="B424" t="inlineStr">
        <is>
          <t>Ponies: The Galloping PTG</t>
        </is>
      </c>
      <c r="C424" t="n">
        <v>3</v>
      </c>
      <c r="D424" s="3" t="n">
        <v>43760</v>
      </c>
      <c r="F424" t="inlineStr">
        <is>
          <t>en es fr de it pt ja ko ru 汉语 漢語</t>
        </is>
      </c>
      <c r="G424" t="n">
        <v>790</v>
      </c>
      <c r="H424">
        <f>MONTH(NOW())+12*YEAR(NOW())-MONTH(tbl_MTG_Set[[#This Row],[Released On]])-12*YEAR(tbl_MTG_Set[[#This Row],[Released On]])</f>
        <v/>
      </c>
      <c r="I424">
        <f>_xlfn.XLOOKUP(tbl_MTG_Set[[#This Row],[Type Name]], tbl_MTG_Set_Type[Set Type], tbl_MTG_Set_Type[Index], "(Set Type not found)")</f>
        <v/>
      </c>
      <c r="J424">
        <f>_xlfn.XLOOKUP(tbl_MTG_Set[[#This Row],[Type Name]], tbl_MTG_Set_Type[Set Type], tbl_MTG_Set_Type[Buy Window Month Start], "(Set Type not found)")</f>
        <v/>
      </c>
      <c r="K424" s="3">
        <f>tbl_MTG_Set[[#This Row],[Released On]]+tbl_MTG_Set[[#This Row],[Buy Window Month Start]]*365.25/12</f>
        <v/>
      </c>
      <c r="L424">
        <f>_xlfn.XLOOKUP(tbl_MTG_Set[[#This Row],[Type Name]], tbl_MTG_Set_Type[Set Type], tbl_MTG_Set_Type[Buy Window Month End], "(Set Type not found)", 0, 1)</f>
        <v/>
      </c>
      <c r="M424" s="3">
        <f>tbl_MTG_Set[[#This Row],[Released On]]+tbl_MTG_Set[[#This Row],[Buy Window Month End]]*365.25/12</f>
        <v/>
      </c>
      <c r="N424" s="3">
        <f>AND(NOW()&gt;=tbl_MTG_Set[[#This Row],[Buy Window Start]], NOW()&lt;=tbl_MTG_Set[[#This Row],[Buy Window End]])</f>
        <v/>
      </c>
      <c r="O424">
        <f>_xlfn.XLOOKUP(tbl_MTG_Set[[#This Row],[Type Name]], tbl_MTG_Set_Type[Set Type], tbl_MTG_Set_Type[Heavy Printing Window Month Start], "(Set Type not found)", 0, 1)</f>
        <v/>
      </c>
      <c r="P424" s="3">
        <f>tbl_MTG_Set[[#This Row],[Released On]]+tbl_MTG_Set[[#This Row],[Heavy Printing Window Month Start]]*365.25/12</f>
        <v/>
      </c>
      <c r="Q424">
        <f>_xlfn.XLOOKUP(tbl_MTG_Set[[#This Row],[Type Name]], tbl_MTG_Set_Type[Set Type], tbl_MTG_Set_Type[Heavy Printing Window Month End], "(Set Type not found)", 0, 1)</f>
        <v/>
      </c>
      <c r="R424" s="3">
        <f>tbl_MTG_Set[[#This Row],[Released On]]+tbl_MTG_Set[[#This Row],[Heavy Printing Window Month End]]*365.25/12</f>
        <v/>
      </c>
      <c r="S424" s="3">
        <f>AND(NOW()&gt;=tbl_MTG_Set[[#This Row],[Heavy Printing Window Start]], NOW()&lt;=tbl_MTG_Set[[#This Row],[Heavy Printing Window End]])</f>
        <v/>
      </c>
      <c r="T424">
        <f>_xlfn.XLOOKUP(tbl_MTG_Set[[#This Row],[Type Name]], tbl_MTG_Set_Type[Set Type], tbl_MTG_Set_Type[Sell Window Month Start], "(Set Type not found)", 0, 1)</f>
        <v/>
      </c>
      <c r="U424" s="3">
        <f>tbl_MTG_Set[[#This Row],[Released On]]+tbl_MTG_Set[[#This Row],[Sell Window Month Start]]*365.25/12</f>
        <v/>
      </c>
      <c r="V424">
        <f>_xlfn.XLOOKUP(tbl_MTG_Set[[#This Row],[Type Name]], tbl_MTG_Set_Type[Set Type], tbl_MTG_Set_Type[Sell Window Month End], "(Set Type not found)", 0, 1)</f>
        <v/>
      </c>
      <c r="W424" s="3">
        <f>tbl_MTG_Set[[#This Row],[Released On]]+tbl_MTG_Set[[#This Row],[Sell Window Month End]]*365.25/12</f>
        <v/>
      </c>
      <c r="X424" s="3">
        <f>AND(NOW()&gt;=tbl_MTG_Set[[#This Row],[Sell Window Start]], NOW()&lt;=tbl_MTG_Set[[#This Row],[Sell Window End]])</f>
        <v/>
      </c>
      <c r="AG424" s="10" t="n"/>
      <c r="AH424" s="10" t="n"/>
      <c r="AM424" s="10">
        <f t="array" ref="AM4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4" s="10">
        <f t="array" ref="AN4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4" s="4">
        <f>_xlfn.XLOOKUP(tbl_MTG_Set[[#This Row],[Play Booster Box Product Id]], tbl_Product[Product Id], tbl_Product[Pack Size])</f>
        <v/>
      </c>
      <c r="AP424" s="10">
        <f>(tbl_MTG_Set[[#This Row],[Play Booster Box Cost]]+v_Item_Shipping_Cost_In)/tbl_MTG_Set[[#This Row],[Play Booster Box Size]]</f>
        <v/>
      </c>
      <c r="AQ424" s="10">
        <f t="array" ref="AQ4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4" s="10" t="n"/>
      <c r="AS424" s="10" t="n"/>
      <c r="AT424" s="17">
        <f>tbl_MTG_Set[[#This Row],[Play Booster CardMarket Profit]]/tbl_MTG_Set[[#This Row],[Play Booster Cost]]</f>
        <v/>
      </c>
      <c r="AU424" s="10">
        <f>_xlfn.XLOOKUP(tbl_MTG_Set[[#This Row],[Collector Booster Box Product Id]], tbl_Product[Product Id], tbl_Product[Min Cost])</f>
        <v/>
      </c>
      <c r="AV424" s="10">
        <f>_xlfn.XLOOKUP(tbl_MTG_Set[[#This Row],[Collector Booster Box Product Id]], tbl_Product[Product Id], tbl_Product[Best Source])</f>
        <v/>
      </c>
      <c r="AW424" s="4">
        <f>_xlfn.XLOOKUP(tbl_MTG_Set[[#This Row],[Collector Booster Box Product Id]], tbl_Product[Product Id], tbl_Product[Pack Size])</f>
        <v/>
      </c>
      <c r="AX424" s="10">
        <f>(tbl_MTG_Set[[#This Row],[Collector Booster Box Cost]] + v_Item_Shipping_Cost_In) / tbl_MTG_Set[[#This Row],[Collector Booster Box Size]]</f>
        <v/>
      </c>
      <c r="AY424" s="10">
        <f t="array" ref="AY4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4" s="10" t="n"/>
      <c r="BA4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4" s="17">
        <f>tbl_MTG_Set[[#This Row],[Collector Booster CardMarket Profit]]/tbl_MTG_Set[[#This Row],[Collector Booster Cost]]</f>
        <v/>
      </c>
      <c r="BC424" s="10" t="n"/>
      <c r="BF424" s="10">
        <f>tbl_MTG_Set[[#This Row],[Play Booster Sell Price CardMarket]]*tbl_MTG_Set[[#This Row],[Play Booster Expected Market Value]]/tbl_MTG_Set[[#This Row],[Play Boost Sealed Market Value]]</f>
        <v/>
      </c>
      <c r="BG4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4" s="10">
        <f>tbl_MTG_Set[[#This Row],[Play Singles CardMarket Profit]]/tbl_MTG_Set[[#This Row],[Play Booster Cost]]</f>
        <v/>
      </c>
      <c r="BI424" s="10">
        <f>tbl_MTG_Set[[#This Row],[Play Singles CardMarket Profit]]&gt;0</f>
        <v/>
      </c>
      <c r="BJ424" s="10" t="n"/>
      <c r="BK424" s="10" t="n"/>
      <c r="BL424" s="10">
        <f>tbl_MTG_Set[[#This Row],[Collector Booster Sell Price CardMarket]]*tbl_MTG_Set[[#This Row],[Collector Booster Expected Market Value]]/tbl_MTG_Set[[#This Row],[Collector Boost Sealed Market Value]]</f>
        <v/>
      </c>
      <c r="BM4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4" s="10">
        <f>tbl_MTG_Set[[#This Row],[Collector Singles CardMarket Profit]]/tbl_MTG_Set[[#This Row],[Collector Booster Cost]]</f>
        <v/>
      </c>
      <c r="BO424" s="10">
        <f>tbl_MTG_Set[[#This Row],[Collector Singles CardMarket Profit]]&gt;0</f>
        <v/>
      </c>
      <c r="BP4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5">
      <c r="A425" t="n">
        <v>423</v>
      </c>
      <c r="B425" t="inlineStr">
        <is>
          <t>Throne of Eldraine ELD</t>
        </is>
      </c>
      <c r="C425" t="n">
        <v>398</v>
      </c>
      <c r="D425" s="3" t="n">
        <v>43742</v>
      </c>
      <c r="E425" t="inlineStr">
        <is>
          <t>Standard Expansion</t>
        </is>
      </c>
      <c r="F425" t="inlineStr">
        <is>
          <t>en es fr de it pt ja ko ru 汉语 漢語</t>
        </is>
      </c>
      <c r="G425" t="n">
        <v>792</v>
      </c>
      <c r="H425">
        <f>MONTH(NOW())+12*YEAR(NOW())-MONTH(tbl_MTG_Set[[#This Row],[Released On]])-12*YEAR(tbl_MTG_Set[[#This Row],[Released On]])</f>
        <v/>
      </c>
      <c r="I425">
        <f>_xlfn.XLOOKUP(tbl_MTG_Set[[#This Row],[Type Name]], tbl_MTG_Set_Type[Set Type], tbl_MTG_Set_Type[Index], "(Set Type not found)")</f>
        <v/>
      </c>
      <c r="J425">
        <f>_xlfn.XLOOKUP(tbl_MTG_Set[[#This Row],[Type Name]], tbl_MTG_Set_Type[Set Type], tbl_MTG_Set_Type[Buy Window Month Start], "(Set Type not found)")</f>
        <v/>
      </c>
      <c r="K425" s="3">
        <f>tbl_MTG_Set[[#This Row],[Released On]]+tbl_MTG_Set[[#This Row],[Buy Window Month Start]]*365.25/12</f>
        <v/>
      </c>
      <c r="L425">
        <f>_xlfn.XLOOKUP(tbl_MTG_Set[[#This Row],[Type Name]], tbl_MTG_Set_Type[Set Type], tbl_MTG_Set_Type[Buy Window Month End], "(Set Type not found)", 0, 1)</f>
        <v/>
      </c>
      <c r="M425" s="3">
        <f>tbl_MTG_Set[[#This Row],[Released On]]+tbl_MTG_Set[[#This Row],[Buy Window Month End]]*365.25/12</f>
        <v/>
      </c>
      <c r="N425" s="3">
        <f>AND(NOW()&gt;=tbl_MTG_Set[[#This Row],[Buy Window Start]], NOW()&lt;=tbl_MTG_Set[[#This Row],[Buy Window End]])</f>
        <v/>
      </c>
      <c r="O425">
        <f>_xlfn.XLOOKUP(tbl_MTG_Set[[#This Row],[Type Name]], tbl_MTG_Set_Type[Set Type], tbl_MTG_Set_Type[Heavy Printing Window Month Start], "(Set Type not found)", 0, 1)</f>
        <v/>
      </c>
      <c r="P425" s="3">
        <f>tbl_MTG_Set[[#This Row],[Released On]]+tbl_MTG_Set[[#This Row],[Heavy Printing Window Month Start]]*365.25/12</f>
        <v/>
      </c>
      <c r="Q425">
        <f>_xlfn.XLOOKUP(tbl_MTG_Set[[#This Row],[Type Name]], tbl_MTG_Set_Type[Set Type], tbl_MTG_Set_Type[Heavy Printing Window Month End], "(Set Type not found)", 0, 1)</f>
        <v/>
      </c>
      <c r="R425" s="3">
        <f>tbl_MTG_Set[[#This Row],[Released On]]+tbl_MTG_Set[[#This Row],[Heavy Printing Window Month End]]*365.25/12</f>
        <v/>
      </c>
      <c r="S425" s="3">
        <f>AND(NOW()&gt;=tbl_MTG_Set[[#This Row],[Heavy Printing Window Start]], NOW()&lt;=tbl_MTG_Set[[#This Row],[Heavy Printing Window End]])</f>
        <v/>
      </c>
      <c r="T425">
        <f>_xlfn.XLOOKUP(tbl_MTG_Set[[#This Row],[Type Name]], tbl_MTG_Set_Type[Set Type], tbl_MTG_Set_Type[Sell Window Month Start], "(Set Type not found)", 0, 1)</f>
        <v/>
      </c>
      <c r="U425" s="3">
        <f>tbl_MTG_Set[[#This Row],[Released On]]+tbl_MTG_Set[[#This Row],[Sell Window Month Start]]*365.25/12</f>
        <v/>
      </c>
      <c r="V425">
        <f>_xlfn.XLOOKUP(tbl_MTG_Set[[#This Row],[Type Name]], tbl_MTG_Set_Type[Set Type], tbl_MTG_Set_Type[Sell Window Month End], "(Set Type not found)", 0, 1)</f>
        <v/>
      </c>
      <c r="W425" s="3">
        <f>tbl_MTG_Set[[#This Row],[Released On]]+tbl_MTG_Set[[#This Row],[Sell Window Month End]]*365.25/12</f>
        <v/>
      </c>
      <c r="X425" s="3">
        <f>AND(NOW()&gt;=tbl_MTG_Set[[#This Row],[Sell Window Start]], NOW()&lt;=tbl_MTG_Set[[#This Row],[Sell Window End]])</f>
        <v/>
      </c>
      <c r="Y425" s="10" t="n">
        <v>167</v>
      </c>
      <c r="Z425" s="10" t="n">
        <v>93</v>
      </c>
      <c r="AD425" s="10">
        <f>(Y425+96/20)/36</f>
        <v/>
      </c>
      <c r="AE425" s="10">
        <f>(Z425+96/20)/36</f>
        <v/>
      </c>
      <c r="AG425" s="10" t="n"/>
      <c r="AH425" s="10" t="n"/>
      <c r="AI425" s="4" t="n">
        <v>55</v>
      </c>
      <c r="AJ425" s="4" t="n">
        <v>10</v>
      </c>
      <c r="AK425" s="4" t="n">
        <v>144</v>
      </c>
      <c r="AL425" s="4" t="n">
        <v>143</v>
      </c>
      <c r="AM425" s="10">
        <f t="array" ref="AM4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5" s="10">
        <f t="array" ref="AN4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5" s="4">
        <f>_xlfn.XLOOKUP(tbl_MTG_Set[[#This Row],[Play Booster Box Product Id]], tbl_Product[Product Id], tbl_Product[Pack Size])</f>
        <v/>
      </c>
      <c r="AP425" s="10">
        <f>(tbl_MTG_Set[[#This Row],[Play Booster Box Cost]]+v_Item_Shipping_Cost_In)/tbl_MTG_Set[[#This Row],[Play Booster Box Size]]</f>
        <v/>
      </c>
      <c r="AQ425" s="10">
        <f t="array" ref="AQ4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5" s="10" t="n">
        <v>6</v>
      </c>
      <c r="AS42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425" s="17">
        <f>tbl_MTG_Set[[#This Row],[Play Booster CardMarket Profit]]/tbl_MTG_Set[[#This Row],[Play Booster Cost]]</f>
        <v/>
      </c>
      <c r="AU425" s="10">
        <f>_xlfn.XLOOKUP(tbl_MTG_Set[[#This Row],[Collector Booster Box Product Id]], tbl_Product[Product Id], tbl_Product[Min Cost])</f>
        <v/>
      </c>
      <c r="AV425" s="10">
        <f>_xlfn.XLOOKUP(tbl_MTG_Set[[#This Row],[Collector Booster Box Product Id]], tbl_Product[Product Id], tbl_Product[Best Source])</f>
        <v/>
      </c>
      <c r="AW425" s="4">
        <f>_xlfn.XLOOKUP(tbl_MTG_Set[[#This Row],[Collector Booster Box Product Id]], tbl_Product[Product Id], tbl_Product[Pack Size])</f>
        <v/>
      </c>
      <c r="AX425" s="10">
        <f>(tbl_MTG_Set[[#This Row],[Collector Booster Box Cost]] + v_Item_Shipping_Cost_In) / tbl_MTG_Set[[#This Row],[Collector Booster Box Size]]</f>
        <v/>
      </c>
      <c r="AY425" s="10">
        <f t="array" ref="AY4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5" s="10" t="n"/>
      <c r="BA4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5" s="17">
        <f>tbl_MTG_Set[[#This Row],[Collector Booster CardMarket Profit]]/tbl_MTG_Set[[#This Row],[Collector Booster Cost]]</f>
        <v/>
      </c>
      <c r="BC425" s="10" t="n"/>
      <c r="BF425" s="10">
        <f>tbl_MTG_Set[[#This Row],[Play Booster Sell Price CardMarket]]*tbl_MTG_Set[[#This Row],[Play Booster Expected Market Value]]/tbl_MTG_Set[[#This Row],[Play Boost Sealed Market Value]]</f>
        <v/>
      </c>
      <c r="BG4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5" s="17">
        <f>tbl_MTG_Set[[#This Row],[Play Singles CardMarket Profit]]/tbl_MTG_Set[[#This Row],[Play Booster Cost]]</f>
        <v/>
      </c>
      <c r="BI425" s="10">
        <f>tbl_MTG_Set[[#This Row],[Play Singles CardMarket Profit]]&gt;0</f>
        <v/>
      </c>
      <c r="BJ425" s="10" t="n"/>
      <c r="BK425" s="10" t="n"/>
      <c r="BL425" s="10">
        <f>tbl_MTG_Set[[#This Row],[Collector Booster Sell Price CardMarket]]*tbl_MTG_Set[[#This Row],[Collector Booster Expected Market Value]]/tbl_MTG_Set[[#This Row],[Collector Boost Sealed Market Value]]</f>
        <v/>
      </c>
      <c r="BM4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5" s="17">
        <f>tbl_MTG_Set[[#This Row],[Collector Singles CardMarket Profit]]/tbl_MTG_Set[[#This Row],[Collector Booster Cost]]</f>
        <v/>
      </c>
      <c r="BO425" s="10">
        <f>tbl_MTG_Set[[#This Row],[Collector Singles CardMarket Profit]]&gt;0</f>
        <v/>
      </c>
      <c r="BP4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5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6">
      <c r="A426" t="n">
        <v>424</v>
      </c>
      <c r="B426" t="inlineStr">
        <is>
          <t>Throne of Eldraine Promos PELD</t>
        </is>
      </c>
      <c r="C426" t="n">
        <v>138</v>
      </c>
      <c r="D426" s="3" t="n">
        <v>43742</v>
      </c>
      <c r="E426" t="inlineStr">
        <is>
          <t>Standard Expansion</t>
        </is>
      </c>
      <c r="F426" t="inlineStr">
        <is>
          <t>en es fr de it pt ja ko ru 汉语 漢語</t>
        </is>
      </c>
      <c r="G426" t="n">
        <v>794</v>
      </c>
      <c r="H426">
        <f>MONTH(NOW())+12*YEAR(NOW())-MONTH(tbl_MTG_Set[[#This Row],[Released On]])-12*YEAR(tbl_MTG_Set[[#This Row],[Released On]])</f>
        <v/>
      </c>
      <c r="I426">
        <f>_xlfn.XLOOKUP(tbl_MTG_Set[[#This Row],[Type Name]], tbl_MTG_Set_Type[Set Type], tbl_MTG_Set_Type[Index], "(Set Type not found)")</f>
        <v/>
      </c>
      <c r="J426">
        <f>_xlfn.XLOOKUP(tbl_MTG_Set[[#This Row],[Type Name]], tbl_MTG_Set_Type[Set Type], tbl_MTG_Set_Type[Buy Window Month Start], "(Set Type not found)")</f>
        <v/>
      </c>
      <c r="K426" s="3">
        <f>tbl_MTG_Set[[#This Row],[Released On]]+tbl_MTG_Set[[#This Row],[Buy Window Month Start]]*365.25/12</f>
        <v/>
      </c>
      <c r="L426">
        <f>_xlfn.XLOOKUP(tbl_MTG_Set[[#This Row],[Type Name]], tbl_MTG_Set_Type[Set Type], tbl_MTG_Set_Type[Buy Window Month End], "(Set Type not found)", 0, 1)</f>
        <v/>
      </c>
      <c r="M426" s="3">
        <f>tbl_MTG_Set[[#This Row],[Released On]]+tbl_MTG_Set[[#This Row],[Buy Window Month End]]*365.25/12</f>
        <v/>
      </c>
      <c r="N426" s="3">
        <f>AND(NOW()&gt;=tbl_MTG_Set[[#This Row],[Buy Window Start]], NOW()&lt;=tbl_MTG_Set[[#This Row],[Buy Window End]])</f>
        <v/>
      </c>
      <c r="O426">
        <f>_xlfn.XLOOKUP(tbl_MTG_Set[[#This Row],[Type Name]], tbl_MTG_Set_Type[Set Type], tbl_MTG_Set_Type[Heavy Printing Window Month Start], "(Set Type not found)", 0, 1)</f>
        <v/>
      </c>
      <c r="P426" s="3">
        <f>tbl_MTG_Set[[#This Row],[Released On]]+tbl_MTG_Set[[#This Row],[Heavy Printing Window Month Start]]*365.25/12</f>
        <v/>
      </c>
      <c r="Q426">
        <f>_xlfn.XLOOKUP(tbl_MTG_Set[[#This Row],[Type Name]], tbl_MTG_Set_Type[Set Type], tbl_MTG_Set_Type[Heavy Printing Window Month End], "(Set Type not found)", 0, 1)</f>
        <v/>
      </c>
      <c r="R426" s="3">
        <f>tbl_MTG_Set[[#This Row],[Released On]]+tbl_MTG_Set[[#This Row],[Heavy Printing Window Month End]]*365.25/12</f>
        <v/>
      </c>
      <c r="S426" s="3">
        <f>AND(NOW()&gt;=tbl_MTG_Set[[#This Row],[Heavy Printing Window Start]], NOW()&lt;=tbl_MTG_Set[[#This Row],[Heavy Printing Window End]])</f>
        <v/>
      </c>
      <c r="T426">
        <f>_xlfn.XLOOKUP(tbl_MTG_Set[[#This Row],[Type Name]], tbl_MTG_Set_Type[Set Type], tbl_MTG_Set_Type[Sell Window Month Start], "(Set Type not found)", 0, 1)</f>
        <v/>
      </c>
      <c r="U426" s="3">
        <f>tbl_MTG_Set[[#This Row],[Released On]]+tbl_MTG_Set[[#This Row],[Sell Window Month Start]]*365.25/12</f>
        <v/>
      </c>
      <c r="V426">
        <f>_xlfn.XLOOKUP(tbl_MTG_Set[[#This Row],[Type Name]], tbl_MTG_Set_Type[Set Type], tbl_MTG_Set_Type[Sell Window Month End], "(Set Type not found)", 0, 1)</f>
        <v/>
      </c>
      <c r="W426" s="3">
        <f>tbl_MTG_Set[[#This Row],[Released On]]+tbl_MTG_Set[[#This Row],[Sell Window Month End]]*365.25/12</f>
        <v/>
      </c>
      <c r="X426" s="3">
        <f>AND(NOW()&gt;=tbl_MTG_Set[[#This Row],[Sell Window Start]], NOW()&lt;=tbl_MTG_Set[[#This Row],[Sell Window End]])</f>
        <v/>
      </c>
      <c r="AG426" s="10" t="n"/>
      <c r="AH426" s="10" t="n"/>
      <c r="AM426" s="10">
        <f t="array" ref="AM4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6" s="10">
        <f t="array" ref="AN4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6" s="4">
        <f>_xlfn.XLOOKUP(tbl_MTG_Set[[#This Row],[Play Booster Box Product Id]], tbl_Product[Product Id], tbl_Product[Pack Size])</f>
        <v/>
      </c>
      <c r="AP426" s="10">
        <f>(tbl_MTG_Set[[#This Row],[Play Booster Box Cost]]+v_Item_Shipping_Cost_In)/tbl_MTG_Set[[#This Row],[Play Booster Box Size]]</f>
        <v/>
      </c>
      <c r="AQ426" s="10">
        <f t="array" ref="AQ4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6" s="10" t="n"/>
      <c r="AS426" s="10" t="n"/>
      <c r="AT426" s="17">
        <f>tbl_MTG_Set[[#This Row],[Play Booster CardMarket Profit]]/tbl_MTG_Set[[#This Row],[Play Booster Cost]]</f>
        <v/>
      </c>
      <c r="AU426" s="10">
        <f>_xlfn.XLOOKUP(tbl_MTG_Set[[#This Row],[Collector Booster Box Product Id]], tbl_Product[Product Id], tbl_Product[Min Cost])</f>
        <v/>
      </c>
      <c r="AV426" s="10">
        <f>_xlfn.XLOOKUP(tbl_MTG_Set[[#This Row],[Collector Booster Box Product Id]], tbl_Product[Product Id], tbl_Product[Best Source])</f>
        <v/>
      </c>
      <c r="AW426" s="4">
        <f>_xlfn.XLOOKUP(tbl_MTG_Set[[#This Row],[Collector Booster Box Product Id]], tbl_Product[Product Id], tbl_Product[Pack Size])</f>
        <v/>
      </c>
      <c r="AX426" s="10">
        <f>(tbl_MTG_Set[[#This Row],[Collector Booster Box Cost]] + v_Item_Shipping_Cost_In) / tbl_MTG_Set[[#This Row],[Collector Booster Box Size]]</f>
        <v/>
      </c>
      <c r="AY426" s="10">
        <f t="array" ref="AY4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6" s="10" t="n"/>
      <c r="BA4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6" s="17">
        <f>tbl_MTG_Set[[#This Row],[Collector Booster CardMarket Profit]]/tbl_MTG_Set[[#This Row],[Collector Booster Cost]]</f>
        <v/>
      </c>
      <c r="BC426" s="10" t="n"/>
      <c r="BF426" s="10">
        <f>tbl_MTG_Set[[#This Row],[Play Booster Sell Price CardMarket]]*tbl_MTG_Set[[#This Row],[Play Booster Expected Market Value]]/tbl_MTG_Set[[#This Row],[Play Boost Sealed Market Value]]</f>
        <v/>
      </c>
      <c r="BG4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6" s="10">
        <f>tbl_MTG_Set[[#This Row],[Play Singles CardMarket Profit]]/tbl_MTG_Set[[#This Row],[Play Booster Cost]]</f>
        <v/>
      </c>
      <c r="BI426" s="10">
        <f>tbl_MTG_Set[[#This Row],[Play Singles CardMarket Profit]]&gt;0</f>
        <v/>
      </c>
      <c r="BJ426" s="10" t="n"/>
      <c r="BK426" s="10" t="n"/>
      <c r="BL426" s="10">
        <f>tbl_MTG_Set[[#This Row],[Collector Booster Sell Price CardMarket]]*tbl_MTG_Set[[#This Row],[Collector Booster Expected Market Value]]/tbl_MTG_Set[[#This Row],[Collector Boost Sealed Market Value]]</f>
        <v/>
      </c>
      <c r="BM4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6" s="10">
        <f>tbl_MTG_Set[[#This Row],[Collector Singles CardMarket Profit]]/tbl_MTG_Set[[#This Row],[Collector Booster Cost]]</f>
        <v/>
      </c>
      <c r="BO426" s="10">
        <f>tbl_MTG_Set[[#This Row],[Collector Singles CardMarket Profit]]&gt;0</f>
        <v/>
      </c>
      <c r="BP4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7">
      <c r="A427" t="n">
        <v>425</v>
      </c>
      <c r="B427" t="inlineStr">
        <is>
          <t>Throne of Eldraine Tokens TELD</t>
        </is>
      </c>
      <c r="C427" t="n">
        <v>20</v>
      </c>
      <c r="D427" s="3" t="n">
        <v>43742</v>
      </c>
      <c r="E427" t="inlineStr">
        <is>
          <t>Standard Expansion</t>
        </is>
      </c>
      <c r="F427" t="inlineStr">
        <is>
          <t>en es fr de it pt ja ko ru 汉语 漢語</t>
        </is>
      </c>
      <c r="G427" t="n">
        <v>796</v>
      </c>
      <c r="H427">
        <f>MONTH(NOW())+12*YEAR(NOW())-MONTH(tbl_MTG_Set[[#This Row],[Released On]])-12*YEAR(tbl_MTG_Set[[#This Row],[Released On]])</f>
        <v/>
      </c>
      <c r="I427">
        <f>_xlfn.XLOOKUP(tbl_MTG_Set[[#This Row],[Type Name]], tbl_MTG_Set_Type[Set Type], tbl_MTG_Set_Type[Index], "(Set Type not found)")</f>
        <v/>
      </c>
      <c r="J427">
        <f>_xlfn.XLOOKUP(tbl_MTG_Set[[#This Row],[Type Name]], tbl_MTG_Set_Type[Set Type], tbl_MTG_Set_Type[Buy Window Month Start], "(Set Type not found)")</f>
        <v/>
      </c>
      <c r="K427" s="3">
        <f>tbl_MTG_Set[[#This Row],[Released On]]+tbl_MTG_Set[[#This Row],[Buy Window Month Start]]*365.25/12</f>
        <v/>
      </c>
      <c r="L427">
        <f>_xlfn.XLOOKUP(tbl_MTG_Set[[#This Row],[Type Name]], tbl_MTG_Set_Type[Set Type], tbl_MTG_Set_Type[Buy Window Month End], "(Set Type not found)", 0, 1)</f>
        <v/>
      </c>
      <c r="M427" s="3">
        <f>tbl_MTG_Set[[#This Row],[Released On]]+tbl_MTG_Set[[#This Row],[Buy Window Month End]]*365.25/12</f>
        <v/>
      </c>
      <c r="N427" s="3">
        <f>AND(NOW()&gt;=tbl_MTG_Set[[#This Row],[Buy Window Start]], NOW()&lt;=tbl_MTG_Set[[#This Row],[Buy Window End]])</f>
        <v/>
      </c>
      <c r="O427">
        <f>_xlfn.XLOOKUP(tbl_MTG_Set[[#This Row],[Type Name]], tbl_MTG_Set_Type[Set Type], tbl_MTG_Set_Type[Heavy Printing Window Month Start], "(Set Type not found)", 0, 1)</f>
        <v/>
      </c>
      <c r="P427" s="3">
        <f>tbl_MTG_Set[[#This Row],[Released On]]+tbl_MTG_Set[[#This Row],[Heavy Printing Window Month Start]]*365.25/12</f>
        <v/>
      </c>
      <c r="Q427">
        <f>_xlfn.XLOOKUP(tbl_MTG_Set[[#This Row],[Type Name]], tbl_MTG_Set_Type[Set Type], tbl_MTG_Set_Type[Heavy Printing Window Month End], "(Set Type not found)", 0, 1)</f>
        <v/>
      </c>
      <c r="R427" s="3">
        <f>tbl_MTG_Set[[#This Row],[Released On]]+tbl_MTG_Set[[#This Row],[Heavy Printing Window Month End]]*365.25/12</f>
        <v/>
      </c>
      <c r="S427" s="3">
        <f>AND(NOW()&gt;=tbl_MTG_Set[[#This Row],[Heavy Printing Window Start]], NOW()&lt;=tbl_MTG_Set[[#This Row],[Heavy Printing Window End]])</f>
        <v/>
      </c>
      <c r="T427">
        <f>_xlfn.XLOOKUP(tbl_MTG_Set[[#This Row],[Type Name]], tbl_MTG_Set_Type[Set Type], tbl_MTG_Set_Type[Sell Window Month Start], "(Set Type not found)", 0, 1)</f>
        <v/>
      </c>
      <c r="U427" s="3">
        <f>tbl_MTG_Set[[#This Row],[Released On]]+tbl_MTG_Set[[#This Row],[Sell Window Month Start]]*365.25/12</f>
        <v/>
      </c>
      <c r="V427">
        <f>_xlfn.XLOOKUP(tbl_MTG_Set[[#This Row],[Type Name]], tbl_MTG_Set_Type[Set Type], tbl_MTG_Set_Type[Sell Window Month End], "(Set Type not found)", 0, 1)</f>
        <v/>
      </c>
      <c r="W427" s="3">
        <f>tbl_MTG_Set[[#This Row],[Released On]]+tbl_MTG_Set[[#This Row],[Sell Window Month End]]*365.25/12</f>
        <v/>
      </c>
      <c r="X427" s="3">
        <f>AND(NOW()&gt;=tbl_MTG_Set[[#This Row],[Sell Window Start]], NOW()&lt;=tbl_MTG_Set[[#This Row],[Sell Window End]])</f>
        <v/>
      </c>
      <c r="AG427" s="10" t="n"/>
      <c r="AH427" s="10" t="n"/>
      <c r="AM427" s="10">
        <f t="array" ref="AM4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7" s="10">
        <f t="array" ref="AN4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7" s="4">
        <f>_xlfn.XLOOKUP(tbl_MTG_Set[[#This Row],[Play Booster Box Product Id]], tbl_Product[Product Id], tbl_Product[Pack Size])</f>
        <v/>
      </c>
      <c r="AP427" s="10">
        <f>(tbl_MTG_Set[[#This Row],[Play Booster Box Cost]]+v_Item_Shipping_Cost_In)/tbl_MTG_Set[[#This Row],[Play Booster Box Size]]</f>
        <v/>
      </c>
      <c r="AQ427" s="10">
        <f t="array" ref="AQ4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7" s="10" t="n"/>
      <c r="AS427" s="10" t="n"/>
      <c r="AT427" s="17">
        <f>tbl_MTG_Set[[#This Row],[Play Booster CardMarket Profit]]/tbl_MTG_Set[[#This Row],[Play Booster Cost]]</f>
        <v/>
      </c>
      <c r="AU427" s="10">
        <f>_xlfn.XLOOKUP(tbl_MTG_Set[[#This Row],[Collector Booster Box Product Id]], tbl_Product[Product Id], tbl_Product[Min Cost])</f>
        <v/>
      </c>
      <c r="AV427" s="10">
        <f>_xlfn.XLOOKUP(tbl_MTG_Set[[#This Row],[Collector Booster Box Product Id]], tbl_Product[Product Id], tbl_Product[Best Source])</f>
        <v/>
      </c>
      <c r="AW427" s="4">
        <f>_xlfn.XLOOKUP(tbl_MTG_Set[[#This Row],[Collector Booster Box Product Id]], tbl_Product[Product Id], tbl_Product[Pack Size])</f>
        <v/>
      </c>
      <c r="AX427" s="10">
        <f>(tbl_MTG_Set[[#This Row],[Collector Booster Box Cost]] + v_Item_Shipping_Cost_In) / tbl_MTG_Set[[#This Row],[Collector Booster Box Size]]</f>
        <v/>
      </c>
      <c r="AY427" s="10">
        <f t="array" ref="AY4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7" s="10" t="n"/>
      <c r="BA4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7" s="17">
        <f>tbl_MTG_Set[[#This Row],[Collector Booster CardMarket Profit]]/tbl_MTG_Set[[#This Row],[Collector Booster Cost]]</f>
        <v/>
      </c>
      <c r="BC427" s="10" t="n"/>
      <c r="BF427" s="10">
        <f>tbl_MTG_Set[[#This Row],[Play Booster Sell Price CardMarket]]*tbl_MTG_Set[[#This Row],[Play Booster Expected Market Value]]/tbl_MTG_Set[[#This Row],[Play Boost Sealed Market Value]]</f>
        <v/>
      </c>
      <c r="BG4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7" s="10">
        <f>tbl_MTG_Set[[#This Row],[Play Singles CardMarket Profit]]/tbl_MTG_Set[[#This Row],[Play Booster Cost]]</f>
        <v/>
      </c>
      <c r="BI427" s="10">
        <f>tbl_MTG_Set[[#This Row],[Play Singles CardMarket Profit]]&gt;0</f>
        <v/>
      </c>
      <c r="BJ427" s="10" t="n"/>
      <c r="BK427" s="10" t="n"/>
      <c r="BL427" s="10">
        <f>tbl_MTG_Set[[#This Row],[Collector Booster Sell Price CardMarket]]*tbl_MTG_Set[[#This Row],[Collector Booster Expected Market Value]]/tbl_MTG_Set[[#This Row],[Collector Boost Sealed Market Value]]</f>
        <v/>
      </c>
      <c r="BM4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7" s="10">
        <f>tbl_MTG_Set[[#This Row],[Collector Singles CardMarket Profit]]/tbl_MTG_Set[[#This Row],[Collector Booster Cost]]</f>
        <v/>
      </c>
      <c r="BO427" s="10">
        <f>tbl_MTG_Set[[#This Row],[Collector Singles CardMarket Profit]]&gt;0</f>
        <v/>
      </c>
      <c r="BP4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8">
      <c r="A428" t="n">
        <v>426</v>
      </c>
      <c r="B428" t="inlineStr">
        <is>
          <t>Planeswalker Championship Promos PWCS</t>
        </is>
      </c>
      <c r="C428" t="n">
        <v>42</v>
      </c>
      <c r="D428" s="3" t="n">
        <v>43739</v>
      </c>
      <c r="F428" t="inlineStr">
        <is>
          <t>en es fr de it pt ja ko ru 汉语 漢語</t>
        </is>
      </c>
      <c r="G428" t="n">
        <v>798</v>
      </c>
      <c r="H428">
        <f>MONTH(NOW())+12*YEAR(NOW())-MONTH(tbl_MTG_Set[[#This Row],[Released On]])-12*YEAR(tbl_MTG_Set[[#This Row],[Released On]])</f>
        <v/>
      </c>
      <c r="I428">
        <f>_xlfn.XLOOKUP(tbl_MTG_Set[[#This Row],[Type Name]], tbl_MTG_Set_Type[Set Type], tbl_MTG_Set_Type[Index], "(Set Type not found)")</f>
        <v/>
      </c>
      <c r="J428">
        <f>_xlfn.XLOOKUP(tbl_MTG_Set[[#This Row],[Type Name]], tbl_MTG_Set_Type[Set Type], tbl_MTG_Set_Type[Buy Window Month Start], "(Set Type not found)")</f>
        <v/>
      </c>
      <c r="K428" s="3">
        <f>tbl_MTG_Set[[#This Row],[Released On]]+tbl_MTG_Set[[#This Row],[Buy Window Month Start]]*365.25/12</f>
        <v/>
      </c>
      <c r="L428">
        <f>_xlfn.XLOOKUP(tbl_MTG_Set[[#This Row],[Type Name]], tbl_MTG_Set_Type[Set Type], tbl_MTG_Set_Type[Buy Window Month End], "(Set Type not found)", 0, 1)</f>
        <v/>
      </c>
      <c r="M428" s="3">
        <f>tbl_MTG_Set[[#This Row],[Released On]]+tbl_MTG_Set[[#This Row],[Buy Window Month End]]*365.25/12</f>
        <v/>
      </c>
      <c r="N428" s="3">
        <f>AND(NOW()&gt;=tbl_MTG_Set[[#This Row],[Buy Window Start]], NOW()&lt;=tbl_MTG_Set[[#This Row],[Buy Window End]])</f>
        <v/>
      </c>
      <c r="O428">
        <f>_xlfn.XLOOKUP(tbl_MTG_Set[[#This Row],[Type Name]], tbl_MTG_Set_Type[Set Type], tbl_MTG_Set_Type[Heavy Printing Window Month Start], "(Set Type not found)", 0, 1)</f>
        <v/>
      </c>
      <c r="P428" s="3">
        <f>tbl_MTG_Set[[#This Row],[Released On]]+tbl_MTG_Set[[#This Row],[Heavy Printing Window Month Start]]*365.25/12</f>
        <v/>
      </c>
      <c r="Q428">
        <f>_xlfn.XLOOKUP(tbl_MTG_Set[[#This Row],[Type Name]], tbl_MTG_Set_Type[Set Type], tbl_MTG_Set_Type[Heavy Printing Window Month End], "(Set Type not found)", 0, 1)</f>
        <v/>
      </c>
      <c r="R428" s="3">
        <f>tbl_MTG_Set[[#This Row],[Released On]]+tbl_MTG_Set[[#This Row],[Heavy Printing Window Month End]]*365.25/12</f>
        <v/>
      </c>
      <c r="S428" s="3">
        <f>AND(NOW()&gt;=tbl_MTG_Set[[#This Row],[Heavy Printing Window Start]], NOW()&lt;=tbl_MTG_Set[[#This Row],[Heavy Printing Window End]])</f>
        <v/>
      </c>
      <c r="T428">
        <f>_xlfn.XLOOKUP(tbl_MTG_Set[[#This Row],[Type Name]], tbl_MTG_Set_Type[Set Type], tbl_MTG_Set_Type[Sell Window Month Start], "(Set Type not found)", 0, 1)</f>
        <v/>
      </c>
      <c r="U428" s="3">
        <f>tbl_MTG_Set[[#This Row],[Released On]]+tbl_MTG_Set[[#This Row],[Sell Window Month Start]]*365.25/12</f>
        <v/>
      </c>
      <c r="V428">
        <f>_xlfn.XLOOKUP(tbl_MTG_Set[[#This Row],[Type Name]], tbl_MTG_Set_Type[Set Type], tbl_MTG_Set_Type[Sell Window Month End], "(Set Type not found)", 0, 1)</f>
        <v/>
      </c>
      <c r="W428" s="3">
        <f>tbl_MTG_Set[[#This Row],[Released On]]+tbl_MTG_Set[[#This Row],[Sell Window Month End]]*365.25/12</f>
        <v/>
      </c>
      <c r="X428" s="3">
        <f>AND(NOW()&gt;=tbl_MTG_Set[[#This Row],[Sell Window Start]], NOW()&lt;=tbl_MTG_Set[[#This Row],[Sell Window End]])</f>
        <v/>
      </c>
      <c r="AG428" s="10" t="n"/>
      <c r="AH428" s="10" t="n"/>
      <c r="AM428" s="10">
        <f t="array" ref="AM4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8" s="10">
        <f t="array" ref="AN4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8" s="4">
        <f>_xlfn.XLOOKUP(tbl_MTG_Set[[#This Row],[Play Booster Box Product Id]], tbl_Product[Product Id], tbl_Product[Pack Size])</f>
        <v/>
      </c>
      <c r="AP428" s="10">
        <f>(tbl_MTG_Set[[#This Row],[Play Booster Box Cost]]+v_Item_Shipping_Cost_In)/tbl_MTG_Set[[#This Row],[Play Booster Box Size]]</f>
        <v/>
      </c>
      <c r="AQ428" s="10">
        <f t="array" ref="AQ4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8" s="10" t="n"/>
      <c r="AS428" s="10" t="n"/>
      <c r="AT428" s="17">
        <f>tbl_MTG_Set[[#This Row],[Play Booster CardMarket Profit]]/tbl_MTG_Set[[#This Row],[Play Booster Cost]]</f>
        <v/>
      </c>
      <c r="AU428" s="10">
        <f>_xlfn.XLOOKUP(tbl_MTG_Set[[#This Row],[Collector Booster Box Product Id]], tbl_Product[Product Id], tbl_Product[Min Cost])</f>
        <v/>
      </c>
      <c r="AV428" s="10">
        <f>_xlfn.XLOOKUP(tbl_MTG_Set[[#This Row],[Collector Booster Box Product Id]], tbl_Product[Product Id], tbl_Product[Best Source])</f>
        <v/>
      </c>
      <c r="AW428" s="4">
        <f>_xlfn.XLOOKUP(tbl_MTG_Set[[#This Row],[Collector Booster Box Product Id]], tbl_Product[Product Id], tbl_Product[Pack Size])</f>
        <v/>
      </c>
      <c r="AX428" s="10">
        <f>(tbl_MTG_Set[[#This Row],[Collector Booster Box Cost]] + v_Item_Shipping_Cost_In) / tbl_MTG_Set[[#This Row],[Collector Booster Box Size]]</f>
        <v/>
      </c>
      <c r="AY428" s="10">
        <f t="array" ref="AY4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8" s="10" t="n"/>
      <c r="BA4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8" s="17">
        <f>tbl_MTG_Set[[#This Row],[Collector Booster CardMarket Profit]]/tbl_MTG_Set[[#This Row],[Collector Booster Cost]]</f>
        <v/>
      </c>
      <c r="BC428" s="10" t="n"/>
      <c r="BF428" s="10">
        <f>tbl_MTG_Set[[#This Row],[Play Booster Sell Price CardMarket]]*tbl_MTG_Set[[#This Row],[Play Booster Expected Market Value]]/tbl_MTG_Set[[#This Row],[Play Boost Sealed Market Value]]</f>
        <v/>
      </c>
      <c r="BG4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8" s="10">
        <f>tbl_MTG_Set[[#This Row],[Play Singles CardMarket Profit]]/tbl_MTG_Set[[#This Row],[Play Booster Cost]]</f>
        <v/>
      </c>
      <c r="BI428" s="10">
        <f>tbl_MTG_Set[[#This Row],[Play Singles CardMarket Profit]]&gt;0</f>
        <v/>
      </c>
      <c r="BJ428" s="10" t="n"/>
      <c r="BK428" s="10" t="n"/>
      <c r="BL428" s="10">
        <f>tbl_MTG_Set[[#This Row],[Collector Booster Sell Price CardMarket]]*tbl_MTG_Set[[#This Row],[Collector Booster Expected Market Value]]/tbl_MTG_Set[[#This Row],[Collector Boost Sealed Market Value]]</f>
        <v/>
      </c>
      <c r="BM4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8" s="10">
        <f>tbl_MTG_Set[[#This Row],[Collector Singles CardMarket Profit]]/tbl_MTG_Set[[#This Row],[Collector Booster Cost]]</f>
        <v/>
      </c>
      <c r="BO428" s="10">
        <f>tbl_MTG_Set[[#This Row],[Collector Singles CardMarket Profit]]&gt;0</f>
        <v/>
      </c>
      <c r="BP4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9">
      <c r="A429" t="n">
        <v>427</v>
      </c>
      <c r="B429" t="inlineStr">
        <is>
          <t>Grixis Cube GRIXIS</t>
        </is>
      </c>
      <c r="C429" t="n">
        <v>540</v>
      </c>
      <c r="D429" s="3" t="n">
        <v>43705</v>
      </c>
      <c r="F429" t="n">
        <v>0</v>
      </c>
      <c r="G429" t="n">
        <v>800</v>
      </c>
      <c r="H429">
        <f>MONTH(NOW())+12*YEAR(NOW())-MONTH(tbl_MTG_Set[[#This Row],[Released On]])-12*YEAR(tbl_MTG_Set[[#This Row],[Released On]])</f>
        <v/>
      </c>
      <c r="I429">
        <f>_xlfn.XLOOKUP(tbl_MTG_Set[[#This Row],[Type Name]], tbl_MTG_Set_Type[Set Type], tbl_MTG_Set_Type[Index], "(Set Type not found)")</f>
        <v/>
      </c>
      <c r="J429">
        <f>_xlfn.XLOOKUP(tbl_MTG_Set[[#This Row],[Type Name]], tbl_MTG_Set_Type[Set Type], tbl_MTG_Set_Type[Buy Window Month Start], "(Set Type not found)")</f>
        <v/>
      </c>
      <c r="K429" s="3">
        <f>tbl_MTG_Set[[#This Row],[Released On]]+tbl_MTG_Set[[#This Row],[Buy Window Month Start]]*365.25/12</f>
        <v/>
      </c>
      <c r="L429">
        <f>_xlfn.XLOOKUP(tbl_MTG_Set[[#This Row],[Type Name]], tbl_MTG_Set_Type[Set Type], tbl_MTG_Set_Type[Buy Window Month End], "(Set Type not found)", 0, 1)</f>
        <v/>
      </c>
      <c r="M429" s="3">
        <f>tbl_MTG_Set[[#This Row],[Released On]]+tbl_MTG_Set[[#This Row],[Buy Window Month End]]*365.25/12</f>
        <v/>
      </c>
      <c r="N429" s="3">
        <f>AND(NOW()&gt;=tbl_MTG_Set[[#This Row],[Buy Window Start]], NOW()&lt;=tbl_MTG_Set[[#This Row],[Buy Window End]])</f>
        <v/>
      </c>
      <c r="O429">
        <f>_xlfn.XLOOKUP(tbl_MTG_Set[[#This Row],[Type Name]], tbl_MTG_Set_Type[Set Type], tbl_MTG_Set_Type[Heavy Printing Window Month Start], "(Set Type not found)", 0, 1)</f>
        <v/>
      </c>
      <c r="P429" s="3">
        <f>tbl_MTG_Set[[#This Row],[Released On]]+tbl_MTG_Set[[#This Row],[Heavy Printing Window Month Start]]*365.25/12</f>
        <v/>
      </c>
      <c r="Q429">
        <f>_xlfn.XLOOKUP(tbl_MTG_Set[[#This Row],[Type Name]], tbl_MTG_Set_Type[Set Type], tbl_MTG_Set_Type[Heavy Printing Window Month End], "(Set Type not found)", 0, 1)</f>
        <v/>
      </c>
      <c r="R429" s="3">
        <f>tbl_MTG_Set[[#This Row],[Released On]]+tbl_MTG_Set[[#This Row],[Heavy Printing Window Month End]]*365.25/12</f>
        <v/>
      </c>
      <c r="S429" s="3">
        <f>AND(NOW()&gt;=tbl_MTG_Set[[#This Row],[Heavy Printing Window Start]], NOW()&lt;=tbl_MTG_Set[[#This Row],[Heavy Printing Window End]])</f>
        <v/>
      </c>
      <c r="T429">
        <f>_xlfn.XLOOKUP(tbl_MTG_Set[[#This Row],[Type Name]], tbl_MTG_Set_Type[Set Type], tbl_MTG_Set_Type[Sell Window Month Start], "(Set Type not found)", 0, 1)</f>
        <v/>
      </c>
      <c r="U429" s="3">
        <f>tbl_MTG_Set[[#This Row],[Released On]]+tbl_MTG_Set[[#This Row],[Sell Window Month Start]]*365.25/12</f>
        <v/>
      </c>
      <c r="V429">
        <f>_xlfn.XLOOKUP(tbl_MTG_Set[[#This Row],[Type Name]], tbl_MTG_Set_Type[Set Type], tbl_MTG_Set_Type[Sell Window Month End], "(Set Type not found)", 0, 1)</f>
        <v/>
      </c>
      <c r="W429" s="3">
        <f>tbl_MTG_Set[[#This Row],[Released On]]+tbl_MTG_Set[[#This Row],[Sell Window Month End]]*365.25/12</f>
        <v/>
      </c>
      <c r="X429" s="3">
        <f>AND(NOW()&gt;=tbl_MTG_Set[[#This Row],[Sell Window Start]], NOW()&lt;=tbl_MTG_Set[[#This Row],[Sell Window End]])</f>
        <v/>
      </c>
      <c r="AG429" s="10" t="n"/>
      <c r="AH429" s="10" t="n"/>
      <c r="AM429" s="10">
        <f t="array" ref="AM4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9" s="10">
        <f t="array" ref="AN4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9" s="4">
        <f>_xlfn.XLOOKUP(tbl_MTG_Set[[#This Row],[Play Booster Box Product Id]], tbl_Product[Product Id], tbl_Product[Pack Size])</f>
        <v/>
      </c>
      <c r="AP429" s="10">
        <f>(tbl_MTG_Set[[#This Row],[Play Booster Box Cost]]+v_Item_Shipping_Cost_In)/tbl_MTG_Set[[#This Row],[Play Booster Box Size]]</f>
        <v/>
      </c>
      <c r="AQ429" s="10">
        <f t="array" ref="AQ4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29" s="10" t="n"/>
      <c r="AS429" s="10" t="n"/>
      <c r="AT429" s="17">
        <f>tbl_MTG_Set[[#This Row],[Play Booster CardMarket Profit]]/tbl_MTG_Set[[#This Row],[Play Booster Cost]]</f>
        <v/>
      </c>
      <c r="AU429" s="10">
        <f>_xlfn.XLOOKUP(tbl_MTG_Set[[#This Row],[Collector Booster Box Product Id]], tbl_Product[Product Id], tbl_Product[Min Cost])</f>
        <v/>
      </c>
      <c r="AV429" s="10">
        <f>_xlfn.XLOOKUP(tbl_MTG_Set[[#This Row],[Collector Booster Box Product Id]], tbl_Product[Product Id], tbl_Product[Best Source])</f>
        <v/>
      </c>
      <c r="AW429" s="4">
        <f>_xlfn.XLOOKUP(tbl_MTG_Set[[#This Row],[Collector Booster Box Product Id]], tbl_Product[Product Id], tbl_Product[Pack Size])</f>
        <v/>
      </c>
      <c r="AX429" s="10">
        <f>(tbl_MTG_Set[[#This Row],[Collector Booster Box Cost]] + v_Item_Shipping_Cost_In) / tbl_MTG_Set[[#This Row],[Collector Booster Box Size]]</f>
        <v/>
      </c>
      <c r="AY429" s="10">
        <f t="array" ref="AY4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29" s="10" t="n"/>
      <c r="BA4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9" s="17">
        <f>tbl_MTG_Set[[#This Row],[Collector Booster CardMarket Profit]]/tbl_MTG_Set[[#This Row],[Collector Booster Cost]]</f>
        <v/>
      </c>
      <c r="BC429" s="10" t="n"/>
      <c r="BF429" s="10">
        <f>tbl_MTG_Set[[#This Row],[Play Booster Sell Price CardMarket]]*tbl_MTG_Set[[#This Row],[Play Booster Expected Market Value]]/tbl_MTG_Set[[#This Row],[Play Boost Sealed Market Value]]</f>
        <v/>
      </c>
      <c r="BG4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9" s="10">
        <f>tbl_MTG_Set[[#This Row],[Play Singles CardMarket Profit]]/tbl_MTG_Set[[#This Row],[Play Booster Cost]]</f>
        <v/>
      </c>
      <c r="BI429" s="10">
        <f>tbl_MTG_Set[[#This Row],[Play Singles CardMarket Profit]]&gt;0</f>
        <v/>
      </c>
      <c r="BJ429" s="10" t="n"/>
      <c r="BK429" s="10" t="n"/>
      <c r="BL429" s="10">
        <f>tbl_MTG_Set[[#This Row],[Collector Booster Sell Price CardMarket]]*tbl_MTG_Set[[#This Row],[Collector Booster Expected Market Value]]/tbl_MTG_Set[[#This Row],[Collector Boost Sealed Market Value]]</f>
        <v/>
      </c>
      <c r="BM4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9" s="10">
        <f>tbl_MTG_Set[[#This Row],[Collector Singles CardMarket Profit]]/tbl_MTG_Set[[#This Row],[Collector Booster Cost]]</f>
        <v/>
      </c>
      <c r="BO429" s="10">
        <f>tbl_MTG_Set[[#This Row],[Collector Singles CardMarket Profit]]&gt;0</f>
        <v/>
      </c>
      <c r="BP4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0">
      <c r="A430" t="n">
        <v>428</v>
      </c>
      <c r="B430" t="inlineStr">
        <is>
          <t>Commander 2019 C19</t>
        </is>
      </c>
      <c r="C430" t="n">
        <v>302</v>
      </c>
      <c r="D430" s="3" t="n">
        <v>43700</v>
      </c>
      <c r="F430" t="inlineStr">
        <is>
          <t>en es fr de it pt ja ko ru 汉语 漢語</t>
        </is>
      </c>
      <c r="G430" t="n">
        <v>802</v>
      </c>
      <c r="H430">
        <f>MONTH(NOW())+12*YEAR(NOW())-MONTH(tbl_MTG_Set[[#This Row],[Released On]])-12*YEAR(tbl_MTG_Set[[#This Row],[Released On]])</f>
        <v/>
      </c>
      <c r="I430">
        <f>_xlfn.XLOOKUP(tbl_MTG_Set[[#This Row],[Type Name]], tbl_MTG_Set_Type[Set Type], tbl_MTG_Set_Type[Index], "(Set Type not found)")</f>
        <v/>
      </c>
      <c r="J430">
        <f>_xlfn.XLOOKUP(tbl_MTG_Set[[#This Row],[Type Name]], tbl_MTG_Set_Type[Set Type], tbl_MTG_Set_Type[Buy Window Month Start], "(Set Type not found)")</f>
        <v/>
      </c>
      <c r="K430" s="3">
        <f>tbl_MTG_Set[[#This Row],[Released On]]+tbl_MTG_Set[[#This Row],[Buy Window Month Start]]*365.25/12</f>
        <v/>
      </c>
      <c r="L430">
        <f>_xlfn.XLOOKUP(tbl_MTG_Set[[#This Row],[Type Name]], tbl_MTG_Set_Type[Set Type], tbl_MTG_Set_Type[Buy Window Month End], "(Set Type not found)", 0, 1)</f>
        <v/>
      </c>
      <c r="M430" s="3">
        <f>tbl_MTG_Set[[#This Row],[Released On]]+tbl_MTG_Set[[#This Row],[Buy Window Month End]]*365.25/12</f>
        <v/>
      </c>
      <c r="N430" s="3">
        <f>AND(NOW()&gt;=tbl_MTG_Set[[#This Row],[Buy Window Start]], NOW()&lt;=tbl_MTG_Set[[#This Row],[Buy Window End]])</f>
        <v/>
      </c>
      <c r="O430">
        <f>_xlfn.XLOOKUP(tbl_MTG_Set[[#This Row],[Type Name]], tbl_MTG_Set_Type[Set Type], tbl_MTG_Set_Type[Heavy Printing Window Month Start], "(Set Type not found)", 0, 1)</f>
        <v/>
      </c>
      <c r="P430" s="3">
        <f>tbl_MTG_Set[[#This Row],[Released On]]+tbl_MTG_Set[[#This Row],[Heavy Printing Window Month Start]]*365.25/12</f>
        <v/>
      </c>
      <c r="Q430">
        <f>_xlfn.XLOOKUP(tbl_MTG_Set[[#This Row],[Type Name]], tbl_MTG_Set_Type[Set Type], tbl_MTG_Set_Type[Heavy Printing Window Month End], "(Set Type not found)", 0, 1)</f>
        <v/>
      </c>
      <c r="R430" s="3">
        <f>tbl_MTG_Set[[#This Row],[Released On]]+tbl_MTG_Set[[#This Row],[Heavy Printing Window Month End]]*365.25/12</f>
        <v/>
      </c>
      <c r="S430" s="3">
        <f>AND(NOW()&gt;=tbl_MTG_Set[[#This Row],[Heavy Printing Window Start]], NOW()&lt;=tbl_MTG_Set[[#This Row],[Heavy Printing Window End]])</f>
        <v/>
      </c>
      <c r="T430">
        <f>_xlfn.XLOOKUP(tbl_MTG_Set[[#This Row],[Type Name]], tbl_MTG_Set_Type[Set Type], tbl_MTG_Set_Type[Sell Window Month Start], "(Set Type not found)", 0, 1)</f>
        <v/>
      </c>
      <c r="U430" s="3">
        <f>tbl_MTG_Set[[#This Row],[Released On]]+tbl_MTG_Set[[#This Row],[Sell Window Month Start]]*365.25/12</f>
        <v/>
      </c>
      <c r="V430">
        <f>_xlfn.XLOOKUP(tbl_MTG_Set[[#This Row],[Type Name]], tbl_MTG_Set_Type[Set Type], tbl_MTG_Set_Type[Sell Window Month End], "(Set Type not found)", 0, 1)</f>
        <v/>
      </c>
      <c r="W430" s="3">
        <f>tbl_MTG_Set[[#This Row],[Released On]]+tbl_MTG_Set[[#This Row],[Sell Window Month End]]*365.25/12</f>
        <v/>
      </c>
      <c r="X430" s="3">
        <f>AND(NOW()&gt;=tbl_MTG_Set[[#This Row],[Sell Window Start]], NOW()&lt;=tbl_MTG_Set[[#This Row],[Sell Window End]])</f>
        <v/>
      </c>
      <c r="AG430" s="10" t="n"/>
      <c r="AH430" s="10" t="n"/>
      <c r="AM430" s="10">
        <f t="array" ref="AM4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0" s="10">
        <f t="array" ref="AN4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0" s="4">
        <f>_xlfn.XLOOKUP(tbl_MTG_Set[[#This Row],[Play Booster Box Product Id]], tbl_Product[Product Id], tbl_Product[Pack Size])</f>
        <v/>
      </c>
      <c r="AP430" s="10">
        <f>(tbl_MTG_Set[[#This Row],[Play Booster Box Cost]]+v_Item_Shipping_Cost_In)/tbl_MTG_Set[[#This Row],[Play Booster Box Size]]</f>
        <v/>
      </c>
      <c r="AQ430" s="10">
        <f t="array" ref="AQ4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0" s="10" t="n"/>
      <c r="AS430" s="10" t="n"/>
      <c r="AT430" s="17">
        <f>tbl_MTG_Set[[#This Row],[Play Booster CardMarket Profit]]/tbl_MTG_Set[[#This Row],[Play Booster Cost]]</f>
        <v/>
      </c>
      <c r="AU430" s="10">
        <f>_xlfn.XLOOKUP(tbl_MTG_Set[[#This Row],[Collector Booster Box Product Id]], tbl_Product[Product Id], tbl_Product[Min Cost])</f>
        <v/>
      </c>
      <c r="AV430" s="10">
        <f>_xlfn.XLOOKUP(tbl_MTG_Set[[#This Row],[Collector Booster Box Product Id]], tbl_Product[Product Id], tbl_Product[Best Source])</f>
        <v/>
      </c>
      <c r="AW430" s="4">
        <f>_xlfn.XLOOKUP(tbl_MTG_Set[[#This Row],[Collector Booster Box Product Id]], tbl_Product[Product Id], tbl_Product[Pack Size])</f>
        <v/>
      </c>
      <c r="AX430" s="10">
        <f>(tbl_MTG_Set[[#This Row],[Collector Booster Box Cost]] + v_Item_Shipping_Cost_In) / tbl_MTG_Set[[#This Row],[Collector Booster Box Size]]</f>
        <v/>
      </c>
      <c r="AY430" s="10">
        <f t="array" ref="AY4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0" s="10" t="n"/>
      <c r="BA4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0" s="17">
        <f>tbl_MTG_Set[[#This Row],[Collector Booster CardMarket Profit]]/tbl_MTG_Set[[#This Row],[Collector Booster Cost]]</f>
        <v/>
      </c>
      <c r="BC430" s="10" t="n"/>
      <c r="BF430" s="10">
        <f>tbl_MTG_Set[[#This Row],[Play Booster Sell Price CardMarket]]*tbl_MTG_Set[[#This Row],[Play Booster Expected Market Value]]/tbl_MTG_Set[[#This Row],[Play Boost Sealed Market Value]]</f>
        <v/>
      </c>
      <c r="BG4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0" s="10">
        <f>tbl_MTG_Set[[#This Row],[Play Singles CardMarket Profit]]/tbl_MTG_Set[[#This Row],[Play Booster Cost]]</f>
        <v/>
      </c>
      <c r="BI430" s="10">
        <f>tbl_MTG_Set[[#This Row],[Play Singles CardMarket Profit]]&gt;0</f>
        <v/>
      </c>
      <c r="BJ430" s="10" t="n"/>
      <c r="BK430" s="10" t="n"/>
      <c r="BL430" s="10">
        <f>tbl_MTG_Set[[#This Row],[Collector Booster Sell Price CardMarket]]*tbl_MTG_Set[[#This Row],[Collector Booster Expected Market Value]]/tbl_MTG_Set[[#This Row],[Collector Boost Sealed Market Value]]</f>
        <v/>
      </c>
      <c r="BM4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0" s="10">
        <f>tbl_MTG_Set[[#This Row],[Collector Singles CardMarket Profit]]/tbl_MTG_Set[[#This Row],[Collector Booster Cost]]</f>
        <v/>
      </c>
      <c r="BO430" s="10">
        <f>tbl_MTG_Set[[#This Row],[Collector Singles CardMarket Profit]]&gt;0</f>
        <v/>
      </c>
      <c r="BP4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1">
      <c r="A431" t="n">
        <v>429</v>
      </c>
      <c r="B431" t="inlineStr">
        <is>
          <t>Commander 2019 Tokens TC19</t>
        </is>
      </c>
      <c r="C431" t="n">
        <v>29</v>
      </c>
      <c r="D431" s="3" t="n">
        <v>43678</v>
      </c>
      <c r="F431" t="inlineStr">
        <is>
          <t>en es fr de it pt ja ko ru 汉语 漢語</t>
        </is>
      </c>
      <c r="G431" t="n">
        <v>804</v>
      </c>
      <c r="H431">
        <f>MONTH(NOW())+12*YEAR(NOW())-MONTH(tbl_MTG_Set[[#This Row],[Released On]])-12*YEAR(tbl_MTG_Set[[#This Row],[Released On]])</f>
        <v/>
      </c>
      <c r="I431">
        <f>_xlfn.XLOOKUP(tbl_MTG_Set[[#This Row],[Type Name]], tbl_MTG_Set_Type[Set Type], tbl_MTG_Set_Type[Index], "(Set Type not found)")</f>
        <v/>
      </c>
      <c r="J431">
        <f>_xlfn.XLOOKUP(tbl_MTG_Set[[#This Row],[Type Name]], tbl_MTG_Set_Type[Set Type], tbl_MTG_Set_Type[Buy Window Month Start], "(Set Type not found)")</f>
        <v/>
      </c>
      <c r="K431" s="3">
        <f>tbl_MTG_Set[[#This Row],[Released On]]+tbl_MTG_Set[[#This Row],[Buy Window Month Start]]*365.25/12</f>
        <v/>
      </c>
      <c r="L431">
        <f>_xlfn.XLOOKUP(tbl_MTG_Set[[#This Row],[Type Name]], tbl_MTG_Set_Type[Set Type], tbl_MTG_Set_Type[Buy Window Month End], "(Set Type not found)", 0, 1)</f>
        <v/>
      </c>
      <c r="M431" s="3">
        <f>tbl_MTG_Set[[#This Row],[Released On]]+tbl_MTG_Set[[#This Row],[Buy Window Month End]]*365.25/12</f>
        <v/>
      </c>
      <c r="N431" s="3">
        <f>AND(NOW()&gt;=tbl_MTG_Set[[#This Row],[Buy Window Start]], NOW()&lt;=tbl_MTG_Set[[#This Row],[Buy Window End]])</f>
        <v/>
      </c>
      <c r="O431">
        <f>_xlfn.XLOOKUP(tbl_MTG_Set[[#This Row],[Type Name]], tbl_MTG_Set_Type[Set Type], tbl_MTG_Set_Type[Heavy Printing Window Month Start], "(Set Type not found)", 0, 1)</f>
        <v/>
      </c>
      <c r="P431" s="3">
        <f>tbl_MTG_Set[[#This Row],[Released On]]+tbl_MTG_Set[[#This Row],[Heavy Printing Window Month Start]]*365.25/12</f>
        <v/>
      </c>
      <c r="Q431">
        <f>_xlfn.XLOOKUP(tbl_MTG_Set[[#This Row],[Type Name]], tbl_MTG_Set_Type[Set Type], tbl_MTG_Set_Type[Heavy Printing Window Month End], "(Set Type not found)", 0, 1)</f>
        <v/>
      </c>
      <c r="R431" s="3">
        <f>tbl_MTG_Set[[#This Row],[Released On]]+tbl_MTG_Set[[#This Row],[Heavy Printing Window Month End]]*365.25/12</f>
        <v/>
      </c>
      <c r="S431" s="3">
        <f>AND(NOW()&gt;=tbl_MTG_Set[[#This Row],[Heavy Printing Window Start]], NOW()&lt;=tbl_MTG_Set[[#This Row],[Heavy Printing Window End]])</f>
        <v/>
      </c>
      <c r="T431">
        <f>_xlfn.XLOOKUP(tbl_MTG_Set[[#This Row],[Type Name]], tbl_MTG_Set_Type[Set Type], tbl_MTG_Set_Type[Sell Window Month Start], "(Set Type not found)", 0, 1)</f>
        <v/>
      </c>
      <c r="U431" s="3">
        <f>tbl_MTG_Set[[#This Row],[Released On]]+tbl_MTG_Set[[#This Row],[Sell Window Month Start]]*365.25/12</f>
        <v/>
      </c>
      <c r="V431">
        <f>_xlfn.XLOOKUP(tbl_MTG_Set[[#This Row],[Type Name]], tbl_MTG_Set_Type[Set Type], tbl_MTG_Set_Type[Sell Window Month End], "(Set Type not found)", 0, 1)</f>
        <v/>
      </c>
      <c r="W431" s="3">
        <f>tbl_MTG_Set[[#This Row],[Released On]]+tbl_MTG_Set[[#This Row],[Sell Window Month End]]*365.25/12</f>
        <v/>
      </c>
      <c r="X431" s="3">
        <f>AND(NOW()&gt;=tbl_MTG_Set[[#This Row],[Sell Window Start]], NOW()&lt;=tbl_MTG_Set[[#This Row],[Sell Window End]])</f>
        <v/>
      </c>
      <c r="AG431" s="10" t="n"/>
      <c r="AH431" s="10" t="n"/>
      <c r="AM431" s="10">
        <f t="array" ref="AM4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1" s="10">
        <f t="array" ref="AN4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1" s="4">
        <f>_xlfn.XLOOKUP(tbl_MTG_Set[[#This Row],[Play Booster Box Product Id]], tbl_Product[Product Id], tbl_Product[Pack Size])</f>
        <v/>
      </c>
      <c r="AP431" s="10">
        <f>(tbl_MTG_Set[[#This Row],[Play Booster Box Cost]]+v_Item_Shipping_Cost_In)/tbl_MTG_Set[[#This Row],[Play Booster Box Size]]</f>
        <v/>
      </c>
      <c r="AQ431" s="10">
        <f t="array" ref="AQ4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1" s="10" t="n"/>
      <c r="AS431" s="10" t="n"/>
      <c r="AT431" s="17">
        <f>tbl_MTG_Set[[#This Row],[Play Booster CardMarket Profit]]/tbl_MTG_Set[[#This Row],[Play Booster Cost]]</f>
        <v/>
      </c>
      <c r="AU431" s="10">
        <f>_xlfn.XLOOKUP(tbl_MTG_Set[[#This Row],[Collector Booster Box Product Id]], tbl_Product[Product Id], tbl_Product[Min Cost])</f>
        <v/>
      </c>
      <c r="AV431" s="10">
        <f>_xlfn.XLOOKUP(tbl_MTG_Set[[#This Row],[Collector Booster Box Product Id]], tbl_Product[Product Id], tbl_Product[Best Source])</f>
        <v/>
      </c>
      <c r="AW431" s="4">
        <f>_xlfn.XLOOKUP(tbl_MTG_Set[[#This Row],[Collector Booster Box Product Id]], tbl_Product[Product Id], tbl_Product[Pack Size])</f>
        <v/>
      </c>
      <c r="AX431" s="10">
        <f>(tbl_MTG_Set[[#This Row],[Collector Booster Box Cost]] + v_Item_Shipping_Cost_In) / tbl_MTG_Set[[#This Row],[Collector Booster Box Size]]</f>
        <v/>
      </c>
      <c r="AY431" s="10">
        <f t="array" ref="AY4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1" s="10" t="n"/>
      <c r="BA4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1" s="17">
        <f>tbl_MTG_Set[[#This Row],[Collector Booster CardMarket Profit]]/tbl_MTG_Set[[#This Row],[Collector Booster Cost]]</f>
        <v/>
      </c>
      <c r="BC431" s="10" t="n"/>
      <c r="BF431" s="10">
        <f>tbl_MTG_Set[[#This Row],[Play Booster Sell Price CardMarket]]*tbl_MTG_Set[[#This Row],[Play Booster Expected Market Value]]/tbl_MTG_Set[[#This Row],[Play Boost Sealed Market Value]]</f>
        <v/>
      </c>
      <c r="BG4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1" s="10">
        <f>tbl_MTG_Set[[#This Row],[Play Singles CardMarket Profit]]/tbl_MTG_Set[[#This Row],[Play Booster Cost]]</f>
        <v/>
      </c>
      <c r="BI431" s="10">
        <f>tbl_MTG_Set[[#This Row],[Play Singles CardMarket Profit]]&gt;0</f>
        <v/>
      </c>
      <c r="BJ431" s="10" t="n"/>
      <c r="BK431" s="10" t="n"/>
      <c r="BL431" s="10">
        <f>tbl_MTG_Set[[#This Row],[Collector Booster Sell Price CardMarket]]*tbl_MTG_Set[[#This Row],[Collector Booster Expected Market Value]]/tbl_MTG_Set[[#This Row],[Collector Boost Sealed Market Value]]</f>
        <v/>
      </c>
      <c r="BM4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1" s="10">
        <f>tbl_MTG_Set[[#This Row],[Collector Singles CardMarket Profit]]/tbl_MTG_Set[[#This Row],[Collector Booster Cost]]</f>
        <v/>
      </c>
      <c r="BO431" s="10">
        <f>tbl_MTG_Set[[#This Row],[Collector Singles CardMarket Profit]]&gt;0</f>
        <v/>
      </c>
      <c r="BP4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2">
      <c r="A432" t="n">
        <v>430</v>
      </c>
      <c r="B432" t="inlineStr">
        <is>
          <t>Commander 2019 Oversized OC19</t>
        </is>
      </c>
      <c r="C432" t="n">
        <v>4</v>
      </c>
      <c r="D432" s="3" t="n">
        <v>43708</v>
      </c>
      <c r="F432" t="inlineStr">
        <is>
          <t>en es fr de it pt ja ko ru 汉语 漢語</t>
        </is>
      </c>
      <c r="G432" t="n">
        <v>806</v>
      </c>
      <c r="H432">
        <f>MONTH(NOW())+12*YEAR(NOW())-MONTH(tbl_MTG_Set[[#This Row],[Released On]])-12*YEAR(tbl_MTG_Set[[#This Row],[Released On]])</f>
        <v/>
      </c>
      <c r="I432">
        <f>_xlfn.XLOOKUP(tbl_MTG_Set[[#This Row],[Type Name]], tbl_MTG_Set_Type[Set Type], tbl_MTG_Set_Type[Index], "(Set Type not found)")</f>
        <v/>
      </c>
      <c r="J432">
        <f>_xlfn.XLOOKUP(tbl_MTG_Set[[#This Row],[Type Name]], tbl_MTG_Set_Type[Set Type], tbl_MTG_Set_Type[Buy Window Month Start], "(Set Type not found)")</f>
        <v/>
      </c>
      <c r="K432" s="3">
        <f>tbl_MTG_Set[[#This Row],[Released On]]+tbl_MTG_Set[[#This Row],[Buy Window Month Start]]*365.25/12</f>
        <v/>
      </c>
      <c r="L432">
        <f>_xlfn.XLOOKUP(tbl_MTG_Set[[#This Row],[Type Name]], tbl_MTG_Set_Type[Set Type], tbl_MTG_Set_Type[Buy Window Month End], "(Set Type not found)", 0, 1)</f>
        <v/>
      </c>
      <c r="M432" s="3">
        <f>tbl_MTG_Set[[#This Row],[Released On]]+tbl_MTG_Set[[#This Row],[Buy Window Month End]]*365.25/12</f>
        <v/>
      </c>
      <c r="N432" s="3">
        <f>AND(NOW()&gt;=tbl_MTG_Set[[#This Row],[Buy Window Start]], NOW()&lt;=tbl_MTG_Set[[#This Row],[Buy Window End]])</f>
        <v/>
      </c>
      <c r="O432">
        <f>_xlfn.XLOOKUP(tbl_MTG_Set[[#This Row],[Type Name]], tbl_MTG_Set_Type[Set Type], tbl_MTG_Set_Type[Heavy Printing Window Month Start], "(Set Type not found)", 0, 1)</f>
        <v/>
      </c>
      <c r="P432" s="3">
        <f>tbl_MTG_Set[[#This Row],[Released On]]+tbl_MTG_Set[[#This Row],[Heavy Printing Window Month Start]]*365.25/12</f>
        <v/>
      </c>
      <c r="Q432">
        <f>_xlfn.XLOOKUP(tbl_MTG_Set[[#This Row],[Type Name]], tbl_MTG_Set_Type[Set Type], tbl_MTG_Set_Type[Heavy Printing Window Month End], "(Set Type not found)", 0, 1)</f>
        <v/>
      </c>
      <c r="R432" s="3">
        <f>tbl_MTG_Set[[#This Row],[Released On]]+tbl_MTG_Set[[#This Row],[Heavy Printing Window Month End]]*365.25/12</f>
        <v/>
      </c>
      <c r="S432" s="3">
        <f>AND(NOW()&gt;=tbl_MTG_Set[[#This Row],[Heavy Printing Window Start]], NOW()&lt;=tbl_MTG_Set[[#This Row],[Heavy Printing Window End]])</f>
        <v/>
      </c>
      <c r="T432">
        <f>_xlfn.XLOOKUP(tbl_MTG_Set[[#This Row],[Type Name]], tbl_MTG_Set_Type[Set Type], tbl_MTG_Set_Type[Sell Window Month Start], "(Set Type not found)", 0, 1)</f>
        <v/>
      </c>
      <c r="U432" s="3">
        <f>tbl_MTG_Set[[#This Row],[Released On]]+tbl_MTG_Set[[#This Row],[Sell Window Month Start]]*365.25/12</f>
        <v/>
      </c>
      <c r="V432">
        <f>_xlfn.XLOOKUP(tbl_MTG_Set[[#This Row],[Type Name]], tbl_MTG_Set_Type[Set Type], tbl_MTG_Set_Type[Sell Window Month End], "(Set Type not found)", 0, 1)</f>
        <v/>
      </c>
      <c r="W432" s="3">
        <f>tbl_MTG_Set[[#This Row],[Released On]]+tbl_MTG_Set[[#This Row],[Sell Window Month End]]*365.25/12</f>
        <v/>
      </c>
      <c r="X432" s="3">
        <f>AND(NOW()&gt;=tbl_MTG_Set[[#This Row],[Sell Window Start]], NOW()&lt;=tbl_MTG_Set[[#This Row],[Sell Window End]])</f>
        <v/>
      </c>
      <c r="AG432" s="10" t="n"/>
      <c r="AH432" s="10" t="n"/>
      <c r="AM432" s="10">
        <f t="array" ref="AM4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2" s="10">
        <f t="array" ref="AN4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2" s="4">
        <f>_xlfn.XLOOKUP(tbl_MTG_Set[[#This Row],[Play Booster Box Product Id]], tbl_Product[Product Id], tbl_Product[Pack Size])</f>
        <v/>
      </c>
      <c r="AP432" s="10">
        <f>(tbl_MTG_Set[[#This Row],[Play Booster Box Cost]]+v_Item_Shipping_Cost_In)/tbl_MTG_Set[[#This Row],[Play Booster Box Size]]</f>
        <v/>
      </c>
      <c r="AQ432" s="10">
        <f t="array" ref="AQ4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2" s="10" t="n"/>
      <c r="AS432" s="10" t="n"/>
      <c r="AT432" s="17">
        <f>tbl_MTG_Set[[#This Row],[Play Booster CardMarket Profit]]/tbl_MTG_Set[[#This Row],[Play Booster Cost]]</f>
        <v/>
      </c>
      <c r="AU432" s="10">
        <f>_xlfn.XLOOKUP(tbl_MTG_Set[[#This Row],[Collector Booster Box Product Id]], tbl_Product[Product Id], tbl_Product[Min Cost])</f>
        <v/>
      </c>
      <c r="AV432" s="10">
        <f>_xlfn.XLOOKUP(tbl_MTG_Set[[#This Row],[Collector Booster Box Product Id]], tbl_Product[Product Id], tbl_Product[Best Source])</f>
        <v/>
      </c>
      <c r="AW432" s="4">
        <f>_xlfn.XLOOKUP(tbl_MTG_Set[[#This Row],[Collector Booster Box Product Id]], tbl_Product[Product Id], tbl_Product[Pack Size])</f>
        <v/>
      </c>
      <c r="AX432" s="10">
        <f>(tbl_MTG_Set[[#This Row],[Collector Booster Box Cost]] + v_Item_Shipping_Cost_In) / tbl_MTG_Set[[#This Row],[Collector Booster Box Size]]</f>
        <v/>
      </c>
      <c r="AY432" s="10">
        <f t="array" ref="AY4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2" s="10" t="n"/>
      <c r="BA4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2" s="17">
        <f>tbl_MTG_Set[[#This Row],[Collector Booster CardMarket Profit]]/tbl_MTG_Set[[#This Row],[Collector Booster Cost]]</f>
        <v/>
      </c>
      <c r="BC432" s="10" t="n"/>
      <c r="BF432" s="10">
        <f>tbl_MTG_Set[[#This Row],[Play Booster Sell Price CardMarket]]*tbl_MTG_Set[[#This Row],[Play Booster Expected Market Value]]/tbl_MTG_Set[[#This Row],[Play Boost Sealed Market Value]]</f>
        <v/>
      </c>
      <c r="BG4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2" s="10">
        <f>tbl_MTG_Set[[#This Row],[Play Singles CardMarket Profit]]/tbl_MTG_Set[[#This Row],[Play Booster Cost]]</f>
        <v/>
      </c>
      <c r="BI432" s="10">
        <f>tbl_MTG_Set[[#This Row],[Play Singles CardMarket Profit]]&gt;0</f>
        <v/>
      </c>
      <c r="BJ432" s="10" t="n"/>
      <c r="BK432" s="10" t="n"/>
      <c r="BL432" s="10">
        <f>tbl_MTG_Set[[#This Row],[Collector Booster Sell Price CardMarket]]*tbl_MTG_Set[[#This Row],[Collector Booster Expected Market Value]]/tbl_MTG_Set[[#This Row],[Collector Boost Sealed Market Value]]</f>
        <v/>
      </c>
      <c r="BM4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2" s="10">
        <f>tbl_MTG_Set[[#This Row],[Collector Singles CardMarket Profit]]/tbl_MTG_Set[[#This Row],[Collector Booster Cost]]</f>
        <v/>
      </c>
      <c r="BO432" s="10">
        <f>tbl_MTG_Set[[#This Row],[Collector Singles CardMarket Profit]]&gt;0</f>
        <v/>
      </c>
      <c r="BP4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3">
      <c r="A433" t="n">
        <v>431</v>
      </c>
      <c r="B433" t="inlineStr">
        <is>
          <t>2018 Heroes of the Realm PH18</t>
        </is>
      </c>
      <c r="C433" t="n">
        <v>5</v>
      </c>
      <c r="D433" s="3" t="n">
        <v>43678</v>
      </c>
      <c r="F433" t="inlineStr">
        <is>
          <t>en es fr de it pt ja ko ru 汉语 漢語</t>
        </is>
      </c>
      <c r="G433" t="n">
        <v>808</v>
      </c>
      <c r="H433">
        <f>MONTH(NOW())+12*YEAR(NOW())-MONTH(tbl_MTG_Set[[#This Row],[Released On]])-12*YEAR(tbl_MTG_Set[[#This Row],[Released On]])</f>
        <v/>
      </c>
      <c r="I433">
        <f>_xlfn.XLOOKUP(tbl_MTG_Set[[#This Row],[Type Name]], tbl_MTG_Set_Type[Set Type], tbl_MTG_Set_Type[Index], "(Set Type not found)")</f>
        <v/>
      </c>
      <c r="J433">
        <f>_xlfn.XLOOKUP(tbl_MTG_Set[[#This Row],[Type Name]], tbl_MTG_Set_Type[Set Type], tbl_MTG_Set_Type[Buy Window Month Start], "(Set Type not found)")</f>
        <v/>
      </c>
      <c r="K433" s="3">
        <f>tbl_MTG_Set[[#This Row],[Released On]]+tbl_MTG_Set[[#This Row],[Buy Window Month Start]]*365.25/12</f>
        <v/>
      </c>
      <c r="L433">
        <f>_xlfn.XLOOKUP(tbl_MTG_Set[[#This Row],[Type Name]], tbl_MTG_Set_Type[Set Type], tbl_MTG_Set_Type[Buy Window Month End], "(Set Type not found)", 0, 1)</f>
        <v/>
      </c>
      <c r="M433" s="3">
        <f>tbl_MTG_Set[[#This Row],[Released On]]+tbl_MTG_Set[[#This Row],[Buy Window Month End]]*365.25/12</f>
        <v/>
      </c>
      <c r="N433" s="3">
        <f>AND(NOW()&gt;=tbl_MTG_Set[[#This Row],[Buy Window Start]], NOW()&lt;=tbl_MTG_Set[[#This Row],[Buy Window End]])</f>
        <v/>
      </c>
      <c r="O433">
        <f>_xlfn.XLOOKUP(tbl_MTG_Set[[#This Row],[Type Name]], tbl_MTG_Set_Type[Set Type], tbl_MTG_Set_Type[Heavy Printing Window Month Start], "(Set Type not found)", 0, 1)</f>
        <v/>
      </c>
      <c r="P433" s="3">
        <f>tbl_MTG_Set[[#This Row],[Released On]]+tbl_MTG_Set[[#This Row],[Heavy Printing Window Month Start]]*365.25/12</f>
        <v/>
      </c>
      <c r="Q433">
        <f>_xlfn.XLOOKUP(tbl_MTG_Set[[#This Row],[Type Name]], tbl_MTG_Set_Type[Set Type], tbl_MTG_Set_Type[Heavy Printing Window Month End], "(Set Type not found)", 0, 1)</f>
        <v/>
      </c>
      <c r="R433" s="3">
        <f>tbl_MTG_Set[[#This Row],[Released On]]+tbl_MTG_Set[[#This Row],[Heavy Printing Window Month End]]*365.25/12</f>
        <v/>
      </c>
      <c r="S433" s="3">
        <f>AND(NOW()&gt;=tbl_MTG_Set[[#This Row],[Heavy Printing Window Start]], NOW()&lt;=tbl_MTG_Set[[#This Row],[Heavy Printing Window End]])</f>
        <v/>
      </c>
      <c r="T433">
        <f>_xlfn.XLOOKUP(tbl_MTG_Set[[#This Row],[Type Name]], tbl_MTG_Set_Type[Set Type], tbl_MTG_Set_Type[Sell Window Month Start], "(Set Type not found)", 0, 1)</f>
        <v/>
      </c>
      <c r="U433" s="3">
        <f>tbl_MTG_Set[[#This Row],[Released On]]+tbl_MTG_Set[[#This Row],[Sell Window Month Start]]*365.25/12</f>
        <v/>
      </c>
      <c r="V433">
        <f>_xlfn.XLOOKUP(tbl_MTG_Set[[#This Row],[Type Name]], tbl_MTG_Set_Type[Set Type], tbl_MTG_Set_Type[Sell Window Month End], "(Set Type not found)", 0, 1)</f>
        <v/>
      </c>
      <c r="W433" s="3">
        <f>tbl_MTG_Set[[#This Row],[Released On]]+tbl_MTG_Set[[#This Row],[Sell Window Month End]]*365.25/12</f>
        <v/>
      </c>
      <c r="X433" s="3">
        <f>AND(NOW()&gt;=tbl_MTG_Set[[#This Row],[Sell Window Start]], NOW()&lt;=tbl_MTG_Set[[#This Row],[Sell Window End]])</f>
        <v/>
      </c>
      <c r="AG433" s="10" t="n"/>
      <c r="AH433" s="10" t="n"/>
      <c r="AM433" s="10">
        <f t="array" ref="AM4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3" s="10">
        <f t="array" ref="AN4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3" s="4">
        <f>_xlfn.XLOOKUP(tbl_MTG_Set[[#This Row],[Play Booster Box Product Id]], tbl_Product[Product Id], tbl_Product[Pack Size])</f>
        <v/>
      </c>
      <c r="AP433" s="10">
        <f>(tbl_MTG_Set[[#This Row],[Play Booster Box Cost]]+v_Item_Shipping_Cost_In)/tbl_MTG_Set[[#This Row],[Play Booster Box Size]]</f>
        <v/>
      </c>
      <c r="AQ433" s="10">
        <f t="array" ref="AQ4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3" s="10" t="n"/>
      <c r="AS433" s="10" t="n"/>
      <c r="AT433" s="17">
        <f>tbl_MTG_Set[[#This Row],[Play Booster CardMarket Profit]]/tbl_MTG_Set[[#This Row],[Play Booster Cost]]</f>
        <v/>
      </c>
      <c r="AU433" s="10">
        <f>_xlfn.XLOOKUP(tbl_MTG_Set[[#This Row],[Collector Booster Box Product Id]], tbl_Product[Product Id], tbl_Product[Min Cost])</f>
        <v/>
      </c>
      <c r="AV433" s="10">
        <f>_xlfn.XLOOKUP(tbl_MTG_Set[[#This Row],[Collector Booster Box Product Id]], tbl_Product[Product Id], tbl_Product[Best Source])</f>
        <v/>
      </c>
      <c r="AW433" s="4">
        <f>_xlfn.XLOOKUP(tbl_MTG_Set[[#This Row],[Collector Booster Box Product Id]], tbl_Product[Product Id], tbl_Product[Pack Size])</f>
        <v/>
      </c>
      <c r="AX433" s="10">
        <f>(tbl_MTG_Set[[#This Row],[Collector Booster Box Cost]] + v_Item_Shipping_Cost_In) / tbl_MTG_Set[[#This Row],[Collector Booster Box Size]]</f>
        <v/>
      </c>
      <c r="AY433" s="10">
        <f t="array" ref="AY4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3" s="10" t="n"/>
      <c r="BA4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3" s="17">
        <f>tbl_MTG_Set[[#This Row],[Collector Booster CardMarket Profit]]/tbl_MTG_Set[[#This Row],[Collector Booster Cost]]</f>
        <v/>
      </c>
      <c r="BC433" s="10" t="n"/>
      <c r="BF433" s="10">
        <f>tbl_MTG_Set[[#This Row],[Play Booster Sell Price CardMarket]]*tbl_MTG_Set[[#This Row],[Play Booster Expected Market Value]]/tbl_MTG_Set[[#This Row],[Play Boost Sealed Market Value]]</f>
        <v/>
      </c>
      <c r="BG4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3" s="10">
        <f>tbl_MTG_Set[[#This Row],[Play Singles CardMarket Profit]]/tbl_MTG_Set[[#This Row],[Play Booster Cost]]</f>
        <v/>
      </c>
      <c r="BI433" s="10">
        <f>tbl_MTG_Set[[#This Row],[Play Singles CardMarket Profit]]&gt;0</f>
        <v/>
      </c>
      <c r="BJ433" s="10" t="n"/>
      <c r="BK433" s="10" t="n"/>
      <c r="BL433" s="10">
        <f>tbl_MTG_Set[[#This Row],[Collector Booster Sell Price CardMarket]]*tbl_MTG_Set[[#This Row],[Collector Booster Expected Market Value]]/tbl_MTG_Set[[#This Row],[Collector Boost Sealed Market Value]]</f>
        <v/>
      </c>
      <c r="BM4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3" s="10">
        <f>tbl_MTG_Set[[#This Row],[Collector Singles CardMarket Profit]]/tbl_MTG_Set[[#This Row],[Collector Booster Cost]]</f>
        <v/>
      </c>
      <c r="BO433" s="10">
        <f>tbl_MTG_Set[[#This Row],[Collector Singles CardMarket Profit]]&gt;0</f>
        <v/>
      </c>
      <c r="BP4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4">
      <c r="A434" t="n">
        <v>432</v>
      </c>
      <c r="B434" t="inlineStr">
        <is>
          <t>San Diego Comic-Con 2019 PS19</t>
        </is>
      </c>
      <c r="C434" t="n">
        <v>5</v>
      </c>
      <c r="D434" s="3" t="n">
        <v>43664</v>
      </c>
      <c r="F434" t="inlineStr">
        <is>
          <t>en es fr de it pt ja ko ru 汉语 漢語</t>
        </is>
      </c>
      <c r="G434" t="n">
        <v>810</v>
      </c>
      <c r="H434">
        <f>MONTH(NOW())+12*YEAR(NOW())-MONTH(tbl_MTG_Set[[#This Row],[Released On]])-12*YEAR(tbl_MTG_Set[[#This Row],[Released On]])</f>
        <v/>
      </c>
      <c r="I434">
        <f>_xlfn.XLOOKUP(tbl_MTG_Set[[#This Row],[Type Name]], tbl_MTG_Set_Type[Set Type], tbl_MTG_Set_Type[Index], "(Set Type not found)")</f>
        <v/>
      </c>
      <c r="J434">
        <f>_xlfn.XLOOKUP(tbl_MTG_Set[[#This Row],[Type Name]], tbl_MTG_Set_Type[Set Type], tbl_MTG_Set_Type[Buy Window Month Start], "(Set Type not found)")</f>
        <v/>
      </c>
      <c r="K434" s="3">
        <f>tbl_MTG_Set[[#This Row],[Released On]]+tbl_MTG_Set[[#This Row],[Buy Window Month Start]]*365.25/12</f>
        <v/>
      </c>
      <c r="L434">
        <f>_xlfn.XLOOKUP(tbl_MTG_Set[[#This Row],[Type Name]], tbl_MTG_Set_Type[Set Type], tbl_MTG_Set_Type[Buy Window Month End], "(Set Type not found)", 0, 1)</f>
        <v/>
      </c>
      <c r="M434" s="3">
        <f>tbl_MTG_Set[[#This Row],[Released On]]+tbl_MTG_Set[[#This Row],[Buy Window Month End]]*365.25/12</f>
        <v/>
      </c>
      <c r="N434" s="3">
        <f>AND(NOW()&gt;=tbl_MTG_Set[[#This Row],[Buy Window Start]], NOW()&lt;=tbl_MTG_Set[[#This Row],[Buy Window End]])</f>
        <v/>
      </c>
      <c r="O434">
        <f>_xlfn.XLOOKUP(tbl_MTG_Set[[#This Row],[Type Name]], tbl_MTG_Set_Type[Set Type], tbl_MTG_Set_Type[Heavy Printing Window Month Start], "(Set Type not found)", 0, 1)</f>
        <v/>
      </c>
      <c r="P434" s="3">
        <f>tbl_MTG_Set[[#This Row],[Released On]]+tbl_MTG_Set[[#This Row],[Heavy Printing Window Month Start]]*365.25/12</f>
        <v/>
      </c>
      <c r="Q434">
        <f>_xlfn.XLOOKUP(tbl_MTG_Set[[#This Row],[Type Name]], tbl_MTG_Set_Type[Set Type], tbl_MTG_Set_Type[Heavy Printing Window Month End], "(Set Type not found)", 0, 1)</f>
        <v/>
      </c>
      <c r="R434" s="3">
        <f>tbl_MTG_Set[[#This Row],[Released On]]+tbl_MTG_Set[[#This Row],[Heavy Printing Window Month End]]*365.25/12</f>
        <v/>
      </c>
      <c r="S434" s="3">
        <f>AND(NOW()&gt;=tbl_MTG_Set[[#This Row],[Heavy Printing Window Start]], NOW()&lt;=tbl_MTG_Set[[#This Row],[Heavy Printing Window End]])</f>
        <v/>
      </c>
      <c r="T434">
        <f>_xlfn.XLOOKUP(tbl_MTG_Set[[#This Row],[Type Name]], tbl_MTG_Set_Type[Set Type], tbl_MTG_Set_Type[Sell Window Month Start], "(Set Type not found)", 0, 1)</f>
        <v/>
      </c>
      <c r="U434" s="3">
        <f>tbl_MTG_Set[[#This Row],[Released On]]+tbl_MTG_Set[[#This Row],[Sell Window Month Start]]*365.25/12</f>
        <v/>
      </c>
      <c r="V434">
        <f>_xlfn.XLOOKUP(tbl_MTG_Set[[#This Row],[Type Name]], tbl_MTG_Set_Type[Set Type], tbl_MTG_Set_Type[Sell Window Month End], "(Set Type not found)", 0, 1)</f>
        <v/>
      </c>
      <c r="W434" s="3">
        <f>tbl_MTG_Set[[#This Row],[Released On]]+tbl_MTG_Set[[#This Row],[Sell Window Month End]]*365.25/12</f>
        <v/>
      </c>
      <c r="X434" s="3">
        <f>AND(NOW()&gt;=tbl_MTG_Set[[#This Row],[Sell Window Start]], NOW()&lt;=tbl_MTG_Set[[#This Row],[Sell Window End]])</f>
        <v/>
      </c>
      <c r="AG434" s="10" t="n"/>
      <c r="AH434" s="10" t="n"/>
      <c r="AM434" s="10">
        <f t="array" ref="AM4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4" s="10">
        <f t="array" ref="AN4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4" s="4">
        <f>_xlfn.XLOOKUP(tbl_MTG_Set[[#This Row],[Play Booster Box Product Id]], tbl_Product[Product Id], tbl_Product[Pack Size])</f>
        <v/>
      </c>
      <c r="AP434" s="10">
        <f>(tbl_MTG_Set[[#This Row],[Play Booster Box Cost]]+v_Item_Shipping_Cost_In)/tbl_MTG_Set[[#This Row],[Play Booster Box Size]]</f>
        <v/>
      </c>
      <c r="AQ434" s="10">
        <f t="array" ref="AQ4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4" s="10" t="n"/>
      <c r="AS434" s="10" t="n"/>
      <c r="AT434" s="17">
        <f>tbl_MTG_Set[[#This Row],[Play Booster CardMarket Profit]]/tbl_MTG_Set[[#This Row],[Play Booster Cost]]</f>
        <v/>
      </c>
      <c r="AU434" s="10">
        <f>_xlfn.XLOOKUP(tbl_MTG_Set[[#This Row],[Collector Booster Box Product Id]], tbl_Product[Product Id], tbl_Product[Min Cost])</f>
        <v/>
      </c>
      <c r="AV434" s="10">
        <f>_xlfn.XLOOKUP(tbl_MTG_Set[[#This Row],[Collector Booster Box Product Id]], tbl_Product[Product Id], tbl_Product[Best Source])</f>
        <v/>
      </c>
      <c r="AW434" s="4">
        <f>_xlfn.XLOOKUP(tbl_MTG_Set[[#This Row],[Collector Booster Box Product Id]], tbl_Product[Product Id], tbl_Product[Pack Size])</f>
        <v/>
      </c>
      <c r="AX434" s="10">
        <f>(tbl_MTG_Set[[#This Row],[Collector Booster Box Cost]] + v_Item_Shipping_Cost_In) / tbl_MTG_Set[[#This Row],[Collector Booster Box Size]]</f>
        <v/>
      </c>
      <c r="AY434" s="10">
        <f t="array" ref="AY4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4" s="10" t="n"/>
      <c r="BA4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4" s="17">
        <f>tbl_MTG_Set[[#This Row],[Collector Booster CardMarket Profit]]/tbl_MTG_Set[[#This Row],[Collector Booster Cost]]</f>
        <v/>
      </c>
      <c r="BC434" s="10" t="n"/>
      <c r="BF434" s="10">
        <f>tbl_MTG_Set[[#This Row],[Play Booster Sell Price CardMarket]]*tbl_MTG_Set[[#This Row],[Play Booster Expected Market Value]]/tbl_MTG_Set[[#This Row],[Play Boost Sealed Market Value]]</f>
        <v/>
      </c>
      <c r="BG4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4" s="10">
        <f>tbl_MTG_Set[[#This Row],[Play Singles CardMarket Profit]]/tbl_MTG_Set[[#This Row],[Play Booster Cost]]</f>
        <v/>
      </c>
      <c r="BI434" s="10">
        <f>tbl_MTG_Set[[#This Row],[Play Singles CardMarket Profit]]&gt;0</f>
        <v/>
      </c>
      <c r="BJ434" s="10" t="n"/>
      <c r="BK434" s="10" t="n"/>
      <c r="BL434" s="10">
        <f>tbl_MTG_Set[[#This Row],[Collector Booster Sell Price CardMarket]]*tbl_MTG_Set[[#This Row],[Collector Booster Expected Market Value]]/tbl_MTG_Set[[#This Row],[Collector Boost Sealed Market Value]]</f>
        <v/>
      </c>
      <c r="BM4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4" s="10">
        <f>tbl_MTG_Set[[#This Row],[Collector Singles CardMarket Profit]]/tbl_MTG_Set[[#This Row],[Collector Booster Cost]]</f>
        <v/>
      </c>
      <c r="BO434" s="10">
        <f>tbl_MTG_Set[[#This Row],[Collector Singles CardMarket Profit]]&gt;0</f>
        <v/>
      </c>
      <c r="BP4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5">
      <c r="A435" t="n">
        <v>433</v>
      </c>
      <c r="B435" t="inlineStr">
        <is>
          <t>Core Set 2020 M20</t>
        </is>
      </c>
      <c r="C435" t="n">
        <v>346</v>
      </c>
      <c r="D435" s="3" t="n">
        <v>43658</v>
      </c>
      <c r="F435" t="inlineStr">
        <is>
          <t>en es fr de it pt ja ko ru 汉语 漢語</t>
        </is>
      </c>
      <c r="G435" t="n">
        <v>812</v>
      </c>
      <c r="H435">
        <f>MONTH(NOW())+12*YEAR(NOW())-MONTH(tbl_MTG_Set[[#This Row],[Released On]])-12*YEAR(tbl_MTG_Set[[#This Row],[Released On]])</f>
        <v/>
      </c>
      <c r="I435">
        <f>_xlfn.XLOOKUP(tbl_MTG_Set[[#This Row],[Type Name]], tbl_MTG_Set_Type[Set Type], tbl_MTG_Set_Type[Index], "(Set Type not found)")</f>
        <v/>
      </c>
      <c r="J435">
        <f>_xlfn.XLOOKUP(tbl_MTG_Set[[#This Row],[Type Name]], tbl_MTG_Set_Type[Set Type], tbl_MTG_Set_Type[Buy Window Month Start], "(Set Type not found)")</f>
        <v/>
      </c>
      <c r="K435" s="3">
        <f>tbl_MTG_Set[[#This Row],[Released On]]+tbl_MTG_Set[[#This Row],[Buy Window Month Start]]*365.25/12</f>
        <v/>
      </c>
      <c r="L435">
        <f>_xlfn.XLOOKUP(tbl_MTG_Set[[#This Row],[Type Name]], tbl_MTG_Set_Type[Set Type], tbl_MTG_Set_Type[Buy Window Month End], "(Set Type not found)", 0, 1)</f>
        <v/>
      </c>
      <c r="M435" s="3">
        <f>tbl_MTG_Set[[#This Row],[Released On]]+tbl_MTG_Set[[#This Row],[Buy Window Month End]]*365.25/12</f>
        <v/>
      </c>
      <c r="N435" s="3">
        <f>AND(NOW()&gt;=tbl_MTG_Set[[#This Row],[Buy Window Start]], NOW()&lt;=tbl_MTG_Set[[#This Row],[Buy Window End]])</f>
        <v/>
      </c>
      <c r="O435">
        <f>_xlfn.XLOOKUP(tbl_MTG_Set[[#This Row],[Type Name]], tbl_MTG_Set_Type[Set Type], tbl_MTG_Set_Type[Heavy Printing Window Month Start], "(Set Type not found)", 0, 1)</f>
        <v/>
      </c>
      <c r="P435" s="3">
        <f>tbl_MTG_Set[[#This Row],[Released On]]+tbl_MTG_Set[[#This Row],[Heavy Printing Window Month Start]]*365.25/12</f>
        <v/>
      </c>
      <c r="Q435">
        <f>_xlfn.XLOOKUP(tbl_MTG_Set[[#This Row],[Type Name]], tbl_MTG_Set_Type[Set Type], tbl_MTG_Set_Type[Heavy Printing Window Month End], "(Set Type not found)", 0, 1)</f>
        <v/>
      </c>
      <c r="R435" s="3">
        <f>tbl_MTG_Set[[#This Row],[Released On]]+tbl_MTG_Set[[#This Row],[Heavy Printing Window Month End]]*365.25/12</f>
        <v/>
      </c>
      <c r="S435" s="3">
        <f>AND(NOW()&gt;=tbl_MTG_Set[[#This Row],[Heavy Printing Window Start]], NOW()&lt;=tbl_MTG_Set[[#This Row],[Heavy Printing Window End]])</f>
        <v/>
      </c>
      <c r="T435">
        <f>_xlfn.XLOOKUP(tbl_MTG_Set[[#This Row],[Type Name]], tbl_MTG_Set_Type[Set Type], tbl_MTG_Set_Type[Sell Window Month Start], "(Set Type not found)", 0, 1)</f>
        <v/>
      </c>
      <c r="U435" s="3">
        <f>tbl_MTG_Set[[#This Row],[Released On]]+tbl_MTG_Set[[#This Row],[Sell Window Month Start]]*365.25/12</f>
        <v/>
      </c>
      <c r="V435">
        <f>_xlfn.XLOOKUP(tbl_MTG_Set[[#This Row],[Type Name]], tbl_MTG_Set_Type[Set Type], tbl_MTG_Set_Type[Sell Window Month End], "(Set Type not found)", 0, 1)</f>
        <v/>
      </c>
      <c r="W435" s="3">
        <f>tbl_MTG_Set[[#This Row],[Released On]]+tbl_MTG_Set[[#This Row],[Sell Window Month End]]*365.25/12</f>
        <v/>
      </c>
      <c r="X435" s="3">
        <f>AND(NOW()&gt;=tbl_MTG_Set[[#This Row],[Sell Window Start]], NOW()&lt;=tbl_MTG_Set[[#This Row],[Sell Window End]])</f>
        <v/>
      </c>
      <c r="AG435" s="10" t="n"/>
      <c r="AH435" s="10" t="n"/>
      <c r="AM435" s="10">
        <f t="array" ref="AM4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5" s="10">
        <f t="array" ref="AN4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5" s="4">
        <f>_xlfn.XLOOKUP(tbl_MTG_Set[[#This Row],[Play Booster Box Product Id]], tbl_Product[Product Id], tbl_Product[Pack Size])</f>
        <v/>
      </c>
      <c r="AP435" s="10">
        <f>(tbl_MTG_Set[[#This Row],[Play Booster Box Cost]]+v_Item_Shipping_Cost_In)/tbl_MTG_Set[[#This Row],[Play Booster Box Size]]</f>
        <v/>
      </c>
      <c r="AQ435" s="10">
        <f t="array" ref="AQ4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5" s="10" t="n"/>
      <c r="AS435" s="10" t="n"/>
      <c r="AT435" s="17">
        <f>tbl_MTG_Set[[#This Row],[Play Booster CardMarket Profit]]/tbl_MTG_Set[[#This Row],[Play Booster Cost]]</f>
        <v/>
      </c>
      <c r="AU435" s="10">
        <f>_xlfn.XLOOKUP(tbl_MTG_Set[[#This Row],[Collector Booster Box Product Id]], tbl_Product[Product Id], tbl_Product[Min Cost])</f>
        <v/>
      </c>
      <c r="AV435" s="10">
        <f>_xlfn.XLOOKUP(tbl_MTG_Set[[#This Row],[Collector Booster Box Product Id]], tbl_Product[Product Id], tbl_Product[Best Source])</f>
        <v/>
      </c>
      <c r="AW435" s="4">
        <f>_xlfn.XLOOKUP(tbl_MTG_Set[[#This Row],[Collector Booster Box Product Id]], tbl_Product[Product Id], tbl_Product[Pack Size])</f>
        <v/>
      </c>
      <c r="AX435" s="10">
        <f>(tbl_MTG_Set[[#This Row],[Collector Booster Box Cost]] + v_Item_Shipping_Cost_In) / tbl_MTG_Set[[#This Row],[Collector Booster Box Size]]</f>
        <v/>
      </c>
      <c r="AY435" s="10">
        <f t="array" ref="AY4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5" s="10" t="n"/>
      <c r="BA4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5" s="17">
        <f>tbl_MTG_Set[[#This Row],[Collector Booster CardMarket Profit]]/tbl_MTG_Set[[#This Row],[Collector Booster Cost]]</f>
        <v/>
      </c>
      <c r="BC435" s="10" t="n"/>
      <c r="BF435" s="10">
        <f>tbl_MTG_Set[[#This Row],[Play Booster Sell Price CardMarket]]*tbl_MTG_Set[[#This Row],[Play Booster Expected Market Value]]/tbl_MTG_Set[[#This Row],[Play Boost Sealed Market Value]]</f>
        <v/>
      </c>
      <c r="BG4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5" s="10">
        <f>tbl_MTG_Set[[#This Row],[Play Singles CardMarket Profit]]/tbl_MTG_Set[[#This Row],[Play Booster Cost]]</f>
        <v/>
      </c>
      <c r="BI435" s="10">
        <f>tbl_MTG_Set[[#This Row],[Play Singles CardMarket Profit]]&gt;0</f>
        <v/>
      </c>
      <c r="BJ435" s="10" t="n"/>
      <c r="BK435" s="10" t="n"/>
      <c r="BL435" s="10">
        <f>tbl_MTG_Set[[#This Row],[Collector Booster Sell Price CardMarket]]*tbl_MTG_Set[[#This Row],[Collector Booster Expected Market Value]]/tbl_MTG_Set[[#This Row],[Collector Boost Sealed Market Value]]</f>
        <v/>
      </c>
      <c r="BM4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5" s="10">
        <f>tbl_MTG_Set[[#This Row],[Collector Singles CardMarket Profit]]/tbl_MTG_Set[[#This Row],[Collector Booster Cost]]</f>
        <v/>
      </c>
      <c r="BO435" s="10">
        <f>tbl_MTG_Set[[#This Row],[Collector Singles CardMarket Profit]]&gt;0</f>
        <v/>
      </c>
      <c r="BP4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6">
      <c r="A436" t="n">
        <v>434</v>
      </c>
      <c r="B436" t="inlineStr">
        <is>
          <t>Core Set 2020 Promos PM20</t>
        </is>
      </c>
      <c r="C436" t="n">
        <v>144</v>
      </c>
      <c r="D436" s="3" t="n">
        <v>43658</v>
      </c>
      <c r="F436" t="inlineStr">
        <is>
          <t>en es fr de it pt ja ko ru 汉语 漢語</t>
        </is>
      </c>
      <c r="G436" t="n">
        <v>814</v>
      </c>
      <c r="H436">
        <f>MONTH(NOW())+12*YEAR(NOW())-MONTH(tbl_MTG_Set[[#This Row],[Released On]])-12*YEAR(tbl_MTG_Set[[#This Row],[Released On]])</f>
        <v/>
      </c>
      <c r="I436">
        <f>_xlfn.XLOOKUP(tbl_MTG_Set[[#This Row],[Type Name]], tbl_MTG_Set_Type[Set Type], tbl_MTG_Set_Type[Index], "(Set Type not found)")</f>
        <v/>
      </c>
      <c r="J436">
        <f>_xlfn.XLOOKUP(tbl_MTG_Set[[#This Row],[Type Name]], tbl_MTG_Set_Type[Set Type], tbl_MTG_Set_Type[Buy Window Month Start], "(Set Type not found)")</f>
        <v/>
      </c>
      <c r="K436" s="3">
        <f>tbl_MTG_Set[[#This Row],[Released On]]+tbl_MTG_Set[[#This Row],[Buy Window Month Start]]*365.25/12</f>
        <v/>
      </c>
      <c r="L436">
        <f>_xlfn.XLOOKUP(tbl_MTG_Set[[#This Row],[Type Name]], tbl_MTG_Set_Type[Set Type], tbl_MTG_Set_Type[Buy Window Month End], "(Set Type not found)", 0, 1)</f>
        <v/>
      </c>
      <c r="M436" s="3">
        <f>tbl_MTG_Set[[#This Row],[Released On]]+tbl_MTG_Set[[#This Row],[Buy Window Month End]]*365.25/12</f>
        <v/>
      </c>
      <c r="N436" s="3">
        <f>AND(NOW()&gt;=tbl_MTG_Set[[#This Row],[Buy Window Start]], NOW()&lt;=tbl_MTG_Set[[#This Row],[Buy Window End]])</f>
        <v/>
      </c>
      <c r="O436">
        <f>_xlfn.XLOOKUP(tbl_MTG_Set[[#This Row],[Type Name]], tbl_MTG_Set_Type[Set Type], tbl_MTG_Set_Type[Heavy Printing Window Month Start], "(Set Type not found)", 0, 1)</f>
        <v/>
      </c>
      <c r="P436" s="3">
        <f>tbl_MTG_Set[[#This Row],[Released On]]+tbl_MTG_Set[[#This Row],[Heavy Printing Window Month Start]]*365.25/12</f>
        <v/>
      </c>
      <c r="Q436">
        <f>_xlfn.XLOOKUP(tbl_MTG_Set[[#This Row],[Type Name]], tbl_MTG_Set_Type[Set Type], tbl_MTG_Set_Type[Heavy Printing Window Month End], "(Set Type not found)", 0, 1)</f>
        <v/>
      </c>
      <c r="R436" s="3">
        <f>tbl_MTG_Set[[#This Row],[Released On]]+tbl_MTG_Set[[#This Row],[Heavy Printing Window Month End]]*365.25/12</f>
        <v/>
      </c>
      <c r="S436" s="3">
        <f>AND(NOW()&gt;=tbl_MTG_Set[[#This Row],[Heavy Printing Window Start]], NOW()&lt;=tbl_MTG_Set[[#This Row],[Heavy Printing Window End]])</f>
        <v/>
      </c>
      <c r="T436">
        <f>_xlfn.XLOOKUP(tbl_MTG_Set[[#This Row],[Type Name]], tbl_MTG_Set_Type[Set Type], tbl_MTG_Set_Type[Sell Window Month Start], "(Set Type not found)", 0, 1)</f>
        <v/>
      </c>
      <c r="U436" s="3">
        <f>tbl_MTG_Set[[#This Row],[Released On]]+tbl_MTG_Set[[#This Row],[Sell Window Month Start]]*365.25/12</f>
        <v/>
      </c>
      <c r="V436">
        <f>_xlfn.XLOOKUP(tbl_MTG_Set[[#This Row],[Type Name]], tbl_MTG_Set_Type[Set Type], tbl_MTG_Set_Type[Sell Window Month End], "(Set Type not found)", 0, 1)</f>
        <v/>
      </c>
      <c r="W436" s="3">
        <f>tbl_MTG_Set[[#This Row],[Released On]]+tbl_MTG_Set[[#This Row],[Sell Window Month End]]*365.25/12</f>
        <v/>
      </c>
      <c r="X436" s="3">
        <f>AND(NOW()&gt;=tbl_MTG_Set[[#This Row],[Sell Window Start]], NOW()&lt;=tbl_MTG_Set[[#This Row],[Sell Window End]])</f>
        <v/>
      </c>
      <c r="AG436" s="10" t="n"/>
      <c r="AH436" s="10" t="n"/>
      <c r="AM436" s="10">
        <f t="array" ref="AM4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6" s="10">
        <f t="array" ref="AN4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6" s="4">
        <f>_xlfn.XLOOKUP(tbl_MTG_Set[[#This Row],[Play Booster Box Product Id]], tbl_Product[Product Id], tbl_Product[Pack Size])</f>
        <v/>
      </c>
      <c r="AP436" s="10">
        <f>(tbl_MTG_Set[[#This Row],[Play Booster Box Cost]]+v_Item_Shipping_Cost_In)/tbl_MTG_Set[[#This Row],[Play Booster Box Size]]</f>
        <v/>
      </c>
      <c r="AQ436" s="10">
        <f t="array" ref="AQ4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6" s="10" t="n"/>
      <c r="AS436" s="10" t="n"/>
      <c r="AT436" s="17">
        <f>tbl_MTG_Set[[#This Row],[Play Booster CardMarket Profit]]/tbl_MTG_Set[[#This Row],[Play Booster Cost]]</f>
        <v/>
      </c>
      <c r="AU436" s="10">
        <f>_xlfn.XLOOKUP(tbl_MTG_Set[[#This Row],[Collector Booster Box Product Id]], tbl_Product[Product Id], tbl_Product[Min Cost])</f>
        <v/>
      </c>
      <c r="AV436" s="10">
        <f>_xlfn.XLOOKUP(tbl_MTG_Set[[#This Row],[Collector Booster Box Product Id]], tbl_Product[Product Id], tbl_Product[Best Source])</f>
        <v/>
      </c>
      <c r="AW436" s="4">
        <f>_xlfn.XLOOKUP(tbl_MTG_Set[[#This Row],[Collector Booster Box Product Id]], tbl_Product[Product Id], tbl_Product[Pack Size])</f>
        <v/>
      </c>
      <c r="AX436" s="10">
        <f>(tbl_MTG_Set[[#This Row],[Collector Booster Box Cost]] + v_Item_Shipping_Cost_In) / tbl_MTG_Set[[#This Row],[Collector Booster Box Size]]</f>
        <v/>
      </c>
      <c r="AY436" s="10">
        <f t="array" ref="AY4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6" s="10" t="n"/>
      <c r="BA4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6" s="17">
        <f>tbl_MTG_Set[[#This Row],[Collector Booster CardMarket Profit]]/tbl_MTG_Set[[#This Row],[Collector Booster Cost]]</f>
        <v/>
      </c>
      <c r="BC436" s="10" t="n"/>
      <c r="BF436" s="10">
        <f>tbl_MTG_Set[[#This Row],[Play Booster Sell Price CardMarket]]*tbl_MTG_Set[[#This Row],[Play Booster Expected Market Value]]/tbl_MTG_Set[[#This Row],[Play Boost Sealed Market Value]]</f>
        <v/>
      </c>
      <c r="BG4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6" s="10">
        <f>tbl_MTG_Set[[#This Row],[Play Singles CardMarket Profit]]/tbl_MTG_Set[[#This Row],[Play Booster Cost]]</f>
        <v/>
      </c>
      <c r="BI436" s="10">
        <f>tbl_MTG_Set[[#This Row],[Play Singles CardMarket Profit]]&gt;0</f>
        <v/>
      </c>
      <c r="BJ436" s="10" t="n"/>
      <c r="BK436" s="10" t="n"/>
      <c r="BL436" s="10">
        <f>tbl_MTG_Set[[#This Row],[Collector Booster Sell Price CardMarket]]*tbl_MTG_Set[[#This Row],[Collector Booster Expected Market Value]]/tbl_MTG_Set[[#This Row],[Collector Boost Sealed Market Value]]</f>
        <v/>
      </c>
      <c r="BM4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6" s="10">
        <f>tbl_MTG_Set[[#This Row],[Collector Singles CardMarket Profit]]/tbl_MTG_Set[[#This Row],[Collector Booster Cost]]</f>
        <v/>
      </c>
      <c r="BO436" s="10">
        <f>tbl_MTG_Set[[#This Row],[Collector Singles CardMarket Profit]]&gt;0</f>
        <v/>
      </c>
      <c r="BP4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7">
      <c r="A437" t="n">
        <v>435</v>
      </c>
      <c r="B437" t="inlineStr">
        <is>
          <t>Core Set 2020 Tokens TM20</t>
        </is>
      </c>
      <c r="C437" t="n">
        <v>12</v>
      </c>
      <c r="D437" s="3" t="n">
        <v>43658</v>
      </c>
      <c r="F437" t="inlineStr">
        <is>
          <t>en es fr de it pt ja ko ru 汉语 漢語</t>
        </is>
      </c>
      <c r="G437" t="n">
        <v>816</v>
      </c>
      <c r="H437">
        <f>MONTH(NOW())+12*YEAR(NOW())-MONTH(tbl_MTG_Set[[#This Row],[Released On]])-12*YEAR(tbl_MTG_Set[[#This Row],[Released On]])</f>
        <v/>
      </c>
      <c r="I437">
        <f>_xlfn.XLOOKUP(tbl_MTG_Set[[#This Row],[Type Name]], tbl_MTG_Set_Type[Set Type], tbl_MTG_Set_Type[Index], "(Set Type not found)")</f>
        <v/>
      </c>
      <c r="J437">
        <f>_xlfn.XLOOKUP(tbl_MTG_Set[[#This Row],[Type Name]], tbl_MTG_Set_Type[Set Type], tbl_MTG_Set_Type[Buy Window Month Start], "(Set Type not found)")</f>
        <v/>
      </c>
      <c r="K437" s="3">
        <f>tbl_MTG_Set[[#This Row],[Released On]]+tbl_MTG_Set[[#This Row],[Buy Window Month Start]]*365.25/12</f>
        <v/>
      </c>
      <c r="L437">
        <f>_xlfn.XLOOKUP(tbl_MTG_Set[[#This Row],[Type Name]], tbl_MTG_Set_Type[Set Type], tbl_MTG_Set_Type[Buy Window Month End], "(Set Type not found)", 0, 1)</f>
        <v/>
      </c>
      <c r="M437" s="3">
        <f>tbl_MTG_Set[[#This Row],[Released On]]+tbl_MTG_Set[[#This Row],[Buy Window Month End]]*365.25/12</f>
        <v/>
      </c>
      <c r="N437" s="3">
        <f>AND(NOW()&gt;=tbl_MTG_Set[[#This Row],[Buy Window Start]], NOW()&lt;=tbl_MTG_Set[[#This Row],[Buy Window End]])</f>
        <v/>
      </c>
      <c r="O437">
        <f>_xlfn.XLOOKUP(tbl_MTG_Set[[#This Row],[Type Name]], tbl_MTG_Set_Type[Set Type], tbl_MTG_Set_Type[Heavy Printing Window Month Start], "(Set Type not found)", 0, 1)</f>
        <v/>
      </c>
      <c r="P437" s="3">
        <f>tbl_MTG_Set[[#This Row],[Released On]]+tbl_MTG_Set[[#This Row],[Heavy Printing Window Month Start]]*365.25/12</f>
        <v/>
      </c>
      <c r="Q437">
        <f>_xlfn.XLOOKUP(tbl_MTG_Set[[#This Row],[Type Name]], tbl_MTG_Set_Type[Set Type], tbl_MTG_Set_Type[Heavy Printing Window Month End], "(Set Type not found)", 0, 1)</f>
        <v/>
      </c>
      <c r="R437" s="3">
        <f>tbl_MTG_Set[[#This Row],[Released On]]+tbl_MTG_Set[[#This Row],[Heavy Printing Window Month End]]*365.25/12</f>
        <v/>
      </c>
      <c r="S437" s="3">
        <f>AND(NOW()&gt;=tbl_MTG_Set[[#This Row],[Heavy Printing Window Start]], NOW()&lt;=tbl_MTG_Set[[#This Row],[Heavy Printing Window End]])</f>
        <v/>
      </c>
      <c r="T437">
        <f>_xlfn.XLOOKUP(tbl_MTG_Set[[#This Row],[Type Name]], tbl_MTG_Set_Type[Set Type], tbl_MTG_Set_Type[Sell Window Month Start], "(Set Type not found)", 0, 1)</f>
        <v/>
      </c>
      <c r="U437" s="3">
        <f>tbl_MTG_Set[[#This Row],[Released On]]+tbl_MTG_Set[[#This Row],[Sell Window Month Start]]*365.25/12</f>
        <v/>
      </c>
      <c r="V437">
        <f>_xlfn.XLOOKUP(tbl_MTG_Set[[#This Row],[Type Name]], tbl_MTG_Set_Type[Set Type], tbl_MTG_Set_Type[Sell Window Month End], "(Set Type not found)", 0, 1)</f>
        <v/>
      </c>
      <c r="W437" s="3">
        <f>tbl_MTG_Set[[#This Row],[Released On]]+tbl_MTG_Set[[#This Row],[Sell Window Month End]]*365.25/12</f>
        <v/>
      </c>
      <c r="X437" s="3">
        <f>AND(NOW()&gt;=tbl_MTG_Set[[#This Row],[Sell Window Start]], NOW()&lt;=tbl_MTG_Set[[#This Row],[Sell Window End]])</f>
        <v/>
      </c>
      <c r="AG437" s="10" t="n"/>
      <c r="AH437" s="10" t="n"/>
      <c r="AM437" s="10">
        <f t="array" ref="AM4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7" s="10">
        <f t="array" ref="AN4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7" s="4">
        <f>_xlfn.XLOOKUP(tbl_MTG_Set[[#This Row],[Play Booster Box Product Id]], tbl_Product[Product Id], tbl_Product[Pack Size])</f>
        <v/>
      </c>
      <c r="AP437" s="10">
        <f>(tbl_MTG_Set[[#This Row],[Play Booster Box Cost]]+v_Item_Shipping_Cost_In)/tbl_MTG_Set[[#This Row],[Play Booster Box Size]]</f>
        <v/>
      </c>
      <c r="AQ437" s="10">
        <f t="array" ref="AQ4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7" s="10" t="n"/>
      <c r="AS437" s="10" t="n"/>
      <c r="AT437" s="17">
        <f>tbl_MTG_Set[[#This Row],[Play Booster CardMarket Profit]]/tbl_MTG_Set[[#This Row],[Play Booster Cost]]</f>
        <v/>
      </c>
      <c r="AU437" s="10">
        <f>_xlfn.XLOOKUP(tbl_MTG_Set[[#This Row],[Collector Booster Box Product Id]], tbl_Product[Product Id], tbl_Product[Min Cost])</f>
        <v/>
      </c>
      <c r="AV437" s="10">
        <f>_xlfn.XLOOKUP(tbl_MTG_Set[[#This Row],[Collector Booster Box Product Id]], tbl_Product[Product Id], tbl_Product[Best Source])</f>
        <v/>
      </c>
      <c r="AW437" s="4">
        <f>_xlfn.XLOOKUP(tbl_MTG_Set[[#This Row],[Collector Booster Box Product Id]], tbl_Product[Product Id], tbl_Product[Pack Size])</f>
        <v/>
      </c>
      <c r="AX437" s="10">
        <f>(tbl_MTG_Set[[#This Row],[Collector Booster Box Cost]] + v_Item_Shipping_Cost_In) / tbl_MTG_Set[[#This Row],[Collector Booster Box Size]]</f>
        <v/>
      </c>
      <c r="AY437" s="10">
        <f t="array" ref="AY4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7" s="10" t="n"/>
      <c r="BA4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7" s="17">
        <f>tbl_MTG_Set[[#This Row],[Collector Booster CardMarket Profit]]/tbl_MTG_Set[[#This Row],[Collector Booster Cost]]</f>
        <v/>
      </c>
      <c r="BC437" s="10" t="n"/>
      <c r="BF437" s="10">
        <f>tbl_MTG_Set[[#This Row],[Play Booster Sell Price CardMarket]]*tbl_MTG_Set[[#This Row],[Play Booster Expected Market Value]]/tbl_MTG_Set[[#This Row],[Play Boost Sealed Market Value]]</f>
        <v/>
      </c>
      <c r="BG4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7" s="10">
        <f>tbl_MTG_Set[[#This Row],[Play Singles CardMarket Profit]]/tbl_MTG_Set[[#This Row],[Play Booster Cost]]</f>
        <v/>
      </c>
      <c r="BI437" s="10">
        <f>tbl_MTG_Set[[#This Row],[Play Singles CardMarket Profit]]&gt;0</f>
        <v/>
      </c>
      <c r="BJ437" s="10" t="n"/>
      <c r="BK437" s="10" t="n"/>
      <c r="BL437" s="10">
        <f>tbl_MTG_Set[[#This Row],[Collector Booster Sell Price CardMarket]]*tbl_MTG_Set[[#This Row],[Collector Booster Expected Market Value]]/tbl_MTG_Set[[#This Row],[Collector Boost Sealed Market Value]]</f>
        <v/>
      </c>
      <c r="BM4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7" s="10">
        <f>tbl_MTG_Set[[#This Row],[Collector Singles CardMarket Profit]]/tbl_MTG_Set[[#This Row],[Collector Booster Cost]]</f>
        <v/>
      </c>
      <c r="BO437" s="10">
        <f>tbl_MTG_Set[[#This Row],[Collector Singles CardMarket Profit]]&gt;0</f>
        <v/>
      </c>
      <c r="BP4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8">
      <c r="A438" t="n">
        <v>436</v>
      </c>
      <c r="B438" t="inlineStr">
        <is>
          <t>M20 Promo Packs PPP1</t>
        </is>
      </c>
      <c r="C438" t="n">
        <v>5</v>
      </c>
      <c r="D438" s="3" t="n">
        <v>43658</v>
      </c>
      <c r="F438" t="inlineStr">
        <is>
          <t>en es fr de it pt ja ko ru 汉语 漢語</t>
        </is>
      </c>
      <c r="G438" t="n">
        <v>818</v>
      </c>
      <c r="H438">
        <f>MONTH(NOW())+12*YEAR(NOW())-MONTH(tbl_MTG_Set[[#This Row],[Released On]])-12*YEAR(tbl_MTG_Set[[#This Row],[Released On]])</f>
        <v/>
      </c>
      <c r="I438">
        <f>_xlfn.XLOOKUP(tbl_MTG_Set[[#This Row],[Type Name]], tbl_MTG_Set_Type[Set Type], tbl_MTG_Set_Type[Index], "(Set Type not found)")</f>
        <v/>
      </c>
      <c r="J438">
        <f>_xlfn.XLOOKUP(tbl_MTG_Set[[#This Row],[Type Name]], tbl_MTG_Set_Type[Set Type], tbl_MTG_Set_Type[Buy Window Month Start], "(Set Type not found)")</f>
        <v/>
      </c>
      <c r="K438" s="3">
        <f>tbl_MTG_Set[[#This Row],[Released On]]+tbl_MTG_Set[[#This Row],[Buy Window Month Start]]*365.25/12</f>
        <v/>
      </c>
      <c r="L438">
        <f>_xlfn.XLOOKUP(tbl_MTG_Set[[#This Row],[Type Name]], tbl_MTG_Set_Type[Set Type], tbl_MTG_Set_Type[Buy Window Month End], "(Set Type not found)", 0, 1)</f>
        <v/>
      </c>
      <c r="M438" s="3">
        <f>tbl_MTG_Set[[#This Row],[Released On]]+tbl_MTG_Set[[#This Row],[Buy Window Month End]]*365.25/12</f>
        <v/>
      </c>
      <c r="N438" s="3">
        <f>AND(NOW()&gt;=tbl_MTG_Set[[#This Row],[Buy Window Start]], NOW()&lt;=tbl_MTG_Set[[#This Row],[Buy Window End]])</f>
        <v/>
      </c>
      <c r="O438">
        <f>_xlfn.XLOOKUP(tbl_MTG_Set[[#This Row],[Type Name]], tbl_MTG_Set_Type[Set Type], tbl_MTG_Set_Type[Heavy Printing Window Month Start], "(Set Type not found)", 0, 1)</f>
        <v/>
      </c>
      <c r="P438" s="3">
        <f>tbl_MTG_Set[[#This Row],[Released On]]+tbl_MTG_Set[[#This Row],[Heavy Printing Window Month Start]]*365.25/12</f>
        <v/>
      </c>
      <c r="Q438">
        <f>_xlfn.XLOOKUP(tbl_MTG_Set[[#This Row],[Type Name]], tbl_MTG_Set_Type[Set Type], tbl_MTG_Set_Type[Heavy Printing Window Month End], "(Set Type not found)", 0, 1)</f>
        <v/>
      </c>
      <c r="R438" s="3">
        <f>tbl_MTG_Set[[#This Row],[Released On]]+tbl_MTG_Set[[#This Row],[Heavy Printing Window Month End]]*365.25/12</f>
        <v/>
      </c>
      <c r="S438" s="3">
        <f>AND(NOW()&gt;=tbl_MTG_Set[[#This Row],[Heavy Printing Window Start]], NOW()&lt;=tbl_MTG_Set[[#This Row],[Heavy Printing Window End]])</f>
        <v/>
      </c>
      <c r="T438">
        <f>_xlfn.XLOOKUP(tbl_MTG_Set[[#This Row],[Type Name]], tbl_MTG_Set_Type[Set Type], tbl_MTG_Set_Type[Sell Window Month Start], "(Set Type not found)", 0, 1)</f>
        <v/>
      </c>
      <c r="U438" s="3">
        <f>tbl_MTG_Set[[#This Row],[Released On]]+tbl_MTG_Set[[#This Row],[Sell Window Month Start]]*365.25/12</f>
        <v/>
      </c>
      <c r="V438">
        <f>_xlfn.XLOOKUP(tbl_MTG_Set[[#This Row],[Type Name]], tbl_MTG_Set_Type[Set Type], tbl_MTG_Set_Type[Sell Window Month End], "(Set Type not found)", 0, 1)</f>
        <v/>
      </c>
      <c r="W438" s="3">
        <f>tbl_MTG_Set[[#This Row],[Released On]]+tbl_MTG_Set[[#This Row],[Sell Window Month End]]*365.25/12</f>
        <v/>
      </c>
      <c r="X438" s="3">
        <f>AND(NOW()&gt;=tbl_MTG_Set[[#This Row],[Sell Window Start]], NOW()&lt;=tbl_MTG_Set[[#This Row],[Sell Window End]])</f>
        <v/>
      </c>
      <c r="AG438" s="10" t="n"/>
      <c r="AH438" s="10" t="n"/>
      <c r="AM438" s="10">
        <f t="array" ref="AM4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8" s="10">
        <f t="array" ref="AN4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8" s="4">
        <f>_xlfn.XLOOKUP(tbl_MTG_Set[[#This Row],[Play Booster Box Product Id]], tbl_Product[Product Id], tbl_Product[Pack Size])</f>
        <v/>
      </c>
      <c r="AP438" s="10">
        <f>(tbl_MTG_Set[[#This Row],[Play Booster Box Cost]]+v_Item_Shipping_Cost_In)/tbl_MTG_Set[[#This Row],[Play Booster Box Size]]</f>
        <v/>
      </c>
      <c r="AQ438" s="10">
        <f t="array" ref="AQ4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8" s="10" t="n"/>
      <c r="AS438" s="10" t="n"/>
      <c r="AT438" s="17">
        <f>tbl_MTG_Set[[#This Row],[Play Booster CardMarket Profit]]/tbl_MTG_Set[[#This Row],[Play Booster Cost]]</f>
        <v/>
      </c>
      <c r="AU438" s="10">
        <f>_xlfn.XLOOKUP(tbl_MTG_Set[[#This Row],[Collector Booster Box Product Id]], tbl_Product[Product Id], tbl_Product[Min Cost])</f>
        <v/>
      </c>
      <c r="AV438" s="10">
        <f>_xlfn.XLOOKUP(tbl_MTG_Set[[#This Row],[Collector Booster Box Product Id]], tbl_Product[Product Id], tbl_Product[Best Source])</f>
        <v/>
      </c>
      <c r="AW438" s="4">
        <f>_xlfn.XLOOKUP(tbl_MTG_Set[[#This Row],[Collector Booster Box Product Id]], tbl_Product[Product Id], tbl_Product[Pack Size])</f>
        <v/>
      </c>
      <c r="AX438" s="10">
        <f>(tbl_MTG_Set[[#This Row],[Collector Booster Box Cost]] + v_Item_Shipping_Cost_In) / tbl_MTG_Set[[#This Row],[Collector Booster Box Size]]</f>
        <v/>
      </c>
      <c r="AY438" s="10">
        <f t="array" ref="AY4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8" s="10" t="n"/>
      <c r="BA4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8" s="17">
        <f>tbl_MTG_Set[[#This Row],[Collector Booster CardMarket Profit]]/tbl_MTG_Set[[#This Row],[Collector Booster Cost]]</f>
        <v/>
      </c>
      <c r="BC438" s="10" t="n"/>
      <c r="BF438" s="10">
        <f>tbl_MTG_Set[[#This Row],[Play Booster Sell Price CardMarket]]*tbl_MTG_Set[[#This Row],[Play Booster Expected Market Value]]/tbl_MTG_Set[[#This Row],[Play Boost Sealed Market Value]]</f>
        <v/>
      </c>
      <c r="BG4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8" s="10">
        <f>tbl_MTG_Set[[#This Row],[Play Singles CardMarket Profit]]/tbl_MTG_Set[[#This Row],[Play Booster Cost]]</f>
        <v/>
      </c>
      <c r="BI438" s="10">
        <f>tbl_MTG_Set[[#This Row],[Play Singles CardMarket Profit]]&gt;0</f>
        <v/>
      </c>
      <c r="BJ438" s="10" t="n"/>
      <c r="BK438" s="10" t="n"/>
      <c r="BL438" s="10">
        <f>tbl_MTG_Set[[#This Row],[Collector Booster Sell Price CardMarket]]*tbl_MTG_Set[[#This Row],[Collector Booster Expected Market Value]]/tbl_MTG_Set[[#This Row],[Collector Boost Sealed Market Value]]</f>
        <v/>
      </c>
      <c r="BM4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8" s="10">
        <f>tbl_MTG_Set[[#This Row],[Collector Singles CardMarket Profit]]/tbl_MTG_Set[[#This Row],[Collector Booster Cost]]</f>
        <v/>
      </c>
      <c r="BO438" s="10">
        <f>tbl_MTG_Set[[#This Row],[Collector Singles CardMarket Profit]]&gt;0</f>
        <v/>
      </c>
      <c r="BP4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9">
      <c r="A439" t="n">
        <v>437</v>
      </c>
      <c r="B439" t="inlineStr">
        <is>
          <t>Signature Spellbook: Gideon SS2</t>
        </is>
      </c>
      <c r="C439" t="n">
        <v>8</v>
      </c>
      <c r="D439" s="3" t="n">
        <v>43644</v>
      </c>
      <c r="F439" t="inlineStr">
        <is>
          <t>en es fr de it pt ja ko ru 汉语 漢語</t>
        </is>
      </c>
      <c r="G439" t="n">
        <v>820</v>
      </c>
      <c r="H439">
        <f>MONTH(NOW())+12*YEAR(NOW())-MONTH(tbl_MTG_Set[[#This Row],[Released On]])-12*YEAR(tbl_MTG_Set[[#This Row],[Released On]])</f>
        <v/>
      </c>
      <c r="I439">
        <f>_xlfn.XLOOKUP(tbl_MTG_Set[[#This Row],[Type Name]], tbl_MTG_Set_Type[Set Type], tbl_MTG_Set_Type[Index], "(Set Type not found)")</f>
        <v/>
      </c>
      <c r="J439">
        <f>_xlfn.XLOOKUP(tbl_MTG_Set[[#This Row],[Type Name]], tbl_MTG_Set_Type[Set Type], tbl_MTG_Set_Type[Buy Window Month Start], "(Set Type not found)")</f>
        <v/>
      </c>
      <c r="K439" s="3">
        <f>tbl_MTG_Set[[#This Row],[Released On]]+tbl_MTG_Set[[#This Row],[Buy Window Month Start]]*365.25/12</f>
        <v/>
      </c>
      <c r="L439">
        <f>_xlfn.XLOOKUP(tbl_MTG_Set[[#This Row],[Type Name]], tbl_MTG_Set_Type[Set Type], tbl_MTG_Set_Type[Buy Window Month End], "(Set Type not found)", 0, 1)</f>
        <v/>
      </c>
      <c r="M439" s="3">
        <f>tbl_MTG_Set[[#This Row],[Released On]]+tbl_MTG_Set[[#This Row],[Buy Window Month End]]*365.25/12</f>
        <v/>
      </c>
      <c r="N439" s="3">
        <f>AND(NOW()&gt;=tbl_MTG_Set[[#This Row],[Buy Window Start]], NOW()&lt;=tbl_MTG_Set[[#This Row],[Buy Window End]])</f>
        <v/>
      </c>
      <c r="O439">
        <f>_xlfn.XLOOKUP(tbl_MTG_Set[[#This Row],[Type Name]], tbl_MTG_Set_Type[Set Type], tbl_MTG_Set_Type[Heavy Printing Window Month Start], "(Set Type not found)", 0, 1)</f>
        <v/>
      </c>
      <c r="P439" s="3">
        <f>tbl_MTG_Set[[#This Row],[Released On]]+tbl_MTG_Set[[#This Row],[Heavy Printing Window Month Start]]*365.25/12</f>
        <v/>
      </c>
      <c r="Q439">
        <f>_xlfn.XLOOKUP(tbl_MTG_Set[[#This Row],[Type Name]], tbl_MTG_Set_Type[Set Type], tbl_MTG_Set_Type[Heavy Printing Window Month End], "(Set Type not found)", 0, 1)</f>
        <v/>
      </c>
      <c r="R439" s="3">
        <f>tbl_MTG_Set[[#This Row],[Released On]]+tbl_MTG_Set[[#This Row],[Heavy Printing Window Month End]]*365.25/12</f>
        <v/>
      </c>
      <c r="S439" s="3">
        <f>AND(NOW()&gt;=tbl_MTG_Set[[#This Row],[Heavy Printing Window Start]], NOW()&lt;=tbl_MTG_Set[[#This Row],[Heavy Printing Window End]])</f>
        <v/>
      </c>
      <c r="T439">
        <f>_xlfn.XLOOKUP(tbl_MTG_Set[[#This Row],[Type Name]], tbl_MTG_Set_Type[Set Type], tbl_MTG_Set_Type[Sell Window Month Start], "(Set Type not found)", 0, 1)</f>
        <v/>
      </c>
      <c r="U439" s="3">
        <f>tbl_MTG_Set[[#This Row],[Released On]]+tbl_MTG_Set[[#This Row],[Sell Window Month Start]]*365.25/12</f>
        <v/>
      </c>
      <c r="V439">
        <f>_xlfn.XLOOKUP(tbl_MTG_Set[[#This Row],[Type Name]], tbl_MTG_Set_Type[Set Type], tbl_MTG_Set_Type[Sell Window Month End], "(Set Type not found)", 0, 1)</f>
        <v/>
      </c>
      <c r="W439" s="3">
        <f>tbl_MTG_Set[[#This Row],[Released On]]+tbl_MTG_Set[[#This Row],[Sell Window Month End]]*365.25/12</f>
        <v/>
      </c>
      <c r="X439" s="3">
        <f>AND(NOW()&gt;=tbl_MTG_Set[[#This Row],[Sell Window Start]], NOW()&lt;=tbl_MTG_Set[[#This Row],[Sell Window End]])</f>
        <v/>
      </c>
      <c r="AG439" s="10" t="n"/>
      <c r="AH439" s="10" t="n"/>
      <c r="AM439" s="10">
        <f t="array" ref="AM4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9" s="10">
        <f t="array" ref="AN4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9" s="4">
        <f>_xlfn.XLOOKUP(tbl_MTG_Set[[#This Row],[Play Booster Box Product Id]], tbl_Product[Product Id], tbl_Product[Pack Size])</f>
        <v/>
      </c>
      <c r="AP439" s="10">
        <f>(tbl_MTG_Set[[#This Row],[Play Booster Box Cost]]+v_Item_Shipping_Cost_In)/tbl_MTG_Set[[#This Row],[Play Booster Box Size]]</f>
        <v/>
      </c>
      <c r="AQ439" s="10">
        <f t="array" ref="AQ4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39" s="10" t="n"/>
      <c r="AS439" s="10" t="n"/>
      <c r="AT439" s="17">
        <f>tbl_MTG_Set[[#This Row],[Play Booster CardMarket Profit]]/tbl_MTG_Set[[#This Row],[Play Booster Cost]]</f>
        <v/>
      </c>
      <c r="AU439" s="10">
        <f>_xlfn.XLOOKUP(tbl_MTG_Set[[#This Row],[Collector Booster Box Product Id]], tbl_Product[Product Id], tbl_Product[Min Cost])</f>
        <v/>
      </c>
      <c r="AV439" s="10">
        <f>_xlfn.XLOOKUP(tbl_MTG_Set[[#This Row],[Collector Booster Box Product Id]], tbl_Product[Product Id], tbl_Product[Best Source])</f>
        <v/>
      </c>
      <c r="AW439" s="4">
        <f>_xlfn.XLOOKUP(tbl_MTG_Set[[#This Row],[Collector Booster Box Product Id]], tbl_Product[Product Id], tbl_Product[Pack Size])</f>
        <v/>
      </c>
      <c r="AX439" s="10">
        <f>(tbl_MTG_Set[[#This Row],[Collector Booster Box Cost]] + v_Item_Shipping_Cost_In) / tbl_MTG_Set[[#This Row],[Collector Booster Box Size]]</f>
        <v/>
      </c>
      <c r="AY439" s="10">
        <f t="array" ref="AY4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39" s="10" t="n"/>
      <c r="BA4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9" s="17">
        <f>tbl_MTG_Set[[#This Row],[Collector Booster CardMarket Profit]]/tbl_MTG_Set[[#This Row],[Collector Booster Cost]]</f>
        <v/>
      </c>
      <c r="BC439" s="10" t="n"/>
      <c r="BF439" s="10">
        <f>tbl_MTG_Set[[#This Row],[Play Booster Sell Price CardMarket]]*tbl_MTG_Set[[#This Row],[Play Booster Expected Market Value]]/tbl_MTG_Set[[#This Row],[Play Boost Sealed Market Value]]</f>
        <v/>
      </c>
      <c r="BG4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9" s="10">
        <f>tbl_MTG_Set[[#This Row],[Play Singles CardMarket Profit]]/tbl_MTG_Set[[#This Row],[Play Booster Cost]]</f>
        <v/>
      </c>
      <c r="BI439" s="10">
        <f>tbl_MTG_Set[[#This Row],[Play Singles CardMarket Profit]]&gt;0</f>
        <v/>
      </c>
      <c r="BJ439" s="10" t="n"/>
      <c r="BK439" s="10" t="n"/>
      <c r="BL439" s="10">
        <f>tbl_MTG_Set[[#This Row],[Collector Booster Sell Price CardMarket]]*tbl_MTG_Set[[#This Row],[Collector Booster Expected Market Value]]/tbl_MTG_Set[[#This Row],[Collector Boost Sealed Market Value]]</f>
        <v/>
      </c>
      <c r="BM4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9" s="10">
        <f>tbl_MTG_Set[[#This Row],[Collector Singles CardMarket Profit]]/tbl_MTG_Set[[#This Row],[Collector Booster Cost]]</f>
        <v/>
      </c>
      <c r="BO439" s="10">
        <f>tbl_MTG_Set[[#This Row],[Collector Singles CardMarket Profit]]&gt;0</f>
        <v/>
      </c>
      <c r="BP4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0">
      <c r="A440" t="n">
        <v>438</v>
      </c>
      <c r="B440" t="inlineStr">
        <is>
          <t>Modern Horizons MH1</t>
        </is>
      </c>
      <c r="C440" t="n">
        <v>255</v>
      </c>
      <c r="D440" s="3" t="n">
        <v>43630</v>
      </c>
      <c r="F440" t="inlineStr">
        <is>
          <t>en es fr de it pt ja ko ru 汉语 漢語</t>
        </is>
      </c>
      <c r="G440" t="n">
        <v>822</v>
      </c>
      <c r="H440">
        <f>MONTH(NOW())+12*YEAR(NOW())-MONTH(tbl_MTG_Set[[#This Row],[Released On]])-12*YEAR(tbl_MTG_Set[[#This Row],[Released On]])</f>
        <v/>
      </c>
      <c r="I440">
        <f>_xlfn.XLOOKUP(tbl_MTG_Set[[#This Row],[Type Name]], tbl_MTG_Set_Type[Set Type], tbl_MTG_Set_Type[Index], "(Set Type not found)")</f>
        <v/>
      </c>
      <c r="J440">
        <f>_xlfn.XLOOKUP(tbl_MTG_Set[[#This Row],[Type Name]], tbl_MTG_Set_Type[Set Type], tbl_MTG_Set_Type[Buy Window Month Start], "(Set Type not found)")</f>
        <v/>
      </c>
      <c r="K440" s="3">
        <f>tbl_MTG_Set[[#This Row],[Released On]]+tbl_MTG_Set[[#This Row],[Buy Window Month Start]]*365.25/12</f>
        <v/>
      </c>
      <c r="L440">
        <f>_xlfn.XLOOKUP(tbl_MTG_Set[[#This Row],[Type Name]], tbl_MTG_Set_Type[Set Type], tbl_MTG_Set_Type[Buy Window Month End], "(Set Type not found)", 0, 1)</f>
        <v/>
      </c>
      <c r="M440" s="3">
        <f>tbl_MTG_Set[[#This Row],[Released On]]+tbl_MTG_Set[[#This Row],[Buy Window Month End]]*365.25/12</f>
        <v/>
      </c>
      <c r="N440" s="3">
        <f>AND(NOW()&gt;=tbl_MTG_Set[[#This Row],[Buy Window Start]], NOW()&lt;=tbl_MTG_Set[[#This Row],[Buy Window End]])</f>
        <v/>
      </c>
      <c r="O440">
        <f>_xlfn.XLOOKUP(tbl_MTG_Set[[#This Row],[Type Name]], tbl_MTG_Set_Type[Set Type], tbl_MTG_Set_Type[Heavy Printing Window Month Start], "(Set Type not found)", 0, 1)</f>
        <v/>
      </c>
      <c r="P440" s="3">
        <f>tbl_MTG_Set[[#This Row],[Released On]]+tbl_MTG_Set[[#This Row],[Heavy Printing Window Month Start]]*365.25/12</f>
        <v/>
      </c>
      <c r="Q440">
        <f>_xlfn.XLOOKUP(tbl_MTG_Set[[#This Row],[Type Name]], tbl_MTG_Set_Type[Set Type], tbl_MTG_Set_Type[Heavy Printing Window Month End], "(Set Type not found)", 0, 1)</f>
        <v/>
      </c>
      <c r="R440" s="3">
        <f>tbl_MTG_Set[[#This Row],[Released On]]+tbl_MTG_Set[[#This Row],[Heavy Printing Window Month End]]*365.25/12</f>
        <v/>
      </c>
      <c r="S440" s="3">
        <f>AND(NOW()&gt;=tbl_MTG_Set[[#This Row],[Heavy Printing Window Start]], NOW()&lt;=tbl_MTG_Set[[#This Row],[Heavy Printing Window End]])</f>
        <v/>
      </c>
      <c r="T440">
        <f>_xlfn.XLOOKUP(tbl_MTG_Set[[#This Row],[Type Name]], tbl_MTG_Set_Type[Set Type], tbl_MTG_Set_Type[Sell Window Month Start], "(Set Type not found)", 0, 1)</f>
        <v/>
      </c>
      <c r="U440" s="3">
        <f>tbl_MTG_Set[[#This Row],[Released On]]+tbl_MTG_Set[[#This Row],[Sell Window Month Start]]*365.25/12</f>
        <v/>
      </c>
      <c r="V440">
        <f>_xlfn.XLOOKUP(tbl_MTG_Set[[#This Row],[Type Name]], tbl_MTG_Set_Type[Set Type], tbl_MTG_Set_Type[Sell Window Month End], "(Set Type not found)", 0, 1)</f>
        <v/>
      </c>
      <c r="W440" s="3">
        <f>tbl_MTG_Set[[#This Row],[Released On]]+tbl_MTG_Set[[#This Row],[Sell Window Month End]]*365.25/12</f>
        <v/>
      </c>
      <c r="X440" s="3">
        <f>AND(NOW()&gt;=tbl_MTG_Set[[#This Row],[Sell Window Start]], NOW()&lt;=tbl_MTG_Set[[#This Row],[Sell Window End]])</f>
        <v/>
      </c>
      <c r="AG440" s="10" t="n"/>
      <c r="AH440" s="10" t="n"/>
      <c r="AM440" s="10">
        <f t="array" ref="AM4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0" s="10">
        <f t="array" ref="AN4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0" s="4">
        <f>_xlfn.XLOOKUP(tbl_MTG_Set[[#This Row],[Play Booster Box Product Id]], tbl_Product[Product Id], tbl_Product[Pack Size])</f>
        <v/>
      </c>
      <c r="AP440" s="10">
        <f>(tbl_MTG_Set[[#This Row],[Play Booster Box Cost]]+v_Item_Shipping_Cost_In)/tbl_MTG_Set[[#This Row],[Play Booster Box Size]]</f>
        <v/>
      </c>
      <c r="AQ440" s="10">
        <f t="array" ref="AQ4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0" s="10" t="n"/>
      <c r="AS440" s="10" t="n"/>
      <c r="AT440" s="17">
        <f>tbl_MTG_Set[[#This Row],[Play Booster CardMarket Profit]]/tbl_MTG_Set[[#This Row],[Play Booster Cost]]</f>
        <v/>
      </c>
      <c r="AU440" s="10">
        <f>_xlfn.XLOOKUP(tbl_MTG_Set[[#This Row],[Collector Booster Box Product Id]], tbl_Product[Product Id], tbl_Product[Min Cost])</f>
        <v/>
      </c>
      <c r="AV440" s="10">
        <f>_xlfn.XLOOKUP(tbl_MTG_Set[[#This Row],[Collector Booster Box Product Id]], tbl_Product[Product Id], tbl_Product[Best Source])</f>
        <v/>
      </c>
      <c r="AW440" s="4">
        <f>_xlfn.XLOOKUP(tbl_MTG_Set[[#This Row],[Collector Booster Box Product Id]], tbl_Product[Product Id], tbl_Product[Pack Size])</f>
        <v/>
      </c>
      <c r="AX440" s="10">
        <f>(tbl_MTG_Set[[#This Row],[Collector Booster Box Cost]] + v_Item_Shipping_Cost_In) / tbl_MTG_Set[[#This Row],[Collector Booster Box Size]]</f>
        <v/>
      </c>
      <c r="AY440" s="10">
        <f t="array" ref="AY4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0" s="10" t="n"/>
      <c r="BA4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0" s="17">
        <f>tbl_MTG_Set[[#This Row],[Collector Booster CardMarket Profit]]/tbl_MTG_Set[[#This Row],[Collector Booster Cost]]</f>
        <v/>
      </c>
      <c r="BC440" s="10" t="n"/>
      <c r="BF440" s="10">
        <f>tbl_MTG_Set[[#This Row],[Play Booster Sell Price CardMarket]]*tbl_MTG_Set[[#This Row],[Play Booster Expected Market Value]]/tbl_MTG_Set[[#This Row],[Play Boost Sealed Market Value]]</f>
        <v/>
      </c>
      <c r="BG4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0" s="10">
        <f>tbl_MTG_Set[[#This Row],[Play Singles CardMarket Profit]]/tbl_MTG_Set[[#This Row],[Play Booster Cost]]</f>
        <v/>
      </c>
      <c r="BI440" s="10">
        <f>tbl_MTG_Set[[#This Row],[Play Singles CardMarket Profit]]&gt;0</f>
        <v/>
      </c>
      <c r="BJ440" s="10" t="n"/>
      <c r="BK440" s="10" t="n"/>
      <c r="BL440" s="10">
        <f>tbl_MTG_Set[[#This Row],[Collector Booster Sell Price CardMarket]]*tbl_MTG_Set[[#This Row],[Collector Booster Expected Market Value]]/tbl_MTG_Set[[#This Row],[Collector Boost Sealed Market Value]]</f>
        <v/>
      </c>
      <c r="BM4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0" s="10">
        <f>tbl_MTG_Set[[#This Row],[Collector Singles CardMarket Profit]]/tbl_MTG_Set[[#This Row],[Collector Booster Cost]]</f>
        <v/>
      </c>
      <c r="BO440" s="10">
        <f>tbl_MTG_Set[[#This Row],[Collector Singles CardMarket Profit]]&gt;0</f>
        <v/>
      </c>
      <c r="BP4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1">
      <c r="A441" t="n">
        <v>439</v>
      </c>
      <c r="B441" t="inlineStr">
        <is>
          <t>Modern Horizons Promos PMH1</t>
        </is>
      </c>
      <c r="C441" t="n">
        <v>2</v>
      </c>
      <c r="D441" s="3" t="n">
        <v>43630</v>
      </c>
      <c r="F441" t="inlineStr">
        <is>
          <t>en es fr de it pt ja ko ru 汉语 漢語</t>
        </is>
      </c>
      <c r="G441" t="n">
        <v>824</v>
      </c>
      <c r="H441">
        <f>MONTH(NOW())+12*YEAR(NOW())-MONTH(tbl_MTG_Set[[#This Row],[Released On]])-12*YEAR(tbl_MTG_Set[[#This Row],[Released On]])</f>
        <v/>
      </c>
      <c r="I441">
        <f>_xlfn.XLOOKUP(tbl_MTG_Set[[#This Row],[Type Name]], tbl_MTG_Set_Type[Set Type], tbl_MTG_Set_Type[Index], "(Set Type not found)")</f>
        <v/>
      </c>
      <c r="J441">
        <f>_xlfn.XLOOKUP(tbl_MTG_Set[[#This Row],[Type Name]], tbl_MTG_Set_Type[Set Type], tbl_MTG_Set_Type[Buy Window Month Start], "(Set Type not found)")</f>
        <v/>
      </c>
      <c r="K441" s="3">
        <f>tbl_MTG_Set[[#This Row],[Released On]]+tbl_MTG_Set[[#This Row],[Buy Window Month Start]]*365.25/12</f>
        <v/>
      </c>
      <c r="L441">
        <f>_xlfn.XLOOKUP(tbl_MTG_Set[[#This Row],[Type Name]], tbl_MTG_Set_Type[Set Type], tbl_MTG_Set_Type[Buy Window Month End], "(Set Type not found)", 0, 1)</f>
        <v/>
      </c>
      <c r="M441" s="3">
        <f>tbl_MTG_Set[[#This Row],[Released On]]+tbl_MTG_Set[[#This Row],[Buy Window Month End]]*365.25/12</f>
        <v/>
      </c>
      <c r="N441" s="3">
        <f>AND(NOW()&gt;=tbl_MTG_Set[[#This Row],[Buy Window Start]], NOW()&lt;=tbl_MTG_Set[[#This Row],[Buy Window End]])</f>
        <v/>
      </c>
      <c r="O441">
        <f>_xlfn.XLOOKUP(tbl_MTG_Set[[#This Row],[Type Name]], tbl_MTG_Set_Type[Set Type], tbl_MTG_Set_Type[Heavy Printing Window Month Start], "(Set Type not found)", 0, 1)</f>
        <v/>
      </c>
      <c r="P441" s="3">
        <f>tbl_MTG_Set[[#This Row],[Released On]]+tbl_MTG_Set[[#This Row],[Heavy Printing Window Month Start]]*365.25/12</f>
        <v/>
      </c>
      <c r="Q441">
        <f>_xlfn.XLOOKUP(tbl_MTG_Set[[#This Row],[Type Name]], tbl_MTG_Set_Type[Set Type], tbl_MTG_Set_Type[Heavy Printing Window Month End], "(Set Type not found)", 0, 1)</f>
        <v/>
      </c>
      <c r="R441" s="3">
        <f>tbl_MTG_Set[[#This Row],[Released On]]+tbl_MTG_Set[[#This Row],[Heavy Printing Window Month End]]*365.25/12</f>
        <v/>
      </c>
      <c r="S441" s="3">
        <f>AND(NOW()&gt;=tbl_MTG_Set[[#This Row],[Heavy Printing Window Start]], NOW()&lt;=tbl_MTG_Set[[#This Row],[Heavy Printing Window End]])</f>
        <v/>
      </c>
      <c r="T441">
        <f>_xlfn.XLOOKUP(tbl_MTG_Set[[#This Row],[Type Name]], tbl_MTG_Set_Type[Set Type], tbl_MTG_Set_Type[Sell Window Month Start], "(Set Type not found)", 0, 1)</f>
        <v/>
      </c>
      <c r="U441" s="3">
        <f>tbl_MTG_Set[[#This Row],[Released On]]+tbl_MTG_Set[[#This Row],[Sell Window Month Start]]*365.25/12</f>
        <v/>
      </c>
      <c r="V441">
        <f>_xlfn.XLOOKUP(tbl_MTG_Set[[#This Row],[Type Name]], tbl_MTG_Set_Type[Set Type], tbl_MTG_Set_Type[Sell Window Month End], "(Set Type not found)", 0, 1)</f>
        <v/>
      </c>
      <c r="W441" s="3">
        <f>tbl_MTG_Set[[#This Row],[Released On]]+tbl_MTG_Set[[#This Row],[Sell Window Month End]]*365.25/12</f>
        <v/>
      </c>
      <c r="X441" s="3">
        <f>AND(NOW()&gt;=tbl_MTG_Set[[#This Row],[Sell Window Start]], NOW()&lt;=tbl_MTG_Set[[#This Row],[Sell Window End]])</f>
        <v/>
      </c>
      <c r="AG441" s="10" t="n"/>
      <c r="AH441" s="10" t="n"/>
      <c r="AM441" s="10">
        <f t="array" ref="AM4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1" s="10">
        <f t="array" ref="AN4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1" s="4">
        <f>_xlfn.XLOOKUP(tbl_MTG_Set[[#This Row],[Play Booster Box Product Id]], tbl_Product[Product Id], tbl_Product[Pack Size])</f>
        <v/>
      </c>
      <c r="AP441" s="10">
        <f>(tbl_MTG_Set[[#This Row],[Play Booster Box Cost]]+v_Item_Shipping_Cost_In)/tbl_MTG_Set[[#This Row],[Play Booster Box Size]]</f>
        <v/>
      </c>
      <c r="AQ441" s="10">
        <f t="array" ref="AQ4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1" s="10" t="n"/>
      <c r="AS441" s="10" t="n"/>
      <c r="AT441" s="17">
        <f>tbl_MTG_Set[[#This Row],[Play Booster CardMarket Profit]]/tbl_MTG_Set[[#This Row],[Play Booster Cost]]</f>
        <v/>
      </c>
      <c r="AU441" s="10">
        <f>_xlfn.XLOOKUP(tbl_MTG_Set[[#This Row],[Collector Booster Box Product Id]], tbl_Product[Product Id], tbl_Product[Min Cost])</f>
        <v/>
      </c>
      <c r="AV441" s="10">
        <f>_xlfn.XLOOKUP(tbl_MTG_Set[[#This Row],[Collector Booster Box Product Id]], tbl_Product[Product Id], tbl_Product[Best Source])</f>
        <v/>
      </c>
      <c r="AW441" s="4">
        <f>_xlfn.XLOOKUP(tbl_MTG_Set[[#This Row],[Collector Booster Box Product Id]], tbl_Product[Product Id], tbl_Product[Pack Size])</f>
        <v/>
      </c>
      <c r="AX441" s="10">
        <f>(tbl_MTG_Set[[#This Row],[Collector Booster Box Cost]] + v_Item_Shipping_Cost_In) / tbl_MTG_Set[[#This Row],[Collector Booster Box Size]]</f>
        <v/>
      </c>
      <c r="AY441" s="10">
        <f t="array" ref="AY4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1" s="10" t="n"/>
      <c r="BA4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1" s="17">
        <f>tbl_MTG_Set[[#This Row],[Collector Booster CardMarket Profit]]/tbl_MTG_Set[[#This Row],[Collector Booster Cost]]</f>
        <v/>
      </c>
      <c r="BC441" s="10" t="n"/>
      <c r="BF441" s="10">
        <f>tbl_MTG_Set[[#This Row],[Play Booster Sell Price CardMarket]]*tbl_MTG_Set[[#This Row],[Play Booster Expected Market Value]]/tbl_MTG_Set[[#This Row],[Play Boost Sealed Market Value]]</f>
        <v/>
      </c>
      <c r="BG4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1" s="10">
        <f>tbl_MTG_Set[[#This Row],[Play Singles CardMarket Profit]]/tbl_MTG_Set[[#This Row],[Play Booster Cost]]</f>
        <v/>
      </c>
      <c r="BI441" s="10">
        <f>tbl_MTG_Set[[#This Row],[Play Singles CardMarket Profit]]&gt;0</f>
        <v/>
      </c>
      <c r="BJ441" s="10" t="n"/>
      <c r="BK441" s="10" t="n"/>
      <c r="BL441" s="10">
        <f>tbl_MTG_Set[[#This Row],[Collector Booster Sell Price CardMarket]]*tbl_MTG_Set[[#This Row],[Collector Booster Expected Market Value]]/tbl_MTG_Set[[#This Row],[Collector Boost Sealed Market Value]]</f>
        <v/>
      </c>
      <c r="BM4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1" s="10">
        <f>tbl_MTG_Set[[#This Row],[Collector Singles CardMarket Profit]]/tbl_MTG_Set[[#This Row],[Collector Booster Cost]]</f>
        <v/>
      </c>
      <c r="BO441" s="10">
        <f>tbl_MTG_Set[[#This Row],[Collector Singles CardMarket Profit]]&gt;0</f>
        <v/>
      </c>
      <c r="BP4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2">
      <c r="A442" t="n">
        <v>440</v>
      </c>
      <c r="B442" t="inlineStr">
        <is>
          <t>Modern Horizons Tokens TMH1</t>
        </is>
      </c>
      <c r="C442" t="n">
        <v>21</v>
      </c>
      <c r="D442" s="3" t="n">
        <v>43615</v>
      </c>
      <c r="F442" t="inlineStr">
        <is>
          <t>en es fr de it pt ja ko ru 汉语 漢語</t>
        </is>
      </c>
      <c r="G442" t="n">
        <v>826</v>
      </c>
      <c r="H442">
        <f>MONTH(NOW())+12*YEAR(NOW())-MONTH(tbl_MTG_Set[[#This Row],[Released On]])-12*YEAR(tbl_MTG_Set[[#This Row],[Released On]])</f>
        <v/>
      </c>
      <c r="I442">
        <f>_xlfn.XLOOKUP(tbl_MTG_Set[[#This Row],[Type Name]], tbl_MTG_Set_Type[Set Type], tbl_MTG_Set_Type[Index], "(Set Type not found)")</f>
        <v/>
      </c>
      <c r="J442">
        <f>_xlfn.XLOOKUP(tbl_MTG_Set[[#This Row],[Type Name]], tbl_MTG_Set_Type[Set Type], tbl_MTG_Set_Type[Buy Window Month Start], "(Set Type not found)")</f>
        <v/>
      </c>
      <c r="K442" s="3">
        <f>tbl_MTG_Set[[#This Row],[Released On]]+tbl_MTG_Set[[#This Row],[Buy Window Month Start]]*365.25/12</f>
        <v/>
      </c>
      <c r="L442">
        <f>_xlfn.XLOOKUP(tbl_MTG_Set[[#This Row],[Type Name]], tbl_MTG_Set_Type[Set Type], tbl_MTG_Set_Type[Buy Window Month End], "(Set Type not found)", 0, 1)</f>
        <v/>
      </c>
      <c r="M442" s="3">
        <f>tbl_MTG_Set[[#This Row],[Released On]]+tbl_MTG_Set[[#This Row],[Buy Window Month End]]*365.25/12</f>
        <v/>
      </c>
      <c r="N442" s="3">
        <f>AND(NOW()&gt;=tbl_MTG_Set[[#This Row],[Buy Window Start]], NOW()&lt;=tbl_MTG_Set[[#This Row],[Buy Window End]])</f>
        <v/>
      </c>
      <c r="O442">
        <f>_xlfn.XLOOKUP(tbl_MTG_Set[[#This Row],[Type Name]], tbl_MTG_Set_Type[Set Type], tbl_MTG_Set_Type[Heavy Printing Window Month Start], "(Set Type not found)", 0, 1)</f>
        <v/>
      </c>
      <c r="P442" s="3">
        <f>tbl_MTG_Set[[#This Row],[Released On]]+tbl_MTG_Set[[#This Row],[Heavy Printing Window Month Start]]*365.25/12</f>
        <v/>
      </c>
      <c r="Q442">
        <f>_xlfn.XLOOKUP(tbl_MTG_Set[[#This Row],[Type Name]], tbl_MTG_Set_Type[Set Type], tbl_MTG_Set_Type[Heavy Printing Window Month End], "(Set Type not found)", 0, 1)</f>
        <v/>
      </c>
      <c r="R442" s="3">
        <f>tbl_MTG_Set[[#This Row],[Released On]]+tbl_MTG_Set[[#This Row],[Heavy Printing Window Month End]]*365.25/12</f>
        <v/>
      </c>
      <c r="S442" s="3">
        <f>AND(NOW()&gt;=tbl_MTG_Set[[#This Row],[Heavy Printing Window Start]], NOW()&lt;=tbl_MTG_Set[[#This Row],[Heavy Printing Window End]])</f>
        <v/>
      </c>
      <c r="T442">
        <f>_xlfn.XLOOKUP(tbl_MTG_Set[[#This Row],[Type Name]], tbl_MTG_Set_Type[Set Type], tbl_MTG_Set_Type[Sell Window Month Start], "(Set Type not found)", 0, 1)</f>
        <v/>
      </c>
      <c r="U442" s="3">
        <f>tbl_MTG_Set[[#This Row],[Released On]]+tbl_MTG_Set[[#This Row],[Sell Window Month Start]]*365.25/12</f>
        <v/>
      </c>
      <c r="V442">
        <f>_xlfn.XLOOKUP(tbl_MTG_Set[[#This Row],[Type Name]], tbl_MTG_Set_Type[Set Type], tbl_MTG_Set_Type[Sell Window Month End], "(Set Type not found)", 0, 1)</f>
        <v/>
      </c>
      <c r="W442" s="3">
        <f>tbl_MTG_Set[[#This Row],[Released On]]+tbl_MTG_Set[[#This Row],[Sell Window Month End]]*365.25/12</f>
        <v/>
      </c>
      <c r="X442" s="3">
        <f>AND(NOW()&gt;=tbl_MTG_Set[[#This Row],[Sell Window Start]], NOW()&lt;=tbl_MTG_Set[[#This Row],[Sell Window End]])</f>
        <v/>
      </c>
      <c r="AG442" s="10" t="n"/>
      <c r="AH442" s="10" t="n"/>
      <c r="AM442" s="10">
        <f t="array" ref="AM4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2" s="10">
        <f t="array" ref="AN4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2" s="4">
        <f>_xlfn.XLOOKUP(tbl_MTG_Set[[#This Row],[Play Booster Box Product Id]], tbl_Product[Product Id], tbl_Product[Pack Size])</f>
        <v/>
      </c>
      <c r="AP442" s="10">
        <f>(tbl_MTG_Set[[#This Row],[Play Booster Box Cost]]+v_Item_Shipping_Cost_In)/tbl_MTG_Set[[#This Row],[Play Booster Box Size]]</f>
        <v/>
      </c>
      <c r="AQ442" s="10">
        <f t="array" ref="AQ4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2" s="10" t="n"/>
      <c r="AS442" s="10" t="n"/>
      <c r="AT442" s="17">
        <f>tbl_MTG_Set[[#This Row],[Play Booster CardMarket Profit]]/tbl_MTG_Set[[#This Row],[Play Booster Cost]]</f>
        <v/>
      </c>
      <c r="AU442" s="10">
        <f>_xlfn.XLOOKUP(tbl_MTG_Set[[#This Row],[Collector Booster Box Product Id]], tbl_Product[Product Id], tbl_Product[Min Cost])</f>
        <v/>
      </c>
      <c r="AV442" s="10">
        <f>_xlfn.XLOOKUP(tbl_MTG_Set[[#This Row],[Collector Booster Box Product Id]], tbl_Product[Product Id], tbl_Product[Best Source])</f>
        <v/>
      </c>
      <c r="AW442" s="4">
        <f>_xlfn.XLOOKUP(tbl_MTG_Set[[#This Row],[Collector Booster Box Product Id]], tbl_Product[Product Id], tbl_Product[Pack Size])</f>
        <v/>
      </c>
      <c r="AX442" s="10">
        <f>(tbl_MTG_Set[[#This Row],[Collector Booster Box Cost]] + v_Item_Shipping_Cost_In) / tbl_MTG_Set[[#This Row],[Collector Booster Box Size]]</f>
        <v/>
      </c>
      <c r="AY442" s="10">
        <f t="array" ref="AY4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2" s="10" t="n"/>
      <c r="BA4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2" s="17">
        <f>tbl_MTG_Set[[#This Row],[Collector Booster CardMarket Profit]]/tbl_MTG_Set[[#This Row],[Collector Booster Cost]]</f>
        <v/>
      </c>
      <c r="BC442" s="10" t="n"/>
      <c r="BF442" s="10">
        <f>tbl_MTG_Set[[#This Row],[Play Booster Sell Price CardMarket]]*tbl_MTG_Set[[#This Row],[Play Booster Expected Market Value]]/tbl_MTG_Set[[#This Row],[Play Boost Sealed Market Value]]</f>
        <v/>
      </c>
      <c r="BG4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2" s="10">
        <f>tbl_MTG_Set[[#This Row],[Play Singles CardMarket Profit]]/tbl_MTG_Set[[#This Row],[Play Booster Cost]]</f>
        <v/>
      </c>
      <c r="BI442" s="10">
        <f>tbl_MTG_Set[[#This Row],[Play Singles CardMarket Profit]]&gt;0</f>
        <v/>
      </c>
      <c r="BJ442" s="10" t="n"/>
      <c r="BK442" s="10" t="n"/>
      <c r="BL442" s="10">
        <f>tbl_MTG_Set[[#This Row],[Collector Booster Sell Price CardMarket]]*tbl_MTG_Set[[#This Row],[Collector Booster Expected Market Value]]/tbl_MTG_Set[[#This Row],[Collector Boost Sealed Market Value]]</f>
        <v/>
      </c>
      <c r="BM4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2" s="10">
        <f>tbl_MTG_Set[[#This Row],[Collector Singles CardMarket Profit]]/tbl_MTG_Set[[#This Row],[Collector Booster Cost]]</f>
        <v/>
      </c>
      <c r="BO442" s="10">
        <f>tbl_MTG_Set[[#This Row],[Collector Singles CardMarket Profit]]&gt;0</f>
        <v/>
      </c>
      <c r="BP4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3">
      <c r="A443" t="n">
        <v>441</v>
      </c>
      <c r="B443" t="inlineStr">
        <is>
          <t>Modern Horizons Art Series AMH1</t>
        </is>
      </c>
      <c r="C443" t="n">
        <v>54</v>
      </c>
      <c r="D443" s="3" t="n">
        <v>43621</v>
      </c>
      <c r="F443" t="inlineStr">
        <is>
          <t>en es fr de it pt ja ko ru 汉语 漢語</t>
        </is>
      </c>
      <c r="G443" t="n">
        <v>828</v>
      </c>
      <c r="H443">
        <f>MONTH(NOW())+12*YEAR(NOW())-MONTH(tbl_MTG_Set[[#This Row],[Released On]])-12*YEAR(tbl_MTG_Set[[#This Row],[Released On]])</f>
        <v/>
      </c>
      <c r="I443">
        <f>_xlfn.XLOOKUP(tbl_MTG_Set[[#This Row],[Type Name]], tbl_MTG_Set_Type[Set Type], tbl_MTG_Set_Type[Index], "(Set Type not found)")</f>
        <v/>
      </c>
      <c r="J443">
        <f>_xlfn.XLOOKUP(tbl_MTG_Set[[#This Row],[Type Name]], tbl_MTG_Set_Type[Set Type], tbl_MTG_Set_Type[Buy Window Month Start], "(Set Type not found)")</f>
        <v/>
      </c>
      <c r="K443" s="3">
        <f>tbl_MTG_Set[[#This Row],[Released On]]+tbl_MTG_Set[[#This Row],[Buy Window Month Start]]*365.25/12</f>
        <v/>
      </c>
      <c r="L443">
        <f>_xlfn.XLOOKUP(tbl_MTG_Set[[#This Row],[Type Name]], tbl_MTG_Set_Type[Set Type], tbl_MTG_Set_Type[Buy Window Month End], "(Set Type not found)", 0, 1)</f>
        <v/>
      </c>
      <c r="M443" s="3">
        <f>tbl_MTG_Set[[#This Row],[Released On]]+tbl_MTG_Set[[#This Row],[Buy Window Month End]]*365.25/12</f>
        <v/>
      </c>
      <c r="N443" s="3">
        <f>AND(NOW()&gt;=tbl_MTG_Set[[#This Row],[Buy Window Start]], NOW()&lt;=tbl_MTG_Set[[#This Row],[Buy Window End]])</f>
        <v/>
      </c>
      <c r="O443">
        <f>_xlfn.XLOOKUP(tbl_MTG_Set[[#This Row],[Type Name]], tbl_MTG_Set_Type[Set Type], tbl_MTG_Set_Type[Heavy Printing Window Month Start], "(Set Type not found)", 0, 1)</f>
        <v/>
      </c>
      <c r="P443" s="3">
        <f>tbl_MTG_Set[[#This Row],[Released On]]+tbl_MTG_Set[[#This Row],[Heavy Printing Window Month Start]]*365.25/12</f>
        <v/>
      </c>
      <c r="Q443">
        <f>_xlfn.XLOOKUP(tbl_MTG_Set[[#This Row],[Type Name]], tbl_MTG_Set_Type[Set Type], tbl_MTG_Set_Type[Heavy Printing Window Month End], "(Set Type not found)", 0, 1)</f>
        <v/>
      </c>
      <c r="R443" s="3">
        <f>tbl_MTG_Set[[#This Row],[Released On]]+tbl_MTG_Set[[#This Row],[Heavy Printing Window Month End]]*365.25/12</f>
        <v/>
      </c>
      <c r="S443" s="3">
        <f>AND(NOW()&gt;=tbl_MTG_Set[[#This Row],[Heavy Printing Window Start]], NOW()&lt;=tbl_MTG_Set[[#This Row],[Heavy Printing Window End]])</f>
        <v/>
      </c>
      <c r="T443">
        <f>_xlfn.XLOOKUP(tbl_MTG_Set[[#This Row],[Type Name]], tbl_MTG_Set_Type[Set Type], tbl_MTG_Set_Type[Sell Window Month Start], "(Set Type not found)", 0, 1)</f>
        <v/>
      </c>
      <c r="U443" s="3">
        <f>tbl_MTG_Set[[#This Row],[Released On]]+tbl_MTG_Set[[#This Row],[Sell Window Month Start]]*365.25/12</f>
        <v/>
      </c>
      <c r="V443">
        <f>_xlfn.XLOOKUP(tbl_MTG_Set[[#This Row],[Type Name]], tbl_MTG_Set_Type[Set Type], tbl_MTG_Set_Type[Sell Window Month End], "(Set Type not found)", 0, 1)</f>
        <v/>
      </c>
      <c r="W443" s="3">
        <f>tbl_MTG_Set[[#This Row],[Released On]]+tbl_MTG_Set[[#This Row],[Sell Window Month End]]*365.25/12</f>
        <v/>
      </c>
      <c r="X443" s="3">
        <f>AND(NOW()&gt;=tbl_MTG_Set[[#This Row],[Sell Window Start]], NOW()&lt;=tbl_MTG_Set[[#This Row],[Sell Window End]])</f>
        <v/>
      </c>
      <c r="AG443" s="10" t="n"/>
      <c r="AH443" s="10" t="n"/>
      <c r="AM443" s="10">
        <f t="array" ref="AM4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3" s="10">
        <f t="array" ref="AN4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3" s="4">
        <f>_xlfn.XLOOKUP(tbl_MTG_Set[[#This Row],[Play Booster Box Product Id]], tbl_Product[Product Id], tbl_Product[Pack Size])</f>
        <v/>
      </c>
      <c r="AP443" s="10">
        <f>(tbl_MTG_Set[[#This Row],[Play Booster Box Cost]]+v_Item_Shipping_Cost_In)/tbl_MTG_Set[[#This Row],[Play Booster Box Size]]</f>
        <v/>
      </c>
      <c r="AQ443" s="10">
        <f t="array" ref="AQ4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3" s="10" t="n"/>
      <c r="AS443" s="10" t="n"/>
      <c r="AT443" s="17">
        <f>tbl_MTG_Set[[#This Row],[Play Booster CardMarket Profit]]/tbl_MTG_Set[[#This Row],[Play Booster Cost]]</f>
        <v/>
      </c>
      <c r="AU443" s="10">
        <f>_xlfn.XLOOKUP(tbl_MTG_Set[[#This Row],[Collector Booster Box Product Id]], tbl_Product[Product Id], tbl_Product[Min Cost])</f>
        <v/>
      </c>
      <c r="AV443" s="10">
        <f>_xlfn.XLOOKUP(tbl_MTG_Set[[#This Row],[Collector Booster Box Product Id]], tbl_Product[Product Id], tbl_Product[Best Source])</f>
        <v/>
      </c>
      <c r="AW443" s="4">
        <f>_xlfn.XLOOKUP(tbl_MTG_Set[[#This Row],[Collector Booster Box Product Id]], tbl_Product[Product Id], tbl_Product[Pack Size])</f>
        <v/>
      </c>
      <c r="AX443" s="10">
        <f>(tbl_MTG_Set[[#This Row],[Collector Booster Box Cost]] + v_Item_Shipping_Cost_In) / tbl_MTG_Set[[#This Row],[Collector Booster Box Size]]</f>
        <v/>
      </c>
      <c r="AY443" s="10">
        <f t="array" ref="AY4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3" s="10" t="n"/>
      <c r="BA4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3" s="17">
        <f>tbl_MTG_Set[[#This Row],[Collector Booster CardMarket Profit]]/tbl_MTG_Set[[#This Row],[Collector Booster Cost]]</f>
        <v/>
      </c>
      <c r="BC443" s="10" t="n"/>
      <c r="BF443" s="10">
        <f>tbl_MTG_Set[[#This Row],[Play Booster Sell Price CardMarket]]*tbl_MTG_Set[[#This Row],[Play Booster Expected Market Value]]/tbl_MTG_Set[[#This Row],[Play Boost Sealed Market Value]]</f>
        <v/>
      </c>
      <c r="BG4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3" s="10">
        <f>tbl_MTG_Set[[#This Row],[Play Singles CardMarket Profit]]/tbl_MTG_Set[[#This Row],[Play Booster Cost]]</f>
        <v/>
      </c>
      <c r="BI443" s="10">
        <f>tbl_MTG_Set[[#This Row],[Play Singles CardMarket Profit]]&gt;0</f>
        <v/>
      </c>
      <c r="BJ443" s="10" t="n"/>
      <c r="BK443" s="10" t="n"/>
      <c r="BL443" s="10">
        <f>tbl_MTG_Set[[#This Row],[Collector Booster Sell Price CardMarket]]*tbl_MTG_Set[[#This Row],[Collector Booster Expected Market Value]]/tbl_MTG_Set[[#This Row],[Collector Boost Sealed Market Value]]</f>
        <v/>
      </c>
      <c r="BM4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3" s="10">
        <f>tbl_MTG_Set[[#This Row],[Collector Singles CardMarket Profit]]/tbl_MTG_Set[[#This Row],[Collector Booster Cost]]</f>
        <v/>
      </c>
      <c r="BO443" s="10">
        <f>tbl_MTG_Set[[#This Row],[Collector Singles CardMarket Profit]]&gt;0</f>
        <v/>
      </c>
      <c r="BP4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4">
      <c r="A444" t="n">
        <v>442</v>
      </c>
      <c r="B444" t="inlineStr">
        <is>
          <t>War of the Spark WAR</t>
        </is>
      </c>
      <c r="C444" t="n">
        <v>312</v>
      </c>
      <c r="D444" s="3" t="n">
        <v>43588</v>
      </c>
      <c r="E444" t="inlineStr">
        <is>
          <t>Standard Expansion</t>
        </is>
      </c>
      <c r="F444" t="inlineStr">
        <is>
          <t>en es fr de it pt ja ko ru 汉语 漢語</t>
        </is>
      </c>
      <c r="G444" t="n">
        <v>830</v>
      </c>
      <c r="H444">
        <f>MONTH(NOW())+12*YEAR(NOW())-MONTH(tbl_MTG_Set[[#This Row],[Released On]])-12*YEAR(tbl_MTG_Set[[#This Row],[Released On]])</f>
        <v/>
      </c>
      <c r="I444">
        <f>_xlfn.XLOOKUP(tbl_MTG_Set[[#This Row],[Type Name]], tbl_MTG_Set_Type[Set Type], tbl_MTG_Set_Type[Index], "(Set Type not found)")</f>
        <v/>
      </c>
      <c r="J444">
        <f>_xlfn.XLOOKUP(tbl_MTG_Set[[#This Row],[Type Name]], tbl_MTG_Set_Type[Set Type], tbl_MTG_Set_Type[Buy Window Month Start], "(Set Type not found)")</f>
        <v/>
      </c>
      <c r="K444" s="3">
        <f>tbl_MTG_Set[[#This Row],[Released On]]+tbl_MTG_Set[[#This Row],[Buy Window Month Start]]*365.25/12</f>
        <v/>
      </c>
      <c r="L444">
        <f>_xlfn.XLOOKUP(tbl_MTG_Set[[#This Row],[Type Name]], tbl_MTG_Set_Type[Set Type], tbl_MTG_Set_Type[Buy Window Month End], "(Set Type not found)", 0, 1)</f>
        <v/>
      </c>
      <c r="M444" s="3">
        <f>tbl_MTG_Set[[#This Row],[Released On]]+tbl_MTG_Set[[#This Row],[Buy Window Month End]]*365.25/12</f>
        <v/>
      </c>
      <c r="N444" s="3">
        <f>AND(NOW()&gt;=tbl_MTG_Set[[#This Row],[Buy Window Start]], NOW()&lt;=tbl_MTG_Set[[#This Row],[Buy Window End]])</f>
        <v/>
      </c>
      <c r="O444">
        <f>_xlfn.XLOOKUP(tbl_MTG_Set[[#This Row],[Type Name]], tbl_MTG_Set_Type[Set Type], tbl_MTG_Set_Type[Heavy Printing Window Month Start], "(Set Type not found)", 0, 1)</f>
        <v/>
      </c>
      <c r="P444" s="3">
        <f>tbl_MTG_Set[[#This Row],[Released On]]+tbl_MTG_Set[[#This Row],[Heavy Printing Window Month Start]]*365.25/12</f>
        <v/>
      </c>
      <c r="Q444">
        <f>_xlfn.XLOOKUP(tbl_MTG_Set[[#This Row],[Type Name]], tbl_MTG_Set_Type[Set Type], tbl_MTG_Set_Type[Heavy Printing Window Month End], "(Set Type not found)", 0, 1)</f>
        <v/>
      </c>
      <c r="R444" s="3">
        <f>tbl_MTG_Set[[#This Row],[Released On]]+tbl_MTG_Set[[#This Row],[Heavy Printing Window Month End]]*365.25/12</f>
        <v/>
      </c>
      <c r="S444" s="3">
        <f>AND(NOW()&gt;=tbl_MTG_Set[[#This Row],[Heavy Printing Window Start]], NOW()&lt;=tbl_MTG_Set[[#This Row],[Heavy Printing Window End]])</f>
        <v/>
      </c>
      <c r="T444">
        <f>_xlfn.XLOOKUP(tbl_MTG_Set[[#This Row],[Type Name]], tbl_MTG_Set_Type[Set Type], tbl_MTG_Set_Type[Sell Window Month Start], "(Set Type not found)", 0, 1)</f>
        <v/>
      </c>
      <c r="U444" s="3">
        <f>tbl_MTG_Set[[#This Row],[Released On]]+tbl_MTG_Set[[#This Row],[Sell Window Month Start]]*365.25/12</f>
        <v/>
      </c>
      <c r="V444">
        <f>_xlfn.XLOOKUP(tbl_MTG_Set[[#This Row],[Type Name]], tbl_MTG_Set_Type[Set Type], tbl_MTG_Set_Type[Sell Window Month End], "(Set Type not found)", 0, 1)</f>
        <v/>
      </c>
      <c r="W444" s="3">
        <f>tbl_MTG_Set[[#This Row],[Released On]]+tbl_MTG_Set[[#This Row],[Sell Window Month End]]*365.25/12</f>
        <v/>
      </c>
      <c r="X444" s="3">
        <f>AND(NOW()&gt;=tbl_MTG_Set[[#This Row],[Sell Window Start]], NOW()&lt;=tbl_MTG_Set[[#This Row],[Sell Window End]])</f>
        <v/>
      </c>
      <c r="Y444" s="10" t="n">
        <v>128</v>
      </c>
      <c r="Z444" s="10" t="n">
        <v>170</v>
      </c>
      <c r="AD444" s="10">
        <f>(Y444+96/20)/36</f>
        <v/>
      </c>
      <c r="AE444" s="10">
        <f>(Z444+96/20)/36</f>
        <v/>
      </c>
      <c r="AG444" s="10" t="n"/>
      <c r="AH444" s="10" t="n"/>
      <c r="AI444" s="4" t="n">
        <v>53</v>
      </c>
      <c r="AJ444" s="4" t="n">
        <v>8</v>
      </c>
      <c r="AM444" s="10">
        <f t="array" ref="AM4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4" s="10">
        <f t="array" ref="AN4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4" s="4">
        <f>_xlfn.XLOOKUP(tbl_MTG_Set[[#This Row],[Play Booster Box Product Id]], tbl_Product[Product Id], tbl_Product[Pack Size])</f>
        <v/>
      </c>
      <c r="AP444" s="10">
        <f>(tbl_MTG_Set[[#This Row],[Play Booster Box Cost]]+v_Item_Shipping_Cost_In)/tbl_MTG_Set[[#This Row],[Play Booster Box Size]]</f>
        <v/>
      </c>
      <c r="AQ444" s="10">
        <f t="array" ref="AQ4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4" s="10" t="n">
        <v>5</v>
      </c>
      <c r="AS44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444" s="17">
        <f>tbl_MTG_Set[[#This Row],[Play Booster CardMarket Profit]]/tbl_MTG_Set[[#This Row],[Play Booster Cost]]</f>
        <v/>
      </c>
      <c r="AU444" s="10">
        <f>_xlfn.XLOOKUP(tbl_MTG_Set[[#This Row],[Collector Booster Box Product Id]], tbl_Product[Product Id], tbl_Product[Min Cost])</f>
        <v/>
      </c>
      <c r="AV444" s="10">
        <f>_xlfn.XLOOKUP(tbl_MTG_Set[[#This Row],[Collector Booster Box Product Id]], tbl_Product[Product Id], tbl_Product[Best Source])</f>
        <v/>
      </c>
      <c r="AW444" s="4">
        <f>_xlfn.XLOOKUP(tbl_MTG_Set[[#This Row],[Collector Booster Box Product Id]], tbl_Product[Product Id], tbl_Product[Pack Size])</f>
        <v/>
      </c>
      <c r="AX444" s="10">
        <f>(tbl_MTG_Set[[#This Row],[Collector Booster Box Cost]] + v_Item_Shipping_Cost_In) / tbl_MTG_Set[[#This Row],[Collector Booster Box Size]]</f>
        <v/>
      </c>
      <c r="AY444" s="10">
        <f t="array" ref="AY4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4" s="10" t="n"/>
      <c r="BA4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4" s="17">
        <f>tbl_MTG_Set[[#This Row],[Collector Booster CardMarket Profit]]/tbl_MTG_Set[[#This Row],[Collector Booster Cost]]</f>
        <v/>
      </c>
      <c r="BC444" s="15" t="inlineStr">
        <is>
          <t>https://www.mtgstocks.com/sets/324-war-of-the-spark#ev</t>
        </is>
      </c>
      <c r="BD444" s="11" t="n">
        <v>2.86</v>
      </c>
      <c r="BE444" s="11" t="n">
        <v>5.2</v>
      </c>
      <c r="BF444" s="10">
        <f>tbl_MTG_Set[[#This Row],[Play Booster Sell Price CardMarket]]*tbl_MTG_Set[[#This Row],[Play Booster Expected Market Value]]/tbl_MTG_Set[[#This Row],[Play Boost Sealed Market Value]]</f>
        <v/>
      </c>
      <c r="BG4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4" s="17">
        <f>tbl_MTG_Set[[#This Row],[Play Singles CardMarket Profit]]/tbl_MTG_Set[[#This Row],[Play Booster Cost]]</f>
        <v/>
      </c>
      <c r="BI444" s="10">
        <f>tbl_MTG_Set[[#This Row],[Play Singles CardMarket Profit]]&gt;0</f>
        <v/>
      </c>
      <c r="BJ444" s="10" t="n"/>
      <c r="BK444" s="10" t="n"/>
      <c r="BL444" s="10">
        <f>tbl_MTG_Set[[#This Row],[Collector Booster Sell Price CardMarket]]*tbl_MTG_Set[[#This Row],[Collector Booster Expected Market Value]]/tbl_MTG_Set[[#This Row],[Collector Boost Sealed Market Value]]</f>
        <v/>
      </c>
      <c r="BM4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4" s="17">
        <f>tbl_MTG_Set[[#This Row],[Collector Singles CardMarket Profit]]/tbl_MTG_Set[[#This Row],[Collector Booster Cost]]</f>
        <v/>
      </c>
      <c r="BO444" s="10">
        <f>tbl_MTG_Set[[#This Row],[Collector Singles CardMarket Profit]]&gt;0</f>
        <v/>
      </c>
      <c r="BP4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4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5">
      <c r="A445" t="n">
        <v>443</v>
      </c>
      <c r="B445" t="inlineStr">
        <is>
          <t>War of the Spark Promos PWAR</t>
        </is>
      </c>
      <c r="C445" t="n">
        <v>176</v>
      </c>
      <c r="D445" s="3" t="n">
        <v>43588</v>
      </c>
      <c r="E445" t="inlineStr">
        <is>
          <t>Standard Expansion</t>
        </is>
      </c>
      <c r="F445" t="inlineStr">
        <is>
          <t>en es fr de it pt ja ko ru 汉语 漢語</t>
        </is>
      </c>
      <c r="G445" t="n">
        <v>832</v>
      </c>
      <c r="H445">
        <f>MONTH(NOW())+12*YEAR(NOW())-MONTH(tbl_MTG_Set[[#This Row],[Released On]])-12*YEAR(tbl_MTG_Set[[#This Row],[Released On]])</f>
        <v/>
      </c>
      <c r="I445">
        <f>_xlfn.XLOOKUP(tbl_MTG_Set[[#This Row],[Type Name]], tbl_MTG_Set_Type[Set Type], tbl_MTG_Set_Type[Index], "(Set Type not found)")</f>
        <v/>
      </c>
      <c r="J445">
        <f>_xlfn.XLOOKUP(tbl_MTG_Set[[#This Row],[Type Name]], tbl_MTG_Set_Type[Set Type], tbl_MTG_Set_Type[Buy Window Month Start], "(Set Type not found)")</f>
        <v/>
      </c>
      <c r="K445" s="3">
        <f>tbl_MTG_Set[[#This Row],[Released On]]+tbl_MTG_Set[[#This Row],[Buy Window Month Start]]*365.25/12</f>
        <v/>
      </c>
      <c r="L445">
        <f>_xlfn.XLOOKUP(tbl_MTG_Set[[#This Row],[Type Name]], tbl_MTG_Set_Type[Set Type], tbl_MTG_Set_Type[Buy Window Month End], "(Set Type not found)", 0, 1)</f>
        <v/>
      </c>
      <c r="M445" s="3">
        <f>tbl_MTG_Set[[#This Row],[Released On]]+tbl_MTG_Set[[#This Row],[Buy Window Month End]]*365.25/12</f>
        <v/>
      </c>
      <c r="N445" s="3">
        <f>AND(NOW()&gt;=tbl_MTG_Set[[#This Row],[Buy Window Start]], NOW()&lt;=tbl_MTG_Set[[#This Row],[Buy Window End]])</f>
        <v/>
      </c>
      <c r="O445">
        <f>_xlfn.XLOOKUP(tbl_MTG_Set[[#This Row],[Type Name]], tbl_MTG_Set_Type[Set Type], tbl_MTG_Set_Type[Heavy Printing Window Month Start], "(Set Type not found)", 0, 1)</f>
        <v/>
      </c>
      <c r="P445" s="3">
        <f>tbl_MTG_Set[[#This Row],[Released On]]+tbl_MTG_Set[[#This Row],[Heavy Printing Window Month Start]]*365.25/12</f>
        <v/>
      </c>
      <c r="Q445">
        <f>_xlfn.XLOOKUP(tbl_MTG_Set[[#This Row],[Type Name]], tbl_MTG_Set_Type[Set Type], tbl_MTG_Set_Type[Heavy Printing Window Month End], "(Set Type not found)", 0, 1)</f>
        <v/>
      </c>
      <c r="R445" s="3">
        <f>tbl_MTG_Set[[#This Row],[Released On]]+tbl_MTG_Set[[#This Row],[Heavy Printing Window Month End]]*365.25/12</f>
        <v/>
      </c>
      <c r="S445" s="3">
        <f>AND(NOW()&gt;=tbl_MTG_Set[[#This Row],[Heavy Printing Window Start]], NOW()&lt;=tbl_MTG_Set[[#This Row],[Heavy Printing Window End]])</f>
        <v/>
      </c>
      <c r="T445">
        <f>_xlfn.XLOOKUP(tbl_MTG_Set[[#This Row],[Type Name]], tbl_MTG_Set_Type[Set Type], tbl_MTG_Set_Type[Sell Window Month Start], "(Set Type not found)", 0, 1)</f>
        <v/>
      </c>
      <c r="U445" s="3">
        <f>tbl_MTG_Set[[#This Row],[Released On]]+tbl_MTG_Set[[#This Row],[Sell Window Month Start]]*365.25/12</f>
        <v/>
      </c>
      <c r="V445">
        <f>_xlfn.XLOOKUP(tbl_MTG_Set[[#This Row],[Type Name]], tbl_MTG_Set_Type[Set Type], tbl_MTG_Set_Type[Sell Window Month End], "(Set Type not found)", 0, 1)</f>
        <v/>
      </c>
      <c r="W445" s="3">
        <f>tbl_MTG_Set[[#This Row],[Released On]]+tbl_MTG_Set[[#This Row],[Sell Window Month End]]*365.25/12</f>
        <v/>
      </c>
      <c r="X445" s="3">
        <f>AND(NOW()&gt;=tbl_MTG_Set[[#This Row],[Sell Window Start]], NOW()&lt;=tbl_MTG_Set[[#This Row],[Sell Window End]])</f>
        <v/>
      </c>
      <c r="AG445" s="10" t="n"/>
      <c r="AH445" s="10" t="n"/>
      <c r="AM445" s="10">
        <f t="array" ref="AM4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5" s="10">
        <f t="array" ref="AN4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5" s="4">
        <f>_xlfn.XLOOKUP(tbl_MTG_Set[[#This Row],[Play Booster Box Product Id]], tbl_Product[Product Id], tbl_Product[Pack Size])</f>
        <v/>
      </c>
      <c r="AP445" s="10">
        <f>(tbl_MTG_Set[[#This Row],[Play Booster Box Cost]]+v_Item_Shipping_Cost_In)/tbl_MTG_Set[[#This Row],[Play Booster Box Size]]</f>
        <v/>
      </c>
      <c r="AQ445" s="10">
        <f t="array" ref="AQ4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5" s="10" t="n"/>
      <c r="AS445" s="10" t="n"/>
      <c r="AT445" s="17">
        <f>tbl_MTG_Set[[#This Row],[Play Booster CardMarket Profit]]/tbl_MTG_Set[[#This Row],[Play Booster Cost]]</f>
        <v/>
      </c>
      <c r="AU445" s="10">
        <f>_xlfn.XLOOKUP(tbl_MTG_Set[[#This Row],[Collector Booster Box Product Id]], tbl_Product[Product Id], tbl_Product[Min Cost])</f>
        <v/>
      </c>
      <c r="AV445" s="10">
        <f>_xlfn.XLOOKUP(tbl_MTG_Set[[#This Row],[Collector Booster Box Product Id]], tbl_Product[Product Id], tbl_Product[Best Source])</f>
        <v/>
      </c>
      <c r="AW445" s="4">
        <f>_xlfn.XLOOKUP(tbl_MTG_Set[[#This Row],[Collector Booster Box Product Id]], tbl_Product[Product Id], tbl_Product[Pack Size])</f>
        <v/>
      </c>
      <c r="AX445" s="10">
        <f>(tbl_MTG_Set[[#This Row],[Collector Booster Box Cost]] + v_Item_Shipping_Cost_In) / tbl_MTG_Set[[#This Row],[Collector Booster Box Size]]</f>
        <v/>
      </c>
      <c r="AY445" s="10">
        <f t="array" ref="AY4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5" s="10" t="n"/>
      <c r="BA4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5" s="17">
        <f>tbl_MTG_Set[[#This Row],[Collector Booster CardMarket Profit]]/tbl_MTG_Set[[#This Row],[Collector Booster Cost]]</f>
        <v/>
      </c>
      <c r="BC445" s="10" t="n"/>
      <c r="BF445" s="10">
        <f>tbl_MTG_Set[[#This Row],[Play Booster Sell Price CardMarket]]*tbl_MTG_Set[[#This Row],[Play Booster Expected Market Value]]/tbl_MTG_Set[[#This Row],[Play Boost Sealed Market Value]]</f>
        <v/>
      </c>
      <c r="BG4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5" s="10">
        <f>tbl_MTG_Set[[#This Row],[Play Singles CardMarket Profit]]/tbl_MTG_Set[[#This Row],[Play Booster Cost]]</f>
        <v/>
      </c>
      <c r="BI445" s="10">
        <f>tbl_MTG_Set[[#This Row],[Play Singles CardMarket Profit]]&gt;0</f>
        <v/>
      </c>
      <c r="BJ445" s="10" t="n"/>
      <c r="BK445" s="10" t="n"/>
      <c r="BL445" s="10">
        <f>tbl_MTG_Set[[#This Row],[Collector Booster Sell Price CardMarket]]*tbl_MTG_Set[[#This Row],[Collector Booster Expected Market Value]]/tbl_MTG_Set[[#This Row],[Collector Boost Sealed Market Value]]</f>
        <v/>
      </c>
      <c r="BM4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5" s="10">
        <f>tbl_MTG_Set[[#This Row],[Collector Singles CardMarket Profit]]/tbl_MTG_Set[[#This Row],[Collector Booster Cost]]</f>
        <v/>
      </c>
      <c r="BO445" s="10">
        <f>tbl_MTG_Set[[#This Row],[Collector Singles CardMarket Profit]]&gt;0</f>
        <v/>
      </c>
      <c r="BP4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6">
      <c r="A446" t="n">
        <v>444</v>
      </c>
      <c r="B446" t="inlineStr">
        <is>
          <t>War of the Spark Tokens TWAR</t>
        </is>
      </c>
      <c r="C446" t="n">
        <v>19</v>
      </c>
      <c r="D446" s="3" t="n">
        <v>43588</v>
      </c>
      <c r="E446" t="inlineStr">
        <is>
          <t>Standard Expansion</t>
        </is>
      </c>
      <c r="F446" t="inlineStr">
        <is>
          <t>en es fr de it pt ja ko ru 汉语 漢語</t>
        </is>
      </c>
      <c r="G446" t="n">
        <v>834</v>
      </c>
      <c r="H446">
        <f>MONTH(NOW())+12*YEAR(NOW())-MONTH(tbl_MTG_Set[[#This Row],[Released On]])-12*YEAR(tbl_MTG_Set[[#This Row],[Released On]])</f>
        <v/>
      </c>
      <c r="I446">
        <f>_xlfn.XLOOKUP(tbl_MTG_Set[[#This Row],[Type Name]], tbl_MTG_Set_Type[Set Type], tbl_MTG_Set_Type[Index], "(Set Type not found)")</f>
        <v/>
      </c>
      <c r="J446">
        <f>_xlfn.XLOOKUP(tbl_MTG_Set[[#This Row],[Type Name]], tbl_MTG_Set_Type[Set Type], tbl_MTG_Set_Type[Buy Window Month Start], "(Set Type not found)")</f>
        <v/>
      </c>
      <c r="K446" s="3">
        <f>tbl_MTG_Set[[#This Row],[Released On]]+tbl_MTG_Set[[#This Row],[Buy Window Month Start]]*365.25/12</f>
        <v/>
      </c>
      <c r="L446">
        <f>_xlfn.XLOOKUP(tbl_MTG_Set[[#This Row],[Type Name]], tbl_MTG_Set_Type[Set Type], tbl_MTG_Set_Type[Buy Window Month End], "(Set Type not found)", 0, 1)</f>
        <v/>
      </c>
      <c r="M446" s="3">
        <f>tbl_MTG_Set[[#This Row],[Released On]]+tbl_MTG_Set[[#This Row],[Buy Window Month End]]*365.25/12</f>
        <v/>
      </c>
      <c r="N446" s="3">
        <f>AND(NOW()&gt;=tbl_MTG_Set[[#This Row],[Buy Window Start]], NOW()&lt;=tbl_MTG_Set[[#This Row],[Buy Window End]])</f>
        <v/>
      </c>
      <c r="O446">
        <f>_xlfn.XLOOKUP(tbl_MTG_Set[[#This Row],[Type Name]], tbl_MTG_Set_Type[Set Type], tbl_MTG_Set_Type[Heavy Printing Window Month Start], "(Set Type not found)", 0, 1)</f>
        <v/>
      </c>
      <c r="P446" s="3">
        <f>tbl_MTG_Set[[#This Row],[Released On]]+tbl_MTG_Set[[#This Row],[Heavy Printing Window Month Start]]*365.25/12</f>
        <v/>
      </c>
      <c r="Q446">
        <f>_xlfn.XLOOKUP(tbl_MTG_Set[[#This Row],[Type Name]], tbl_MTG_Set_Type[Set Type], tbl_MTG_Set_Type[Heavy Printing Window Month End], "(Set Type not found)", 0, 1)</f>
        <v/>
      </c>
      <c r="R446" s="3">
        <f>tbl_MTG_Set[[#This Row],[Released On]]+tbl_MTG_Set[[#This Row],[Heavy Printing Window Month End]]*365.25/12</f>
        <v/>
      </c>
      <c r="S446" s="3">
        <f>AND(NOW()&gt;=tbl_MTG_Set[[#This Row],[Heavy Printing Window Start]], NOW()&lt;=tbl_MTG_Set[[#This Row],[Heavy Printing Window End]])</f>
        <v/>
      </c>
      <c r="T446">
        <f>_xlfn.XLOOKUP(tbl_MTG_Set[[#This Row],[Type Name]], tbl_MTG_Set_Type[Set Type], tbl_MTG_Set_Type[Sell Window Month Start], "(Set Type not found)", 0, 1)</f>
        <v/>
      </c>
      <c r="U446" s="3">
        <f>tbl_MTG_Set[[#This Row],[Released On]]+tbl_MTG_Set[[#This Row],[Sell Window Month Start]]*365.25/12</f>
        <v/>
      </c>
      <c r="V446">
        <f>_xlfn.XLOOKUP(tbl_MTG_Set[[#This Row],[Type Name]], tbl_MTG_Set_Type[Set Type], tbl_MTG_Set_Type[Sell Window Month End], "(Set Type not found)", 0, 1)</f>
        <v/>
      </c>
      <c r="W446" s="3">
        <f>tbl_MTG_Set[[#This Row],[Released On]]+tbl_MTG_Set[[#This Row],[Sell Window Month End]]*365.25/12</f>
        <v/>
      </c>
      <c r="X446" s="3">
        <f>AND(NOW()&gt;=tbl_MTG_Set[[#This Row],[Sell Window Start]], NOW()&lt;=tbl_MTG_Set[[#This Row],[Sell Window End]])</f>
        <v/>
      </c>
      <c r="AG446" s="10" t="n"/>
      <c r="AH446" s="10" t="n"/>
      <c r="AM446" s="10">
        <f t="array" ref="AM4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6" s="10">
        <f t="array" ref="AN4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6" s="4">
        <f>_xlfn.XLOOKUP(tbl_MTG_Set[[#This Row],[Play Booster Box Product Id]], tbl_Product[Product Id], tbl_Product[Pack Size])</f>
        <v/>
      </c>
      <c r="AP446" s="10">
        <f>(tbl_MTG_Set[[#This Row],[Play Booster Box Cost]]+v_Item_Shipping_Cost_In)/tbl_MTG_Set[[#This Row],[Play Booster Box Size]]</f>
        <v/>
      </c>
      <c r="AQ446" s="10">
        <f t="array" ref="AQ4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6" s="10" t="n"/>
      <c r="AS446" s="10" t="n"/>
      <c r="AT446" s="17">
        <f>tbl_MTG_Set[[#This Row],[Play Booster CardMarket Profit]]/tbl_MTG_Set[[#This Row],[Play Booster Cost]]</f>
        <v/>
      </c>
      <c r="AU446" s="10">
        <f>_xlfn.XLOOKUP(tbl_MTG_Set[[#This Row],[Collector Booster Box Product Id]], tbl_Product[Product Id], tbl_Product[Min Cost])</f>
        <v/>
      </c>
      <c r="AV446" s="10">
        <f>_xlfn.XLOOKUP(tbl_MTG_Set[[#This Row],[Collector Booster Box Product Id]], tbl_Product[Product Id], tbl_Product[Best Source])</f>
        <v/>
      </c>
      <c r="AW446" s="4">
        <f>_xlfn.XLOOKUP(tbl_MTG_Set[[#This Row],[Collector Booster Box Product Id]], tbl_Product[Product Id], tbl_Product[Pack Size])</f>
        <v/>
      </c>
      <c r="AX446" s="10">
        <f>(tbl_MTG_Set[[#This Row],[Collector Booster Box Cost]] + v_Item_Shipping_Cost_In) / tbl_MTG_Set[[#This Row],[Collector Booster Box Size]]</f>
        <v/>
      </c>
      <c r="AY446" s="10">
        <f t="array" ref="AY4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6" s="10" t="n"/>
      <c r="BA4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6" s="17">
        <f>tbl_MTG_Set[[#This Row],[Collector Booster CardMarket Profit]]/tbl_MTG_Set[[#This Row],[Collector Booster Cost]]</f>
        <v/>
      </c>
      <c r="BC446" s="10" t="n"/>
      <c r="BF446" s="10">
        <f>tbl_MTG_Set[[#This Row],[Play Booster Sell Price CardMarket]]*tbl_MTG_Set[[#This Row],[Play Booster Expected Market Value]]/tbl_MTG_Set[[#This Row],[Play Boost Sealed Market Value]]</f>
        <v/>
      </c>
      <c r="BG4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6" s="10">
        <f>tbl_MTG_Set[[#This Row],[Play Singles CardMarket Profit]]/tbl_MTG_Set[[#This Row],[Play Booster Cost]]</f>
        <v/>
      </c>
      <c r="BI446" s="10">
        <f>tbl_MTG_Set[[#This Row],[Play Singles CardMarket Profit]]&gt;0</f>
        <v/>
      </c>
      <c r="BJ446" s="10" t="n"/>
      <c r="BK446" s="10" t="n"/>
      <c r="BL446" s="10">
        <f>tbl_MTG_Set[[#This Row],[Collector Booster Sell Price CardMarket]]*tbl_MTG_Set[[#This Row],[Collector Booster Expected Market Value]]/tbl_MTG_Set[[#This Row],[Collector Boost Sealed Market Value]]</f>
        <v/>
      </c>
      <c r="BM4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6" s="10">
        <f>tbl_MTG_Set[[#This Row],[Collector Singles CardMarket Profit]]/tbl_MTG_Set[[#This Row],[Collector Booster Cost]]</f>
        <v/>
      </c>
      <c r="BO446" s="10">
        <f>tbl_MTG_Set[[#This Row],[Collector Singles CardMarket Profit]]&gt;0</f>
        <v/>
      </c>
      <c r="BP4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7">
      <c r="A447" t="n">
        <v>445</v>
      </c>
      <c r="B447" t="inlineStr">
        <is>
          <t>Judge Gift Cards 2019 J19</t>
        </is>
      </c>
      <c r="C447" t="n">
        <v>8</v>
      </c>
      <c r="D447" s="3" t="n">
        <v>43565</v>
      </c>
      <c r="F447" t="inlineStr">
        <is>
          <t>en es fr de it pt ja ko ru 汉语 漢語</t>
        </is>
      </c>
      <c r="G447" t="n">
        <v>836</v>
      </c>
      <c r="H447">
        <f>MONTH(NOW())+12*YEAR(NOW())-MONTH(tbl_MTG_Set[[#This Row],[Released On]])-12*YEAR(tbl_MTG_Set[[#This Row],[Released On]])</f>
        <v/>
      </c>
      <c r="I447">
        <f>_xlfn.XLOOKUP(tbl_MTG_Set[[#This Row],[Type Name]], tbl_MTG_Set_Type[Set Type], tbl_MTG_Set_Type[Index], "(Set Type not found)")</f>
        <v/>
      </c>
      <c r="J447">
        <f>_xlfn.XLOOKUP(tbl_MTG_Set[[#This Row],[Type Name]], tbl_MTG_Set_Type[Set Type], tbl_MTG_Set_Type[Buy Window Month Start], "(Set Type not found)")</f>
        <v/>
      </c>
      <c r="K447" s="3">
        <f>tbl_MTG_Set[[#This Row],[Released On]]+tbl_MTG_Set[[#This Row],[Buy Window Month Start]]*365.25/12</f>
        <v/>
      </c>
      <c r="L447">
        <f>_xlfn.XLOOKUP(tbl_MTG_Set[[#This Row],[Type Name]], tbl_MTG_Set_Type[Set Type], tbl_MTG_Set_Type[Buy Window Month End], "(Set Type not found)", 0, 1)</f>
        <v/>
      </c>
      <c r="M447" s="3">
        <f>tbl_MTG_Set[[#This Row],[Released On]]+tbl_MTG_Set[[#This Row],[Buy Window Month End]]*365.25/12</f>
        <v/>
      </c>
      <c r="N447" s="3">
        <f>AND(NOW()&gt;=tbl_MTG_Set[[#This Row],[Buy Window Start]], NOW()&lt;=tbl_MTG_Set[[#This Row],[Buy Window End]])</f>
        <v/>
      </c>
      <c r="O447">
        <f>_xlfn.XLOOKUP(tbl_MTG_Set[[#This Row],[Type Name]], tbl_MTG_Set_Type[Set Type], tbl_MTG_Set_Type[Heavy Printing Window Month Start], "(Set Type not found)", 0, 1)</f>
        <v/>
      </c>
      <c r="P447" s="3">
        <f>tbl_MTG_Set[[#This Row],[Released On]]+tbl_MTG_Set[[#This Row],[Heavy Printing Window Month Start]]*365.25/12</f>
        <v/>
      </c>
      <c r="Q447">
        <f>_xlfn.XLOOKUP(tbl_MTG_Set[[#This Row],[Type Name]], tbl_MTG_Set_Type[Set Type], tbl_MTG_Set_Type[Heavy Printing Window Month End], "(Set Type not found)", 0, 1)</f>
        <v/>
      </c>
      <c r="R447" s="3">
        <f>tbl_MTG_Set[[#This Row],[Released On]]+tbl_MTG_Set[[#This Row],[Heavy Printing Window Month End]]*365.25/12</f>
        <v/>
      </c>
      <c r="S447" s="3">
        <f>AND(NOW()&gt;=tbl_MTG_Set[[#This Row],[Heavy Printing Window Start]], NOW()&lt;=tbl_MTG_Set[[#This Row],[Heavy Printing Window End]])</f>
        <v/>
      </c>
      <c r="T447">
        <f>_xlfn.XLOOKUP(tbl_MTG_Set[[#This Row],[Type Name]], tbl_MTG_Set_Type[Set Type], tbl_MTG_Set_Type[Sell Window Month Start], "(Set Type not found)", 0, 1)</f>
        <v/>
      </c>
      <c r="U447" s="3">
        <f>tbl_MTG_Set[[#This Row],[Released On]]+tbl_MTG_Set[[#This Row],[Sell Window Month Start]]*365.25/12</f>
        <v/>
      </c>
      <c r="V447">
        <f>_xlfn.XLOOKUP(tbl_MTG_Set[[#This Row],[Type Name]], tbl_MTG_Set_Type[Set Type], tbl_MTG_Set_Type[Sell Window Month End], "(Set Type not found)", 0, 1)</f>
        <v/>
      </c>
      <c r="W447" s="3">
        <f>tbl_MTG_Set[[#This Row],[Released On]]+tbl_MTG_Set[[#This Row],[Sell Window Month End]]*365.25/12</f>
        <v/>
      </c>
      <c r="X447" s="3">
        <f>AND(NOW()&gt;=tbl_MTG_Set[[#This Row],[Sell Window Start]], NOW()&lt;=tbl_MTG_Set[[#This Row],[Sell Window End]])</f>
        <v/>
      </c>
      <c r="AG447" s="10" t="n"/>
      <c r="AH447" s="10" t="n"/>
      <c r="AM447" s="10">
        <f t="array" ref="AM4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7" s="10">
        <f t="array" ref="AN4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7" s="4">
        <f>_xlfn.XLOOKUP(tbl_MTG_Set[[#This Row],[Play Booster Box Product Id]], tbl_Product[Product Id], tbl_Product[Pack Size])</f>
        <v/>
      </c>
      <c r="AP447" s="10">
        <f>(tbl_MTG_Set[[#This Row],[Play Booster Box Cost]]+v_Item_Shipping_Cost_In)/tbl_MTG_Set[[#This Row],[Play Booster Box Size]]</f>
        <v/>
      </c>
      <c r="AQ447" s="10">
        <f t="array" ref="AQ4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7" s="10" t="n"/>
      <c r="AS447" s="10" t="n"/>
      <c r="AT447" s="17">
        <f>tbl_MTG_Set[[#This Row],[Play Booster CardMarket Profit]]/tbl_MTG_Set[[#This Row],[Play Booster Cost]]</f>
        <v/>
      </c>
      <c r="AU447" s="10">
        <f>_xlfn.XLOOKUP(tbl_MTG_Set[[#This Row],[Collector Booster Box Product Id]], tbl_Product[Product Id], tbl_Product[Min Cost])</f>
        <v/>
      </c>
      <c r="AV447" s="10">
        <f>_xlfn.XLOOKUP(tbl_MTG_Set[[#This Row],[Collector Booster Box Product Id]], tbl_Product[Product Id], tbl_Product[Best Source])</f>
        <v/>
      </c>
      <c r="AW447" s="4">
        <f>_xlfn.XLOOKUP(tbl_MTG_Set[[#This Row],[Collector Booster Box Product Id]], tbl_Product[Product Id], tbl_Product[Pack Size])</f>
        <v/>
      </c>
      <c r="AX447" s="10">
        <f>(tbl_MTG_Set[[#This Row],[Collector Booster Box Cost]] + v_Item_Shipping_Cost_In) / tbl_MTG_Set[[#This Row],[Collector Booster Box Size]]</f>
        <v/>
      </c>
      <c r="AY447" s="10">
        <f t="array" ref="AY4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7" s="10" t="n"/>
      <c r="BA4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7" s="17">
        <f>tbl_MTG_Set[[#This Row],[Collector Booster CardMarket Profit]]/tbl_MTG_Set[[#This Row],[Collector Booster Cost]]</f>
        <v/>
      </c>
      <c r="BC447" s="10" t="n"/>
      <c r="BF447" s="10">
        <f>tbl_MTG_Set[[#This Row],[Play Booster Sell Price CardMarket]]*tbl_MTG_Set[[#This Row],[Play Booster Expected Market Value]]/tbl_MTG_Set[[#This Row],[Play Boost Sealed Market Value]]</f>
        <v/>
      </c>
      <c r="BG4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7" s="10">
        <f>tbl_MTG_Set[[#This Row],[Play Singles CardMarket Profit]]/tbl_MTG_Set[[#This Row],[Play Booster Cost]]</f>
        <v/>
      </c>
      <c r="BI447" s="10">
        <f>tbl_MTG_Set[[#This Row],[Play Singles CardMarket Profit]]&gt;0</f>
        <v/>
      </c>
      <c r="BJ447" s="10" t="n"/>
      <c r="BK447" s="10" t="n"/>
      <c r="BL447" s="10">
        <f>tbl_MTG_Set[[#This Row],[Collector Booster Sell Price CardMarket]]*tbl_MTG_Set[[#This Row],[Collector Booster Expected Market Value]]/tbl_MTG_Set[[#This Row],[Collector Boost Sealed Market Value]]</f>
        <v/>
      </c>
      <c r="BM4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7" s="10">
        <f>tbl_MTG_Set[[#This Row],[Collector Singles CardMarket Profit]]/tbl_MTG_Set[[#This Row],[Collector Booster Cost]]</f>
        <v/>
      </c>
      <c r="BO447" s="10">
        <f>tbl_MTG_Set[[#This Row],[Collector Singles CardMarket Profit]]&gt;0</f>
        <v/>
      </c>
      <c r="BP4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8">
      <c r="A448" t="n">
        <v>446</v>
      </c>
      <c r="B448" t="inlineStr">
        <is>
          <t>RNA Guild Kit GK2</t>
        </is>
      </c>
      <c r="C448" t="n">
        <v>133</v>
      </c>
      <c r="D448" s="3" t="n">
        <v>43511</v>
      </c>
      <c r="F448" t="inlineStr">
        <is>
          <t>en es fr de it pt ja ko ru 汉语 漢語</t>
        </is>
      </c>
      <c r="G448" t="n">
        <v>838</v>
      </c>
      <c r="H448">
        <f>MONTH(NOW())+12*YEAR(NOW())-MONTH(tbl_MTG_Set[[#This Row],[Released On]])-12*YEAR(tbl_MTG_Set[[#This Row],[Released On]])</f>
        <v/>
      </c>
      <c r="I448">
        <f>_xlfn.XLOOKUP(tbl_MTG_Set[[#This Row],[Type Name]], tbl_MTG_Set_Type[Set Type], tbl_MTG_Set_Type[Index], "(Set Type not found)")</f>
        <v/>
      </c>
      <c r="J448">
        <f>_xlfn.XLOOKUP(tbl_MTG_Set[[#This Row],[Type Name]], tbl_MTG_Set_Type[Set Type], tbl_MTG_Set_Type[Buy Window Month Start], "(Set Type not found)")</f>
        <v/>
      </c>
      <c r="K448" s="3">
        <f>tbl_MTG_Set[[#This Row],[Released On]]+tbl_MTG_Set[[#This Row],[Buy Window Month Start]]*365.25/12</f>
        <v/>
      </c>
      <c r="L448">
        <f>_xlfn.XLOOKUP(tbl_MTG_Set[[#This Row],[Type Name]], tbl_MTG_Set_Type[Set Type], tbl_MTG_Set_Type[Buy Window Month End], "(Set Type not found)", 0, 1)</f>
        <v/>
      </c>
      <c r="M448" s="3">
        <f>tbl_MTG_Set[[#This Row],[Released On]]+tbl_MTG_Set[[#This Row],[Buy Window Month End]]*365.25/12</f>
        <v/>
      </c>
      <c r="N448" s="3">
        <f>AND(NOW()&gt;=tbl_MTG_Set[[#This Row],[Buy Window Start]], NOW()&lt;=tbl_MTG_Set[[#This Row],[Buy Window End]])</f>
        <v/>
      </c>
      <c r="O448">
        <f>_xlfn.XLOOKUP(tbl_MTG_Set[[#This Row],[Type Name]], tbl_MTG_Set_Type[Set Type], tbl_MTG_Set_Type[Heavy Printing Window Month Start], "(Set Type not found)", 0, 1)</f>
        <v/>
      </c>
      <c r="P448" s="3">
        <f>tbl_MTG_Set[[#This Row],[Released On]]+tbl_MTG_Set[[#This Row],[Heavy Printing Window Month Start]]*365.25/12</f>
        <v/>
      </c>
      <c r="Q448">
        <f>_xlfn.XLOOKUP(tbl_MTG_Set[[#This Row],[Type Name]], tbl_MTG_Set_Type[Set Type], tbl_MTG_Set_Type[Heavy Printing Window Month End], "(Set Type not found)", 0, 1)</f>
        <v/>
      </c>
      <c r="R448" s="3">
        <f>tbl_MTG_Set[[#This Row],[Released On]]+tbl_MTG_Set[[#This Row],[Heavy Printing Window Month End]]*365.25/12</f>
        <v/>
      </c>
      <c r="S448" s="3">
        <f>AND(NOW()&gt;=tbl_MTG_Set[[#This Row],[Heavy Printing Window Start]], NOW()&lt;=tbl_MTG_Set[[#This Row],[Heavy Printing Window End]])</f>
        <v/>
      </c>
      <c r="T448">
        <f>_xlfn.XLOOKUP(tbl_MTG_Set[[#This Row],[Type Name]], tbl_MTG_Set_Type[Set Type], tbl_MTG_Set_Type[Sell Window Month Start], "(Set Type not found)", 0, 1)</f>
        <v/>
      </c>
      <c r="U448" s="3">
        <f>tbl_MTG_Set[[#This Row],[Released On]]+tbl_MTG_Set[[#This Row],[Sell Window Month Start]]*365.25/12</f>
        <v/>
      </c>
      <c r="V448">
        <f>_xlfn.XLOOKUP(tbl_MTG_Set[[#This Row],[Type Name]], tbl_MTG_Set_Type[Set Type], tbl_MTG_Set_Type[Sell Window Month End], "(Set Type not found)", 0, 1)</f>
        <v/>
      </c>
      <c r="W448" s="3">
        <f>tbl_MTG_Set[[#This Row],[Released On]]+tbl_MTG_Set[[#This Row],[Sell Window Month End]]*365.25/12</f>
        <v/>
      </c>
      <c r="X448" s="3">
        <f>AND(NOW()&gt;=tbl_MTG_Set[[#This Row],[Sell Window Start]], NOW()&lt;=tbl_MTG_Set[[#This Row],[Sell Window End]])</f>
        <v/>
      </c>
      <c r="AG448" s="10" t="n"/>
      <c r="AH448" s="10" t="n"/>
      <c r="AM448" s="10">
        <f t="array" ref="AM4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8" s="10">
        <f t="array" ref="AN4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8" s="4">
        <f>_xlfn.XLOOKUP(tbl_MTG_Set[[#This Row],[Play Booster Box Product Id]], tbl_Product[Product Id], tbl_Product[Pack Size])</f>
        <v/>
      </c>
      <c r="AP448" s="10">
        <f>(tbl_MTG_Set[[#This Row],[Play Booster Box Cost]]+v_Item_Shipping_Cost_In)/tbl_MTG_Set[[#This Row],[Play Booster Box Size]]</f>
        <v/>
      </c>
      <c r="AQ448" s="10">
        <f t="array" ref="AQ4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8" s="10" t="n"/>
      <c r="AS448" s="10" t="n"/>
      <c r="AT448" s="17">
        <f>tbl_MTG_Set[[#This Row],[Play Booster CardMarket Profit]]/tbl_MTG_Set[[#This Row],[Play Booster Cost]]</f>
        <v/>
      </c>
      <c r="AU448" s="10">
        <f>_xlfn.XLOOKUP(tbl_MTG_Set[[#This Row],[Collector Booster Box Product Id]], tbl_Product[Product Id], tbl_Product[Min Cost])</f>
        <v/>
      </c>
      <c r="AV448" s="10">
        <f>_xlfn.XLOOKUP(tbl_MTG_Set[[#This Row],[Collector Booster Box Product Id]], tbl_Product[Product Id], tbl_Product[Best Source])</f>
        <v/>
      </c>
      <c r="AW448" s="4">
        <f>_xlfn.XLOOKUP(tbl_MTG_Set[[#This Row],[Collector Booster Box Product Id]], tbl_Product[Product Id], tbl_Product[Pack Size])</f>
        <v/>
      </c>
      <c r="AX448" s="10">
        <f>(tbl_MTG_Set[[#This Row],[Collector Booster Box Cost]] + v_Item_Shipping_Cost_In) / tbl_MTG_Set[[#This Row],[Collector Booster Box Size]]</f>
        <v/>
      </c>
      <c r="AY448" s="10">
        <f t="array" ref="AY4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8" s="10" t="n"/>
      <c r="BA4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8" s="17">
        <f>tbl_MTG_Set[[#This Row],[Collector Booster CardMarket Profit]]/tbl_MTG_Set[[#This Row],[Collector Booster Cost]]</f>
        <v/>
      </c>
      <c r="BC448" s="10" t="n"/>
      <c r="BF448" s="10">
        <f>tbl_MTG_Set[[#This Row],[Play Booster Sell Price CardMarket]]*tbl_MTG_Set[[#This Row],[Play Booster Expected Market Value]]/tbl_MTG_Set[[#This Row],[Play Boost Sealed Market Value]]</f>
        <v/>
      </c>
      <c r="BG4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8" s="10">
        <f>tbl_MTG_Set[[#This Row],[Play Singles CardMarket Profit]]/tbl_MTG_Set[[#This Row],[Play Booster Cost]]</f>
        <v/>
      </c>
      <c r="BI448" s="10">
        <f>tbl_MTG_Set[[#This Row],[Play Singles CardMarket Profit]]&gt;0</f>
        <v/>
      </c>
      <c r="BJ448" s="10" t="n"/>
      <c r="BK448" s="10" t="n"/>
      <c r="BL448" s="10">
        <f>tbl_MTG_Set[[#This Row],[Collector Booster Sell Price CardMarket]]*tbl_MTG_Set[[#This Row],[Collector Booster Expected Market Value]]/tbl_MTG_Set[[#This Row],[Collector Boost Sealed Market Value]]</f>
        <v/>
      </c>
      <c r="BM4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8" s="10">
        <f>tbl_MTG_Set[[#This Row],[Collector Singles CardMarket Profit]]/tbl_MTG_Set[[#This Row],[Collector Booster Cost]]</f>
        <v/>
      </c>
      <c r="BO448" s="10">
        <f>tbl_MTG_Set[[#This Row],[Collector Singles CardMarket Profit]]&gt;0</f>
        <v/>
      </c>
      <c r="BP4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9">
      <c r="A449" t="n">
        <v>447</v>
      </c>
      <c r="B449" t="inlineStr">
        <is>
          <t>RNA Guild Kit Tokens TGK2</t>
        </is>
      </c>
      <c r="C449" t="n">
        <v>9</v>
      </c>
      <c r="D449" s="3" t="n">
        <v>43511</v>
      </c>
      <c r="F449" t="inlineStr">
        <is>
          <t>en es fr de it pt ja ko ru 汉语 漢語</t>
        </is>
      </c>
      <c r="G449" t="n">
        <v>840</v>
      </c>
      <c r="H449">
        <f>MONTH(NOW())+12*YEAR(NOW())-MONTH(tbl_MTG_Set[[#This Row],[Released On]])-12*YEAR(tbl_MTG_Set[[#This Row],[Released On]])</f>
        <v/>
      </c>
      <c r="I449">
        <f>_xlfn.XLOOKUP(tbl_MTG_Set[[#This Row],[Type Name]], tbl_MTG_Set_Type[Set Type], tbl_MTG_Set_Type[Index], "(Set Type not found)")</f>
        <v/>
      </c>
      <c r="J449">
        <f>_xlfn.XLOOKUP(tbl_MTG_Set[[#This Row],[Type Name]], tbl_MTG_Set_Type[Set Type], tbl_MTG_Set_Type[Buy Window Month Start], "(Set Type not found)")</f>
        <v/>
      </c>
      <c r="K449" s="3">
        <f>tbl_MTG_Set[[#This Row],[Released On]]+tbl_MTG_Set[[#This Row],[Buy Window Month Start]]*365.25/12</f>
        <v/>
      </c>
      <c r="L449">
        <f>_xlfn.XLOOKUP(tbl_MTG_Set[[#This Row],[Type Name]], tbl_MTG_Set_Type[Set Type], tbl_MTG_Set_Type[Buy Window Month End], "(Set Type not found)", 0, 1)</f>
        <v/>
      </c>
      <c r="M449" s="3">
        <f>tbl_MTG_Set[[#This Row],[Released On]]+tbl_MTG_Set[[#This Row],[Buy Window Month End]]*365.25/12</f>
        <v/>
      </c>
      <c r="N449" s="3">
        <f>AND(NOW()&gt;=tbl_MTG_Set[[#This Row],[Buy Window Start]], NOW()&lt;=tbl_MTG_Set[[#This Row],[Buy Window End]])</f>
        <v/>
      </c>
      <c r="O449">
        <f>_xlfn.XLOOKUP(tbl_MTG_Set[[#This Row],[Type Name]], tbl_MTG_Set_Type[Set Type], tbl_MTG_Set_Type[Heavy Printing Window Month Start], "(Set Type not found)", 0, 1)</f>
        <v/>
      </c>
      <c r="P449" s="3">
        <f>tbl_MTG_Set[[#This Row],[Released On]]+tbl_MTG_Set[[#This Row],[Heavy Printing Window Month Start]]*365.25/12</f>
        <v/>
      </c>
      <c r="Q449">
        <f>_xlfn.XLOOKUP(tbl_MTG_Set[[#This Row],[Type Name]], tbl_MTG_Set_Type[Set Type], tbl_MTG_Set_Type[Heavy Printing Window Month End], "(Set Type not found)", 0, 1)</f>
        <v/>
      </c>
      <c r="R449" s="3">
        <f>tbl_MTG_Set[[#This Row],[Released On]]+tbl_MTG_Set[[#This Row],[Heavy Printing Window Month End]]*365.25/12</f>
        <v/>
      </c>
      <c r="S449" s="3">
        <f>AND(NOW()&gt;=tbl_MTG_Set[[#This Row],[Heavy Printing Window Start]], NOW()&lt;=tbl_MTG_Set[[#This Row],[Heavy Printing Window End]])</f>
        <v/>
      </c>
      <c r="T449">
        <f>_xlfn.XLOOKUP(tbl_MTG_Set[[#This Row],[Type Name]], tbl_MTG_Set_Type[Set Type], tbl_MTG_Set_Type[Sell Window Month Start], "(Set Type not found)", 0, 1)</f>
        <v/>
      </c>
      <c r="U449" s="3">
        <f>tbl_MTG_Set[[#This Row],[Released On]]+tbl_MTG_Set[[#This Row],[Sell Window Month Start]]*365.25/12</f>
        <v/>
      </c>
      <c r="V449">
        <f>_xlfn.XLOOKUP(tbl_MTG_Set[[#This Row],[Type Name]], tbl_MTG_Set_Type[Set Type], tbl_MTG_Set_Type[Sell Window Month End], "(Set Type not found)", 0, 1)</f>
        <v/>
      </c>
      <c r="W449" s="3">
        <f>tbl_MTG_Set[[#This Row],[Released On]]+tbl_MTG_Set[[#This Row],[Sell Window Month End]]*365.25/12</f>
        <v/>
      </c>
      <c r="X449" s="3">
        <f>AND(NOW()&gt;=tbl_MTG_Set[[#This Row],[Sell Window Start]], NOW()&lt;=tbl_MTG_Set[[#This Row],[Sell Window End]])</f>
        <v/>
      </c>
      <c r="AG449" s="10" t="n"/>
      <c r="AH449" s="10" t="n"/>
      <c r="AM449" s="10">
        <f t="array" ref="AM4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9" s="10">
        <f t="array" ref="AN4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9" s="4">
        <f>_xlfn.XLOOKUP(tbl_MTG_Set[[#This Row],[Play Booster Box Product Id]], tbl_Product[Product Id], tbl_Product[Pack Size])</f>
        <v/>
      </c>
      <c r="AP449" s="10">
        <f>(tbl_MTG_Set[[#This Row],[Play Booster Box Cost]]+v_Item_Shipping_Cost_In)/tbl_MTG_Set[[#This Row],[Play Booster Box Size]]</f>
        <v/>
      </c>
      <c r="AQ449" s="10">
        <f t="array" ref="AQ4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49" s="10" t="n"/>
      <c r="AS449" s="10" t="n"/>
      <c r="AT449" s="17">
        <f>tbl_MTG_Set[[#This Row],[Play Booster CardMarket Profit]]/tbl_MTG_Set[[#This Row],[Play Booster Cost]]</f>
        <v/>
      </c>
      <c r="AU449" s="10">
        <f>_xlfn.XLOOKUP(tbl_MTG_Set[[#This Row],[Collector Booster Box Product Id]], tbl_Product[Product Id], tbl_Product[Min Cost])</f>
        <v/>
      </c>
      <c r="AV449" s="10">
        <f>_xlfn.XLOOKUP(tbl_MTG_Set[[#This Row],[Collector Booster Box Product Id]], tbl_Product[Product Id], tbl_Product[Best Source])</f>
        <v/>
      </c>
      <c r="AW449" s="4">
        <f>_xlfn.XLOOKUP(tbl_MTG_Set[[#This Row],[Collector Booster Box Product Id]], tbl_Product[Product Id], tbl_Product[Pack Size])</f>
        <v/>
      </c>
      <c r="AX449" s="10">
        <f>(tbl_MTG_Set[[#This Row],[Collector Booster Box Cost]] + v_Item_Shipping_Cost_In) / tbl_MTG_Set[[#This Row],[Collector Booster Box Size]]</f>
        <v/>
      </c>
      <c r="AY449" s="10">
        <f t="array" ref="AY4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49" s="10" t="n"/>
      <c r="BA4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9" s="17">
        <f>tbl_MTG_Set[[#This Row],[Collector Booster CardMarket Profit]]/tbl_MTG_Set[[#This Row],[Collector Booster Cost]]</f>
        <v/>
      </c>
      <c r="BC449" s="10" t="n"/>
      <c r="BF449" s="10">
        <f>tbl_MTG_Set[[#This Row],[Play Booster Sell Price CardMarket]]*tbl_MTG_Set[[#This Row],[Play Booster Expected Market Value]]/tbl_MTG_Set[[#This Row],[Play Boost Sealed Market Value]]</f>
        <v/>
      </c>
      <c r="BG4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9" s="10">
        <f>tbl_MTG_Set[[#This Row],[Play Singles CardMarket Profit]]/tbl_MTG_Set[[#This Row],[Play Booster Cost]]</f>
        <v/>
      </c>
      <c r="BI449" s="10">
        <f>tbl_MTG_Set[[#This Row],[Play Singles CardMarket Profit]]&gt;0</f>
        <v/>
      </c>
      <c r="BJ449" s="10" t="n"/>
      <c r="BK449" s="10" t="n"/>
      <c r="BL449" s="10">
        <f>tbl_MTG_Set[[#This Row],[Collector Booster Sell Price CardMarket]]*tbl_MTG_Set[[#This Row],[Collector Booster Expected Market Value]]/tbl_MTG_Set[[#This Row],[Collector Boost Sealed Market Value]]</f>
        <v/>
      </c>
      <c r="BM4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9" s="10">
        <f>tbl_MTG_Set[[#This Row],[Collector Singles CardMarket Profit]]/tbl_MTG_Set[[#This Row],[Collector Booster Cost]]</f>
        <v/>
      </c>
      <c r="BO449" s="10">
        <f>tbl_MTG_Set[[#This Row],[Collector Singles CardMarket Profit]]&gt;0</f>
        <v/>
      </c>
      <c r="BP4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0">
      <c r="A450" t="n">
        <v>448</v>
      </c>
      <c r="B450" t="inlineStr">
        <is>
          <t>Ravnica Allegiance RNA</t>
        </is>
      </c>
      <c r="C450" t="n">
        <v>273</v>
      </c>
      <c r="D450" s="3" t="n">
        <v>43490</v>
      </c>
      <c r="F450" t="inlineStr">
        <is>
          <t>en es fr de it pt ja ko ru 汉语 漢語</t>
        </is>
      </c>
      <c r="G450" t="n">
        <v>842</v>
      </c>
      <c r="H450">
        <f>MONTH(NOW())+12*YEAR(NOW())-MONTH(tbl_MTG_Set[[#This Row],[Released On]])-12*YEAR(tbl_MTG_Set[[#This Row],[Released On]])</f>
        <v/>
      </c>
      <c r="I450">
        <f>_xlfn.XLOOKUP(tbl_MTG_Set[[#This Row],[Type Name]], tbl_MTG_Set_Type[Set Type], tbl_MTG_Set_Type[Index], "(Set Type not found)")</f>
        <v/>
      </c>
      <c r="J450">
        <f>_xlfn.XLOOKUP(tbl_MTG_Set[[#This Row],[Type Name]], tbl_MTG_Set_Type[Set Type], tbl_MTG_Set_Type[Buy Window Month Start], "(Set Type not found)")</f>
        <v/>
      </c>
      <c r="K450" s="3">
        <f>tbl_MTG_Set[[#This Row],[Released On]]+tbl_MTG_Set[[#This Row],[Buy Window Month Start]]*365.25/12</f>
        <v/>
      </c>
      <c r="L450">
        <f>_xlfn.XLOOKUP(tbl_MTG_Set[[#This Row],[Type Name]], tbl_MTG_Set_Type[Set Type], tbl_MTG_Set_Type[Buy Window Month End], "(Set Type not found)", 0, 1)</f>
        <v/>
      </c>
      <c r="M450" s="3">
        <f>tbl_MTG_Set[[#This Row],[Released On]]+tbl_MTG_Set[[#This Row],[Buy Window Month End]]*365.25/12</f>
        <v/>
      </c>
      <c r="N450" s="3">
        <f>AND(NOW()&gt;=tbl_MTG_Set[[#This Row],[Buy Window Start]], NOW()&lt;=tbl_MTG_Set[[#This Row],[Buy Window End]])</f>
        <v/>
      </c>
      <c r="O450">
        <f>_xlfn.XLOOKUP(tbl_MTG_Set[[#This Row],[Type Name]], tbl_MTG_Set_Type[Set Type], tbl_MTG_Set_Type[Heavy Printing Window Month Start], "(Set Type not found)", 0, 1)</f>
        <v/>
      </c>
      <c r="P450" s="3">
        <f>tbl_MTG_Set[[#This Row],[Released On]]+tbl_MTG_Set[[#This Row],[Heavy Printing Window Month Start]]*365.25/12</f>
        <v/>
      </c>
      <c r="Q450">
        <f>_xlfn.XLOOKUP(tbl_MTG_Set[[#This Row],[Type Name]], tbl_MTG_Set_Type[Set Type], tbl_MTG_Set_Type[Heavy Printing Window Month End], "(Set Type not found)", 0, 1)</f>
        <v/>
      </c>
      <c r="R450" s="3">
        <f>tbl_MTG_Set[[#This Row],[Released On]]+tbl_MTG_Set[[#This Row],[Heavy Printing Window Month End]]*365.25/12</f>
        <v/>
      </c>
      <c r="S450" s="3">
        <f>AND(NOW()&gt;=tbl_MTG_Set[[#This Row],[Heavy Printing Window Start]], NOW()&lt;=tbl_MTG_Set[[#This Row],[Heavy Printing Window End]])</f>
        <v/>
      </c>
      <c r="T450">
        <f>_xlfn.XLOOKUP(tbl_MTG_Set[[#This Row],[Type Name]], tbl_MTG_Set_Type[Set Type], tbl_MTG_Set_Type[Sell Window Month Start], "(Set Type not found)", 0, 1)</f>
        <v/>
      </c>
      <c r="U450" s="3">
        <f>tbl_MTG_Set[[#This Row],[Released On]]+tbl_MTG_Set[[#This Row],[Sell Window Month Start]]*365.25/12</f>
        <v/>
      </c>
      <c r="V450">
        <f>_xlfn.XLOOKUP(tbl_MTG_Set[[#This Row],[Type Name]], tbl_MTG_Set_Type[Set Type], tbl_MTG_Set_Type[Sell Window Month End], "(Set Type not found)", 0, 1)</f>
        <v/>
      </c>
      <c r="W450" s="3">
        <f>tbl_MTG_Set[[#This Row],[Released On]]+tbl_MTG_Set[[#This Row],[Sell Window Month End]]*365.25/12</f>
        <v/>
      </c>
      <c r="X450" s="3">
        <f>AND(NOW()&gt;=tbl_MTG_Set[[#This Row],[Sell Window Start]], NOW()&lt;=tbl_MTG_Set[[#This Row],[Sell Window End]])</f>
        <v/>
      </c>
      <c r="AG450" s="10" t="n"/>
      <c r="AH450" s="10" t="n"/>
      <c r="AM450" s="10">
        <f t="array" ref="AM4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0" s="10">
        <f t="array" ref="AN4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0" s="4">
        <f>_xlfn.XLOOKUP(tbl_MTG_Set[[#This Row],[Play Booster Box Product Id]], tbl_Product[Product Id], tbl_Product[Pack Size])</f>
        <v/>
      </c>
      <c r="AP450" s="10">
        <f>(tbl_MTG_Set[[#This Row],[Play Booster Box Cost]]+v_Item_Shipping_Cost_In)/tbl_MTG_Set[[#This Row],[Play Booster Box Size]]</f>
        <v/>
      </c>
      <c r="AQ450" s="10">
        <f t="array" ref="AQ4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0" s="10" t="n"/>
      <c r="AS450" s="10" t="n"/>
      <c r="AT450" s="17">
        <f>tbl_MTG_Set[[#This Row],[Play Booster CardMarket Profit]]/tbl_MTG_Set[[#This Row],[Play Booster Cost]]</f>
        <v/>
      </c>
      <c r="AU450" s="10">
        <f>_xlfn.XLOOKUP(tbl_MTG_Set[[#This Row],[Collector Booster Box Product Id]], tbl_Product[Product Id], tbl_Product[Min Cost])</f>
        <v/>
      </c>
      <c r="AV450" s="10">
        <f>_xlfn.XLOOKUP(tbl_MTG_Set[[#This Row],[Collector Booster Box Product Id]], tbl_Product[Product Id], tbl_Product[Best Source])</f>
        <v/>
      </c>
      <c r="AW450" s="4">
        <f>_xlfn.XLOOKUP(tbl_MTG_Set[[#This Row],[Collector Booster Box Product Id]], tbl_Product[Product Id], tbl_Product[Pack Size])</f>
        <v/>
      </c>
      <c r="AX450" s="10">
        <f>(tbl_MTG_Set[[#This Row],[Collector Booster Box Cost]] + v_Item_Shipping_Cost_In) / tbl_MTG_Set[[#This Row],[Collector Booster Box Size]]</f>
        <v/>
      </c>
      <c r="AY450" s="10">
        <f t="array" ref="AY4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0" s="10" t="n"/>
      <c r="BA4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0" s="17">
        <f>tbl_MTG_Set[[#This Row],[Collector Booster CardMarket Profit]]/tbl_MTG_Set[[#This Row],[Collector Booster Cost]]</f>
        <v/>
      </c>
      <c r="BC450" s="10" t="n"/>
      <c r="BF450" s="10">
        <f>tbl_MTG_Set[[#This Row],[Play Booster Sell Price CardMarket]]*tbl_MTG_Set[[#This Row],[Play Booster Expected Market Value]]/tbl_MTG_Set[[#This Row],[Play Boost Sealed Market Value]]</f>
        <v/>
      </c>
      <c r="BG4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0" s="10">
        <f>tbl_MTG_Set[[#This Row],[Play Singles CardMarket Profit]]/tbl_MTG_Set[[#This Row],[Play Booster Cost]]</f>
        <v/>
      </c>
      <c r="BI450" s="10">
        <f>tbl_MTG_Set[[#This Row],[Play Singles CardMarket Profit]]&gt;0</f>
        <v/>
      </c>
      <c r="BJ450" s="10" t="n"/>
      <c r="BK450" s="10" t="n"/>
      <c r="BL450" s="10">
        <f>tbl_MTG_Set[[#This Row],[Collector Booster Sell Price CardMarket]]*tbl_MTG_Set[[#This Row],[Collector Booster Expected Market Value]]/tbl_MTG_Set[[#This Row],[Collector Boost Sealed Market Value]]</f>
        <v/>
      </c>
      <c r="BM4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0" s="10">
        <f>tbl_MTG_Set[[#This Row],[Collector Singles CardMarket Profit]]/tbl_MTG_Set[[#This Row],[Collector Booster Cost]]</f>
        <v/>
      </c>
      <c r="BO450" s="10">
        <f>tbl_MTG_Set[[#This Row],[Collector Singles CardMarket Profit]]&gt;0</f>
        <v/>
      </c>
      <c r="BP4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1">
      <c r="A451" t="n">
        <v>449</v>
      </c>
      <c r="B451" t="inlineStr">
        <is>
          <t>Ravnica Allegiance Promos PRNA</t>
        </is>
      </c>
      <c r="C451" t="n">
        <v>81</v>
      </c>
      <c r="D451" s="3" t="n">
        <v>43490</v>
      </c>
      <c r="F451" t="inlineStr">
        <is>
          <t>en es fr de it pt ja ko ru 汉语 漢語</t>
        </is>
      </c>
      <c r="G451" t="n">
        <v>844</v>
      </c>
      <c r="H451">
        <f>MONTH(NOW())+12*YEAR(NOW())-MONTH(tbl_MTG_Set[[#This Row],[Released On]])-12*YEAR(tbl_MTG_Set[[#This Row],[Released On]])</f>
        <v/>
      </c>
      <c r="I451">
        <f>_xlfn.XLOOKUP(tbl_MTG_Set[[#This Row],[Type Name]], tbl_MTG_Set_Type[Set Type], tbl_MTG_Set_Type[Index], "(Set Type not found)")</f>
        <v/>
      </c>
      <c r="J451">
        <f>_xlfn.XLOOKUP(tbl_MTG_Set[[#This Row],[Type Name]], tbl_MTG_Set_Type[Set Type], tbl_MTG_Set_Type[Buy Window Month Start], "(Set Type not found)")</f>
        <v/>
      </c>
      <c r="K451" s="3">
        <f>tbl_MTG_Set[[#This Row],[Released On]]+tbl_MTG_Set[[#This Row],[Buy Window Month Start]]*365.25/12</f>
        <v/>
      </c>
      <c r="L451">
        <f>_xlfn.XLOOKUP(tbl_MTG_Set[[#This Row],[Type Name]], tbl_MTG_Set_Type[Set Type], tbl_MTG_Set_Type[Buy Window Month End], "(Set Type not found)", 0, 1)</f>
        <v/>
      </c>
      <c r="M451" s="3">
        <f>tbl_MTG_Set[[#This Row],[Released On]]+tbl_MTG_Set[[#This Row],[Buy Window Month End]]*365.25/12</f>
        <v/>
      </c>
      <c r="N451" s="3">
        <f>AND(NOW()&gt;=tbl_MTG_Set[[#This Row],[Buy Window Start]], NOW()&lt;=tbl_MTG_Set[[#This Row],[Buy Window End]])</f>
        <v/>
      </c>
      <c r="O451">
        <f>_xlfn.XLOOKUP(tbl_MTG_Set[[#This Row],[Type Name]], tbl_MTG_Set_Type[Set Type], tbl_MTG_Set_Type[Heavy Printing Window Month Start], "(Set Type not found)", 0, 1)</f>
        <v/>
      </c>
      <c r="P451" s="3">
        <f>tbl_MTG_Set[[#This Row],[Released On]]+tbl_MTG_Set[[#This Row],[Heavy Printing Window Month Start]]*365.25/12</f>
        <v/>
      </c>
      <c r="Q451">
        <f>_xlfn.XLOOKUP(tbl_MTG_Set[[#This Row],[Type Name]], tbl_MTG_Set_Type[Set Type], tbl_MTG_Set_Type[Heavy Printing Window Month End], "(Set Type not found)", 0, 1)</f>
        <v/>
      </c>
      <c r="R451" s="3">
        <f>tbl_MTG_Set[[#This Row],[Released On]]+tbl_MTG_Set[[#This Row],[Heavy Printing Window Month End]]*365.25/12</f>
        <v/>
      </c>
      <c r="S451" s="3">
        <f>AND(NOW()&gt;=tbl_MTG_Set[[#This Row],[Heavy Printing Window Start]], NOW()&lt;=tbl_MTG_Set[[#This Row],[Heavy Printing Window End]])</f>
        <v/>
      </c>
      <c r="T451">
        <f>_xlfn.XLOOKUP(tbl_MTG_Set[[#This Row],[Type Name]], tbl_MTG_Set_Type[Set Type], tbl_MTG_Set_Type[Sell Window Month Start], "(Set Type not found)", 0, 1)</f>
        <v/>
      </c>
      <c r="U451" s="3">
        <f>tbl_MTG_Set[[#This Row],[Released On]]+tbl_MTG_Set[[#This Row],[Sell Window Month Start]]*365.25/12</f>
        <v/>
      </c>
      <c r="V451">
        <f>_xlfn.XLOOKUP(tbl_MTG_Set[[#This Row],[Type Name]], tbl_MTG_Set_Type[Set Type], tbl_MTG_Set_Type[Sell Window Month End], "(Set Type not found)", 0, 1)</f>
        <v/>
      </c>
      <c r="W451" s="3">
        <f>tbl_MTG_Set[[#This Row],[Released On]]+tbl_MTG_Set[[#This Row],[Sell Window Month End]]*365.25/12</f>
        <v/>
      </c>
      <c r="X451" s="3">
        <f>AND(NOW()&gt;=tbl_MTG_Set[[#This Row],[Sell Window Start]], NOW()&lt;=tbl_MTG_Set[[#This Row],[Sell Window End]])</f>
        <v/>
      </c>
      <c r="AG451" s="10" t="n"/>
      <c r="AH451" s="10" t="n"/>
      <c r="AM451" s="10">
        <f t="array" ref="AM4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1" s="10">
        <f t="array" ref="AN4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1" s="4">
        <f>_xlfn.XLOOKUP(tbl_MTG_Set[[#This Row],[Play Booster Box Product Id]], tbl_Product[Product Id], tbl_Product[Pack Size])</f>
        <v/>
      </c>
      <c r="AP451" s="10">
        <f>(tbl_MTG_Set[[#This Row],[Play Booster Box Cost]]+v_Item_Shipping_Cost_In)/tbl_MTG_Set[[#This Row],[Play Booster Box Size]]</f>
        <v/>
      </c>
      <c r="AQ451" s="10">
        <f t="array" ref="AQ4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1" s="10" t="n"/>
      <c r="AS451" s="10" t="n"/>
      <c r="AT451" s="17">
        <f>tbl_MTG_Set[[#This Row],[Play Booster CardMarket Profit]]/tbl_MTG_Set[[#This Row],[Play Booster Cost]]</f>
        <v/>
      </c>
      <c r="AU451" s="10">
        <f>_xlfn.XLOOKUP(tbl_MTG_Set[[#This Row],[Collector Booster Box Product Id]], tbl_Product[Product Id], tbl_Product[Min Cost])</f>
        <v/>
      </c>
      <c r="AV451" s="10">
        <f>_xlfn.XLOOKUP(tbl_MTG_Set[[#This Row],[Collector Booster Box Product Id]], tbl_Product[Product Id], tbl_Product[Best Source])</f>
        <v/>
      </c>
      <c r="AW451" s="4">
        <f>_xlfn.XLOOKUP(tbl_MTG_Set[[#This Row],[Collector Booster Box Product Id]], tbl_Product[Product Id], tbl_Product[Pack Size])</f>
        <v/>
      </c>
      <c r="AX451" s="10">
        <f>(tbl_MTG_Set[[#This Row],[Collector Booster Box Cost]] + v_Item_Shipping_Cost_In) / tbl_MTG_Set[[#This Row],[Collector Booster Box Size]]</f>
        <v/>
      </c>
      <c r="AY451" s="10">
        <f t="array" ref="AY4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1" s="10" t="n"/>
      <c r="BA4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1" s="17">
        <f>tbl_MTG_Set[[#This Row],[Collector Booster CardMarket Profit]]/tbl_MTG_Set[[#This Row],[Collector Booster Cost]]</f>
        <v/>
      </c>
      <c r="BC451" s="10" t="n"/>
      <c r="BF451" s="10">
        <f>tbl_MTG_Set[[#This Row],[Play Booster Sell Price CardMarket]]*tbl_MTG_Set[[#This Row],[Play Booster Expected Market Value]]/tbl_MTG_Set[[#This Row],[Play Boost Sealed Market Value]]</f>
        <v/>
      </c>
      <c r="BG4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1" s="10">
        <f>tbl_MTG_Set[[#This Row],[Play Singles CardMarket Profit]]/tbl_MTG_Set[[#This Row],[Play Booster Cost]]</f>
        <v/>
      </c>
      <c r="BI451" s="10">
        <f>tbl_MTG_Set[[#This Row],[Play Singles CardMarket Profit]]&gt;0</f>
        <v/>
      </c>
      <c r="BJ451" s="10" t="n"/>
      <c r="BK451" s="10" t="n"/>
      <c r="BL451" s="10">
        <f>tbl_MTG_Set[[#This Row],[Collector Booster Sell Price CardMarket]]*tbl_MTG_Set[[#This Row],[Collector Booster Expected Market Value]]/tbl_MTG_Set[[#This Row],[Collector Boost Sealed Market Value]]</f>
        <v/>
      </c>
      <c r="BM4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1" s="10">
        <f>tbl_MTG_Set[[#This Row],[Collector Singles CardMarket Profit]]/tbl_MTG_Set[[#This Row],[Collector Booster Cost]]</f>
        <v/>
      </c>
      <c r="BO451" s="10">
        <f>tbl_MTG_Set[[#This Row],[Collector Singles CardMarket Profit]]&gt;0</f>
        <v/>
      </c>
      <c r="BP4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2">
      <c r="A452" t="n">
        <v>450</v>
      </c>
      <c r="B452" t="inlineStr">
        <is>
          <t>Ravnica Allegiance Tokens TRNA</t>
        </is>
      </c>
      <c r="C452" t="n">
        <v>13</v>
      </c>
      <c r="D452" s="3" t="n">
        <v>43490</v>
      </c>
      <c r="F452" t="inlineStr">
        <is>
          <t>en es fr de it pt ja ko ru 汉语 漢語</t>
        </is>
      </c>
      <c r="G452" t="n">
        <v>846</v>
      </c>
      <c r="H452">
        <f>MONTH(NOW())+12*YEAR(NOW())-MONTH(tbl_MTG_Set[[#This Row],[Released On]])-12*YEAR(tbl_MTG_Set[[#This Row],[Released On]])</f>
        <v/>
      </c>
      <c r="I452">
        <f>_xlfn.XLOOKUP(tbl_MTG_Set[[#This Row],[Type Name]], tbl_MTG_Set_Type[Set Type], tbl_MTG_Set_Type[Index], "(Set Type not found)")</f>
        <v/>
      </c>
      <c r="J452">
        <f>_xlfn.XLOOKUP(tbl_MTG_Set[[#This Row],[Type Name]], tbl_MTG_Set_Type[Set Type], tbl_MTG_Set_Type[Buy Window Month Start], "(Set Type not found)")</f>
        <v/>
      </c>
      <c r="K452" s="3">
        <f>tbl_MTG_Set[[#This Row],[Released On]]+tbl_MTG_Set[[#This Row],[Buy Window Month Start]]*365.25/12</f>
        <v/>
      </c>
      <c r="L452">
        <f>_xlfn.XLOOKUP(tbl_MTG_Set[[#This Row],[Type Name]], tbl_MTG_Set_Type[Set Type], tbl_MTG_Set_Type[Buy Window Month End], "(Set Type not found)", 0, 1)</f>
        <v/>
      </c>
      <c r="M452" s="3">
        <f>tbl_MTG_Set[[#This Row],[Released On]]+tbl_MTG_Set[[#This Row],[Buy Window Month End]]*365.25/12</f>
        <v/>
      </c>
      <c r="N452" s="3">
        <f>AND(NOW()&gt;=tbl_MTG_Set[[#This Row],[Buy Window Start]], NOW()&lt;=tbl_MTG_Set[[#This Row],[Buy Window End]])</f>
        <v/>
      </c>
      <c r="O452">
        <f>_xlfn.XLOOKUP(tbl_MTG_Set[[#This Row],[Type Name]], tbl_MTG_Set_Type[Set Type], tbl_MTG_Set_Type[Heavy Printing Window Month Start], "(Set Type not found)", 0, 1)</f>
        <v/>
      </c>
      <c r="P452" s="3">
        <f>tbl_MTG_Set[[#This Row],[Released On]]+tbl_MTG_Set[[#This Row],[Heavy Printing Window Month Start]]*365.25/12</f>
        <v/>
      </c>
      <c r="Q452">
        <f>_xlfn.XLOOKUP(tbl_MTG_Set[[#This Row],[Type Name]], tbl_MTG_Set_Type[Set Type], tbl_MTG_Set_Type[Heavy Printing Window Month End], "(Set Type not found)", 0, 1)</f>
        <v/>
      </c>
      <c r="R452" s="3">
        <f>tbl_MTG_Set[[#This Row],[Released On]]+tbl_MTG_Set[[#This Row],[Heavy Printing Window Month End]]*365.25/12</f>
        <v/>
      </c>
      <c r="S452" s="3">
        <f>AND(NOW()&gt;=tbl_MTG_Set[[#This Row],[Heavy Printing Window Start]], NOW()&lt;=tbl_MTG_Set[[#This Row],[Heavy Printing Window End]])</f>
        <v/>
      </c>
      <c r="T452">
        <f>_xlfn.XLOOKUP(tbl_MTG_Set[[#This Row],[Type Name]], tbl_MTG_Set_Type[Set Type], tbl_MTG_Set_Type[Sell Window Month Start], "(Set Type not found)", 0, 1)</f>
        <v/>
      </c>
      <c r="U452" s="3">
        <f>tbl_MTG_Set[[#This Row],[Released On]]+tbl_MTG_Set[[#This Row],[Sell Window Month Start]]*365.25/12</f>
        <v/>
      </c>
      <c r="V452">
        <f>_xlfn.XLOOKUP(tbl_MTG_Set[[#This Row],[Type Name]], tbl_MTG_Set_Type[Set Type], tbl_MTG_Set_Type[Sell Window Month End], "(Set Type not found)", 0, 1)</f>
        <v/>
      </c>
      <c r="W452" s="3">
        <f>tbl_MTG_Set[[#This Row],[Released On]]+tbl_MTG_Set[[#This Row],[Sell Window Month End]]*365.25/12</f>
        <v/>
      </c>
      <c r="X452" s="3">
        <f>AND(NOW()&gt;=tbl_MTG_Set[[#This Row],[Sell Window Start]], NOW()&lt;=tbl_MTG_Set[[#This Row],[Sell Window End]])</f>
        <v/>
      </c>
      <c r="AG452" s="10" t="n"/>
      <c r="AH452" s="10" t="n"/>
      <c r="AM452" s="10">
        <f t="array" ref="AM4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2" s="10">
        <f t="array" ref="AN4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2" s="4">
        <f>_xlfn.XLOOKUP(tbl_MTG_Set[[#This Row],[Play Booster Box Product Id]], tbl_Product[Product Id], tbl_Product[Pack Size])</f>
        <v/>
      </c>
      <c r="AP452" s="10">
        <f>(tbl_MTG_Set[[#This Row],[Play Booster Box Cost]]+v_Item_Shipping_Cost_In)/tbl_MTG_Set[[#This Row],[Play Booster Box Size]]</f>
        <v/>
      </c>
      <c r="AQ452" s="10">
        <f t="array" ref="AQ4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2" s="10" t="n"/>
      <c r="AS452" s="10" t="n"/>
      <c r="AT452" s="17">
        <f>tbl_MTG_Set[[#This Row],[Play Booster CardMarket Profit]]/tbl_MTG_Set[[#This Row],[Play Booster Cost]]</f>
        <v/>
      </c>
      <c r="AU452" s="10">
        <f>_xlfn.XLOOKUP(tbl_MTG_Set[[#This Row],[Collector Booster Box Product Id]], tbl_Product[Product Id], tbl_Product[Min Cost])</f>
        <v/>
      </c>
      <c r="AV452" s="10">
        <f>_xlfn.XLOOKUP(tbl_MTG_Set[[#This Row],[Collector Booster Box Product Id]], tbl_Product[Product Id], tbl_Product[Best Source])</f>
        <v/>
      </c>
      <c r="AW452" s="4">
        <f>_xlfn.XLOOKUP(tbl_MTG_Set[[#This Row],[Collector Booster Box Product Id]], tbl_Product[Product Id], tbl_Product[Pack Size])</f>
        <v/>
      </c>
      <c r="AX452" s="10">
        <f>(tbl_MTG_Set[[#This Row],[Collector Booster Box Cost]] + v_Item_Shipping_Cost_In) / tbl_MTG_Set[[#This Row],[Collector Booster Box Size]]</f>
        <v/>
      </c>
      <c r="AY452" s="10">
        <f t="array" ref="AY4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2" s="10" t="n"/>
      <c r="BA4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2" s="17">
        <f>tbl_MTG_Set[[#This Row],[Collector Booster CardMarket Profit]]/tbl_MTG_Set[[#This Row],[Collector Booster Cost]]</f>
        <v/>
      </c>
      <c r="BC452" s="10" t="n"/>
      <c r="BF452" s="10">
        <f>tbl_MTG_Set[[#This Row],[Play Booster Sell Price CardMarket]]*tbl_MTG_Set[[#This Row],[Play Booster Expected Market Value]]/tbl_MTG_Set[[#This Row],[Play Boost Sealed Market Value]]</f>
        <v/>
      </c>
      <c r="BG4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2" s="10">
        <f>tbl_MTG_Set[[#This Row],[Play Singles CardMarket Profit]]/tbl_MTG_Set[[#This Row],[Play Booster Cost]]</f>
        <v/>
      </c>
      <c r="BI452" s="10">
        <f>tbl_MTG_Set[[#This Row],[Play Singles CardMarket Profit]]&gt;0</f>
        <v/>
      </c>
      <c r="BJ452" s="10" t="n"/>
      <c r="BK452" s="10" t="n"/>
      <c r="BL452" s="10">
        <f>tbl_MTG_Set[[#This Row],[Collector Booster Sell Price CardMarket]]*tbl_MTG_Set[[#This Row],[Collector Booster Expected Market Value]]/tbl_MTG_Set[[#This Row],[Collector Boost Sealed Market Value]]</f>
        <v/>
      </c>
      <c r="BM4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2" s="10">
        <f>tbl_MTG_Set[[#This Row],[Collector Singles CardMarket Profit]]/tbl_MTG_Set[[#This Row],[Collector Booster Cost]]</f>
        <v/>
      </c>
      <c r="BO452" s="10">
        <f>tbl_MTG_Set[[#This Row],[Collector Singles CardMarket Profit]]&gt;0</f>
        <v/>
      </c>
      <c r="BP4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3">
      <c r="A453" t="n">
        <v>451</v>
      </c>
      <c r="B453" t="inlineStr">
        <is>
          <t>RNA Ravnica Weekend PRW2</t>
        </is>
      </c>
      <c r="C453" t="n">
        <v>10</v>
      </c>
      <c r="D453" s="3" t="n">
        <v>43512</v>
      </c>
      <c r="F453" t="inlineStr">
        <is>
          <t>en es fr de it pt ja ko ru 汉语 漢語</t>
        </is>
      </c>
      <c r="G453" t="n">
        <v>848</v>
      </c>
      <c r="H453">
        <f>MONTH(NOW())+12*YEAR(NOW())-MONTH(tbl_MTG_Set[[#This Row],[Released On]])-12*YEAR(tbl_MTG_Set[[#This Row],[Released On]])</f>
        <v/>
      </c>
      <c r="I453">
        <f>_xlfn.XLOOKUP(tbl_MTG_Set[[#This Row],[Type Name]], tbl_MTG_Set_Type[Set Type], tbl_MTG_Set_Type[Index], "(Set Type not found)")</f>
        <v/>
      </c>
      <c r="J453">
        <f>_xlfn.XLOOKUP(tbl_MTG_Set[[#This Row],[Type Name]], tbl_MTG_Set_Type[Set Type], tbl_MTG_Set_Type[Buy Window Month Start], "(Set Type not found)")</f>
        <v/>
      </c>
      <c r="K453" s="3">
        <f>tbl_MTG_Set[[#This Row],[Released On]]+tbl_MTG_Set[[#This Row],[Buy Window Month Start]]*365.25/12</f>
        <v/>
      </c>
      <c r="L453">
        <f>_xlfn.XLOOKUP(tbl_MTG_Set[[#This Row],[Type Name]], tbl_MTG_Set_Type[Set Type], tbl_MTG_Set_Type[Buy Window Month End], "(Set Type not found)", 0, 1)</f>
        <v/>
      </c>
      <c r="M453" s="3">
        <f>tbl_MTG_Set[[#This Row],[Released On]]+tbl_MTG_Set[[#This Row],[Buy Window Month End]]*365.25/12</f>
        <v/>
      </c>
      <c r="N453" s="3">
        <f>AND(NOW()&gt;=tbl_MTG_Set[[#This Row],[Buy Window Start]], NOW()&lt;=tbl_MTG_Set[[#This Row],[Buy Window End]])</f>
        <v/>
      </c>
      <c r="O453">
        <f>_xlfn.XLOOKUP(tbl_MTG_Set[[#This Row],[Type Name]], tbl_MTG_Set_Type[Set Type], tbl_MTG_Set_Type[Heavy Printing Window Month Start], "(Set Type not found)", 0, 1)</f>
        <v/>
      </c>
      <c r="P453" s="3">
        <f>tbl_MTG_Set[[#This Row],[Released On]]+tbl_MTG_Set[[#This Row],[Heavy Printing Window Month Start]]*365.25/12</f>
        <v/>
      </c>
      <c r="Q453">
        <f>_xlfn.XLOOKUP(tbl_MTG_Set[[#This Row],[Type Name]], tbl_MTG_Set_Type[Set Type], tbl_MTG_Set_Type[Heavy Printing Window Month End], "(Set Type not found)", 0, 1)</f>
        <v/>
      </c>
      <c r="R453" s="3">
        <f>tbl_MTG_Set[[#This Row],[Released On]]+tbl_MTG_Set[[#This Row],[Heavy Printing Window Month End]]*365.25/12</f>
        <v/>
      </c>
      <c r="S453" s="3">
        <f>AND(NOW()&gt;=tbl_MTG_Set[[#This Row],[Heavy Printing Window Start]], NOW()&lt;=tbl_MTG_Set[[#This Row],[Heavy Printing Window End]])</f>
        <v/>
      </c>
      <c r="T453">
        <f>_xlfn.XLOOKUP(tbl_MTG_Set[[#This Row],[Type Name]], tbl_MTG_Set_Type[Set Type], tbl_MTG_Set_Type[Sell Window Month Start], "(Set Type not found)", 0, 1)</f>
        <v/>
      </c>
      <c r="U453" s="3">
        <f>tbl_MTG_Set[[#This Row],[Released On]]+tbl_MTG_Set[[#This Row],[Sell Window Month Start]]*365.25/12</f>
        <v/>
      </c>
      <c r="V453">
        <f>_xlfn.XLOOKUP(tbl_MTG_Set[[#This Row],[Type Name]], tbl_MTG_Set_Type[Set Type], tbl_MTG_Set_Type[Sell Window Month End], "(Set Type not found)", 0, 1)</f>
        <v/>
      </c>
      <c r="W453" s="3">
        <f>tbl_MTG_Set[[#This Row],[Released On]]+tbl_MTG_Set[[#This Row],[Sell Window Month End]]*365.25/12</f>
        <v/>
      </c>
      <c r="X453" s="3">
        <f>AND(NOW()&gt;=tbl_MTG_Set[[#This Row],[Sell Window Start]], NOW()&lt;=tbl_MTG_Set[[#This Row],[Sell Window End]])</f>
        <v/>
      </c>
      <c r="AG453" s="10" t="n"/>
      <c r="AH453" s="10" t="n"/>
      <c r="AM453" s="10">
        <f t="array" ref="AM4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3" s="10">
        <f t="array" ref="AN4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3" s="4">
        <f>_xlfn.XLOOKUP(tbl_MTG_Set[[#This Row],[Play Booster Box Product Id]], tbl_Product[Product Id], tbl_Product[Pack Size])</f>
        <v/>
      </c>
      <c r="AP453" s="10">
        <f>(tbl_MTG_Set[[#This Row],[Play Booster Box Cost]]+v_Item_Shipping_Cost_In)/tbl_MTG_Set[[#This Row],[Play Booster Box Size]]</f>
        <v/>
      </c>
      <c r="AQ453" s="10">
        <f t="array" ref="AQ4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3" s="10" t="n"/>
      <c r="AS453" s="10" t="n"/>
      <c r="AT453" s="17">
        <f>tbl_MTG_Set[[#This Row],[Play Booster CardMarket Profit]]/tbl_MTG_Set[[#This Row],[Play Booster Cost]]</f>
        <v/>
      </c>
      <c r="AU453" s="10">
        <f>_xlfn.XLOOKUP(tbl_MTG_Set[[#This Row],[Collector Booster Box Product Id]], tbl_Product[Product Id], tbl_Product[Min Cost])</f>
        <v/>
      </c>
      <c r="AV453" s="10">
        <f>_xlfn.XLOOKUP(tbl_MTG_Set[[#This Row],[Collector Booster Box Product Id]], tbl_Product[Product Id], tbl_Product[Best Source])</f>
        <v/>
      </c>
      <c r="AW453" s="4">
        <f>_xlfn.XLOOKUP(tbl_MTG_Set[[#This Row],[Collector Booster Box Product Id]], tbl_Product[Product Id], tbl_Product[Pack Size])</f>
        <v/>
      </c>
      <c r="AX453" s="10">
        <f>(tbl_MTG_Set[[#This Row],[Collector Booster Box Cost]] + v_Item_Shipping_Cost_In) / tbl_MTG_Set[[#This Row],[Collector Booster Box Size]]</f>
        <v/>
      </c>
      <c r="AY453" s="10">
        <f t="array" ref="AY4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3" s="10" t="n"/>
      <c r="BA4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3" s="17">
        <f>tbl_MTG_Set[[#This Row],[Collector Booster CardMarket Profit]]/tbl_MTG_Set[[#This Row],[Collector Booster Cost]]</f>
        <v/>
      </c>
      <c r="BC453" s="10" t="n"/>
      <c r="BF453" s="10">
        <f>tbl_MTG_Set[[#This Row],[Play Booster Sell Price CardMarket]]*tbl_MTG_Set[[#This Row],[Play Booster Expected Market Value]]/tbl_MTG_Set[[#This Row],[Play Boost Sealed Market Value]]</f>
        <v/>
      </c>
      <c r="BG4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3" s="10">
        <f>tbl_MTG_Set[[#This Row],[Play Singles CardMarket Profit]]/tbl_MTG_Set[[#This Row],[Play Booster Cost]]</f>
        <v/>
      </c>
      <c r="BI453" s="10">
        <f>tbl_MTG_Set[[#This Row],[Play Singles CardMarket Profit]]&gt;0</f>
        <v/>
      </c>
      <c r="BJ453" s="10" t="n"/>
      <c r="BK453" s="10" t="n"/>
      <c r="BL453" s="10">
        <f>tbl_MTG_Set[[#This Row],[Collector Booster Sell Price CardMarket]]*tbl_MTG_Set[[#This Row],[Collector Booster Expected Market Value]]/tbl_MTG_Set[[#This Row],[Collector Boost Sealed Market Value]]</f>
        <v/>
      </c>
      <c r="BM4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3" s="10">
        <f>tbl_MTG_Set[[#This Row],[Collector Singles CardMarket Profit]]/tbl_MTG_Set[[#This Row],[Collector Booster Cost]]</f>
        <v/>
      </c>
      <c r="BO453" s="10">
        <f>tbl_MTG_Set[[#This Row],[Collector Singles CardMarket Profit]]&gt;0</f>
        <v/>
      </c>
      <c r="BP4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4">
      <c r="A454" t="n">
        <v>452</v>
      </c>
      <c r="B454" t="inlineStr">
        <is>
          <t>MagicFest 2019 PF19</t>
        </is>
      </c>
      <c r="C454" t="n">
        <v>7</v>
      </c>
      <c r="D454" s="3" t="n">
        <v>43466</v>
      </c>
      <c r="F454" t="inlineStr">
        <is>
          <t>en es fr de it pt ja ko ru 汉语 漢語</t>
        </is>
      </c>
      <c r="G454" t="n">
        <v>850</v>
      </c>
      <c r="H454">
        <f>MONTH(NOW())+12*YEAR(NOW())-MONTH(tbl_MTG_Set[[#This Row],[Released On]])-12*YEAR(tbl_MTG_Set[[#This Row],[Released On]])</f>
        <v/>
      </c>
      <c r="I454">
        <f>_xlfn.XLOOKUP(tbl_MTG_Set[[#This Row],[Type Name]], tbl_MTG_Set_Type[Set Type], tbl_MTG_Set_Type[Index], "(Set Type not found)")</f>
        <v/>
      </c>
      <c r="J454">
        <f>_xlfn.XLOOKUP(tbl_MTG_Set[[#This Row],[Type Name]], tbl_MTG_Set_Type[Set Type], tbl_MTG_Set_Type[Buy Window Month Start], "(Set Type not found)")</f>
        <v/>
      </c>
      <c r="K454" s="3">
        <f>tbl_MTG_Set[[#This Row],[Released On]]+tbl_MTG_Set[[#This Row],[Buy Window Month Start]]*365.25/12</f>
        <v/>
      </c>
      <c r="L454">
        <f>_xlfn.XLOOKUP(tbl_MTG_Set[[#This Row],[Type Name]], tbl_MTG_Set_Type[Set Type], tbl_MTG_Set_Type[Buy Window Month End], "(Set Type not found)", 0, 1)</f>
        <v/>
      </c>
      <c r="M454" s="3">
        <f>tbl_MTG_Set[[#This Row],[Released On]]+tbl_MTG_Set[[#This Row],[Buy Window Month End]]*365.25/12</f>
        <v/>
      </c>
      <c r="N454" s="3">
        <f>AND(NOW()&gt;=tbl_MTG_Set[[#This Row],[Buy Window Start]], NOW()&lt;=tbl_MTG_Set[[#This Row],[Buy Window End]])</f>
        <v/>
      </c>
      <c r="O454">
        <f>_xlfn.XLOOKUP(tbl_MTG_Set[[#This Row],[Type Name]], tbl_MTG_Set_Type[Set Type], tbl_MTG_Set_Type[Heavy Printing Window Month Start], "(Set Type not found)", 0, 1)</f>
        <v/>
      </c>
      <c r="P454" s="3">
        <f>tbl_MTG_Set[[#This Row],[Released On]]+tbl_MTG_Set[[#This Row],[Heavy Printing Window Month Start]]*365.25/12</f>
        <v/>
      </c>
      <c r="Q454">
        <f>_xlfn.XLOOKUP(tbl_MTG_Set[[#This Row],[Type Name]], tbl_MTG_Set_Type[Set Type], tbl_MTG_Set_Type[Heavy Printing Window Month End], "(Set Type not found)", 0, 1)</f>
        <v/>
      </c>
      <c r="R454" s="3">
        <f>tbl_MTG_Set[[#This Row],[Released On]]+tbl_MTG_Set[[#This Row],[Heavy Printing Window Month End]]*365.25/12</f>
        <v/>
      </c>
      <c r="S454" s="3">
        <f>AND(NOW()&gt;=tbl_MTG_Set[[#This Row],[Heavy Printing Window Start]], NOW()&lt;=tbl_MTG_Set[[#This Row],[Heavy Printing Window End]])</f>
        <v/>
      </c>
      <c r="T454">
        <f>_xlfn.XLOOKUP(tbl_MTG_Set[[#This Row],[Type Name]], tbl_MTG_Set_Type[Set Type], tbl_MTG_Set_Type[Sell Window Month Start], "(Set Type not found)", 0, 1)</f>
        <v/>
      </c>
      <c r="U454" s="3">
        <f>tbl_MTG_Set[[#This Row],[Released On]]+tbl_MTG_Set[[#This Row],[Sell Window Month Start]]*365.25/12</f>
        <v/>
      </c>
      <c r="V454">
        <f>_xlfn.XLOOKUP(tbl_MTG_Set[[#This Row],[Type Name]], tbl_MTG_Set_Type[Set Type], tbl_MTG_Set_Type[Sell Window Month End], "(Set Type not found)", 0, 1)</f>
        <v/>
      </c>
      <c r="W454" s="3">
        <f>tbl_MTG_Set[[#This Row],[Released On]]+tbl_MTG_Set[[#This Row],[Sell Window Month End]]*365.25/12</f>
        <v/>
      </c>
      <c r="X454" s="3">
        <f>AND(NOW()&gt;=tbl_MTG_Set[[#This Row],[Sell Window Start]], NOW()&lt;=tbl_MTG_Set[[#This Row],[Sell Window End]])</f>
        <v/>
      </c>
      <c r="AG454" s="10" t="n"/>
      <c r="AH454" s="10" t="n"/>
      <c r="AM454" s="10">
        <f t="array" ref="AM4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4" s="10">
        <f t="array" ref="AN4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4" s="4">
        <f>_xlfn.XLOOKUP(tbl_MTG_Set[[#This Row],[Play Booster Box Product Id]], tbl_Product[Product Id], tbl_Product[Pack Size])</f>
        <v/>
      </c>
      <c r="AP454" s="10">
        <f>(tbl_MTG_Set[[#This Row],[Play Booster Box Cost]]+v_Item_Shipping_Cost_In)/tbl_MTG_Set[[#This Row],[Play Booster Box Size]]</f>
        <v/>
      </c>
      <c r="AQ454" s="10">
        <f t="array" ref="AQ4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4" s="10" t="n"/>
      <c r="AS454" s="10" t="n"/>
      <c r="AT454" s="17">
        <f>tbl_MTG_Set[[#This Row],[Play Booster CardMarket Profit]]/tbl_MTG_Set[[#This Row],[Play Booster Cost]]</f>
        <v/>
      </c>
      <c r="AU454" s="10">
        <f>_xlfn.XLOOKUP(tbl_MTG_Set[[#This Row],[Collector Booster Box Product Id]], tbl_Product[Product Id], tbl_Product[Min Cost])</f>
        <v/>
      </c>
      <c r="AV454" s="10">
        <f>_xlfn.XLOOKUP(tbl_MTG_Set[[#This Row],[Collector Booster Box Product Id]], tbl_Product[Product Id], tbl_Product[Best Source])</f>
        <v/>
      </c>
      <c r="AW454" s="4">
        <f>_xlfn.XLOOKUP(tbl_MTG_Set[[#This Row],[Collector Booster Box Product Id]], tbl_Product[Product Id], tbl_Product[Pack Size])</f>
        <v/>
      </c>
      <c r="AX454" s="10">
        <f>(tbl_MTG_Set[[#This Row],[Collector Booster Box Cost]] + v_Item_Shipping_Cost_In) / tbl_MTG_Set[[#This Row],[Collector Booster Box Size]]</f>
        <v/>
      </c>
      <c r="AY454" s="10">
        <f t="array" ref="AY4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4" s="10" t="n"/>
      <c r="BA4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4" s="17">
        <f>tbl_MTG_Set[[#This Row],[Collector Booster CardMarket Profit]]/tbl_MTG_Set[[#This Row],[Collector Booster Cost]]</f>
        <v/>
      </c>
      <c r="BC454" s="10" t="n"/>
      <c r="BF454" s="10">
        <f>tbl_MTG_Set[[#This Row],[Play Booster Sell Price CardMarket]]*tbl_MTG_Set[[#This Row],[Play Booster Expected Market Value]]/tbl_MTG_Set[[#This Row],[Play Boost Sealed Market Value]]</f>
        <v/>
      </c>
      <c r="BG4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4" s="10">
        <f>tbl_MTG_Set[[#This Row],[Play Singles CardMarket Profit]]/tbl_MTG_Set[[#This Row],[Play Booster Cost]]</f>
        <v/>
      </c>
      <c r="BI454" s="10">
        <f>tbl_MTG_Set[[#This Row],[Play Singles CardMarket Profit]]&gt;0</f>
        <v/>
      </c>
      <c r="BJ454" s="10" t="n"/>
      <c r="BK454" s="10" t="n"/>
      <c r="BL454" s="10">
        <f>tbl_MTG_Set[[#This Row],[Collector Booster Sell Price CardMarket]]*tbl_MTG_Set[[#This Row],[Collector Booster Expected Market Value]]/tbl_MTG_Set[[#This Row],[Collector Boost Sealed Market Value]]</f>
        <v/>
      </c>
      <c r="BM4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4" s="10">
        <f>tbl_MTG_Set[[#This Row],[Collector Singles CardMarket Profit]]/tbl_MTG_Set[[#This Row],[Collector Booster Cost]]</f>
        <v/>
      </c>
      <c r="BO454" s="10">
        <f>tbl_MTG_Set[[#This Row],[Collector Singles CardMarket Profit]]&gt;0</f>
        <v/>
      </c>
      <c r="BP4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5">
      <c r="A455" t="n">
        <v>453</v>
      </c>
      <c r="B455" t="inlineStr">
        <is>
          <t>Ultimate Masters UMA</t>
        </is>
      </c>
      <c r="C455" t="n">
        <v>254</v>
      </c>
      <c r="D455" s="3" t="n">
        <v>43441</v>
      </c>
      <c r="F455" t="inlineStr">
        <is>
          <t>en es fr de it pt ja ko ru 汉语 漢語</t>
        </is>
      </c>
      <c r="G455" t="n">
        <v>852</v>
      </c>
      <c r="H455">
        <f>MONTH(NOW())+12*YEAR(NOW())-MONTH(tbl_MTG_Set[[#This Row],[Released On]])-12*YEAR(tbl_MTG_Set[[#This Row],[Released On]])</f>
        <v/>
      </c>
      <c r="I455">
        <f>_xlfn.XLOOKUP(tbl_MTG_Set[[#This Row],[Type Name]], tbl_MTG_Set_Type[Set Type], tbl_MTG_Set_Type[Index], "(Set Type not found)")</f>
        <v/>
      </c>
      <c r="J455">
        <f>_xlfn.XLOOKUP(tbl_MTG_Set[[#This Row],[Type Name]], tbl_MTG_Set_Type[Set Type], tbl_MTG_Set_Type[Buy Window Month Start], "(Set Type not found)")</f>
        <v/>
      </c>
      <c r="K455" s="3">
        <f>tbl_MTG_Set[[#This Row],[Released On]]+tbl_MTG_Set[[#This Row],[Buy Window Month Start]]*365.25/12</f>
        <v/>
      </c>
      <c r="L455">
        <f>_xlfn.XLOOKUP(tbl_MTG_Set[[#This Row],[Type Name]], tbl_MTG_Set_Type[Set Type], tbl_MTG_Set_Type[Buy Window Month End], "(Set Type not found)", 0, 1)</f>
        <v/>
      </c>
      <c r="M455" s="3">
        <f>tbl_MTG_Set[[#This Row],[Released On]]+tbl_MTG_Set[[#This Row],[Buy Window Month End]]*365.25/12</f>
        <v/>
      </c>
      <c r="N455" s="3">
        <f>AND(NOW()&gt;=tbl_MTG_Set[[#This Row],[Buy Window Start]], NOW()&lt;=tbl_MTG_Set[[#This Row],[Buy Window End]])</f>
        <v/>
      </c>
      <c r="O455">
        <f>_xlfn.XLOOKUP(tbl_MTG_Set[[#This Row],[Type Name]], tbl_MTG_Set_Type[Set Type], tbl_MTG_Set_Type[Heavy Printing Window Month Start], "(Set Type not found)", 0, 1)</f>
        <v/>
      </c>
      <c r="P455" s="3">
        <f>tbl_MTG_Set[[#This Row],[Released On]]+tbl_MTG_Set[[#This Row],[Heavy Printing Window Month Start]]*365.25/12</f>
        <v/>
      </c>
      <c r="Q455">
        <f>_xlfn.XLOOKUP(tbl_MTG_Set[[#This Row],[Type Name]], tbl_MTG_Set_Type[Set Type], tbl_MTG_Set_Type[Heavy Printing Window Month End], "(Set Type not found)", 0, 1)</f>
        <v/>
      </c>
      <c r="R455" s="3">
        <f>tbl_MTG_Set[[#This Row],[Released On]]+tbl_MTG_Set[[#This Row],[Heavy Printing Window Month End]]*365.25/12</f>
        <v/>
      </c>
      <c r="S455" s="3">
        <f>AND(NOW()&gt;=tbl_MTG_Set[[#This Row],[Heavy Printing Window Start]], NOW()&lt;=tbl_MTG_Set[[#This Row],[Heavy Printing Window End]])</f>
        <v/>
      </c>
      <c r="T455">
        <f>_xlfn.XLOOKUP(tbl_MTG_Set[[#This Row],[Type Name]], tbl_MTG_Set_Type[Set Type], tbl_MTG_Set_Type[Sell Window Month Start], "(Set Type not found)", 0, 1)</f>
        <v/>
      </c>
      <c r="U455" s="3">
        <f>tbl_MTG_Set[[#This Row],[Released On]]+tbl_MTG_Set[[#This Row],[Sell Window Month Start]]*365.25/12</f>
        <v/>
      </c>
      <c r="V455">
        <f>_xlfn.XLOOKUP(tbl_MTG_Set[[#This Row],[Type Name]], tbl_MTG_Set_Type[Set Type], tbl_MTG_Set_Type[Sell Window Month End], "(Set Type not found)", 0, 1)</f>
        <v/>
      </c>
      <c r="W455" s="3">
        <f>tbl_MTG_Set[[#This Row],[Released On]]+tbl_MTG_Set[[#This Row],[Sell Window Month End]]*365.25/12</f>
        <v/>
      </c>
      <c r="X455" s="3">
        <f>AND(NOW()&gt;=tbl_MTG_Set[[#This Row],[Sell Window Start]], NOW()&lt;=tbl_MTG_Set[[#This Row],[Sell Window End]])</f>
        <v/>
      </c>
      <c r="AG455" s="10" t="n"/>
      <c r="AH455" s="10" t="n"/>
      <c r="AM455" s="10">
        <f t="array" ref="AM4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5" s="10">
        <f t="array" ref="AN4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5" s="4">
        <f>_xlfn.XLOOKUP(tbl_MTG_Set[[#This Row],[Play Booster Box Product Id]], tbl_Product[Product Id], tbl_Product[Pack Size])</f>
        <v/>
      </c>
      <c r="AP455" s="10">
        <f>(tbl_MTG_Set[[#This Row],[Play Booster Box Cost]]+v_Item_Shipping_Cost_In)/tbl_MTG_Set[[#This Row],[Play Booster Box Size]]</f>
        <v/>
      </c>
      <c r="AQ455" s="10">
        <f t="array" ref="AQ4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5" s="10" t="n"/>
      <c r="AS455" s="10" t="n"/>
      <c r="AT455" s="17">
        <f>tbl_MTG_Set[[#This Row],[Play Booster CardMarket Profit]]/tbl_MTG_Set[[#This Row],[Play Booster Cost]]</f>
        <v/>
      </c>
      <c r="AU455" s="10">
        <f>_xlfn.XLOOKUP(tbl_MTG_Set[[#This Row],[Collector Booster Box Product Id]], tbl_Product[Product Id], tbl_Product[Min Cost])</f>
        <v/>
      </c>
      <c r="AV455" s="10">
        <f>_xlfn.XLOOKUP(tbl_MTG_Set[[#This Row],[Collector Booster Box Product Id]], tbl_Product[Product Id], tbl_Product[Best Source])</f>
        <v/>
      </c>
      <c r="AW455" s="4">
        <f>_xlfn.XLOOKUP(tbl_MTG_Set[[#This Row],[Collector Booster Box Product Id]], tbl_Product[Product Id], tbl_Product[Pack Size])</f>
        <v/>
      </c>
      <c r="AX455" s="10">
        <f>(tbl_MTG_Set[[#This Row],[Collector Booster Box Cost]] + v_Item_Shipping_Cost_In) / tbl_MTG_Set[[#This Row],[Collector Booster Box Size]]</f>
        <v/>
      </c>
      <c r="AY455" s="10">
        <f t="array" ref="AY4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5" s="10" t="n"/>
      <c r="BA4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5" s="17">
        <f>tbl_MTG_Set[[#This Row],[Collector Booster CardMarket Profit]]/tbl_MTG_Set[[#This Row],[Collector Booster Cost]]</f>
        <v/>
      </c>
      <c r="BC455" s="10" t="n"/>
      <c r="BF455" s="10">
        <f>tbl_MTG_Set[[#This Row],[Play Booster Sell Price CardMarket]]*tbl_MTG_Set[[#This Row],[Play Booster Expected Market Value]]/tbl_MTG_Set[[#This Row],[Play Boost Sealed Market Value]]</f>
        <v/>
      </c>
      <c r="BG4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5" s="10">
        <f>tbl_MTG_Set[[#This Row],[Play Singles CardMarket Profit]]/tbl_MTG_Set[[#This Row],[Play Booster Cost]]</f>
        <v/>
      </c>
      <c r="BI455" s="10">
        <f>tbl_MTG_Set[[#This Row],[Play Singles CardMarket Profit]]&gt;0</f>
        <v/>
      </c>
      <c r="BJ455" s="10" t="n"/>
      <c r="BK455" s="10" t="n"/>
      <c r="BL455" s="10">
        <f>tbl_MTG_Set[[#This Row],[Collector Booster Sell Price CardMarket]]*tbl_MTG_Set[[#This Row],[Collector Booster Expected Market Value]]/tbl_MTG_Set[[#This Row],[Collector Boost Sealed Market Value]]</f>
        <v/>
      </c>
      <c r="BM4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5" s="10">
        <f>tbl_MTG_Set[[#This Row],[Collector Singles CardMarket Profit]]/tbl_MTG_Set[[#This Row],[Collector Booster Cost]]</f>
        <v/>
      </c>
      <c r="BO455" s="10">
        <f>tbl_MTG_Set[[#This Row],[Collector Singles CardMarket Profit]]&gt;0</f>
        <v/>
      </c>
      <c r="BP4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6">
      <c r="A456" t="n">
        <v>454</v>
      </c>
      <c r="B456" t="inlineStr">
        <is>
          <t>Ultimate Box Topper PUMA</t>
        </is>
      </c>
      <c r="C456" t="n">
        <v>40</v>
      </c>
      <c r="D456" s="3" t="n">
        <v>43441</v>
      </c>
      <c r="F456" t="inlineStr">
        <is>
          <t>en es fr de it pt ja ko ru 汉语 漢語</t>
        </is>
      </c>
      <c r="G456" t="n">
        <v>854</v>
      </c>
      <c r="H456">
        <f>MONTH(NOW())+12*YEAR(NOW())-MONTH(tbl_MTG_Set[[#This Row],[Released On]])-12*YEAR(tbl_MTG_Set[[#This Row],[Released On]])</f>
        <v/>
      </c>
      <c r="I456">
        <f>_xlfn.XLOOKUP(tbl_MTG_Set[[#This Row],[Type Name]], tbl_MTG_Set_Type[Set Type], tbl_MTG_Set_Type[Index], "(Set Type not found)")</f>
        <v/>
      </c>
      <c r="J456">
        <f>_xlfn.XLOOKUP(tbl_MTG_Set[[#This Row],[Type Name]], tbl_MTG_Set_Type[Set Type], tbl_MTG_Set_Type[Buy Window Month Start], "(Set Type not found)")</f>
        <v/>
      </c>
      <c r="K456" s="3">
        <f>tbl_MTG_Set[[#This Row],[Released On]]+tbl_MTG_Set[[#This Row],[Buy Window Month Start]]*365.25/12</f>
        <v/>
      </c>
      <c r="L456">
        <f>_xlfn.XLOOKUP(tbl_MTG_Set[[#This Row],[Type Name]], tbl_MTG_Set_Type[Set Type], tbl_MTG_Set_Type[Buy Window Month End], "(Set Type not found)", 0, 1)</f>
        <v/>
      </c>
      <c r="M456" s="3">
        <f>tbl_MTG_Set[[#This Row],[Released On]]+tbl_MTG_Set[[#This Row],[Buy Window Month End]]*365.25/12</f>
        <v/>
      </c>
      <c r="N456" s="3">
        <f>AND(NOW()&gt;=tbl_MTG_Set[[#This Row],[Buy Window Start]], NOW()&lt;=tbl_MTG_Set[[#This Row],[Buy Window End]])</f>
        <v/>
      </c>
      <c r="O456">
        <f>_xlfn.XLOOKUP(tbl_MTG_Set[[#This Row],[Type Name]], tbl_MTG_Set_Type[Set Type], tbl_MTG_Set_Type[Heavy Printing Window Month Start], "(Set Type not found)", 0, 1)</f>
        <v/>
      </c>
      <c r="P456" s="3">
        <f>tbl_MTG_Set[[#This Row],[Released On]]+tbl_MTG_Set[[#This Row],[Heavy Printing Window Month Start]]*365.25/12</f>
        <v/>
      </c>
      <c r="Q456">
        <f>_xlfn.XLOOKUP(tbl_MTG_Set[[#This Row],[Type Name]], tbl_MTG_Set_Type[Set Type], tbl_MTG_Set_Type[Heavy Printing Window Month End], "(Set Type not found)", 0, 1)</f>
        <v/>
      </c>
      <c r="R456" s="3">
        <f>tbl_MTG_Set[[#This Row],[Released On]]+tbl_MTG_Set[[#This Row],[Heavy Printing Window Month End]]*365.25/12</f>
        <v/>
      </c>
      <c r="S456" s="3">
        <f>AND(NOW()&gt;=tbl_MTG_Set[[#This Row],[Heavy Printing Window Start]], NOW()&lt;=tbl_MTG_Set[[#This Row],[Heavy Printing Window End]])</f>
        <v/>
      </c>
      <c r="T456">
        <f>_xlfn.XLOOKUP(tbl_MTG_Set[[#This Row],[Type Name]], tbl_MTG_Set_Type[Set Type], tbl_MTG_Set_Type[Sell Window Month Start], "(Set Type not found)", 0, 1)</f>
        <v/>
      </c>
      <c r="U456" s="3">
        <f>tbl_MTG_Set[[#This Row],[Released On]]+tbl_MTG_Set[[#This Row],[Sell Window Month Start]]*365.25/12</f>
        <v/>
      </c>
      <c r="V456">
        <f>_xlfn.XLOOKUP(tbl_MTG_Set[[#This Row],[Type Name]], tbl_MTG_Set_Type[Set Type], tbl_MTG_Set_Type[Sell Window Month End], "(Set Type not found)", 0, 1)</f>
        <v/>
      </c>
      <c r="W456" s="3">
        <f>tbl_MTG_Set[[#This Row],[Released On]]+tbl_MTG_Set[[#This Row],[Sell Window Month End]]*365.25/12</f>
        <v/>
      </c>
      <c r="X456" s="3">
        <f>AND(NOW()&gt;=tbl_MTG_Set[[#This Row],[Sell Window Start]], NOW()&lt;=tbl_MTG_Set[[#This Row],[Sell Window End]])</f>
        <v/>
      </c>
      <c r="AG456" s="10" t="n"/>
      <c r="AH456" s="10" t="n"/>
      <c r="AM456" s="10">
        <f t="array" ref="AM4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6" s="10">
        <f t="array" ref="AN4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6" s="4">
        <f>_xlfn.XLOOKUP(tbl_MTG_Set[[#This Row],[Play Booster Box Product Id]], tbl_Product[Product Id], tbl_Product[Pack Size])</f>
        <v/>
      </c>
      <c r="AP456" s="10">
        <f>(tbl_MTG_Set[[#This Row],[Play Booster Box Cost]]+v_Item_Shipping_Cost_In)/tbl_MTG_Set[[#This Row],[Play Booster Box Size]]</f>
        <v/>
      </c>
      <c r="AQ456" s="10">
        <f t="array" ref="AQ4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6" s="10" t="n"/>
      <c r="AS456" s="10" t="n"/>
      <c r="AT456" s="17">
        <f>tbl_MTG_Set[[#This Row],[Play Booster CardMarket Profit]]/tbl_MTG_Set[[#This Row],[Play Booster Cost]]</f>
        <v/>
      </c>
      <c r="AU456" s="10">
        <f>_xlfn.XLOOKUP(tbl_MTG_Set[[#This Row],[Collector Booster Box Product Id]], tbl_Product[Product Id], tbl_Product[Min Cost])</f>
        <v/>
      </c>
      <c r="AV456" s="10">
        <f>_xlfn.XLOOKUP(tbl_MTG_Set[[#This Row],[Collector Booster Box Product Id]], tbl_Product[Product Id], tbl_Product[Best Source])</f>
        <v/>
      </c>
      <c r="AW456" s="4">
        <f>_xlfn.XLOOKUP(tbl_MTG_Set[[#This Row],[Collector Booster Box Product Id]], tbl_Product[Product Id], tbl_Product[Pack Size])</f>
        <v/>
      </c>
      <c r="AX456" s="10">
        <f>(tbl_MTG_Set[[#This Row],[Collector Booster Box Cost]] + v_Item_Shipping_Cost_In) / tbl_MTG_Set[[#This Row],[Collector Booster Box Size]]</f>
        <v/>
      </c>
      <c r="AY456" s="10">
        <f t="array" ref="AY4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6" s="10" t="n"/>
      <c r="BA4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6" s="17">
        <f>tbl_MTG_Set[[#This Row],[Collector Booster CardMarket Profit]]/tbl_MTG_Set[[#This Row],[Collector Booster Cost]]</f>
        <v/>
      </c>
      <c r="BC456" s="10" t="n"/>
      <c r="BF456" s="10">
        <f>tbl_MTG_Set[[#This Row],[Play Booster Sell Price CardMarket]]*tbl_MTG_Set[[#This Row],[Play Booster Expected Market Value]]/tbl_MTG_Set[[#This Row],[Play Boost Sealed Market Value]]</f>
        <v/>
      </c>
      <c r="BG4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6" s="10">
        <f>tbl_MTG_Set[[#This Row],[Play Singles CardMarket Profit]]/tbl_MTG_Set[[#This Row],[Play Booster Cost]]</f>
        <v/>
      </c>
      <c r="BI456" s="10">
        <f>tbl_MTG_Set[[#This Row],[Play Singles CardMarket Profit]]&gt;0</f>
        <v/>
      </c>
      <c r="BJ456" s="10" t="n"/>
      <c r="BK456" s="10" t="n"/>
      <c r="BL456" s="10">
        <f>tbl_MTG_Set[[#This Row],[Collector Booster Sell Price CardMarket]]*tbl_MTG_Set[[#This Row],[Collector Booster Expected Market Value]]/tbl_MTG_Set[[#This Row],[Collector Boost Sealed Market Value]]</f>
        <v/>
      </c>
      <c r="BM4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6" s="10">
        <f>tbl_MTG_Set[[#This Row],[Collector Singles CardMarket Profit]]/tbl_MTG_Set[[#This Row],[Collector Booster Cost]]</f>
        <v/>
      </c>
      <c r="BO456" s="10">
        <f>tbl_MTG_Set[[#This Row],[Collector Singles CardMarket Profit]]&gt;0</f>
        <v/>
      </c>
      <c r="BP4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7">
      <c r="A457" t="n">
        <v>455</v>
      </c>
      <c r="B457" t="inlineStr">
        <is>
          <t>Ultimate Masters Tokens TUMA</t>
        </is>
      </c>
      <c r="C457" t="n">
        <v>16</v>
      </c>
      <c r="D457" s="3" t="n">
        <v>43441</v>
      </c>
      <c r="F457" t="inlineStr">
        <is>
          <t>en es fr de it pt ja ko ru 汉语 漢語</t>
        </is>
      </c>
      <c r="G457" t="n">
        <v>856</v>
      </c>
      <c r="H457">
        <f>MONTH(NOW())+12*YEAR(NOW())-MONTH(tbl_MTG_Set[[#This Row],[Released On]])-12*YEAR(tbl_MTG_Set[[#This Row],[Released On]])</f>
        <v/>
      </c>
      <c r="I457">
        <f>_xlfn.XLOOKUP(tbl_MTG_Set[[#This Row],[Type Name]], tbl_MTG_Set_Type[Set Type], tbl_MTG_Set_Type[Index], "(Set Type not found)")</f>
        <v/>
      </c>
      <c r="J457">
        <f>_xlfn.XLOOKUP(tbl_MTG_Set[[#This Row],[Type Name]], tbl_MTG_Set_Type[Set Type], tbl_MTG_Set_Type[Buy Window Month Start], "(Set Type not found)")</f>
        <v/>
      </c>
      <c r="K457" s="3">
        <f>tbl_MTG_Set[[#This Row],[Released On]]+tbl_MTG_Set[[#This Row],[Buy Window Month Start]]*365.25/12</f>
        <v/>
      </c>
      <c r="L457">
        <f>_xlfn.XLOOKUP(tbl_MTG_Set[[#This Row],[Type Name]], tbl_MTG_Set_Type[Set Type], tbl_MTG_Set_Type[Buy Window Month End], "(Set Type not found)", 0, 1)</f>
        <v/>
      </c>
      <c r="M457" s="3">
        <f>tbl_MTG_Set[[#This Row],[Released On]]+tbl_MTG_Set[[#This Row],[Buy Window Month End]]*365.25/12</f>
        <v/>
      </c>
      <c r="N457" s="3">
        <f>AND(NOW()&gt;=tbl_MTG_Set[[#This Row],[Buy Window Start]], NOW()&lt;=tbl_MTG_Set[[#This Row],[Buy Window End]])</f>
        <v/>
      </c>
      <c r="O457">
        <f>_xlfn.XLOOKUP(tbl_MTG_Set[[#This Row],[Type Name]], tbl_MTG_Set_Type[Set Type], tbl_MTG_Set_Type[Heavy Printing Window Month Start], "(Set Type not found)", 0, 1)</f>
        <v/>
      </c>
      <c r="P457" s="3">
        <f>tbl_MTG_Set[[#This Row],[Released On]]+tbl_MTG_Set[[#This Row],[Heavy Printing Window Month Start]]*365.25/12</f>
        <v/>
      </c>
      <c r="Q457">
        <f>_xlfn.XLOOKUP(tbl_MTG_Set[[#This Row],[Type Name]], tbl_MTG_Set_Type[Set Type], tbl_MTG_Set_Type[Heavy Printing Window Month End], "(Set Type not found)", 0, 1)</f>
        <v/>
      </c>
      <c r="R457" s="3">
        <f>tbl_MTG_Set[[#This Row],[Released On]]+tbl_MTG_Set[[#This Row],[Heavy Printing Window Month End]]*365.25/12</f>
        <v/>
      </c>
      <c r="S457" s="3">
        <f>AND(NOW()&gt;=tbl_MTG_Set[[#This Row],[Heavy Printing Window Start]], NOW()&lt;=tbl_MTG_Set[[#This Row],[Heavy Printing Window End]])</f>
        <v/>
      </c>
      <c r="T457">
        <f>_xlfn.XLOOKUP(tbl_MTG_Set[[#This Row],[Type Name]], tbl_MTG_Set_Type[Set Type], tbl_MTG_Set_Type[Sell Window Month Start], "(Set Type not found)", 0, 1)</f>
        <v/>
      </c>
      <c r="U457" s="3">
        <f>tbl_MTG_Set[[#This Row],[Released On]]+tbl_MTG_Set[[#This Row],[Sell Window Month Start]]*365.25/12</f>
        <v/>
      </c>
      <c r="V457">
        <f>_xlfn.XLOOKUP(tbl_MTG_Set[[#This Row],[Type Name]], tbl_MTG_Set_Type[Set Type], tbl_MTG_Set_Type[Sell Window Month End], "(Set Type not found)", 0, 1)</f>
        <v/>
      </c>
      <c r="W457" s="3">
        <f>tbl_MTG_Set[[#This Row],[Released On]]+tbl_MTG_Set[[#This Row],[Sell Window Month End]]*365.25/12</f>
        <v/>
      </c>
      <c r="X457" s="3">
        <f>AND(NOW()&gt;=tbl_MTG_Set[[#This Row],[Sell Window Start]], NOW()&lt;=tbl_MTG_Set[[#This Row],[Sell Window End]])</f>
        <v/>
      </c>
      <c r="AG457" s="10" t="n"/>
      <c r="AH457" s="10" t="n"/>
      <c r="AM457" s="10">
        <f t="array" ref="AM4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7" s="10">
        <f t="array" ref="AN4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7" s="4">
        <f>_xlfn.XLOOKUP(tbl_MTG_Set[[#This Row],[Play Booster Box Product Id]], tbl_Product[Product Id], tbl_Product[Pack Size])</f>
        <v/>
      </c>
      <c r="AP457" s="10">
        <f>(tbl_MTG_Set[[#This Row],[Play Booster Box Cost]]+v_Item_Shipping_Cost_In)/tbl_MTG_Set[[#This Row],[Play Booster Box Size]]</f>
        <v/>
      </c>
      <c r="AQ457" s="10">
        <f t="array" ref="AQ4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7" s="10" t="n"/>
      <c r="AS457" s="10" t="n"/>
      <c r="AT457" s="17">
        <f>tbl_MTG_Set[[#This Row],[Play Booster CardMarket Profit]]/tbl_MTG_Set[[#This Row],[Play Booster Cost]]</f>
        <v/>
      </c>
      <c r="AU457" s="10">
        <f>_xlfn.XLOOKUP(tbl_MTG_Set[[#This Row],[Collector Booster Box Product Id]], tbl_Product[Product Id], tbl_Product[Min Cost])</f>
        <v/>
      </c>
      <c r="AV457" s="10">
        <f>_xlfn.XLOOKUP(tbl_MTG_Set[[#This Row],[Collector Booster Box Product Id]], tbl_Product[Product Id], tbl_Product[Best Source])</f>
        <v/>
      </c>
      <c r="AW457" s="4">
        <f>_xlfn.XLOOKUP(tbl_MTG_Set[[#This Row],[Collector Booster Box Product Id]], tbl_Product[Product Id], tbl_Product[Pack Size])</f>
        <v/>
      </c>
      <c r="AX457" s="10">
        <f>(tbl_MTG_Set[[#This Row],[Collector Booster Box Cost]] + v_Item_Shipping_Cost_In) / tbl_MTG_Set[[#This Row],[Collector Booster Box Size]]</f>
        <v/>
      </c>
      <c r="AY457" s="10">
        <f t="array" ref="AY4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7" s="10" t="n"/>
      <c r="BA4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7" s="17">
        <f>tbl_MTG_Set[[#This Row],[Collector Booster CardMarket Profit]]/tbl_MTG_Set[[#This Row],[Collector Booster Cost]]</f>
        <v/>
      </c>
      <c r="BC457" s="10" t="n"/>
      <c r="BF457" s="10">
        <f>tbl_MTG_Set[[#This Row],[Play Booster Sell Price CardMarket]]*tbl_MTG_Set[[#This Row],[Play Booster Expected Market Value]]/tbl_MTG_Set[[#This Row],[Play Boost Sealed Market Value]]</f>
        <v/>
      </c>
      <c r="BG4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7" s="10">
        <f>tbl_MTG_Set[[#This Row],[Play Singles CardMarket Profit]]/tbl_MTG_Set[[#This Row],[Play Booster Cost]]</f>
        <v/>
      </c>
      <c r="BI457" s="10">
        <f>tbl_MTG_Set[[#This Row],[Play Singles CardMarket Profit]]&gt;0</f>
        <v/>
      </c>
      <c r="BJ457" s="10" t="n"/>
      <c r="BK457" s="10" t="n"/>
      <c r="BL457" s="10">
        <f>tbl_MTG_Set[[#This Row],[Collector Booster Sell Price CardMarket]]*tbl_MTG_Set[[#This Row],[Collector Booster Expected Market Value]]/tbl_MTG_Set[[#This Row],[Collector Boost Sealed Market Value]]</f>
        <v/>
      </c>
      <c r="BM4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7" s="10">
        <f>tbl_MTG_Set[[#This Row],[Collector Singles CardMarket Profit]]/tbl_MTG_Set[[#This Row],[Collector Booster Cost]]</f>
        <v/>
      </c>
      <c r="BO457" s="10">
        <f>tbl_MTG_Set[[#This Row],[Collector Singles CardMarket Profit]]&gt;0</f>
        <v/>
      </c>
      <c r="BP4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8">
      <c r="A458" t="n">
        <v>456</v>
      </c>
      <c r="B458" t="inlineStr">
        <is>
          <t>Game Night GNT</t>
        </is>
      </c>
      <c r="C458" t="n">
        <v>68</v>
      </c>
      <c r="D458" s="3" t="n">
        <v>43420</v>
      </c>
      <c r="F458" t="inlineStr">
        <is>
          <t>en es fr de it pt ja ko ru 汉语 漢語</t>
        </is>
      </c>
      <c r="G458" t="n">
        <v>858</v>
      </c>
      <c r="H458">
        <f>MONTH(NOW())+12*YEAR(NOW())-MONTH(tbl_MTG_Set[[#This Row],[Released On]])-12*YEAR(tbl_MTG_Set[[#This Row],[Released On]])</f>
        <v/>
      </c>
      <c r="I458">
        <f>_xlfn.XLOOKUP(tbl_MTG_Set[[#This Row],[Type Name]], tbl_MTG_Set_Type[Set Type], tbl_MTG_Set_Type[Index], "(Set Type not found)")</f>
        <v/>
      </c>
      <c r="J458">
        <f>_xlfn.XLOOKUP(tbl_MTG_Set[[#This Row],[Type Name]], tbl_MTG_Set_Type[Set Type], tbl_MTG_Set_Type[Buy Window Month Start], "(Set Type not found)")</f>
        <v/>
      </c>
      <c r="K458" s="3">
        <f>tbl_MTG_Set[[#This Row],[Released On]]+tbl_MTG_Set[[#This Row],[Buy Window Month Start]]*365.25/12</f>
        <v/>
      </c>
      <c r="L458">
        <f>_xlfn.XLOOKUP(tbl_MTG_Set[[#This Row],[Type Name]], tbl_MTG_Set_Type[Set Type], tbl_MTG_Set_Type[Buy Window Month End], "(Set Type not found)", 0, 1)</f>
        <v/>
      </c>
      <c r="M458" s="3">
        <f>tbl_MTG_Set[[#This Row],[Released On]]+tbl_MTG_Set[[#This Row],[Buy Window Month End]]*365.25/12</f>
        <v/>
      </c>
      <c r="N458" s="3">
        <f>AND(NOW()&gt;=tbl_MTG_Set[[#This Row],[Buy Window Start]], NOW()&lt;=tbl_MTG_Set[[#This Row],[Buy Window End]])</f>
        <v/>
      </c>
      <c r="O458">
        <f>_xlfn.XLOOKUP(tbl_MTG_Set[[#This Row],[Type Name]], tbl_MTG_Set_Type[Set Type], tbl_MTG_Set_Type[Heavy Printing Window Month Start], "(Set Type not found)", 0, 1)</f>
        <v/>
      </c>
      <c r="P458" s="3">
        <f>tbl_MTG_Set[[#This Row],[Released On]]+tbl_MTG_Set[[#This Row],[Heavy Printing Window Month Start]]*365.25/12</f>
        <v/>
      </c>
      <c r="Q458">
        <f>_xlfn.XLOOKUP(tbl_MTG_Set[[#This Row],[Type Name]], tbl_MTG_Set_Type[Set Type], tbl_MTG_Set_Type[Heavy Printing Window Month End], "(Set Type not found)", 0, 1)</f>
        <v/>
      </c>
      <c r="R458" s="3">
        <f>tbl_MTG_Set[[#This Row],[Released On]]+tbl_MTG_Set[[#This Row],[Heavy Printing Window Month End]]*365.25/12</f>
        <v/>
      </c>
      <c r="S458" s="3">
        <f>AND(NOW()&gt;=tbl_MTG_Set[[#This Row],[Heavy Printing Window Start]], NOW()&lt;=tbl_MTG_Set[[#This Row],[Heavy Printing Window End]])</f>
        <v/>
      </c>
      <c r="T458">
        <f>_xlfn.XLOOKUP(tbl_MTG_Set[[#This Row],[Type Name]], tbl_MTG_Set_Type[Set Type], tbl_MTG_Set_Type[Sell Window Month Start], "(Set Type not found)", 0, 1)</f>
        <v/>
      </c>
      <c r="U458" s="3">
        <f>tbl_MTG_Set[[#This Row],[Released On]]+tbl_MTG_Set[[#This Row],[Sell Window Month Start]]*365.25/12</f>
        <v/>
      </c>
      <c r="V458">
        <f>_xlfn.XLOOKUP(tbl_MTG_Set[[#This Row],[Type Name]], tbl_MTG_Set_Type[Set Type], tbl_MTG_Set_Type[Sell Window Month End], "(Set Type not found)", 0, 1)</f>
        <v/>
      </c>
      <c r="W458" s="3">
        <f>tbl_MTG_Set[[#This Row],[Released On]]+tbl_MTG_Set[[#This Row],[Sell Window Month End]]*365.25/12</f>
        <v/>
      </c>
      <c r="X458" s="3">
        <f>AND(NOW()&gt;=tbl_MTG_Set[[#This Row],[Sell Window Start]], NOW()&lt;=tbl_MTG_Set[[#This Row],[Sell Window End]])</f>
        <v/>
      </c>
      <c r="AG458" s="10" t="n"/>
      <c r="AH458" s="10" t="n"/>
      <c r="AM458" s="10">
        <f t="array" ref="AM4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8" s="10">
        <f t="array" ref="AN4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8" s="4">
        <f>_xlfn.XLOOKUP(tbl_MTG_Set[[#This Row],[Play Booster Box Product Id]], tbl_Product[Product Id], tbl_Product[Pack Size])</f>
        <v/>
      </c>
      <c r="AP458" s="10">
        <f>(tbl_MTG_Set[[#This Row],[Play Booster Box Cost]]+v_Item_Shipping_Cost_In)/tbl_MTG_Set[[#This Row],[Play Booster Box Size]]</f>
        <v/>
      </c>
      <c r="AQ458" s="10">
        <f t="array" ref="AQ4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8" s="10" t="n"/>
      <c r="AS458" s="10" t="n"/>
      <c r="AT458" s="17">
        <f>tbl_MTG_Set[[#This Row],[Play Booster CardMarket Profit]]/tbl_MTG_Set[[#This Row],[Play Booster Cost]]</f>
        <v/>
      </c>
      <c r="AU458" s="10">
        <f>_xlfn.XLOOKUP(tbl_MTG_Set[[#This Row],[Collector Booster Box Product Id]], tbl_Product[Product Id], tbl_Product[Min Cost])</f>
        <v/>
      </c>
      <c r="AV458" s="10">
        <f>_xlfn.XLOOKUP(tbl_MTG_Set[[#This Row],[Collector Booster Box Product Id]], tbl_Product[Product Id], tbl_Product[Best Source])</f>
        <v/>
      </c>
      <c r="AW458" s="4">
        <f>_xlfn.XLOOKUP(tbl_MTG_Set[[#This Row],[Collector Booster Box Product Id]], tbl_Product[Product Id], tbl_Product[Pack Size])</f>
        <v/>
      </c>
      <c r="AX458" s="10">
        <f>(tbl_MTG_Set[[#This Row],[Collector Booster Box Cost]] + v_Item_Shipping_Cost_In) / tbl_MTG_Set[[#This Row],[Collector Booster Box Size]]</f>
        <v/>
      </c>
      <c r="AY458" s="10">
        <f t="array" ref="AY4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8" s="10" t="n"/>
      <c r="BA4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8" s="17">
        <f>tbl_MTG_Set[[#This Row],[Collector Booster CardMarket Profit]]/tbl_MTG_Set[[#This Row],[Collector Booster Cost]]</f>
        <v/>
      </c>
      <c r="BC458" s="10" t="n"/>
      <c r="BF458" s="10">
        <f>tbl_MTG_Set[[#This Row],[Play Booster Sell Price CardMarket]]*tbl_MTG_Set[[#This Row],[Play Booster Expected Market Value]]/tbl_MTG_Set[[#This Row],[Play Boost Sealed Market Value]]</f>
        <v/>
      </c>
      <c r="BG4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8" s="10">
        <f>tbl_MTG_Set[[#This Row],[Play Singles CardMarket Profit]]/tbl_MTG_Set[[#This Row],[Play Booster Cost]]</f>
        <v/>
      </c>
      <c r="BI458" s="10">
        <f>tbl_MTG_Set[[#This Row],[Play Singles CardMarket Profit]]&gt;0</f>
        <v/>
      </c>
      <c r="BJ458" s="10" t="n"/>
      <c r="BK458" s="10" t="n"/>
      <c r="BL458" s="10">
        <f>tbl_MTG_Set[[#This Row],[Collector Booster Sell Price CardMarket]]*tbl_MTG_Set[[#This Row],[Collector Booster Expected Market Value]]/tbl_MTG_Set[[#This Row],[Collector Boost Sealed Market Value]]</f>
        <v/>
      </c>
      <c r="BM4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8" s="10">
        <f>tbl_MTG_Set[[#This Row],[Collector Singles CardMarket Profit]]/tbl_MTG_Set[[#This Row],[Collector Booster Cost]]</f>
        <v/>
      </c>
      <c r="BO458" s="10">
        <f>tbl_MTG_Set[[#This Row],[Collector Singles CardMarket Profit]]&gt;0</f>
        <v/>
      </c>
      <c r="BP4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9">
      <c r="A459" t="n">
        <v>457</v>
      </c>
      <c r="B459" t="inlineStr">
        <is>
          <t>GRN Guild Kit GK1</t>
        </is>
      </c>
      <c r="C459" t="n">
        <v>127</v>
      </c>
      <c r="D459" s="3" t="n">
        <v>43406</v>
      </c>
      <c r="F459" t="inlineStr">
        <is>
          <t>en es fr de it pt ja ko ru 汉语 漢語</t>
        </is>
      </c>
      <c r="G459" t="n">
        <v>860</v>
      </c>
      <c r="H459">
        <f>MONTH(NOW())+12*YEAR(NOW())-MONTH(tbl_MTG_Set[[#This Row],[Released On]])-12*YEAR(tbl_MTG_Set[[#This Row],[Released On]])</f>
        <v/>
      </c>
      <c r="I459">
        <f>_xlfn.XLOOKUP(tbl_MTG_Set[[#This Row],[Type Name]], tbl_MTG_Set_Type[Set Type], tbl_MTG_Set_Type[Index], "(Set Type not found)")</f>
        <v/>
      </c>
      <c r="J459">
        <f>_xlfn.XLOOKUP(tbl_MTG_Set[[#This Row],[Type Name]], tbl_MTG_Set_Type[Set Type], tbl_MTG_Set_Type[Buy Window Month Start], "(Set Type not found)")</f>
        <v/>
      </c>
      <c r="K459" s="3">
        <f>tbl_MTG_Set[[#This Row],[Released On]]+tbl_MTG_Set[[#This Row],[Buy Window Month Start]]*365.25/12</f>
        <v/>
      </c>
      <c r="L459">
        <f>_xlfn.XLOOKUP(tbl_MTG_Set[[#This Row],[Type Name]], tbl_MTG_Set_Type[Set Type], tbl_MTG_Set_Type[Buy Window Month End], "(Set Type not found)", 0, 1)</f>
        <v/>
      </c>
      <c r="M459" s="3">
        <f>tbl_MTG_Set[[#This Row],[Released On]]+tbl_MTG_Set[[#This Row],[Buy Window Month End]]*365.25/12</f>
        <v/>
      </c>
      <c r="N459" s="3">
        <f>AND(NOW()&gt;=tbl_MTG_Set[[#This Row],[Buy Window Start]], NOW()&lt;=tbl_MTG_Set[[#This Row],[Buy Window End]])</f>
        <v/>
      </c>
      <c r="O459">
        <f>_xlfn.XLOOKUP(tbl_MTG_Set[[#This Row],[Type Name]], tbl_MTG_Set_Type[Set Type], tbl_MTG_Set_Type[Heavy Printing Window Month Start], "(Set Type not found)", 0, 1)</f>
        <v/>
      </c>
      <c r="P459" s="3">
        <f>tbl_MTG_Set[[#This Row],[Released On]]+tbl_MTG_Set[[#This Row],[Heavy Printing Window Month Start]]*365.25/12</f>
        <v/>
      </c>
      <c r="Q459">
        <f>_xlfn.XLOOKUP(tbl_MTG_Set[[#This Row],[Type Name]], tbl_MTG_Set_Type[Set Type], tbl_MTG_Set_Type[Heavy Printing Window Month End], "(Set Type not found)", 0, 1)</f>
        <v/>
      </c>
      <c r="R459" s="3">
        <f>tbl_MTG_Set[[#This Row],[Released On]]+tbl_MTG_Set[[#This Row],[Heavy Printing Window Month End]]*365.25/12</f>
        <v/>
      </c>
      <c r="S459" s="3">
        <f>AND(NOW()&gt;=tbl_MTG_Set[[#This Row],[Heavy Printing Window Start]], NOW()&lt;=tbl_MTG_Set[[#This Row],[Heavy Printing Window End]])</f>
        <v/>
      </c>
      <c r="T459">
        <f>_xlfn.XLOOKUP(tbl_MTG_Set[[#This Row],[Type Name]], tbl_MTG_Set_Type[Set Type], tbl_MTG_Set_Type[Sell Window Month Start], "(Set Type not found)", 0, 1)</f>
        <v/>
      </c>
      <c r="U459" s="3">
        <f>tbl_MTG_Set[[#This Row],[Released On]]+tbl_MTG_Set[[#This Row],[Sell Window Month Start]]*365.25/12</f>
        <v/>
      </c>
      <c r="V459">
        <f>_xlfn.XLOOKUP(tbl_MTG_Set[[#This Row],[Type Name]], tbl_MTG_Set_Type[Set Type], tbl_MTG_Set_Type[Sell Window Month End], "(Set Type not found)", 0, 1)</f>
        <v/>
      </c>
      <c r="W459" s="3">
        <f>tbl_MTG_Set[[#This Row],[Released On]]+tbl_MTG_Set[[#This Row],[Sell Window Month End]]*365.25/12</f>
        <v/>
      </c>
      <c r="X459" s="3">
        <f>AND(NOW()&gt;=tbl_MTG_Set[[#This Row],[Sell Window Start]], NOW()&lt;=tbl_MTG_Set[[#This Row],[Sell Window End]])</f>
        <v/>
      </c>
      <c r="AG459" s="10" t="n"/>
      <c r="AH459" s="10" t="n"/>
      <c r="AM459" s="10">
        <f t="array" ref="AM4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9" s="10">
        <f t="array" ref="AN4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9" s="4">
        <f>_xlfn.XLOOKUP(tbl_MTG_Set[[#This Row],[Play Booster Box Product Id]], tbl_Product[Product Id], tbl_Product[Pack Size])</f>
        <v/>
      </c>
      <c r="AP459" s="10">
        <f>(tbl_MTG_Set[[#This Row],[Play Booster Box Cost]]+v_Item_Shipping_Cost_In)/tbl_MTG_Set[[#This Row],[Play Booster Box Size]]</f>
        <v/>
      </c>
      <c r="AQ459" s="10">
        <f t="array" ref="AQ4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59" s="10" t="n"/>
      <c r="AS459" s="10" t="n"/>
      <c r="AT459" s="17">
        <f>tbl_MTG_Set[[#This Row],[Play Booster CardMarket Profit]]/tbl_MTG_Set[[#This Row],[Play Booster Cost]]</f>
        <v/>
      </c>
      <c r="AU459" s="10">
        <f>_xlfn.XLOOKUP(tbl_MTG_Set[[#This Row],[Collector Booster Box Product Id]], tbl_Product[Product Id], tbl_Product[Min Cost])</f>
        <v/>
      </c>
      <c r="AV459" s="10">
        <f>_xlfn.XLOOKUP(tbl_MTG_Set[[#This Row],[Collector Booster Box Product Id]], tbl_Product[Product Id], tbl_Product[Best Source])</f>
        <v/>
      </c>
      <c r="AW459" s="4">
        <f>_xlfn.XLOOKUP(tbl_MTG_Set[[#This Row],[Collector Booster Box Product Id]], tbl_Product[Product Id], tbl_Product[Pack Size])</f>
        <v/>
      </c>
      <c r="AX459" s="10">
        <f>(tbl_MTG_Set[[#This Row],[Collector Booster Box Cost]] + v_Item_Shipping_Cost_In) / tbl_MTG_Set[[#This Row],[Collector Booster Box Size]]</f>
        <v/>
      </c>
      <c r="AY459" s="10">
        <f t="array" ref="AY4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59" s="10" t="n"/>
      <c r="BA4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9" s="17">
        <f>tbl_MTG_Set[[#This Row],[Collector Booster CardMarket Profit]]/tbl_MTG_Set[[#This Row],[Collector Booster Cost]]</f>
        <v/>
      </c>
      <c r="BC459" s="10" t="n"/>
      <c r="BF459" s="10">
        <f>tbl_MTG_Set[[#This Row],[Play Booster Sell Price CardMarket]]*tbl_MTG_Set[[#This Row],[Play Booster Expected Market Value]]/tbl_MTG_Set[[#This Row],[Play Boost Sealed Market Value]]</f>
        <v/>
      </c>
      <c r="BG4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9" s="10">
        <f>tbl_MTG_Set[[#This Row],[Play Singles CardMarket Profit]]/tbl_MTG_Set[[#This Row],[Play Booster Cost]]</f>
        <v/>
      </c>
      <c r="BI459" s="10">
        <f>tbl_MTG_Set[[#This Row],[Play Singles CardMarket Profit]]&gt;0</f>
        <v/>
      </c>
      <c r="BJ459" s="10" t="n"/>
      <c r="BK459" s="10" t="n"/>
      <c r="BL459" s="10">
        <f>tbl_MTG_Set[[#This Row],[Collector Booster Sell Price CardMarket]]*tbl_MTG_Set[[#This Row],[Collector Booster Expected Market Value]]/tbl_MTG_Set[[#This Row],[Collector Boost Sealed Market Value]]</f>
        <v/>
      </c>
      <c r="BM4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9" s="10">
        <f>tbl_MTG_Set[[#This Row],[Collector Singles CardMarket Profit]]/tbl_MTG_Set[[#This Row],[Collector Booster Cost]]</f>
        <v/>
      </c>
      <c r="BO459" s="10">
        <f>tbl_MTG_Set[[#This Row],[Collector Singles CardMarket Profit]]&gt;0</f>
        <v/>
      </c>
      <c r="BP4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0">
      <c r="A460" t="n">
        <v>458</v>
      </c>
      <c r="B460" t="inlineStr">
        <is>
          <t>GRN Guild Kit Tokens TGK1</t>
        </is>
      </c>
      <c r="C460" t="n">
        <v>10</v>
      </c>
      <c r="D460" s="3" t="n">
        <v>43406</v>
      </c>
      <c r="F460" t="inlineStr">
        <is>
          <t>en es fr de it pt ja ko ru 汉语 漢語</t>
        </is>
      </c>
      <c r="G460" t="n">
        <v>862</v>
      </c>
      <c r="H460">
        <f>MONTH(NOW())+12*YEAR(NOW())-MONTH(tbl_MTG_Set[[#This Row],[Released On]])-12*YEAR(tbl_MTG_Set[[#This Row],[Released On]])</f>
        <v/>
      </c>
      <c r="I460">
        <f>_xlfn.XLOOKUP(tbl_MTG_Set[[#This Row],[Type Name]], tbl_MTG_Set_Type[Set Type], tbl_MTG_Set_Type[Index], "(Set Type not found)")</f>
        <v/>
      </c>
      <c r="J460">
        <f>_xlfn.XLOOKUP(tbl_MTG_Set[[#This Row],[Type Name]], tbl_MTG_Set_Type[Set Type], tbl_MTG_Set_Type[Buy Window Month Start], "(Set Type not found)")</f>
        <v/>
      </c>
      <c r="K460" s="3">
        <f>tbl_MTG_Set[[#This Row],[Released On]]+tbl_MTG_Set[[#This Row],[Buy Window Month Start]]*365.25/12</f>
        <v/>
      </c>
      <c r="L460">
        <f>_xlfn.XLOOKUP(tbl_MTG_Set[[#This Row],[Type Name]], tbl_MTG_Set_Type[Set Type], tbl_MTG_Set_Type[Buy Window Month End], "(Set Type not found)", 0, 1)</f>
        <v/>
      </c>
      <c r="M460" s="3">
        <f>tbl_MTG_Set[[#This Row],[Released On]]+tbl_MTG_Set[[#This Row],[Buy Window Month End]]*365.25/12</f>
        <v/>
      </c>
      <c r="N460" s="3">
        <f>AND(NOW()&gt;=tbl_MTG_Set[[#This Row],[Buy Window Start]], NOW()&lt;=tbl_MTG_Set[[#This Row],[Buy Window End]])</f>
        <v/>
      </c>
      <c r="O460">
        <f>_xlfn.XLOOKUP(tbl_MTG_Set[[#This Row],[Type Name]], tbl_MTG_Set_Type[Set Type], tbl_MTG_Set_Type[Heavy Printing Window Month Start], "(Set Type not found)", 0, 1)</f>
        <v/>
      </c>
      <c r="P460" s="3">
        <f>tbl_MTG_Set[[#This Row],[Released On]]+tbl_MTG_Set[[#This Row],[Heavy Printing Window Month Start]]*365.25/12</f>
        <v/>
      </c>
      <c r="Q460">
        <f>_xlfn.XLOOKUP(tbl_MTG_Set[[#This Row],[Type Name]], tbl_MTG_Set_Type[Set Type], tbl_MTG_Set_Type[Heavy Printing Window Month End], "(Set Type not found)", 0, 1)</f>
        <v/>
      </c>
      <c r="R460" s="3">
        <f>tbl_MTG_Set[[#This Row],[Released On]]+tbl_MTG_Set[[#This Row],[Heavy Printing Window Month End]]*365.25/12</f>
        <v/>
      </c>
      <c r="S460" s="3">
        <f>AND(NOW()&gt;=tbl_MTG_Set[[#This Row],[Heavy Printing Window Start]], NOW()&lt;=tbl_MTG_Set[[#This Row],[Heavy Printing Window End]])</f>
        <v/>
      </c>
      <c r="T460">
        <f>_xlfn.XLOOKUP(tbl_MTG_Set[[#This Row],[Type Name]], tbl_MTG_Set_Type[Set Type], tbl_MTG_Set_Type[Sell Window Month Start], "(Set Type not found)", 0, 1)</f>
        <v/>
      </c>
      <c r="U460" s="3">
        <f>tbl_MTG_Set[[#This Row],[Released On]]+tbl_MTG_Set[[#This Row],[Sell Window Month Start]]*365.25/12</f>
        <v/>
      </c>
      <c r="V460">
        <f>_xlfn.XLOOKUP(tbl_MTG_Set[[#This Row],[Type Name]], tbl_MTG_Set_Type[Set Type], tbl_MTG_Set_Type[Sell Window Month End], "(Set Type not found)", 0, 1)</f>
        <v/>
      </c>
      <c r="W460" s="3">
        <f>tbl_MTG_Set[[#This Row],[Released On]]+tbl_MTG_Set[[#This Row],[Sell Window Month End]]*365.25/12</f>
        <v/>
      </c>
      <c r="X460" s="3">
        <f>AND(NOW()&gt;=tbl_MTG_Set[[#This Row],[Sell Window Start]], NOW()&lt;=tbl_MTG_Set[[#This Row],[Sell Window End]])</f>
        <v/>
      </c>
      <c r="AG460" s="10" t="n"/>
      <c r="AH460" s="10" t="n"/>
      <c r="AM460" s="10">
        <f t="array" ref="AM4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0" s="10">
        <f t="array" ref="AN4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0" s="4">
        <f>_xlfn.XLOOKUP(tbl_MTG_Set[[#This Row],[Play Booster Box Product Id]], tbl_Product[Product Id], tbl_Product[Pack Size])</f>
        <v/>
      </c>
      <c r="AP460" s="10">
        <f>(tbl_MTG_Set[[#This Row],[Play Booster Box Cost]]+v_Item_Shipping_Cost_In)/tbl_MTG_Set[[#This Row],[Play Booster Box Size]]</f>
        <v/>
      </c>
      <c r="AQ460" s="10">
        <f t="array" ref="AQ4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0" s="10" t="n"/>
      <c r="AS460" s="10" t="n"/>
      <c r="AT460" s="17">
        <f>tbl_MTG_Set[[#This Row],[Play Booster CardMarket Profit]]/tbl_MTG_Set[[#This Row],[Play Booster Cost]]</f>
        <v/>
      </c>
      <c r="AU460" s="10">
        <f>_xlfn.XLOOKUP(tbl_MTG_Set[[#This Row],[Collector Booster Box Product Id]], tbl_Product[Product Id], tbl_Product[Min Cost])</f>
        <v/>
      </c>
      <c r="AV460" s="10">
        <f>_xlfn.XLOOKUP(tbl_MTG_Set[[#This Row],[Collector Booster Box Product Id]], tbl_Product[Product Id], tbl_Product[Best Source])</f>
        <v/>
      </c>
      <c r="AW460" s="4">
        <f>_xlfn.XLOOKUP(tbl_MTG_Set[[#This Row],[Collector Booster Box Product Id]], tbl_Product[Product Id], tbl_Product[Pack Size])</f>
        <v/>
      </c>
      <c r="AX460" s="10">
        <f>(tbl_MTG_Set[[#This Row],[Collector Booster Box Cost]] + v_Item_Shipping_Cost_In) / tbl_MTG_Set[[#This Row],[Collector Booster Box Size]]</f>
        <v/>
      </c>
      <c r="AY460" s="10">
        <f t="array" ref="AY4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0" s="10" t="n"/>
      <c r="BA4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0" s="17">
        <f>tbl_MTG_Set[[#This Row],[Collector Booster CardMarket Profit]]/tbl_MTG_Set[[#This Row],[Collector Booster Cost]]</f>
        <v/>
      </c>
      <c r="BC460" s="10" t="n"/>
      <c r="BF460" s="10">
        <f>tbl_MTG_Set[[#This Row],[Play Booster Sell Price CardMarket]]*tbl_MTG_Set[[#This Row],[Play Booster Expected Market Value]]/tbl_MTG_Set[[#This Row],[Play Boost Sealed Market Value]]</f>
        <v/>
      </c>
      <c r="BG4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0" s="10">
        <f>tbl_MTG_Set[[#This Row],[Play Singles CardMarket Profit]]/tbl_MTG_Set[[#This Row],[Play Booster Cost]]</f>
        <v/>
      </c>
      <c r="BI460" s="10">
        <f>tbl_MTG_Set[[#This Row],[Play Singles CardMarket Profit]]&gt;0</f>
        <v/>
      </c>
      <c r="BJ460" s="10" t="n"/>
      <c r="BK460" s="10" t="n"/>
      <c r="BL460" s="10">
        <f>tbl_MTG_Set[[#This Row],[Collector Booster Sell Price CardMarket]]*tbl_MTG_Set[[#This Row],[Collector Booster Expected Market Value]]/tbl_MTG_Set[[#This Row],[Collector Boost Sealed Market Value]]</f>
        <v/>
      </c>
      <c r="BM4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0" s="10">
        <f>tbl_MTG_Set[[#This Row],[Collector Singles CardMarket Profit]]/tbl_MTG_Set[[#This Row],[Collector Booster Cost]]</f>
        <v/>
      </c>
      <c r="BO460" s="10">
        <f>tbl_MTG_Set[[#This Row],[Collector Singles CardMarket Profit]]&gt;0</f>
        <v/>
      </c>
      <c r="BP4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1">
      <c r="A461" t="n">
        <v>459</v>
      </c>
      <c r="B461" t="inlineStr">
        <is>
          <t>Guilds of Ravnica GRN</t>
        </is>
      </c>
      <c r="C461" t="n">
        <v>273</v>
      </c>
      <c r="D461" s="3" t="n">
        <v>43378</v>
      </c>
      <c r="F461" t="inlineStr">
        <is>
          <t>en es fr de it pt ja ko ru 汉语 漢語</t>
        </is>
      </c>
      <c r="G461" t="n">
        <v>864</v>
      </c>
      <c r="H461">
        <f>MONTH(NOW())+12*YEAR(NOW())-MONTH(tbl_MTG_Set[[#This Row],[Released On]])-12*YEAR(tbl_MTG_Set[[#This Row],[Released On]])</f>
        <v/>
      </c>
      <c r="I461">
        <f>_xlfn.XLOOKUP(tbl_MTG_Set[[#This Row],[Type Name]], tbl_MTG_Set_Type[Set Type], tbl_MTG_Set_Type[Index], "(Set Type not found)")</f>
        <v/>
      </c>
      <c r="J461">
        <f>_xlfn.XLOOKUP(tbl_MTG_Set[[#This Row],[Type Name]], tbl_MTG_Set_Type[Set Type], tbl_MTG_Set_Type[Buy Window Month Start], "(Set Type not found)")</f>
        <v/>
      </c>
      <c r="K461" s="3">
        <f>tbl_MTG_Set[[#This Row],[Released On]]+tbl_MTG_Set[[#This Row],[Buy Window Month Start]]*365.25/12</f>
        <v/>
      </c>
      <c r="L461">
        <f>_xlfn.XLOOKUP(tbl_MTG_Set[[#This Row],[Type Name]], tbl_MTG_Set_Type[Set Type], tbl_MTG_Set_Type[Buy Window Month End], "(Set Type not found)", 0, 1)</f>
        <v/>
      </c>
      <c r="M461" s="3">
        <f>tbl_MTG_Set[[#This Row],[Released On]]+tbl_MTG_Set[[#This Row],[Buy Window Month End]]*365.25/12</f>
        <v/>
      </c>
      <c r="N461" s="3">
        <f>AND(NOW()&gt;=tbl_MTG_Set[[#This Row],[Buy Window Start]], NOW()&lt;=tbl_MTG_Set[[#This Row],[Buy Window End]])</f>
        <v/>
      </c>
      <c r="O461">
        <f>_xlfn.XLOOKUP(tbl_MTG_Set[[#This Row],[Type Name]], tbl_MTG_Set_Type[Set Type], tbl_MTG_Set_Type[Heavy Printing Window Month Start], "(Set Type not found)", 0, 1)</f>
        <v/>
      </c>
      <c r="P461" s="3">
        <f>tbl_MTG_Set[[#This Row],[Released On]]+tbl_MTG_Set[[#This Row],[Heavy Printing Window Month Start]]*365.25/12</f>
        <v/>
      </c>
      <c r="Q461">
        <f>_xlfn.XLOOKUP(tbl_MTG_Set[[#This Row],[Type Name]], tbl_MTG_Set_Type[Set Type], tbl_MTG_Set_Type[Heavy Printing Window Month End], "(Set Type not found)", 0, 1)</f>
        <v/>
      </c>
      <c r="R461" s="3">
        <f>tbl_MTG_Set[[#This Row],[Released On]]+tbl_MTG_Set[[#This Row],[Heavy Printing Window Month End]]*365.25/12</f>
        <v/>
      </c>
      <c r="S461" s="3">
        <f>AND(NOW()&gt;=tbl_MTG_Set[[#This Row],[Heavy Printing Window Start]], NOW()&lt;=tbl_MTG_Set[[#This Row],[Heavy Printing Window End]])</f>
        <v/>
      </c>
      <c r="T461">
        <f>_xlfn.XLOOKUP(tbl_MTG_Set[[#This Row],[Type Name]], tbl_MTG_Set_Type[Set Type], tbl_MTG_Set_Type[Sell Window Month Start], "(Set Type not found)", 0, 1)</f>
        <v/>
      </c>
      <c r="U461" s="3">
        <f>tbl_MTG_Set[[#This Row],[Released On]]+tbl_MTG_Set[[#This Row],[Sell Window Month Start]]*365.25/12</f>
        <v/>
      </c>
      <c r="V461">
        <f>_xlfn.XLOOKUP(tbl_MTG_Set[[#This Row],[Type Name]], tbl_MTG_Set_Type[Set Type], tbl_MTG_Set_Type[Sell Window Month End], "(Set Type not found)", 0, 1)</f>
        <v/>
      </c>
      <c r="W461" s="3">
        <f>tbl_MTG_Set[[#This Row],[Released On]]+tbl_MTG_Set[[#This Row],[Sell Window Month End]]*365.25/12</f>
        <v/>
      </c>
      <c r="X461" s="3">
        <f>AND(NOW()&gt;=tbl_MTG_Set[[#This Row],[Sell Window Start]], NOW()&lt;=tbl_MTG_Set[[#This Row],[Sell Window End]])</f>
        <v/>
      </c>
      <c r="AG461" s="10" t="n"/>
      <c r="AH461" s="10" t="n"/>
      <c r="AM461" s="10">
        <f t="array" ref="AM4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1" s="10">
        <f t="array" ref="AN4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1" s="4">
        <f>_xlfn.XLOOKUP(tbl_MTG_Set[[#This Row],[Play Booster Box Product Id]], tbl_Product[Product Id], tbl_Product[Pack Size])</f>
        <v/>
      </c>
      <c r="AP461" s="10">
        <f>(tbl_MTG_Set[[#This Row],[Play Booster Box Cost]]+v_Item_Shipping_Cost_In)/tbl_MTG_Set[[#This Row],[Play Booster Box Size]]</f>
        <v/>
      </c>
      <c r="AQ461" s="10">
        <f t="array" ref="AQ4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1" s="10" t="n"/>
      <c r="AS461" s="10" t="n"/>
      <c r="AT461" s="17">
        <f>tbl_MTG_Set[[#This Row],[Play Booster CardMarket Profit]]/tbl_MTG_Set[[#This Row],[Play Booster Cost]]</f>
        <v/>
      </c>
      <c r="AU461" s="10">
        <f>_xlfn.XLOOKUP(tbl_MTG_Set[[#This Row],[Collector Booster Box Product Id]], tbl_Product[Product Id], tbl_Product[Min Cost])</f>
        <v/>
      </c>
      <c r="AV461" s="10">
        <f>_xlfn.XLOOKUP(tbl_MTG_Set[[#This Row],[Collector Booster Box Product Id]], tbl_Product[Product Id], tbl_Product[Best Source])</f>
        <v/>
      </c>
      <c r="AW461" s="4">
        <f>_xlfn.XLOOKUP(tbl_MTG_Set[[#This Row],[Collector Booster Box Product Id]], tbl_Product[Product Id], tbl_Product[Pack Size])</f>
        <v/>
      </c>
      <c r="AX461" s="10">
        <f>(tbl_MTG_Set[[#This Row],[Collector Booster Box Cost]] + v_Item_Shipping_Cost_In) / tbl_MTG_Set[[#This Row],[Collector Booster Box Size]]</f>
        <v/>
      </c>
      <c r="AY461" s="10">
        <f t="array" ref="AY4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1" s="10" t="n"/>
      <c r="BA4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1" s="17">
        <f>tbl_MTG_Set[[#This Row],[Collector Booster CardMarket Profit]]/tbl_MTG_Set[[#This Row],[Collector Booster Cost]]</f>
        <v/>
      </c>
      <c r="BC461" s="10" t="n"/>
      <c r="BF461" s="10">
        <f>tbl_MTG_Set[[#This Row],[Play Booster Sell Price CardMarket]]*tbl_MTG_Set[[#This Row],[Play Booster Expected Market Value]]/tbl_MTG_Set[[#This Row],[Play Boost Sealed Market Value]]</f>
        <v/>
      </c>
      <c r="BG4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1" s="10">
        <f>tbl_MTG_Set[[#This Row],[Play Singles CardMarket Profit]]/tbl_MTG_Set[[#This Row],[Play Booster Cost]]</f>
        <v/>
      </c>
      <c r="BI461" s="10">
        <f>tbl_MTG_Set[[#This Row],[Play Singles CardMarket Profit]]&gt;0</f>
        <v/>
      </c>
      <c r="BJ461" s="10" t="n"/>
      <c r="BK461" s="10" t="n"/>
      <c r="BL461" s="10">
        <f>tbl_MTG_Set[[#This Row],[Collector Booster Sell Price CardMarket]]*tbl_MTG_Set[[#This Row],[Collector Booster Expected Market Value]]/tbl_MTG_Set[[#This Row],[Collector Boost Sealed Market Value]]</f>
        <v/>
      </c>
      <c r="BM4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1" s="10">
        <f>tbl_MTG_Set[[#This Row],[Collector Singles CardMarket Profit]]/tbl_MTG_Set[[#This Row],[Collector Booster Cost]]</f>
        <v/>
      </c>
      <c r="BO461" s="10">
        <f>tbl_MTG_Set[[#This Row],[Collector Singles CardMarket Profit]]&gt;0</f>
        <v/>
      </c>
      <c r="BP4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2">
      <c r="A462" t="n">
        <v>460</v>
      </c>
      <c r="B462" t="inlineStr">
        <is>
          <t>Guilds of Ravnica Promos PGRN</t>
        </is>
      </c>
      <c r="C462" t="n">
        <v>84</v>
      </c>
      <c r="D462" s="3" t="n">
        <v>43378</v>
      </c>
      <c r="F462" t="inlineStr">
        <is>
          <t>en es fr de it pt ja ko ru 汉语 漢語</t>
        </is>
      </c>
      <c r="G462" t="n">
        <v>866</v>
      </c>
      <c r="H462">
        <f>MONTH(NOW())+12*YEAR(NOW())-MONTH(tbl_MTG_Set[[#This Row],[Released On]])-12*YEAR(tbl_MTG_Set[[#This Row],[Released On]])</f>
        <v/>
      </c>
      <c r="I462">
        <f>_xlfn.XLOOKUP(tbl_MTG_Set[[#This Row],[Type Name]], tbl_MTG_Set_Type[Set Type], tbl_MTG_Set_Type[Index], "(Set Type not found)")</f>
        <v/>
      </c>
      <c r="J462">
        <f>_xlfn.XLOOKUP(tbl_MTG_Set[[#This Row],[Type Name]], tbl_MTG_Set_Type[Set Type], tbl_MTG_Set_Type[Buy Window Month Start], "(Set Type not found)")</f>
        <v/>
      </c>
      <c r="K462" s="3">
        <f>tbl_MTG_Set[[#This Row],[Released On]]+tbl_MTG_Set[[#This Row],[Buy Window Month Start]]*365.25/12</f>
        <v/>
      </c>
      <c r="L462">
        <f>_xlfn.XLOOKUP(tbl_MTG_Set[[#This Row],[Type Name]], tbl_MTG_Set_Type[Set Type], tbl_MTG_Set_Type[Buy Window Month End], "(Set Type not found)", 0, 1)</f>
        <v/>
      </c>
      <c r="M462" s="3">
        <f>tbl_MTG_Set[[#This Row],[Released On]]+tbl_MTG_Set[[#This Row],[Buy Window Month End]]*365.25/12</f>
        <v/>
      </c>
      <c r="N462" s="3">
        <f>AND(NOW()&gt;=tbl_MTG_Set[[#This Row],[Buy Window Start]], NOW()&lt;=tbl_MTG_Set[[#This Row],[Buy Window End]])</f>
        <v/>
      </c>
      <c r="O462">
        <f>_xlfn.XLOOKUP(tbl_MTG_Set[[#This Row],[Type Name]], tbl_MTG_Set_Type[Set Type], tbl_MTG_Set_Type[Heavy Printing Window Month Start], "(Set Type not found)", 0, 1)</f>
        <v/>
      </c>
      <c r="P462" s="3">
        <f>tbl_MTG_Set[[#This Row],[Released On]]+tbl_MTG_Set[[#This Row],[Heavy Printing Window Month Start]]*365.25/12</f>
        <v/>
      </c>
      <c r="Q462">
        <f>_xlfn.XLOOKUP(tbl_MTG_Set[[#This Row],[Type Name]], tbl_MTG_Set_Type[Set Type], tbl_MTG_Set_Type[Heavy Printing Window Month End], "(Set Type not found)", 0, 1)</f>
        <v/>
      </c>
      <c r="R462" s="3">
        <f>tbl_MTG_Set[[#This Row],[Released On]]+tbl_MTG_Set[[#This Row],[Heavy Printing Window Month End]]*365.25/12</f>
        <v/>
      </c>
      <c r="S462" s="3">
        <f>AND(NOW()&gt;=tbl_MTG_Set[[#This Row],[Heavy Printing Window Start]], NOW()&lt;=tbl_MTG_Set[[#This Row],[Heavy Printing Window End]])</f>
        <v/>
      </c>
      <c r="T462">
        <f>_xlfn.XLOOKUP(tbl_MTG_Set[[#This Row],[Type Name]], tbl_MTG_Set_Type[Set Type], tbl_MTG_Set_Type[Sell Window Month Start], "(Set Type not found)", 0, 1)</f>
        <v/>
      </c>
      <c r="U462" s="3">
        <f>tbl_MTG_Set[[#This Row],[Released On]]+tbl_MTG_Set[[#This Row],[Sell Window Month Start]]*365.25/12</f>
        <v/>
      </c>
      <c r="V462">
        <f>_xlfn.XLOOKUP(tbl_MTG_Set[[#This Row],[Type Name]], tbl_MTG_Set_Type[Set Type], tbl_MTG_Set_Type[Sell Window Month End], "(Set Type not found)", 0, 1)</f>
        <v/>
      </c>
      <c r="W462" s="3">
        <f>tbl_MTG_Set[[#This Row],[Released On]]+tbl_MTG_Set[[#This Row],[Sell Window Month End]]*365.25/12</f>
        <v/>
      </c>
      <c r="X462" s="3">
        <f>AND(NOW()&gt;=tbl_MTG_Set[[#This Row],[Sell Window Start]], NOW()&lt;=tbl_MTG_Set[[#This Row],[Sell Window End]])</f>
        <v/>
      </c>
      <c r="AG462" s="10" t="n"/>
      <c r="AH462" s="10" t="n"/>
      <c r="AM462" s="10">
        <f t="array" ref="AM4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2" s="10">
        <f t="array" ref="AN4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2" s="4">
        <f>_xlfn.XLOOKUP(tbl_MTG_Set[[#This Row],[Play Booster Box Product Id]], tbl_Product[Product Id], tbl_Product[Pack Size])</f>
        <v/>
      </c>
      <c r="AP462" s="10">
        <f>(tbl_MTG_Set[[#This Row],[Play Booster Box Cost]]+v_Item_Shipping_Cost_In)/tbl_MTG_Set[[#This Row],[Play Booster Box Size]]</f>
        <v/>
      </c>
      <c r="AQ462" s="10">
        <f t="array" ref="AQ4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2" s="10" t="n"/>
      <c r="AS462" s="10" t="n"/>
      <c r="AT462" s="17">
        <f>tbl_MTG_Set[[#This Row],[Play Booster CardMarket Profit]]/tbl_MTG_Set[[#This Row],[Play Booster Cost]]</f>
        <v/>
      </c>
      <c r="AU462" s="10">
        <f>_xlfn.XLOOKUP(tbl_MTG_Set[[#This Row],[Collector Booster Box Product Id]], tbl_Product[Product Id], tbl_Product[Min Cost])</f>
        <v/>
      </c>
      <c r="AV462" s="10">
        <f>_xlfn.XLOOKUP(tbl_MTG_Set[[#This Row],[Collector Booster Box Product Id]], tbl_Product[Product Id], tbl_Product[Best Source])</f>
        <v/>
      </c>
      <c r="AW462" s="4">
        <f>_xlfn.XLOOKUP(tbl_MTG_Set[[#This Row],[Collector Booster Box Product Id]], tbl_Product[Product Id], tbl_Product[Pack Size])</f>
        <v/>
      </c>
      <c r="AX462" s="10">
        <f>(tbl_MTG_Set[[#This Row],[Collector Booster Box Cost]] + v_Item_Shipping_Cost_In) / tbl_MTG_Set[[#This Row],[Collector Booster Box Size]]</f>
        <v/>
      </c>
      <c r="AY462" s="10">
        <f t="array" ref="AY4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2" s="10" t="n"/>
      <c r="BA4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2" s="17">
        <f>tbl_MTG_Set[[#This Row],[Collector Booster CardMarket Profit]]/tbl_MTG_Set[[#This Row],[Collector Booster Cost]]</f>
        <v/>
      </c>
      <c r="BC462" s="10" t="n"/>
      <c r="BF462" s="10">
        <f>tbl_MTG_Set[[#This Row],[Play Booster Sell Price CardMarket]]*tbl_MTG_Set[[#This Row],[Play Booster Expected Market Value]]/tbl_MTG_Set[[#This Row],[Play Boost Sealed Market Value]]</f>
        <v/>
      </c>
      <c r="BG4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2" s="10">
        <f>tbl_MTG_Set[[#This Row],[Play Singles CardMarket Profit]]/tbl_MTG_Set[[#This Row],[Play Booster Cost]]</f>
        <v/>
      </c>
      <c r="BI462" s="10">
        <f>tbl_MTG_Set[[#This Row],[Play Singles CardMarket Profit]]&gt;0</f>
        <v/>
      </c>
      <c r="BJ462" s="10" t="n"/>
      <c r="BK462" s="10" t="n"/>
      <c r="BL462" s="10">
        <f>tbl_MTG_Set[[#This Row],[Collector Booster Sell Price CardMarket]]*tbl_MTG_Set[[#This Row],[Collector Booster Expected Market Value]]/tbl_MTG_Set[[#This Row],[Collector Boost Sealed Market Value]]</f>
        <v/>
      </c>
      <c r="BM4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2" s="10">
        <f>tbl_MTG_Set[[#This Row],[Collector Singles CardMarket Profit]]/tbl_MTG_Set[[#This Row],[Collector Booster Cost]]</f>
        <v/>
      </c>
      <c r="BO462" s="10">
        <f>tbl_MTG_Set[[#This Row],[Collector Singles CardMarket Profit]]&gt;0</f>
        <v/>
      </c>
      <c r="BP4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3">
      <c r="A463" t="n">
        <v>461</v>
      </c>
      <c r="B463" t="inlineStr">
        <is>
          <t>Guilds of Ravnica Tokens TGRN</t>
        </is>
      </c>
      <c r="C463" t="n">
        <v>8</v>
      </c>
      <c r="D463" s="3" t="n">
        <v>43378</v>
      </c>
      <c r="F463" t="inlineStr">
        <is>
          <t>en es fr de it pt ja ko ru 汉语 漢語</t>
        </is>
      </c>
      <c r="G463" t="n">
        <v>868</v>
      </c>
      <c r="H463">
        <f>MONTH(NOW())+12*YEAR(NOW())-MONTH(tbl_MTG_Set[[#This Row],[Released On]])-12*YEAR(tbl_MTG_Set[[#This Row],[Released On]])</f>
        <v/>
      </c>
      <c r="I463">
        <f>_xlfn.XLOOKUP(tbl_MTG_Set[[#This Row],[Type Name]], tbl_MTG_Set_Type[Set Type], tbl_MTG_Set_Type[Index], "(Set Type not found)")</f>
        <v/>
      </c>
      <c r="J463">
        <f>_xlfn.XLOOKUP(tbl_MTG_Set[[#This Row],[Type Name]], tbl_MTG_Set_Type[Set Type], tbl_MTG_Set_Type[Buy Window Month Start], "(Set Type not found)")</f>
        <v/>
      </c>
      <c r="K463" s="3">
        <f>tbl_MTG_Set[[#This Row],[Released On]]+tbl_MTG_Set[[#This Row],[Buy Window Month Start]]*365.25/12</f>
        <v/>
      </c>
      <c r="L463">
        <f>_xlfn.XLOOKUP(tbl_MTG_Set[[#This Row],[Type Name]], tbl_MTG_Set_Type[Set Type], tbl_MTG_Set_Type[Buy Window Month End], "(Set Type not found)", 0, 1)</f>
        <v/>
      </c>
      <c r="M463" s="3">
        <f>tbl_MTG_Set[[#This Row],[Released On]]+tbl_MTG_Set[[#This Row],[Buy Window Month End]]*365.25/12</f>
        <v/>
      </c>
      <c r="N463" s="3">
        <f>AND(NOW()&gt;=tbl_MTG_Set[[#This Row],[Buy Window Start]], NOW()&lt;=tbl_MTG_Set[[#This Row],[Buy Window End]])</f>
        <v/>
      </c>
      <c r="O463">
        <f>_xlfn.XLOOKUP(tbl_MTG_Set[[#This Row],[Type Name]], tbl_MTG_Set_Type[Set Type], tbl_MTG_Set_Type[Heavy Printing Window Month Start], "(Set Type not found)", 0, 1)</f>
        <v/>
      </c>
      <c r="P463" s="3">
        <f>tbl_MTG_Set[[#This Row],[Released On]]+tbl_MTG_Set[[#This Row],[Heavy Printing Window Month Start]]*365.25/12</f>
        <v/>
      </c>
      <c r="Q463">
        <f>_xlfn.XLOOKUP(tbl_MTG_Set[[#This Row],[Type Name]], tbl_MTG_Set_Type[Set Type], tbl_MTG_Set_Type[Heavy Printing Window Month End], "(Set Type not found)", 0, 1)</f>
        <v/>
      </c>
      <c r="R463" s="3">
        <f>tbl_MTG_Set[[#This Row],[Released On]]+tbl_MTG_Set[[#This Row],[Heavy Printing Window Month End]]*365.25/12</f>
        <v/>
      </c>
      <c r="S463" s="3">
        <f>AND(NOW()&gt;=tbl_MTG_Set[[#This Row],[Heavy Printing Window Start]], NOW()&lt;=tbl_MTG_Set[[#This Row],[Heavy Printing Window End]])</f>
        <v/>
      </c>
      <c r="T463">
        <f>_xlfn.XLOOKUP(tbl_MTG_Set[[#This Row],[Type Name]], tbl_MTG_Set_Type[Set Type], tbl_MTG_Set_Type[Sell Window Month Start], "(Set Type not found)", 0, 1)</f>
        <v/>
      </c>
      <c r="U463" s="3">
        <f>tbl_MTG_Set[[#This Row],[Released On]]+tbl_MTG_Set[[#This Row],[Sell Window Month Start]]*365.25/12</f>
        <v/>
      </c>
      <c r="V463">
        <f>_xlfn.XLOOKUP(tbl_MTG_Set[[#This Row],[Type Name]], tbl_MTG_Set_Type[Set Type], tbl_MTG_Set_Type[Sell Window Month End], "(Set Type not found)", 0, 1)</f>
        <v/>
      </c>
      <c r="W463" s="3">
        <f>tbl_MTG_Set[[#This Row],[Released On]]+tbl_MTG_Set[[#This Row],[Sell Window Month End]]*365.25/12</f>
        <v/>
      </c>
      <c r="X463" s="3">
        <f>AND(NOW()&gt;=tbl_MTG_Set[[#This Row],[Sell Window Start]], NOW()&lt;=tbl_MTG_Set[[#This Row],[Sell Window End]])</f>
        <v/>
      </c>
      <c r="AG463" s="10" t="n"/>
      <c r="AH463" s="10" t="n"/>
      <c r="AM463" s="10">
        <f t="array" ref="AM4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3" s="10">
        <f t="array" ref="AN4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3" s="4">
        <f>_xlfn.XLOOKUP(tbl_MTG_Set[[#This Row],[Play Booster Box Product Id]], tbl_Product[Product Id], tbl_Product[Pack Size])</f>
        <v/>
      </c>
      <c r="AP463" s="10">
        <f>(tbl_MTG_Set[[#This Row],[Play Booster Box Cost]]+v_Item_Shipping_Cost_In)/tbl_MTG_Set[[#This Row],[Play Booster Box Size]]</f>
        <v/>
      </c>
      <c r="AQ463" s="10">
        <f t="array" ref="AQ4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3" s="10" t="n"/>
      <c r="AS463" s="10" t="n"/>
      <c r="AT463" s="17">
        <f>tbl_MTG_Set[[#This Row],[Play Booster CardMarket Profit]]/tbl_MTG_Set[[#This Row],[Play Booster Cost]]</f>
        <v/>
      </c>
      <c r="AU463" s="10">
        <f>_xlfn.XLOOKUP(tbl_MTG_Set[[#This Row],[Collector Booster Box Product Id]], tbl_Product[Product Id], tbl_Product[Min Cost])</f>
        <v/>
      </c>
      <c r="AV463" s="10">
        <f>_xlfn.XLOOKUP(tbl_MTG_Set[[#This Row],[Collector Booster Box Product Id]], tbl_Product[Product Id], tbl_Product[Best Source])</f>
        <v/>
      </c>
      <c r="AW463" s="4">
        <f>_xlfn.XLOOKUP(tbl_MTG_Set[[#This Row],[Collector Booster Box Product Id]], tbl_Product[Product Id], tbl_Product[Pack Size])</f>
        <v/>
      </c>
      <c r="AX463" s="10">
        <f>(tbl_MTG_Set[[#This Row],[Collector Booster Box Cost]] + v_Item_Shipping_Cost_In) / tbl_MTG_Set[[#This Row],[Collector Booster Box Size]]</f>
        <v/>
      </c>
      <c r="AY463" s="10">
        <f t="array" ref="AY4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3" s="10" t="n"/>
      <c r="BA4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3" s="17">
        <f>tbl_MTG_Set[[#This Row],[Collector Booster CardMarket Profit]]/tbl_MTG_Set[[#This Row],[Collector Booster Cost]]</f>
        <v/>
      </c>
      <c r="BC463" s="10" t="n"/>
      <c r="BF463" s="10">
        <f>tbl_MTG_Set[[#This Row],[Play Booster Sell Price CardMarket]]*tbl_MTG_Set[[#This Row],[Play Booster Expected Market Value]]/tbl_MTG_Set[[#This Row],[Play Boost Sealed Market Value]]</f>
        <v/>
      </c>
      <c r="BG4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3" s="10">
        <f>tbl_MTG_Set[[#This Row],[Play Singles CardMarket Profit]]/tbl_MTG_Set[[#This Row],[Play Booster Cost]]</f>
        <v/>
      </c>
      <c r="BI463" s="10">
        <f>tbl_MTG_Set[[#This Row],[Play Singles CardMarket Profit]]&gt;0</f>
        <v/>
      </c>
      <c r="BJ463" s="10" t="n"/>
      <c r="BK463" s="10" t="n"/>
      <c r="BL463" s="10">
        <f>tbl_MTG_Set[[#This Row],[Collector Booster Sell Price CardMarket]]*tbl_MTG_Set[[#This Row],[Collector Booster Expected Market Value]]/tbl_MTG_Set[[#This Row],[Collector Boost Sealed Market Value]]</f>
        <v/>
      </c>
      <c r="BM4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3" s="10">
        <f>tbl_MTG_Set[[#This Row],[Collector Singles CardMarket Profit]]/tbl_MTG_Set[[#This Row],[Collector Booster Cost]]</f>
        <v/>
      </c>
      <c r="BO463" s="10">
        <f>tbl_MTG_Set[[#This Row],[Collector Singles CardMarket Profit]]&gt;0</f>
        <v/>
      </c>
      <c r="BP4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4">
      <c r="A464" t="n">
        <v>462</v>
      </c>
      <c r="B464" t="inlineStr">
        <is>
          <t>GRN Ravnica Weekend PRWK</t>
        </is>
      </c>
      <c r="C464" t="n">
        <v>10</v>
      </c>
      <c r="D464" s="3" t="n">
        <v>43413</v>
      </c>
      <c r="F464" t="inlineStr">
        <is>
          <t>en es fr de it pt ja ko ru 汉语 漢語</t>
        </is>
      </c>
      <c r="G464" t="n">
        <v>870</v>
      </c>
      <c r="H464">
        <f>MONTH(NOW())+12*YEAR(NOW())-MONTH(tbl_MTG_Set[[#This Row],[Released On]])-12*YEAR(tbl_MTG_Set[[#This Row],[Released On]])</f>
        <v/>
      </c>
      <c r="I464">
        <f>_xlfn.XLOOKUP(tbl_MTG_Set[[#This Row],[Type Name]], tbl_MTG_Set_Type[Set Type], tbl_MTG_Set_Type[Index], "(Set Type not found)")</f>
        <v/>
      </c>
      <c r="J464">
        <f>_xlfn.XLOOKUP(tbl_MTG_Set[[#This Row],[Type Name]], tbl_MTG_Set_Type[Set Type], tbl_MTG_Set_Type[Buy Window Month Start], "(Set Type not found)")</f>
        <v/>
      </c>
      <c r="K464" s="3">
        <f>tbl_MTG_Set[[#This Row],[Released On]]+tbl_MTG_Set[[#This Row],[Buy Window Month Start]]*365.25/12</f>
        <v/>
      </c>
      <c r="L464">
        <f>_xlfn.XLOOKUP(tbl_MTG_Set[[#This Row],[Type Name]], tbl_MTG_Set_Type[Set Type], tbl_MTG_Set_Type[Buy Window Month End], "(Set Type not found)", 0, 1)</f>
        <v/>
      </c>
      <c r="M464" s="3">
        <f>tbl_MTG_Set[[#This Row],[Released On]]+tbl_MTG_Set[[#This Row],[Buy Window Month End]]*365.25/12</f>
        <v/>
      </c>
      <c r="N464" s="3">
        <f>AND(NOW()&gt;=tbl_MTG_Set[[#This Row],[Buy Window Start]], NOW()&lt;=tbl_MTG_Set[[#This Row],[Buy Window End]])</f>
        <v/>
      </c>
      <c r="O464">
        <f>_xlfn.XLOOKUP(tbl_MTG_Set[[#This Row],[Type Name]], tbl_MTG_Set_Type[Set Type], tbl_MTG_Set_Type[Heavy Printing Window Month Start], "(Set Type not found)", 0, 1)</f>
        <v/>
      </c>
      <c r="P464" s="3">
        <f>tbl_MTG_Set[[#This Row],[Released On]]+tbl_MTG_Set[[#This Row],[Heavy Printing Window Month Start]]*365.25/12</f>
        <v/>
      </c>
      <c r="Q464">
        <f>_xlfn.XLOOKUP(tbl_MTG_Set[[#This Row],[Type Name]], tbl_MTG_Set_Type[Set Type], tbl_MTG_Set_Type[Heavy Printing Window Month End], "(Set Type not found)", 0, 1)</f>
        <v/>
      </c>
      <c r="R464" s="3">
        <f>tbl_MTG_Set[[#This Row],[Released On]]+tbl_MTG_Set[[#This Row],[Heavy Printing Window Month End]]*365.25/12</f>
        <v/>
      </c>
      <c r="S464" s="3">
        <f>AND(NOW()&gt;=tbl_MTG_Set[[#This Row],[Heavy Printing Window Start]], NOW()&lt;=tbl_MTG_Set[[#This Row],[Heavy Printing Window End]])</f>
        <v/>
      </c>
      <c r="T464">
        <f>_xlfn.XLOOKUP(tbl_MTG_Set[[#This Row],[Type Name]], tbl_MTG_Set_Type[Set Type], tbl_MTG_Set_Type[Sell Window Month Start], "(Set Type not found)", 0, 1)</f>
        <v/>
      </c>
      <c r="U464" s="3">
        <f>tbl_MTG_Set[[#This Row],[Released On]]+tbl_MTG_Set[[#This Row],[Sell Window Month Start]]*365.25/12</f>
        <v/>
      </c>
      <c r="V464">
        <f>_xlfn.XLOOKUP(tbl_MTG_Set[[#This Row],[Type Name]], tbl_MTG_Set_Type[Set Type], tbl_MTG_Set_Type[Sell Window Month End], "(Set Type not found)", 0, 1)</f>
        <v/>
      </c>
      <c r="W464" s="3">
        <f>tbl_MTG_Set[[#This Row],[Released On]]+tbl_MTG_Set[[#This Row],[Sell Window Month End]]*365.25/12</f>
        <v/>
      </c>
      <c r="X464" s="3">
        <f>AND(NOW()&gt;=tbl_MTG_Set[[#This Row],[Sell Window Start]], NOW()&lt;=tbl_MTG_Set[[#This Row],[Sell Window End]])</f>
        <v/>
      </c>
      <c r="AG464" s="10" t="n"/>
      <c r="AH464" s="10" t="n"/>
      <c r="AM464" s="10">
        <f t="array" ref="AM4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4" s="10">
        <f t="array" ref="AN4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4" s="4">
        <f>_xlfn.XLOOKUP(tbl_MTG_Set[[#This Row],[Play Booster Box Product Id]], tbl_Product[Product Id], tbl_Product[Pack Size])</f>
        <v/>
      </c>
      <c r="AP464" s="10">
        <f>(tbl_MTG_Set[[#This Row],[Play Booster Box Cost]]+v_Item_Shipping_Cost_In)/tbl_MTG_Set[[#This Row],[Play Booster Box Size]]</f>
        <v/>
      </c>
      <c r="AQ464" s="10">
        <f t="array" ref="AQ4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4" s="10" t="n"/>
      <c r="AS464" s="10" t="n"/>
      <c r="AT464" s="17">
        <f>tbl_MTG_Set[[#This Row],[Play Booster CardMarket Profit]]/tbl_MTG_Set[[#This Row],[Play Booster Cost]]</f>
        <v/>
      </c>
      <c r="AU464" s="10">
        <f>_xlfn.XLOOKUP(tbl_MTG_Set[[#This Row],[Collector Booster Box Product Id]], tbl_Product[Product Id], tbl_Product[Min Cost])</f>
        <v/>
      </c>
      <c r="AV464" s="10">
        <f>_xlfn.XLOOKUP(tbl_MTG_Set[[#This Row],[Collector Booster Box Product Id]], tbl_Product[Product Id], tbl_Product[Best Source])</f>
        <v/>
      </c>
      <c r="AW464" s="4">
        <f>_xlfn.XLOOKUP(tbl_MTG_Set[[#This Row],[Collector Booster Box Product Id]], tbl_Product[Product Id], tbl_Product[Pack Size])</f>
        <v/>
      </c>
      <c r="AX464" s="10">
        <f>(tbl_MTG_Set[[#This Row],[Collector Booster Box Cost]] + v_Item_Shipping_Cost_In) / tbl_MTG_Set[[#This Row],[Collector Booster Box Size]]</f>
        <v/>
      </c>
      <c r="AY464" s="10">
        <f t="array" ref="AY4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4" s="10" t="n"/>
      <c r="BA4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4" s="17">
        <f>tbl_MTG_Set[[#This Row],[Collector Booster CardMarket Profit]]/tbl_MTG_Set[[#This Row],[Collector Booster Cost]]</f>
        <v/>
      </c>
      <c r="BC464" s="10" t="n"/>
      <c r="BF464" s="10">
        <f>tbl_MTG_Set[[#This Row],[Play Booster Sell Price CardMarket]]*tbl_MTG_Set[[#This Row],[Play Booster Expected Market Value]]/tbl_MTG_Set[[#This Row],[Play Boost Sealed Market Value]]</f>
        <v/>
      </c>
      <c r="BG4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4" s="10">
        <f>tbl_MTG_Set[[#This Row],[Play Singles CardMarket Profit]]/tbl_MTG_Set[[#This Row],[Play Booster Cost]]</f>
        <v/>
      </c>
      <c r="BI464" s="10">
        <f>tbl_MTG_Set[[#This Row],[Play Singles CardMarket Profit]]&gt;0</f>
        <v/>
      </c>
      <c r="BJ464" s="10" t="n"/>
      <c r="BK464" s="10" t="n"/>
      <c r="BL464" s="10">
        <f>tbl_MTG_Set[[#This Row],[Collector Booster Sell Price CardMarket]]*tbl_MTG_Set[[#This Row],[Collector Booster Expected Market Value]]/tbl_MTG_Set[[#This Row],[Collector Boost Sealed Market Value]]</f>
        <v/>
      </c>
      <c r="BM4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4" s="10">
        <f>tbl_MTG_Set[[#This Row],[Collector Singles CardMarket Profit]]/tbl_MTG_Set[[#This Row],[Collector Booster Cost]]</f>
        <v/>
      </c>
      <c r="BO464" s="10">
        <f>tbl_MTG_Set[[#This Row],[Collector Singles CardMarket Profit]]&gt;0</f>
        <v/>
      </c>
      <c r="BP4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5">
      <c r="A465" t="n">
        <v>463</v>
      </c>
      <c r="B465" t="inlineStr">
        <is>
          <t>Mythic Edition MED</t>
        </is>
      </c>
      <c r="C465" t="n">
        <v>24</v>
      </c>
      <c r="D465" s="3" t="n">
        <v>43378</v>
      </c>
      <c r="F465" t="inlineStr">
        <is>
          <t>en es fr de it pt ja ko ru 汉语 漢語</t>
        </is>
      </c>
      <c r="G465" t="n">
        <v>872</v>
      </c>
      <c r="H465">
        <f>MONTH(NOW())+12*YEAR(NOW())-MONTH(tbl_MTG_Set[[#This Row],[Released On]])-12*YEAR(tbl_MTG_Set[[#This Row],[Released On]])</f>
        <v/>
      </c>
      <c r="I465">
        <f>_xlfn.XLOOKUP(tbl_MTG_Set[[#This Row],[Type Name]], tbl_MTG_Set_Type[Set Type], tbl_MTG_Set_Type[Index], "(Set Type not found)")</f>
        <v/>
      </c>
      <c r="J465">
        <f>_xlfn.XLOOKUP(tbl_MTG_Set[[#This Row],[Type Name]], tbl_MTG_Set_Type[Set Type], tbl_MTG_Set_Type[Buy Window Month Start], "(Set Type not found)")</f>
        <v/>
      </c>
      <c r="K465" s="3">
        <f>tbl_MTG_Set[[#This Row],[Released On]]+tbl_MTG_Set[[#This Row],[Buy Window Month Start]]*365.25/12</f>
        <v/>
      </c>
      <c r="L465">
        <f>_xlfn.XLOOKUP(tbl_MTG_Set[[#This Row],[Type Name]], tbl_MTG_Set_Type[Set Type], tbl_MTG_Set_Type[Buy Window Month End], "(Set Type not found)", 0, 1)</f>
        <v/>
      </c>
      <c r="M465" s="3">
        <f>tbl_MTG_Set[[#This Row],[Released On]]+tbl_MTG_Set[[#This Row],[Buy Window Month End]]*365.25/12</f>
        <v/>
      </c>
      <c r="N465" s="3">
        <f>AND(NOW()&gt;=tbl_MTG_Set[[#This Row],[Buy Window Start]], NOW()&lt;=tbl_MTG_Set[[#This Row],[Buy Window End]])</f>
        <v/>
      </c>
      <c r="O465">
        <f>_xlfn.XLOOKUP(tbl_MTG_Set[[#This Row],[Type Name]], tbl_MTG_Set_Type[Set Type], tbl_MTG_Set_Type[Heavy Printing Window Month Start], "(Set Type not found)", 0, 1)</f>
        <v/>
      </c>
      <c r="P465" s="3">
        <f>tbl_MTG_Set[[#This Row],[Released On]]+tbl_MTG_Set[[#This Row],[Heavy Printing Window Month Start]]*365.25/12</f>
        <v/>
      </c>
      <c r="Q465">
        <f>_xlfn.XLOOKUP(tbl_MTG_Set[[#This Row],[Type Name]], tbl_MTG_Set_Type[Set Type], tbl_MTG_Set_Type[Heavy Printing Window Month End], "(Set Type not found)", 0, 1)</f>
        <v/>
      </c>
      <c r="R465" s="3">
        <f>tbl_MTG_Set[[#This Row],[Released On]]+tbl_MTG_Set[[#This Row],[Heavy Printing Window Month End]]*365.25/12</f>
        <v/>
      </c>
      <c r="S465" s="3">
        <f>AND(NOW()&gt;=tbl_MTG_Set[[#This Row],[Heavy Printing Window Start]], NOW()&lt;=tbl_MTG_Set[[#This Row],[Heavy Printing Window End]])</f>
        <v/>
      </c>
      <c r="T465">
        <f>_xlfn.XLOOKUP(tbl_MTG_Set[[#This Row],[Type Name]], tbl_MTG_Set_Type[Set Type], tbl_MTG_Set_Type[Sell Window Month Start], "(Set Type not found)", 0, 1)</f>
        <v/>
      </c>
      <c r="U465" s="3">
        <f>tbl_MTG_Set[[#This Row],[Released On]]+tbl_MTG_Set[[#This Row],[Sell Window Month Start]]*365.25/12</f>
        <v/>
      </c>
      <c r="V465">
        <f>_xlfn.XLOOKUP(tbl_MTG_Set[[#This Row],[Type Name]], tbl_MTG_Set_Type[Set Type], tbl_MTG_Set_Type[Sell Window Month End], "(Set Type not found)", 0, 1)</f>
        <v/>
      </c>
      <c r="W465" s="3">
        <f>tbl_MTG_Set[[#This Row],[Released On]]+tbl_MTG_Set[[#This Row],[Sell Window Month End]]*365.25/12</f>
        <v/>
      </c>
      <c r="X465" s="3">
        <f>AND(NOW()&gt;=tbl_MTG_Set[[#This Row],[Sell Window Start]], NOW()&lt;=tbl_MTG_Set[[#This Row],[Sell Window End]])</f>
        <v/>
      </c>
      <c r="AG465" s="10" t="n"/>
      <c r="AH465" s="10" t="n"/>
      <c r="AM465" s="10">
        <f t="array" ref="AM4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5" s="10">
        <f t="array" ref="AN4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5" s="4">
        <f>_xlfn.XLOOKUP(tbl_MTG_Set[[#This Row],[Play Booster Box Product Id]], tbl_Product[Product Id], tbl_Product[Pack Size])</f>
        <v/>
      </c>
      <c r="AP465" s="10">
        <f>(tbl_MTG_Set[[#This Row],[Play Booster Box Cost]]+v_Item_Shipping_Cost_In)/tbl_MTG_Set[[#This Row],[Play Booster Box Size]]</f>
        <v/>
      </c>
      <c r="AQ465" s="10">
        <f t="array" ref="AQ4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5" s="10" t="n"/>
      <c r="AS465" s="10" t="n"/>
      <c r="AT465" s="17">
        <f>tbl_MTG_Set[[#This Row],[Play Booster CardMarket Profit]]/tbl_MTG_Set[[#This Row],[Play Booster Cost]]</f>
        <v/>
      </c>
      <c r="AU465" s="10">
        <f>_xlfn.XLOOKUP(tbl_MTG_Set[[#This Row],[Collector Booster Box Product Id]], tbl_Product[Product Id], tbl_Product[Min Cost])</f>
        <v/>
      </c>
      <c r="AV465" s="10">
        <f>_xlfn.XLOOKUP(tbl_MTG_Set[[#This Row],[Collector Booster Box Product Id]], tbl_Product[Product Id], tbl_Product[Best Source])</f>
        <v/>
      </c>
      <c r="AW465" s="4">
        <f>_xlfn.XLOOKUP(tbl_MTG_Set[[#This Row],[Collector Booster Box Product Id]], tbl_Product[Product Id], tbl_Product[Pack Size])</f>
        <v/>
      </c>
      <c r="AX465" s="10">
        <f>(tbl_MTG_Set[[#This Row],[Collector Booster Box Cost]] + v_Item_Shipping_Cost_In) / tbl_MTG_Set[[#This Row],[Collector Booster Box Size]]</f>
        <v/>
      </c>
      <c r="AY465" s="10">
        <f t="array" ref="AY4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5" s="10" t="n"/>
      <c r="BA4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5" s="17">
        <f>tbl_MTG_Set[[#This Row],[Collector Booster CardMarket Profit]]/tbl_MTG_Set[[#This Row],[Collector Booster Cost]]</f>
        <v/>
      </c>
      <c r="BC465" s="10" t="n"/>
      <c r="BF465" s="10">
        <f>tbl_MTG_Set[[#This Row],[Play Booster Sell Price CardMarket]]*tbl_MTG_Set[[#This Row],[Play Booster Expected Market Value]]/tbl_MTG_Set[[#This Row],[Play Boost Sealed Market Value]]</f>
        <v/>
      </c>
      <c r="BG4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5" s="10">
        <f>tbl_MTG_Set[[#This Row],[Play Singles CardMarket Profit]]/tbl_MTG_Set[[#This Row],[Play Booster Cost]]</f>
        <v/>
      </c>
      <c r="BI465" s="10">
        <f>tbl_MTG_Set[[#This Row],[Play Singles CardMarket Profit]]&gt;0</f>
        <v/>
      </c>
      <c r="BJ465" s="10" t="n"/>
      <c r="BK465" s="10" t="n"/>
      <c r="BL465" s="10">
        <f>tbl_MTG_Set[[#This Row],[Collector Booster Sell Price CardMarket]]*tbl_MTG_Set[[#This Row],[Collector Booster Expected Market Value]]/tbl_MTG_Set[[#This Row],[Collector Boost Sealed Market Value]]</f>
        <v/>
      </c>
      <c r="BM4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5" s="10">
        <f>tbl_MTG_Set[[#This Row],[Collector Singles CardMarket Profit]]/tbl_MTG_Set[[#This Row],[Collector Booster Cost]]</f>
        <v/>
      </c>
      <c r="BO465" s="10">
        <f>tbl_MTG_Set[[#This Row],[Collector Singles CardMarket Profit]]&gt;0</f>
        <v/>
      </c>
      <c r="BP4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6">
      <c r="A466" t="n">
        <v>464</v>
      </c>
      <c r="B466" t="inlineStr">
        <is>
          <t>Mythic Edition Tokens TMED</t>
        </is>
      </c>
      <c r="C466" t="n">
        <v>16</v>
      </c>
      <c r="D466" s="3" t="n">
        <v>43378</v>
      </c>
      <c r="F466" t="inlineStr">
        <is>
          <t>en es fr de it pt ja ko ru 汉语 漢語</t>
        </is>
      </c>
      <c r="G466" t="n">
        <v>874</v>
      </c>
      <c r="H466">
        <f>MONTH(NOW())+12*YEAR(NOW())-MONTH(tbl_MTG_Set[[#This Row],[Released On]])-12*YEAR(tbl_MTG_Set[[#This Row],[Released On]])</f>
        <v/>
      </c>
      <c r="I466">
        <f>_xlfn.XLOOKUP(tbl_MTG_Set[[#This Row],[Type Name]], tbl_MTG_Set_Type[Set Type], tbl_MTG_Set_Type[Index], "(Set Type not found)")</f>
        <v/>
      </c>
      <c r="J466">
        <f>_xlfn.XLOOKUP(tbl_MTG_Set[[#This Row],[Type Name]], tbl_MTG_Set_Type[Set Type], tbl_MTG_Set_Type[Buy Window Month Start], "(Set Type not found)")</f>
        <v/>
      </c>
      <c r="K466" s="3">
        <f>tbl_MTG_Set[[#This Row],[Released On]]+tbl_MTG_Set[[#This Row],[Buy Window Month Start]]*365.25/12</f>
        <v/>
      </c>
      <c r="L466">
        <f>_xlfn.XLOOKUP(tbl_MTG_Set[[#This Row],[Type Name]], tbl_MTG_Set_Type[Set Type], tbl_MTG_Set_Type[Buy Window Month End], "(Set Type not found)", 0, 1)</f>
        <v/>
      </c>
      <c r="M466" s="3">
        <f>tbl_MTG_Set[[#This Row],[Released On]]+tbl_MTG_Set[[#This Row],[Buy Window Month End]]*365.25/12</f>
        <v/>
      </c>
      <c r="N466" s="3">
        <f>AND(NOW()&gt;=tbl_MTG_Set[[#This Row],[Buy Window Start]], NOW()&lt;=tbl_MTG_Set[[#This Row],[Buy Window End]])</f>
        <v/>
      </c>
      <c r="O466">
        <f>_xlfn.XLOOKUP(tbl_MTG_Set[[#This Row],[Type Name]], tbl_MTG_Set_Type[Set Type], tbl_MTG_Set_Type[Heavy Printing Window Month Start], "(Set Type not found)", 0, 1)</f>
        <v/>
      </c>
      <c r="P466" s="3">
        <f>tbl_MTG_Set[[#This Row],[Released On]]+tbl_MTG_Set[[#This Row],[Heavy Printing Window Month Start]]*365.25/12</f>
        <v/>
      </c>
      <c r="Q466">
        <f>_xlfn.XLOOKUP(tbl_MTG_Set[[#This Row],[Type Name]], tbl_MTG_Set_Type[Set Type], tbl_MTG_Set_Type[Heavy Printing Window Month End], "(Set Type not found)", 0, 1)</f>
        <v/>
      </c>
      <c r="R466" s="3">
        <f>tbl_MTG_Set[[#This Row],[Released On]]+tbl_MTG_Set[[#This Row],[Heavy Printing Window Month End]]*365.25/12</f>
        <v/>
      </c>
      <c r="S466" s="3">
        <f>AND(NOW()&gt;=tbl_MTG_Set[[#This Row],[Heavy Printing Window Start]], NOW()&lt;=tbl_MTG_Set[[#This Row],[Heavy Printing Window End]])</f>
        <v/>
      </c>
      <c r="T466">
        <f>_xlfn.XLOOKUP(tbl_MTG_Set[[#This Row],[Type Name]], tbl_MTG_Set_Type[Set Type], tbl_MTG_Set_Type[Sell Window Month Start], "(Set Type not found)", 0, 1)</f>
        <v/>
      </c>
      <c r="U466" s="3">
        <f>tbl_MTG_Set[[#This Row],[Released On]]+tbl_MTG_Set[[#This Row],[Sell Window Month Start]]*365.25/12</f>
        <v/>
      </c>
      <c r="V466">
        <f>_xlfn.XLOOKUP(tbl_MTG_Set[[#This Row],[Type Name]], tbl_MTG_Set_Type[Set Type], tbl_MTG_Set_Type[Sell Window Month End], "(Set Type not found)", 0, 1)</f>
        <v/>
      </c>
      <c r="W466" s="3">
        <f>tbl_MTG_Set[[#This Row],[Released On]]+tbl_MTG_Set[[#This Row],[Sell Window Month End]]*365.25/12</f>
        <v/>
      </c>
      <c r="X466" s="3">
        <f>AND(NOW()&gt;=tbl_MTG_Set[[#This Row],[Sell Window Start]], NOW()&lt;=tbl_MTG_Set[[#This Row],[Sell Window End]])</f>
        <v/>
      </c>
      <c r="AG466" s="10" t="n"/>
      <c r="AH466" s="10" t="n"/>
      <c r="AM466" s="10">
        <f t="array" ref="AM4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6" s="10">
        <f t="array" ref="AN4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6" s="4">
        <f>_xlfn.XLOOKUP(tbl_MTG_Set[[#This Row],[Play Booster Box Product Id]], tbl_Product[Product Id], tbl_Product[Pack Size])</f>
        <v/>
      </c>
      <c r="AP466" s="10">
        <f>(tbl_MTG_Set[[#This Row],[Play Booster Box Cost]]+v_Item_Shipping_Cost_In)/tbl_MTG_Set[[#This Row],[Play Booster Box Size]]</f>
        <v/>
      </c>
      <c r="AQ466" s="10">
        <f t="array" ref="AQ4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6" s="10" t="n"/>
      <c r="AS466" s="10" t="n"/>
      <c r="AT466" s="17">
        <f>tbl_MTG_Set[[#This Row],[Play Booster CardMarket Profit]]/tbl_MTG_Set[[#This Row],[Play Booster Cost]]</f>
        <v/>
      </c>
      <c r="AU466" s="10">
        <f>_xlfn.XLOOKUP(tbl_MTG_Set[[#This Row],[Collector Booster Box Product Id]], tbl_Product[Product Id], tbl_Product[Min Cost])</f>
        <v/>
      </c>
      <c r="AV466" s="10">
        <f>_xlfn.XLOOKUP(tbl_MTG_Set[[#This Row],[Collector Booster Box Product Id]], tbl_Product[Product Id], tbl_Product[Best Source])</f>
        <v/>
      </c>
      <c r="AW466" s="4">
        <f>_xlfn.XLOOKUP(tbl_MTG_Set[[#This Row],[Collector Booster Box Product Id]], tbl_Product[Product Id], tbl_Product[Pack Size])</f>
        <v/>
      </c>
      <c r="AX466" s="10">
        <f>(tbl_MTG_Set[[#This Row],[Collector Booster Box Cost]] + v_Item_Shipping_Cost_In) / tbl_MTG_Set[[#This Row],[Collector Booster Box Size]]</f>
        <v/>
      </c>
      <c r="AY466" s="10">
        <f t="array" ref="AY4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6" s="10" t="n"/>
      <c r="BA4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6" s="17">
        <f>tbl_MTG_Set[[#This Row],[Collector Booster CardMarket Profit]]/tbl_MTG_Set[[#This Row],[Collector Booster Cost]]</f>
        <v/>
      </c>
      <c r="BC466" s="10" t="n"/>
      <c r="BF466" s="10">
        <f>tbl_MTG_Set[[#This Row],[Play Booster Sell Price CardMarket]]*tbl_MTG_Set[[#This Row],[Play Booster Expected Market Value]]/tbl_MTG_Set[[#This Row],[Play Boost Sealed Market Value]]</f>
        <v/>
      </c>
      <c r="BG4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6" s="10">
        <f>tbl_MTG_Set[[#This Row],[Play Singles CardMarket Profit]]/tbl_MTG_Set[[#This Row],[Play Booster Cost]]</f>
        <v/>
      </c>
      <c r="BI466" s="10">
        <f>tbl_MTG_Set[[#This Row],[Play Singles CardMarket Profit]]&gt;0</f>
        <v/>
      </c>
      <c r="BJ466" s="10" t="n"/>
      <c r="BK466" s="10" t="n"/>
      <c r="BL466" s="10">
        <f>tbl_MTG_Set[[#This Row],[Collector Booster Sell Price CardMarket]]*tbl_MTG_Set[[#This Row],[Collector Booster Expected Market Value]]/tbl_MTG_Set[[#This Row],[Collector Boost Sealed Market Value]]</f>
        <v/>
      </c>
      <c r="BM4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6" s="10">
        <f>tbl_MTG_Set[[#This Row],[Collector Singles CardMarket Profit]]/tbl_MTG_Set[[#This Row],[Collector Booster Cost]]</f>
        <v/>
      </c>
      <c r="BO466" s="10">
        <f>tbl_MTG_Set[[#This Row],[Collector Singles CardMarket Profit]]&gt;0</f>
        <v/>
      </c>
      <c r="BP4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7">
      <c r="A467" t="n">
        <v>465</v>
      </c>
      <c r="B467" t="inlineStr">
        <is>
          <t>Commander 2018 C18</t>
        </is>
      </c>
      <c r="C467" t="n">
        <v>307</v>
      </c>
      <c r="D467" s="3" t="n">
        <v>43322</v>
      </c>
      <c r="F467" t="inlineStr">
        <is>
          <t>en es fr de it pt ja ko ru 汉语 漢語</t>
        </is>
      </c>
      <c r="G467" t="n">
        <v>876</v>
      </c>
      <c r="H467">
        <f>MONTH(NOW())+12*YEAR(NOW())-MONTH(tbl_MTG_Set[[#This Row],[Released On]])-12*YEAR(tbl_MTG_Set[[#This Row],[Released On]])</f>
        <v/>
      </c>
      <c r="I467">
        <f>_xlfn.XLOOKUP(tbl_MTG_Set[[#This Row],[Type Name]], tbl_MTG_Set_Type[Set Type], tbl_MTG_Set_Type[Index], "(Set Type not found)")</f>
        <v/>
      </c>
      <c r="J467">
        <f>_xlfn.XLOOKUP(tbl_MTG_Set[[#This Row],[Type Name]], tbl_MTG_Set_Type[Set Type], tbl_MTG_Set_Type[Buy Window Month Start], "(Set Type not found)")</f>
        <v/>
      </c>
      <c r="K467" s="3">
        <f>tbl_MTG_Set[[#This Row],[Released On]]+tbl_MTG_Set[[#This Row],[Buy Window Month Start]]*365.25/12</f>
        <v/>
      </c>
      <c r="L467">
        <f>_xlfn.XLOOKUP(tbl_MTG_Set[[#This Row],[Type Name]], tbl_MTG_Set_Type[Set Type], tbl_MTG_Set_Type[Buy Window Month End], "(Set Type not found)", 0, 1)</f>
        <v/>
      </c>
      <c r="M467" s="3">
        <f>tbl_MTG_Set[[#This Row],[Released On]]+tbl_MTG_Set[[#This Row],[Buy Window Month End]]*365.25/12</f>
        <v/>
      </c>
      <c r="N467" s="3">
        <f>AND(NOW()&gt;=tbl_MTG_Set[[#This Row],[Buy Window Start]], NOW()&lt;=tbl_MTG_Set[[#This Row],[Buy Window End]])</f>
        <v/>
      </c>
      <c r="O467">
        <f>_xlfn.XLOOKUP(tbl_MTG_Set[[#This Row],[Type Name]], tbl_MTG_Set_Type[Set Type], tbl_MTG_Set_Type[Heavy Printing Window Month Start], "(Set Type not found)", 0, 1)</f>
        <v/>
      </c>
      <c r="P467" s="3">
        <f>tbl_MTG_Set[[#This Row],[Released On]]+tbl_MTG_Set[[#This Row],[Heavy Printing Window Month Start]]*365.25/12</f>
        <v/>
      </c>
      <c r="Q467">
        <f>_xlfn.XLOOKUP(tbl_MTG_Set[[#This Row],[Type Name]], tbl_MTG_Set_Type[Set Type], tbl_MTG_Set_Type[Heavy Printing Window Month End], "(Set Type not found)", 0, 1)</f>
        <v/>
      </c>
      <c r="R467" s="3">
        <f>tbl_MTG_Set[[#This Row],[Released On]]+tbl_MTG_Set[[#This Row],[Heavy Printing Window Month End]]*365.25/12</f>
        <v/>
      </c>
      <c r="S467" s="3">
        <f>AND(NOW()&gt;=tbl_MTG_Set[[#This Row],[Heavy Printing Window Start]], NOW()&lt;=tbl_MTG_Set[[#This Row],[Heavy Printing Window End]])</f>
        <v/>
      </c>
      <c r="T467">
        <f>_xlfn.XLOOKUP(tbl_MTG_Set[[#This Row],[Type Name]], tbl_MTG_Set_Type[Set Type], tbl_MTG_Set_Type[Sell Window Month Start], "(Set Type not found)", 0, 1)</f>
        <v/>
      </c>
      <c r="U467" s="3">
        <f>tbl_MTG_Set[[#This Row],[Released On]]+tbl_MTG_Set[[#This Row],[Sell Window Month Start]]*365.25/12</f>
        <v/>
      </c>
      <c r="V467">
        <f>_xlfn.XLOOKUP(tbl_MTG_Set[[#This Row],[Type Name]], tbl_MTG_Set_Type[Set Type], tbl_MTG_Set_Type[Sell Window Month End], "(Set Type not found)", 0, 1)</f>
        <v/>
      </c>
      <c r="W467" s="3">
        <f>tbl_MTG_Set[[#This Row],[Released On]]+tbl_MTG_Set[[#This Row],[Sell Window Month End]]*365.25/12</f>
        <v/>
      </c>
      <c r="X467" s="3">
        <f>AND(NOW()&gt;=tbl_MTG_Set[[#This Row],[Sell Window Start]], NOW()&lt;=tbl_MTG_Set[[#This Row],[Sell Window End]])</f>
        <v/>
      </c>
      <c r="AG467" s="10" t="n"/>
      <c r="AH467" s="10" t="n"/>
      <c r="AM467" s="10">
        <f t="array" ref="AM4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7" s="10">
        <f t="array" ref="AN4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7" s="4">
        <f>_xlfn.XLOOKUP(tbl_MTG_Set[[#This Row],[Play Booster Box Product Id]], tbl_Product[Product Id], tbl_Product[Pack Size])</f>
        <v/>
      </c>
      <c r="AP467" s="10">
        <f>(tbl_MTG_Set[[#This Row],[Play Booster Box Cost]]+v_Item_Shipping_Cost_In)/tbl_MTG_Set[[#This Row],[Play Booster Box Size]]</f>
        <v/>
      </c>
      <c r="AQ467" s="10">
        <f t="array" ref="AQ4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7" s="10" t="n"/>
      <c r="AS467" s="10" t="n"/>
      <c r="AT467" s="17">
        <f>tbl_MTG_Set[[#This Row],[Play Booster CardMarket Profit]]/tbl_MTG_Set[[#This Row],[Play Booster Cost]]</f>
        <v/>
      </c>
      <c r="AU467" s="10">
        <f>_xlfn.XLOOKUP(tbl_MTG_Set[[#This Row],[Collector Booster Box Product Id]], tbl_Product[Product Id], tbl_Product[Min Cost])</f>
        <v/>
      </c>
      <c r="AV467" s="10">
        <f>_xlfn.XLOOKUP(tbl_MTG_Set[[#This Row],[Collector Booster Box Product Id]], tbl_Product[Product Id], tbl_Product[Best Source])</f>
        <v/>
      </c>
      <c r="AW467" s="4">
        <f>_xlfn.XLOOKUP(tbl_MTG_Set[[#This Row],[Collector Booster Box Product Id]], tbl_Product[Product Id], tbl_Product[Pack Size])</f>
        <v/>
      </c>
      <c r="AX467" s="10">
        <f>(tbl_MTG_Set[[#This Row],[Collector Booster Box Cost]] + v_Item_Shipping_Cost_In) / tbl_MTG_Set[[#This Row],[Collector Booster Box Size]]</f>
        <v/>
      </c>
      <c r="AY467" s="10">
        <f t="array" ref="AY4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7" s="10" t="n"/>
      <c r="BA4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7" s="17">
        <f>tbl_MTG_Set[[#This Row],[Collector Booster CardMarket Profit]]/tbl_MTG_Set[[#This Row],[Collector Booster Cost]]</f>
        <v/>
      </c>
      <c r="BC467" s="10" t="n"/>
      <c r="BF467" s="10">
        <f>tbl_MTG_Set[[#This Row],[Play Booster Sell Price CardMarket]]*tbl_MTG_Set[[#This Row],[Play Booster Expected Market Value]]/tbl_MTG_Set[[#This Row],[Play Boost Sealed Market Value]]</f>
        <v/>
      </c>
      <c r="BG4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7" s="10">
        <f>tbl_MTG_Set[[#This Row],[Play Singles CardMarket Profit]]/tbl_MTG_Set[[#This Row],[Play Booster Cost]]</f>
        <v/>
      </c>
      <c r="BI467" s="10">
        <f>tbl_MTG_Set[[#This Row],[Play Singles CardMarket Profit]]&gt;0</f>
        <v/>
      </c>
      <c r="BJ467" s="10" t="n"/>
      <c r="BK467" s="10" t="n"/>
      <c r="BL467" s="10">
        <f>tbl_MTG_Set[[#This Row],[Collector Booster Sell Price CardMarket]]*tbl_MTG_Set[[#This Row],[Collector Booster Expected Market Value]]/tbl_MTG_Set[[#This Row],[Collector Boost Sealed Market Value]]</f>
        <v/>
      </c>
      <c r="BM4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7" s="10">
        <f>tbl_MTG_Set[[#This Row],[Collector Singles CardMarket Profit]]/tbl_MTG_Set[[#This Row],[Collector Booster Cost]]</f>
        <v/>
      </c>
      <c r="BO467" s="10">
        <f>tbl_MTG_Set[[#This Row],[Collector Singles CardMarket Profit]]&gt;0</f>
        <v/>
      </c>
      <c r="BP4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8">
      <c r="A468" t="n">
        <v>466</v>
      </c>
      <c r="B468" t="inlineStr">
        <is>
          <t>Commander 2018 Tokens TC18</t>
        </is>
      </c>
      <c r="C468" t="n">
        <v>26</v>
      </c>
      <c r="D468" s="3" t="n">
        <v>43321</v>
      </c>
      <c r="F468" t="inlineStr">
        <is>
          <t>en es fr de it pt ja ko ru 汉语 漢語</t>
        </is>
      </c>
      <c r="G468" t="n">
        <v>878</v>
      </c>
      <c r="H468">
        <f>MONTH(NOW())+12*YEAR(NOW())-MONTH(tbl_MTG_Set[[#This Row],[Released On]])-12*YEAR(tbl_MTG_Set[[#This Row],[Released On]])</f>
        <v/>
      </c>
      <c r="I468">
        <f>_xlfn.XLOOKUP(tbl_MTG_Set[[#This Row],[Type Name]], tbl_MTG_Set_Type[Set Type], tbl_MTG_Set_Type[Index], "(Set Type not found)")</f>
        <v/>
      </c>
      <c r="J468">
        <f>_xlfn.XLOOKUP(tbl_MTG_Set[[#This Row],[Type Name]], tbl_MTG_Set_Type[Set Type], tbl_MTG_Set_Type[Buy Window Month Start], "(Set Type not found)")</f>
        <v/>
      </c>
      <c r="K468" s="3">
        <f>tbl_MTG_Set[[#This Row],[Released On]]+tbl_MTG_Set[[#This Row],[Buy Window Month Start]]*365.25/12</f>
        <v/>
      </c>
      <c r="L468">
        <f>_xlfn.XLOOKUP(tbl_MTG_Set[[#This Row],[Type Name]], tbl_MTG_Set_Type[Set Type], tbl_MTG_Set_Type[Buy Window Month End], "(Set Type not found)", 0, 1)</f>
        <v/>
      </c>
      <c r="M468" s="3">
        <f>tbl_MTG_Set[[#This Row],[Released On]]+tbl_MTG_Set[[#This Row],[Buy Window Month End]]*365.25/12</f>
        <v/>
      </c>
      <c r="N468" s="3">
        <f>AND(NOW()&gt;=tbl_MTG_Set[[#This Row],[Buy Window Start]], NOW()&lt;=tbl_MTG_Set[[#This Row],[Buy Window End]])</f>
        <v/>
      </c>
      <c r="O468">
        <f>_xlfn.XLOOKUP(tbl_MTG_Set[[#This Row],[Type Name]], tbl_MTG_Set_Type[Set Type], tbl_MTG_Set_Type[Heavy Printing Window Month Start], "(Set Type not found)", 0, 1)</f>
        <v/>
      </c>
      <c r="P468" s="3">
        <f>tbl_MTG_Set[[#This Row],[Released On]]+tbl_MTG_Set[[#This Row],[Heavy Printing Window Month Start]]*365.25/12</f>
        <v/>
      </c>
      <c r="Q468">
        <f>_xlfn.XLOOKUP(tbl_MTG_Set[[#This Row],[Type Name]], tbl_MTG_Set_Type[Set Type], tbl_MTG_Set_Type[Heavy Printing Window Month End], "(Set Type not found)", 0, 1)</f>
        <v/>
      </c>
      <c r="R468" s="3">
        <f>tbl_MTG_Set[[#This Row],[Released On]]+tbl_MTG_Set[[#This Row],[Heavy Printing Window Month End]]*365.25/12</f>
        <v/>
      </c>
      <c r="S468" s="3">
        <f>AND(NOW()&gt;=tbl_MTG_Set[[#This Row],[Heavy Printing Window Start]], NOW()&lt;=tbl_MTG_Set[[#This Row],[Heavy Printing Window End]])</f>
        <v/>
      </c>
      <c r="T468">
        <f>_xlfn.XLOOKUP(tbl_MTG_Set[[#This Row],[Type Name]], tbl_MTG_Set_Type[Set Type], tbl_MTG_Set_Type[Sell Window Month Start], "(Set Type not found)", 0, 1)</f>
        <v/>
      </c>
      <c r="U468" s="3">
        <f>tbl_MTG_Set[[#This Row],[Released On]]+tbl_MTG_Set[[#This Row],[Sell Window Month Start]]*365.25/12</f>
        <v/>
      </c>
      <c r="V468">
        <f>_xlfn.XLOOKUP(tbl_MTG_Set[[#This Row],[Type Name]], tbl_MTG_Set_Type[Set Type], tbl_MTG_Set_Type[Sell Window Month End], "(Set Type not found)", 0, 1)</f>
        <v/>
      </c>
      <c r="W468" s="3">
        <f>tbl_MTG_Set[[#This Row],[Released On]]+tbl_MTG_Set[[#This Row],[Sell Window Month End]]*365.25/12</f>
        <v/>
      </c>
      <c r="X468" s="3">
        <f>AND(NOW()&gt;=tbl_MTG_Set[[#This Row],[Sell Window Start]], NOW()&lt;=tbl_MTG_Set[[#This Row],[Sell Window End]])</f>
        <v/>
      </c>
      <c r="AG468" s="10" t="n"/>
      <c r="AH468" s="10" t="n"/>
      <c r="AM468" s="10">
        <f t="array" ref="AM4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8" s="10">
        <f t="array" ref="AN4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8" s="4">
        <f>_xlfn.XLOOKUP(tbl_MTG_Set[[#This Row],[Play Booster Box Product Id]], tbl_Product[Product Id], tbl_Product[Pack Size])</f>
        <v/>
      </c>
      <c r="AP468" s="10">
        <f>(tbl_MTG_Set[[#This Row],[Play Booster Box Cost]]+v_Item_Shipping_Cost_In)/tbl_MTG_Set[[#This Row],[Play Booster Box Size]]</f>
        <v/>
      </c>
      <c r="AQ468" s="10">
        <f t="array" ref="AQ4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8" s="10" t="n"/>
      <c r="AS468" s="10" t="n"/>
      <c r="AT468" s="17">
        <f>tbl_MTG_Set[[#This Row],[Play Booster CardMarket Profit]]/tbl_MTG_Set[[#This Row],[Play Booster Cost]]</f>
        <v/>
      </c>
      <c r="AU468" s="10">
        <f>_xlfn.XLOOKUP(tbl_MTG_Set[[#This Row],[Collector Booster Box Product Id]], tbl_Product[Product Id], tbl_Product[Min Cost])</f>
        <v/>
      </c>
      <c r="AV468" s="10">
        <f>_xlfn.XLOOKUP(tbl_MTG_Set[[#This Row],[Collector Booster Box Product Id]], tbl_Product[Product Id], tbl_Product[Best Source])</f>
        <v/>
      </c>
      <c r="AW468" s="4">
        <f>_xlfn.XLOOKUP(tbl_MTG_Set[[#This Row],[Collector Booster Box Product Id]], tbl_Product[Product Id], tbl_Product[Pack Size])</f>
        <v/>
      </c>
      <c r="AX468" s="10">
        <f>(tbl_MTG_Set[[#This Row],[Collector Booster Box Cost]] + v_Item_Shipping_Cost_In) / tbl_MTG_Set[[#This Row],[Collector Booster Box Size]]</f>
        <v/>
      </c>
      <c r="AY468" s="10">
        <f t="array" ref="AY4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8" s="10" t="n"/>
      <c r="BA4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8" s="17">
        <f>tbl_MTG_Set[[#This Row],[Collector Booster CardMarket Profit]]/tbl_MTG_Set[[#This Row],[Collector Booster Cost]]</f>
        <v/>
      </c>
      <c r="BC468" s="10" t="n"/>
      <c r="BF468" s="10">
        <f>tbl_MTG_Set[[#This Row],[Play Booster Sell Price CardMarket]]*tbl_MTG_Set[[#This Row],[Play Booster Expected Market Value]]/tbl_MTG_Set[[#This Row],[Play Boost Sealed Market Value]]</f>
        <v/>
      </c>
      <c r="BG4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8" s="10">
        <f>tbl_MTG_Set[[#This Row],[Play Singles CardMarket Profit]]/tbl_MTG_Set[[#This Row],[Play Booster Cost]]</f>
        <v/>
      </c>
      <c r="BI468" s="10">
        <f>tbl_MTG_Set[[#This Row],[Play Singles CardMarket Profit]]&gt;0</f>
        <v/>
      </c>
      <c r="BJ468" s="10" t="n"/>
      <c r="BK468" s="10" t="n"/>
      <c r="BL468" s="10">
        <f>tbl_MTG_Set[[#This Row],[Collector Booster Sell Price CardMarket]]*tbl_MTG_Set[[#This Row],[Collector Booster Expected Market Value]]/tbl_MTG_Set[[#This Row],[Collector Boost Sealed Market Value]]</f>
        <v/>
      </c>
      <c r="BM4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8" s="10">
        <f>tbl_MTG_Set[[#This Row],[Collector Singles CardMarket Profit]]/tbl_MTG_Set[[#This Row],[Collector Booster Cost]]</f>
        <v/>
      </c>
      <c r="BO468" s="10">
        <f>tbl_MTG_Set[[#This Row],[Collector Singles CardMarket Profit]]&gt;0</f>
        <v/>
      </c>
      <c r="BP4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9">
      <c r="A469" t="n">
        <v>467</v>
      </c>
      <c r="B469" t="inlineStr">
        <is>
          <t>Commander 2018 Oversized OC18</t>
        </is>
      </c>
      <c r="C469" t="n">
        <v>4</v>
      </c>
      <c r="D469" s="3" t="n">
        <v>43321</v>
      </c>
      <c r="F469" t="inlineStr">
        <is>
          <t>en es fr de it pt ja ko ru 汉语 漢語</t>
        </is>
      </c>
      <c r="G469" t="n">
        <v>880</v>
      </c>
      <c r="H469">
        <f>MONTH(NOW())+12*YEAR(NOW())-MONTH(tbl_MTG_Set[[#This Row],[Released On]])-12*YEAR(tbl_MTG_Set[[#This Row],[Released On]])</f>
        <v/>
      </c>
      <c r="I469">
        <f>_xlfn.XLOOKUP(tbl_MTG_Set[[#This Row],[Type Name]], tbl_MTG_Set_Type[Set Type], tbl_MTG_Set_Type[Index], "(Set Type not found)")</f>
        <v/>
      </c>
      <c r="J469">
        <f>_xlfn.XLOOKUP(tbl_MTG_Set[[#This Row],[Type Name]], tbl_MTG_Set_Type[Set Type], tbl_MTG_Set_Type[Buy Window Month Start], "(Set Type not found)")</f>
        <v/>
      </c>
      <c r="K469" s="3">
        <f>tbl_MTG_Set[[#This Row],[Released On]]+tbl_MTG_Set[[#This Row],[Buy Window Month Start]]*365.25/12</f>
        <v/>
      </c>
      <c r="L469">
        <f>_xlfn.XLOOKUP(tbl_MTG_Set[[#This Row],[Type Name]], tbl_MTG_Set_Type[Set Type], tbl_MTG_Set_Type[Buy Window Month End], "(Set Type not found)", 0, 1)</f>
        <v/>
      </c>
      <c r="M469" s="3">
        <f>tbl_MTG_Set[[#This Row],[Released On]]+tbl_MTG_Set[[#This Row],[Buy Window Month End]]*365.25/12</f>
        <v/>
      </c>
      <c r="N469" s="3">
        <f>AND(NOW()&gt;=tbl_MTG_Set[[#This Row],[Buy Window Start]], NOW()&lt;=tbl_MTG_Set[[#This Row],[Buy Window End]])</f>
        <v/>
      </c>
      <c r="O469">
        <f>_xlfn.XLOOKUP(tbl_MTG_Set[[#This Row],[Type Name]], tbl_MTG_Set_Type[Set Type], tbl_MTG_Set_Type[Heavy Printing Window Month Start], "(Set Type not found)", 0, 1)</f>
        <v/>
      </c>
      <c r="P469" s="3">
        <f>tbl_MTG_Set[[#This Row],[Released On]]+tbl_MTG_Set[[#This Row],[Heavy Printing Window Month Start]]*365.25/12</f>
        <v/>
      </c>
      <c r="Q469">
        <f>_xlfn.XLOOKUP(tbl_MTG_Set[[#This Row],[Type Name]], tbl_MTG_Set_Type[Set Type], tbl_MTG_Set_Type[Heavy Printing Window Month End], "(Set Type not found)", 0, 1)</f>
        <v/>
      </c>
      <c r="R469" s="3">
        <f>tbl_MTG_Set[[#This Row],[Released On]]+tbl_MTG_Set[[#This Row],[Heavy Printing Window Month End]]*365.25/12</f>
        <v/>
      </c>
      <c r="S469" s="3">
        <f>AND(NOW()&gt;=tbl_MTG_Set[[#This Row],[Heavy Printing Window Start]], NOW()&lt;=tbl_MTG_Set[[#This Row],[Heavy Printing Window End]])</f>
        <v/>
      </c>
      <c r="T469">
        <f>_xlfn.XLOOKUP(tbl_MTG_Set[[#This Row],[Type Name]], tbl_MTG_Set_Type[Set Type], tbl_MTG_Set_Type[Sell Window Month Start], "(Set Type not found)", 0, 1)</f>
        <v/>
      </c>
      <c r="U469" s="3">
        <f>tbl_MTG_Set[[#This Row],[Released On]]+tbl_MTG_Set[[#This Row],[Sell Window Month Start]]*365.25/12</f>
        <v/>
      </c>
      <c r="V469">
        <f>_xlfn.XLOOKUP(tbl_MTG_Set[[#This Row],[Type Name]], tbl_MTG_Set_Type[Set Type], tbl_MTG_Set_Type[Sell Window Month End], "(Set Type not found)", 0, 1)</f>
        <v/>
      </c>
      <c r="W469" s="3">
        <f>tbl_MTG_Set[[#This Row],[Released On]]+tbl_MTG_Set[[#This Row],[Sell Window Month End]]*365.25/12</f>
        <v/>
      </c>
      <c r="X469" s="3">
        <f>AND(NOW()&gt;=tbl_MTG_Set[[#This Row],[Sell Window Start]], NOW()&lt;=tbl_MTG_Set[[#This Row],[Sell Window End]])</f>
        <v/>
      </c>
      <c r="AG469" s="10" t="n"/>
      <c r="AH469" s="10" t="n"/>
      <c r="AM469" s="10">
        <f t="array" ref="AM4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9" s="10">
        <f t="array" ref="AN4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9" s="4">
        <f>_xlfn.XLOOKUP(tbl_MTG_Set[[#This Row],[Play Booster Box Product Id]], tbl_Product[Product Id], tbl_Product[Pack Size])</f>
        <v/>
      </c>
      <c r="AP469" s="10">
        <f>(tbl_MTG_Set[[#This Row],[Play Booster Box Cost]]+v_Item_Shipping_Cost_In)/tbl_MTG_Set[[#This Row],[Play Booster Box Size]]</f>
        <v/>
      </c>
      <c r="AQ469" s="10">
        <f t="array" ref="AQ4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69" s="10" t="n"/>
      <c r="AS469" s="10" t="n"/>
      <c r="AT469" s="17">
        <f>tbl_MTG_Set[[#This Row],[Play Booster CardMarket Profit]]/tbl_MTG_Set[[#This Row],[Play Booster Cost]]</f>
        <v/>
      </c>
      <c r="AU469" s="10">
        <f>_xlfn.XLOOKUP(tbl_MTG_Set[[#This Row],[Collector Booster Box Product Id]], tbl_Product[Product Id], tbl_Product[Min Cost])</f>
        <v/>
      </c>
      <c r="AV469" s="10">
        <f>_xlfn.XLOOKUP(tbl_MTG_Set[[#This Row],[Collector Booster Box Product Id]], tbl_Product[Product Id], tbl_Product[Best Source])</f>
        <v/>
      </c>
      <c r="AW469" s="4">
        <f>_xlfn.XLOOKUP(tbl_MTG_Set[[#This Row],[Collector Booster Box Product Id]], tbl_Product[Product Id], tbl_Product[Pack Size])</f>
        <v/>
      </c>
      <c r="AX469" s="10">
        <f>(tbl_MTG_Set[[#This Row],[Collector Booster Box Cost]] + v_Item_Shipping_Cost_In) / tbl_MTG_Set[[#This Row],[Collector Booster Box Size]]</f>
        <v/>
      </c>
      <c r="AY469" s="10">
        <f t="array" ref="AY4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69" s="10" t="n"/>
      <c r="BA4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9" s="17">
        <f>tbl_MTG_Set[[#This Row],[Collector Booster CardMarket Profit]]/tbl_MTG_Set[[#This Row],[Collector Booster Cost]]</f>
        <v/>
      </c>
      <c r="BC469" s="10" t="n"/>
      <c r="BF469" s="10">
        <f>tbl_MTG_Set[[#This Row],[Play Booster Sell Price CardMarket]]*tbl_MTG_Set[[#This Row],[Play Booster Expected Market Value]]/tbl_MTG_Set[[#This Row],[Play Boost Sealed Market Value]]</f>
        <v/>
      </c>
      <c r="BG4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9" s="10">
        <f>tbl_MTG_Set[[#This Row],[Play Singles CardMarket Profit]]/tbl_MTG_Set[[#This Row],[Play Booster Cost]]</f>
        <v/>
      </c>
      <c r="BI469" s="10">
        <f>tbl_MTG_Set[[#This Row],[Play Singles CardMarket Profit]]&gt;0</f>
        <v/>
      </c>
      <c r="BJ469" s="10" t="n"/>
      <c r="BK469" s="10" t="n"/>
      <c r="BL469" s="10">
        <f>tbl_MTG_Set[[#This Row],[Collector Booster Sell Price CardMarket]]*tbl_MTG_Set[[#This Row],[Collector Booster Expected Market Value]]/tbl_MTG_Set[[#This Row],[Collector Boost Sealed Market Value]]</f>
        <v/>
      </c>
      <c r="BM4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9" s="10">
        <f>tbl_MTG_Set[[#This Row],[Collector Singles CardMarket Profit]]/tbl_MTG_Set[[#This Row],[Collector Booster Cost]]</f>
        <v/>
      </c>
      <c r="BO469" s="10">
        <f>tbl_MTG_Set[[#This Row],[Collector Singles CardMarket Profit]]&gt;0</f>
        <v/>
      </c>
      <c r="BP4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0">
      <c r="A470" t="n">
        <v>468</v>
      </c>
      <c r="B470" t="inlineStr">
        <is>
          <t>Pro Tour Cube PROTOUR</t>
        </is>
      </c>
      <c r="C470" t="n">
        <v>540</v>
      </c>
      <c r="D470" s="3" t="n">
        <v>43320</v>
      </c>
      <c r="F470" t="n">
        <v>0</v>
      </c>
      <c r="G470" t="n">
        <v>882</v>
      </c>
      <c r="H470">
        <f>MONTH(NOW())+12*YEAR(NOW())-MONTH(tbl_MTG_Set[[#This Row],[Released On]])-12*YEAR(tbl_MTG_Set[[#This Row],[Released On]])</f>
        <v/>
      </c>
      <c r="I470">
        <f>_xlfn.XLOOKUP(tbl_MTG_Set[[#This Row],[Type Name]], tbl_MTG_Set_Type[Set Type], tbl_MTG_Set_Type[Index], "(Set Type not found)")</f>
        <v/>
      </c>
      <c r="J470">
        <f>_xlfn.XLOOKUP(tbl_MTG_Set[[#This Row],[Type Name]], tbl_MTG_Set_Type[Set Type], tbl_MTG_Set_Type[Buy Window Month Start], "(Set Type not found)")</f>
        <v/>
      </c>
      <c r="K470" s="3">
        <f>tbl_MTG_Set[[#This Row],[Released On]]+tbl_MTG_Set[[#This Row],[Buy Window Month Start]]*365.25/12</f>
        <v/>
      </c>
      <c r="L470">
        <f>_xlfn.XLOOKUP(tbl_MTG_Set[[#This Row],[Type Name]], tbl_MTG_Set_Type[Set Type], tbl_MTG_Set_Type[Buy Window Month End], "(Set Type not found)", 0, 1)</f>
        <v/>
      </c>
      <c r="M470" s="3">
        <f>tbl_MTG_Set[[#This Row],[Released On]]+tbl_MTG_Set[[#This Row],[Buy Window Month End]]*365.25/12</f>
        <v/>
      </c>
      <c r="N470" s="3">
        <f>AND(NOW()&gt;=tbl_MTG_Set[[#This Row],[Buy Window Start]], NOW()&lt;=tbl_MTG_Set[[#This Row],[Buy Window End]])</f>
        <v/>
      </c>
      <c r="O470">
        <f>_xlfn.XLOOKUP(tbl_MTG_Set[[#This Row],[Type Name]], tbl_MTG_Set_Type[Set Type], tbl_MTG_Set_Type[Heavy Printing Window Month Start], "(Set Type not found)", 0, 1)</f>
        <v/>
      </c>
      <c r="P470" s="3">
        <f>tbl_MTG_Set[[#This Row],[Released On]]+tbl_MTG_Set[[#This Row],[Heavy Printing Window Month Start]]*365.25/12</f>
        <v/>
      </c>
      <c r="Q470">
        <f>_xlfn.XLOOKUP(tbl_MTG_Set[[#This Row],[Type Name]], tbl_MTG_Set_Type[Set Type], tbl_MTG_Set_Type[Heavy Printing Window Month End], "(Set Type not found)", 0, 1)</f>
        <v/>
      </c>
      <c r="R470" s="3">
        <f>tbl_MTG_Set[[#This Row],[Released On]]+tbl_MTG_Set[[#This Row],[Heavy Printing Window Month End]]*365.25/12</f>
        <v/>
      </c>
      <c r="S470" s="3">
        <f>AND(NOW()&gt;=tbl_MTG_Set[[#This Row],[Heavy Printing Window Start]], NOW()&lt;=tbl_MTG_Set[[#This Row],[Heavy Printing Window End]])</f>
        <v/>
      </c>
      <c r="T470">
        <f>_xlfn.XLOOKUP(tbl_MTG_Set[[#This Row],[Type Name]], tbl_MTG_Set_Type[Set Type], tbl_MTG_Set_Type[Sell Window Month Start], "(Set Type not found)", 0, 1)</f>
        <v/>
      </c>
      <c r="U470" s="3">
        <f>tbl_MTG_Set[[#This Row],[Released On]]+tbl_MTG_Set[[#This Row],[Sell Window Month Start]]*365.25/12</f>
        <v/>
      </c>
      <c r="V470">
        <f>_xlfn.XLOOKUP(tbl_MTG_Set[[#This Row],[Type Name]], tbl_MTG_Set_Type[Set Type], tbl_MTG_Set_Type[Sell Window Month End], "(Set Type not found)", 0, 1)</f>
        <v/>
      </c>
      <c r="W470" s="3">
        <f>tbl_MTG_Set[[#This Row],[Released On]]+tbl_MTG_Set[[#This Row],[Sell Window Month End]]*365.25/12</f>
        <v/>
      </c>
      <c r="X470" s="3">
        <f>AND(NOW()&gt;=tbl_MTG_Set[[#This Row],[Sell Window Start]], NOW()&lt;=tbl_MTG_Set[[#This Row],[Sell Window End]])</f>
        <v/>
      </c>
      <c r="AG470" s="10" t="n"/>
      <c r="AH470" s="10" t="n"/>
      <c r="AM470" s="10">
        <f t="array" ref="AM4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0" s="10">
        <f t="array" ref="AN4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0" s="4">
        <f>_xlfn.XLOOKUP(tbl_MTG_Set[[#This Row],[Play Booster Box Product Id]], tbl_Product[Product Id], tbl_Product[Pack Size])</f>
        <v/>
      </c>
      <c r="AP470" s="10">
        <f>(tbl_MTG_Set[[#This Row],[Play Booster Box Cost]]+v_Item_Shipping_Cost_In)/tbl_MTG_Set[[#This Row],[Play Booster Box Size]]</f>
        <v/>
      </c>
      <c r="AQ470" s="10">
        <f t="array" ref="AQ4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0" s="10" t="n"/>
      <c r="AS470" s="10" t="n"/>
      <c r="AT470" s="17">
        <f>tbl_MTG_Set[[#This Row],[Play Booster CardMarket Profit]]/tbl_MTG_Set[[#This Row],[Play Booster Cost]]</f>
        <v/>
      </c>
      <c r="AU470" s="10">
        <f>_xlfn.XLOOKUP(tbl_MTG_Set[[#This Row],[Collector Booster Box Product Id]], tbl_Product[Product Id], tbl_Product[Min Cost])</f>
        <v/>
      </c>
      <c r="AV470" s="10">
        <f>_xlfn.XLOOKUP(tbl_MTG_Set[[#This Row],[Collector Booster Box Product Id]], tbl_Product[Product Id], tbl_Product[Best Source])</f>
        <v/>
      </c>
      <c r="AW470" s="4">
        <f>_xlfn.XLOOKUP(tbl_MTG_Set[[#This Row],[Collector Booster Box Product Id]], tbl_Product[Product Id], tbl_Product[Pack Size])</f>
        <v/>
      </c>
      <c r="AX470" s="10">
        <f>(tbl_MTG_Set[[#This Row],[Collector Booster Box Cost]] + v_Item_Shipping_Cost_In) / tbl_MTG_Set[[#This Row],[Collector Booster Box Size]]</f>
        <v/>
      </c>
      <c r="AY470" s="10">
        <f t="array" ref="AY4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0" s="10" t="n"/>
      <c r="BA4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0" s="17">
        <f>tbl_MTG_Set[[#This Row],[Collector Booster CardMarket Profit]]/tbl_MTG_Set[[#This Row],[Collector Booster Cost]]</f>
        <v/>
      </c>
      <c r="BC470" s="10" t="n"/>
      <c r="BF470" s="10">
        <f>tbl_MTG_Set[[#This Row],[Play Booster Sell Price CardMarket]]*tbl_MTG_Set[[#This Row],[Play Booster Expected Market Value]]/tbl_MTG_Set[[#This Row],[Play Boost Sealed Market Value]]</f>
        <v/>
      </c>
      <c r="BG4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0" s="10">
        <f>tbl_MTG_Set[[#This Row],[Play Singles CardMarket Profit]]/tbl_MTG_Set[[#This Row],[Play Booster Cost]]</f>
        <v/>
      </c>
      <c r="BI470" s="10">
        <f>tbl_MTG_Set[[#This Row],[Play Singles CardMarket Profit]]&gt;0</f>
        <v/>
      </c>
      <c r="BJ470" s="10" t="n"/>
      <c r="BK470" s="10" t="n"/>
      <c r="BL470" s="10">
        <f>tbl_MTG_Set[[#This Row],[Collector Booster Sell Price CardMarket]]*tbl_MTG_Set[[#This Row],[Collector Booster Expected Market Value]]/tbl_MTG_Set[[#This Row],[Collector Boost Sealed Market Value]]</f>
        <v/>
      </c>
      <c r="BM4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0" s="10">
        <f>tbl_MTG_Set[[#This Row],[Collector Singles CardMarket Profit]]/tbl_MTG_Set[[#This Row],[Collector Booster Cost]]</f>
        <v/>
      </c>
      <c r="BO470" s="10">
        <f>tbl_MTG_Set[[#This Row],[Collector Singles CardMarket Profit]]&gt;0</f>
        <v/>
      </c>
      <c r="BP4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1">
      <c r="A471" t="n">
        <v>469</v>
      </c>
      <c r="B471" t="inlineStr">
        <is>
          <t>2017 Heroes of the Realm PH17</t>
        </is>
      </c>
      <c r="C471" t="n">
        <v>3</v>
      </c>
      <c r="D471" s="3" t="n">
        <v>43313</v>
      </c>
      <c r="F471" t="inlineStr">
        <is>
          <t>en es fr de it pt ja ko ru 汉语 漢語</t>
        </is>
      </c>
      <c r="G471" t="n">
        <v>884</v>
      </c>
      <c r="H471">
        <f>MONTH(NOW())+12*YEAR(NOW())-MONTH(tbl_MTG_Set[[#This Row],[Released On]])-12*YEAR(tbl_MTG_Set[[#This Row],[Released On]])</f>
        <v/>
      </c>
      <c r="I471">
        <f>_xlfn.XLOOKUP(tbl_MTG_Set[[#This Row],[Type Name]], tbl_MTG_Set_Type[Set Type], tbl_MTG_Set_Type[Index], "(Set Type not found)")</f>
        <v/>
      </c>
      <c r="J471">
        <f>_xlfn.XLOOKUP(tbl_MTG_Set[[#This Row],[Type Name]], tbl_MTG_Set_Type[Set Type], tbl_MTG_Set_Type[Buy Window Month Start], "(Set Type not found)")</f>
        <v/>
      </c>
      <c r="K471" s="3">
        <f>tbl_MTG_Set[[#This Row],[Released On]]+tbl_MTG_Set[[#This Row],[Buy Window Month Start]]*365.25/12</f>
        <v/>
      </c>
      <c r="L471">
        <f>_xlfn.XLOOKUP(tbl_MTG_Set[[#This Row],[Type Name]], tbl_MTG_Set_Type[Set Type], tbl_MTG_Set_Type[Buy Window Month End], "(Set Type not found)", 0, 1)</f>
        <v/>
      </c>
      <c r="M471" s="3">
        <f>tbl_MTG_Set[[#This Row],[Released On]]+tbl_MTG_Set[[#This Row],[Buy Window Month End]]*365.25/12</f>
        <v/>
      </c>
      <c r="N471" s="3">
        <f>AND(NOW()&gt;=tbl_MTG_Set[[#This Row],[Buy Window Start]], NOW()&lt;=tbl_MTG_Set[[#This Row],[Buy Window End]])</f>
        <v/>
      </c>
      <c r="O471">
        <f>_xlfn.XLOOKUP(tbl_MTG_Set[[#This Row],[Type Name]], tbl_MTG_Set_Type[Set Type], tbl_MTG_Set_Type[Heavy Printing Window Month Start], "(Set Type not found)", 0, 1)</f>
        <v/>
      </c>
      <c r="P471" s="3">
        <f>tbl_MTG_Set[[#This Row],[Released On]]+tbl_MTG_Set[[#This Row],[Heavy Printing Window Month Start]]*365.25/12</f>
        <v/>
      </c>
      <c r="Q471">
        <f>_xlfn.XLOOKUP(tbl_MTG_Set[[#This Row],[Type Name]], tbl_MTG_Set_Type[Set Type], tbl_MTG_Set_Type[Heavy Printing Window Month End], "(Set Type not found)", 0, 1)</f>
        <v/>
      </c>
      <c r="R471" s="3">
        <f>tbl_MTG_Set[[#This Row],[Released On]]+tbl_MTG_Set[[#This Row],[Heavy Printing Window Month End]]*365.25/12</f>
        <v/>
      </c>
      <c r="S471" s="3">
        <f>AND(NOW()&gt;=tbl_MTG_Set[[#This Row],[Heavy Printing Window Start]], NOW()&lt;=tbl_MTG_Set[[#This Row],[Heavy Printing Window End]])</f>
        <v/>
      </c>
      <c r="T471">
        <f>_xlfn.XLOOKUP(tbl_MTG_Set[[#This Row],[Type Name]], tbl_MTG_Set_Type[Set Type], tbl_MTG_Set_Type[Sell Window Month Start], "(Set Type not found)", 0, 1)</f>
        <v/>
      </c>
      <c r="U471" s="3">
        <f>tbl_MTG_Set[[#This Row],[Released On]]+tbl_MTG_Set[[#This Row],[Sell Window Month Start]]*365.25/12</f>
        <v/>
      </c>
      <c r="V471">
        <f>_xlfn.XLOOKUP(tbl_MTG_Set[[#This Row],[Type Name]], tbl_MTG_Set_Type[Set Type], tbl_MTG_Set_Type[Sell Window Month End], "(Set Type not found)", 0, 1)</f>
        <v/>
      </c>
      <c r="W471" s="3">
        <f>tbl_MTG_Set[[#This Row],[Released On]]+tbl_MTG_Set[[#This Row],[Sell Window Month End]]*365.25/12</f>
        <v/>
      </c>
      <c r="X471" s="3">
        <f>AND(NOW()&gt;=tbl_MTG_Set[[#This Row],[Sell Window Start]], NOW()&lt;=tbl_MTG_Set[[#This Row],[Sell Window End]])</f>
        <v/>
      </c>
      <c r="AG471" s="10" t="n"/>
      <c r="AH471" s="10" t="n"/>
      <c r="AM471" s="10">
        <f t="array" ref="AM4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1" s="10">
        <f t="array" ref="AN4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1" s="4">
        <f>_xlfn.XLOOKUP(tbl_MTG_Set[[#This Row],[Play Booster Box Product Id]], tbl_Product[Product Id], tbl_Product[Pack Size])</f>
        <v/>
      </c>
      <c r="AP471" s="10">
        <f>(tbl_MTG_Set[[#This Row],[Play Booster Box Cost]]+v_Item_Shipping_Cost_In)/tbl_MTG_Set[[#This Row],[Play Booster Box Size]]</f>
        <v/>
      </c>
      <c r="AQ471" s="10">
        <f t="array" ref="AQ4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1" s="10" t="n"/>
      <c r="AS471" s="10" t="n"/>
      <c r="AT471" s="17">
        <f>tbl_MTG_Set[[#This Row],[Play Booster CardMarket Profit]]/tbl_MTG_Set[[#This Row],[Play Booster Cost]]</f>
        <v/>
      </c>
      <c r="AU471" s="10">
        <f>_xlfn.XLOOKUP(tbl_MTG_Set[[#This Row],[Collector Booster Box Product Id]], tbl_Product[Product Id], tbl_Product[Min Cost])</f>
        <v/>
      </c>
      <c r="AV471" s="10">
        <f>_xlfn.XLOOKUP(tbl_MTG_Set[[#This Row],[Collector Booster Box Product Id]], tbl_Product[Product Id], tbl_Product[Best Source])</f>
        <v/>
      </c>
      <c r="AW471" s="4">
        <f>_xlfn.XLOOKUP(tbl_MTG_Set[[#This Row],[Collector Booster Box Product Id]], tbl_Product[Product Id], tbl_Product[Pack Size])</f>
        <v/>
      </c>
      <c r="AX471" s="10">
        <f>(tbl_MTG_Set[[#This Row],[Collector Booster Box Cost]] + v_Item_Shipping_Cost_In) / tbl_MTG_Set[[#This Row],[Collector Booster Box Size]]</f>
        <v/>
      </c>
      <c r="AY471" s="10">
        <f t="array" ref="AY4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1" s="10" t="n"/>
      <c r="BA4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1" s="17">
        <f>tbl_MTG_Set[[#This Row],[Collector Booster CardMarket Profit]]/tbl_MTG_Set[[#This Row],[Collector Booster Cost]]</f>
        <v/>
      </c>
      <c r="BC471" s="10" t="n"/>
      <c r="BF471" s="10">
        <f>tbl_MTG_Set[[#This Row],[Play Booster Sell Price CardMarket]]*tbl_MTG_Set[[#This Row],[Play Booster Expected Market Value]]/tbl_MTG_Set[[#This Row],[Play Boost Sealed Market Value]]</f>
        <v/>
      </c>
      <c r="BG4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1" s="10">
        <f>tbl_MTG_Set[[#This Row],[Play Singles CardMarket Profit]]/tbl_MTG_Set[[#This Row],[Play Booster Cost]]</f>
        <v/>
      </c>
      <c r="BI471" s="10">
        <f>tbl_MTG_Set[[#This Row],[Play Singles CardMarket Profit]]&gt;0</f>
        <v/>
      </c>
      <c r="BJ471" s="10" t="n"/>
      <c r="BK471" s="10" t="n"/>
      <c r="BL471" s="10">
        <f>tbl_MTG_Set[[#This Row],[Collector Booster Sell Price CardMarket]]*tbl_MTG_Set[[#This Row],[Collector Booster Expected Market Value]]/tbl_MTG_Set[[#This Row],[Collector Boost Sealed Market Value]]</f>
        <v/>
      </c>
      <c r="BM4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1" s="10">
        <f>tbl_MTG_Set[[#This Row],[Collector Singles CardMarket Profit]]/tbl_MTG_Set[[#This Row],[Collector Booster Cost]]</f>
        <v/>
      </c>
      <c r="BO471" s="10">
        <f>tbl_MTG_Set[[#This Row],[Collector Singles CardMarket Profit]]&gt;0</f>
        <v/>
      </c>
      <c r="BP4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2">
      <c r="A472" t="n">
        <v>470</v>
      </c>
      <c r="B472" t="inlineStr">
        <is>
          <t>San Diego Comic-Con 2018 PS18</t>
        </is>
      </c>
      <c r="C472" t="n">
        <v>5</v>
      </c>
      <c r="D472" s="3" t="n">
        <v>43300</v>
      </c>
      <c r="F472" t="inlineStr">
        <is>
          <t>en es fr de it pt ja ko ru 汉语 漢語</t>
        </is>
      </c>
      <c r="G472" t="n">
        <v>886</v>
      </c>
      <c r="H472">
        <f>MONTH(NOW())+12*YEAR(NOW())-MONTH(tbl_MTG_Set[[#This Row],[Released On]])-12*YEAR(tbl_MTG_Set[[#This Row],[Released On]])</f>
        <v/>
      </c>
      <c r="I472">
        <f>_xlfn.XLOOKUP(tbl_MTG_Set[[#This Row],[Type Name]], tbl_MTG_Set_Type[Set Type], tbl_MTG_Set_Type[Index], "(Set Type not found)")</f>
        <v/>
      </c>
      <c r="J472">
        <f>_xlfn.XLOOKUP(tbl_MTG_Set[[#This Row],[Type Name]], tbl_MTG_Set_Type[Set Type], tbl_MTG_Set_Type[Buy Window Month Start], "(Set Type not found)")</f>
        <v/>
      </c>
      <c r="K472" s="3">
        <f>tbl_MTG_Set[[#This Row],[Released On]]+tbl_MTG_Set[[#This Row],[Buy Window Month Start]]*365.25/12</f>
        <v/>
      </c>
      <c r="L472">
        <f>_xlfn.XLOOKUP(tbl_MTG_Set[[#This Row],[Type Name]], tbl_MTG_Set_Type[Set Type], tbl_MTG_Set_Type[Buy Window Month End], "(Set Type not found)", 0, 1)</f>
        <v/>
      </c>
      <c r="M472" s="3">
        <f>tbl_MTG_Set[[#This Row],[Released On]]+tbl_MTG_Set[[#This Row],[Buy Window Month End]]*365.25/12</f>
        <v/>
      </c>
      <c r="N472" s="3">
        <f>AND(NOW()&gt;=tbl_MTG_Set[[#This Row],[Buy Window Start]], NOW()&lt;=tbl_MTG_Set[[#This Row],[Buy Window End]])</f>
        <v/>
      </c>
      <c r="O472">
        <f>_xlfn.XLOOKUP(tbl_MTG_Set[[#This Row],[Type Name]], tbl_MTG_Set_Type[Set Type], tbl_MTG_Set_Type[Heavy Printing Window Month Start], "(Set Type not found)", 0, 1)</f>
        <v/>
      </c>
      <c r="P472" s="3">
        <f>tbl_MTG_Set[[#This Row],[Released On]]+tbl_MTG_Set[[#This Row],[Heavy Printing Window Month Start]]*365.25/12</f>
        <v/>
      </c>
      <c r="Q472">
        <f>_xlfn.XLOOKUP(tbl_MTG_Set[[#This Row],[Type Name]], tbl_MTG_Set_Type[Set Type], tbl_MTG_Set_Type[Heavy Printing Window Month End], "(Set Type not found)", 0, 1)</f>
        <v/>
      </c>
      <c r="R472" s="3">
        <f>tbl_MTG_Set[[#This Row],[Released On]]+tbl_MTG_Set[[#This Row],[Heavy Printing Window Month End]]*365.25/12</f>
        <v/>
      </c>
      <c r="S472" s="3">
        <f>AND(NOW()&gt;=tbl_MTG_Set[[#This Row],[Heavy Printing Window Start]], NOW()&lt;=tbl_MTG_Set[[#This Row],[Heavy Printing Window End]])</f>
        <v/>
      </c>
      <c r="T472">
        <f>_xlfn.XLOOKUP(tbl_MTG_Set[[#This Row],[Type Name]], tbl_MTG_Set_Type[Set Type], tbl_MTG_Set_Type[Sell Window Month Start], "(Set Type not found)", 0, 1)</f>
        <v/>
      </c>
      <c r="U472" s="3">
        <f>tbl_MTG_Set[[#This Row],[Released On]]+tbl_MTG_Set[[#This Row],[Sell Window Month Start]]*365.25/12</f>
        <v/>
      </c>
      <c r="V472">
        <f>_xlfn.XLOOKUP(tbl_MTG_Set[[#This Row],[Type Name]], tbl_MTG_Set_Type[Set Type], tbl_MTG_Set_Type[Sell Window Month End], "(Set Type not found)", 0, 1)</f>
        <v/>
      </c>
      <c r="W472" s="3">
        <f>tbl_MTG_Set[[#This Row],[Released On]]+tbl_MTG_Set[[#This Row],[Sell Window Month End]]*365.25/12</f>
        <v/>
      </c>
      <c r="X472" s="3">
        <f>AND(NOW()&gt;=tbl_MTG_Set[[#This Row],[Sell Window Start]], NOW()&lt;=tbl_MTG_Set[[#This Row],[Sell Window End]])</f>
        <v/>
      </c>
      <c r="AG472" s="10" t="n"/>
      <c r="AH472" s="10" t="n"/>
      <c r="AM472" s="10">
        <f t="array" ref="AM4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2" s="10">
        <f t="array" ref="AN4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2" s="4">
        <f>_xlfn.XLOOKUP(tbl_MTG_Set[[#This Row],[Play Booster Box Product Id]], tbl_Product[Product Id], tbl_Product[Pack Size])</f>
        <v/>
      </c>
      <c r="AP472" s="10">
        <f>(tbl_MTG_Set[[#This Row],[Play Booster Box Cost]]+v_Item_Shipping_Cost_In)/tbl_MTG_Set[[#This Row],[Play Booster Box Size]]</f>
        <v/>
      </c>
      <c r="AQ472" s="10">
        <f t="array" ref="AQ4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2" s="10" t="n"/>
      <c r="AS472" s="10" t="n"/>
      <c r="AT472" s="17">
        <f>tbl_MTG_Set[[#This Row],[Play Booster CardMarket Profit]]/tbl_MTG_Set[[#This Row],[Play Booster Cost]]</f>
        <v/>
      </c>
      <c r="AU472" s="10">
        <f>_xlfn.XLOOKUP(tbl_MTG_Set[[#This Row],[Collector Booster Box Product Id]], tbl_Product[Product Id], tbl_Product[Min Cost])</f>
        <v/>
      </c>
      <c r="AV472" s="10">
        <f>_xlfn.XLOOKUP(tbl_MTG_Set[[#This Row],[Collector Booster Box Product Id]], tbl_Product[Product Id], tbl_Product[Best Source])</f>
        <v/>
      </c>
      <c r="AW472" s="4">
        <f>_xlfn.XLOOKUP(tbl_MTG_Set[[#This Row],[Collector Booster Box Product Id]], tbl_Product[Product Id], tbl_Product[Pack Size])</f>
        <v/>
      </c>
      <c r="AX472" s="10">
        <f>(tbl_MTG_Set[[#This Row],[Collector Booster Box Cost]] + v_Item_Shipping_Cost_In) / tbl_MTG_Set[[#This Row],[Collector Booster Box Size]]</f>
        <v/>
      </c>
      <c r="AY472" s="10">
        <f t="array" ref="AY4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2" s="10" t="n"/>
      <c r="BA4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2" s="17">
        <f>tbl_MTG_Set[[#This Row],[Collector Booster CardMarket Profit]]/tbl_MTG_Set[[#This Row],[Collector Booster Cost]]</f>
        <v/>
      </c>
      <c r="BC472" s="10" t="n"/>
      <c r="BF472" s="10">
        <f>tbl_MTG_Set[[#This Row],[Play Booster Sell Price CardMarket]]*tbl_MTG_Set[[#This Row],[Play Booster Expected Market Value]]/tbl_MTG_Set[[#This Row],[Play Boost Sealed Market Value]]</f>
        <v/>
      </c>
      <c r="BG4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2" s="10">
        <f>tbl_MTG_Set[[#This Row],[Play Singles CardMarket Profit]]/tbl_MTG_Set[[#This Row],[Play Booster Cost]]</f>
        <v/>
      </c>
      <c r="BI472" s="10">
        <f>tbl_MTG_Set[[#This Row],[Play Singles CardMarket Profit]]&gt;0</f>
        <v/>
      </c>
      <c r="BJ472" s="10" t="n"/>
      <c r="BK472" s="10" t="n"/>
      <c r="BL472" s="10">
        <f>tbl_MTG_Set[[#This Row],[Collector Booster Sell Price CardMarket]]*tbl_MTG_Set[[#This Row],[Collector Booster Expected Market Value]]/tbl_MTG_Set[[#This Row],[Collector Boost Sealed Market Value]]</f>
        <v/>
      </c>
      <c r="BM4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2" s="10">
        <f>tbl_MTG_Set[[#This Row],[Collector Singles CardMarket Profit]]/tbl_MTG_Set[[#This Row],[Collector Booster Cost]]</f>
        <v/>
      </c>
      <c r="BO472" s="10">
        <f>tbl_MTG_Set[[#This Row],[Collector Singles CardMarket Profit]]&gt;0</f>
        <v/>
      </c>
      <c r="BP4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3">
      <c r="A473" t="n">
        <v>471</v>
      </c>
      <c r="B473" t="inlineStr">
        <is>
          <t>Arena New Player Experience ANA</t>
        </is>
      </c>
      <c r="C473" t="n">
        <v>46</v>
      </c>
      <c r="D473" s="3" t="n">
        <v>43295</v>
      </c>
      <c r="F473" t="inlineStr">
        <is>
          <t>en es fr de it pt ja ko ru 汉语 漢語</t>
        </is>
      </c>
      <c r="G473" t="n">
        <v>888</v>
      </c>
      <c r="H473">
        <f>MONTH(NOW())+12*YEAR(NOW())-MONTH(tbl_MTG_Set[[#This Row],[Released On]])-12*YEAR(tbl_MTG_Set[[#This Row],[Released On]])</f>
        <v/>
      </c>
      <c r="I473">
        <f>_xlfn.XLOOKUP(tbl_MTG_Set[[#This Row],[Type Name]], tbl_MTG_Set_Type[Set Type], tbl_MTG_Set_Type[Index], "(Set Type not found)")</f>
        <v/>
      </c>
      <c r="J473">
        <f>_xlfn.XLOOKUP(tbl_MTG_Set[[#This Row],[Type Name]], tbl_MTG_Set_Type[Set Type], tbl_MTG_Set_Type[Buy Window Month Start], "(Set Type not found)")</f>
        <v/>
      </c>
      <c r="K473" s="3">
        <f>tbl_MTG_Set[[#This Row],[Released On]]+tbl_MTG_Set[[#This Row],[Buy Window Month Start]]*365.25/12</f>
        <v/>
      </c>
      <c r="L473">
        <f>_xlfn.XLOOKUP(tbl_MTG_Set[[#This Row],[Type Name]], tbl_MTG_Set_Type[Set Type], tbl_MTG_Set_Type[Buy Window Month End], "(Set Type not found)", 0, 1)</f>
        <v/>
      </c>
      <c r="M473" s="3">
        <f>tbl_MTG_Set[[#This Row],[Released On]]+tbl_MTG_Set[[#This Row],[Buy Window Month End]]*365.25/12</f>
        <v/>
      </c>
      <c r="N473" s="3">
        <f>AND(NOW()&gt;=tbl_MTG_Set[[#This Row],[Buy Window Start]], NOW()&lt;=tbl_MTG_Set[[#This Row],[Buy Window End]])</f>
        <v/>
      </c>
      <c r="O473">
        <f>_xlfn.XLOOKUP(tbl_MTG_Set[[#This Row],[Type Name]], tbl_MTG_Set_Type[Set Type], tbl_MTG_Set_Type[Heavy Printing Window Month Start], "(Set Type not found)", 0, 1)</f>
        <v/>
      </c>
      <c r="P473" s="3">
        <f>tbl_MTG_Set[[#This Row],[Released On]]+tbl_MTG_Set[[#This Row],[Heavy Printing Window Month Start]]*365.25/12</f>
        <v/>
      </c>
      <c r="Q473">
        <f>_xlfn.XLOOKUP(tbl_MTG_Set[[#This Row],[Type Name]], tbl_MTG_Set_Type[Set Type], tbl_MTG_Set_Type[Heavy Printing Window Month End], "(Set Type not found)", 0, 1)</f>
        <v/>
      </c>
      <c r="R473" s="3">
        <f>tbl_MTG_Set[[#This Row],[Released On]]+tbl_MTG_Set[[#This Row],[Heavy Printing Window Month End]]*365.25/12</f>
        <v/>
      </c>
      <c r="S473" s="3">
        <f>AND(NOW()&gt;=tbl_MTG_Set[[#This Row],[Heavy Printing Window Start]], NOW()&lt;=tbl_MTG_Set[[#This Row],[Heavy Printing Window End]])</f>
        <v/>
      </c>
      <c r="T473">
        <f>_xlfn.XLOOKUP(tbl_MTG_Set[[#This Row],[Type Name]], tbl_MTG_Set_Type[Set Type], tbl_MTG_Set_Type[Sell Window Month Start], "(Set Type not found)", 0, 1)</f>
        <v/>
      </c>
      <c r="U473" s="3">
        <f>tbl_MTG_Set[[#This Row],[Released On]]+tbl_MTG_Set[[#This Row],[Sell Window Month Start]]*365.25/12</f>
        <v/>
      </c>
      <c r="V473">
        <f>_xlfn.XLOOKUP(tbl_MTG_Set[[#This Row],[Type Name]], tbl_MTG_Set_Type[Set Type], tbl_MTG_Set_Type[Sell Window Month End], "(Set Type not found)", 0, 1)</f>
        <v/>
      </c>
      <c r="W473" s="3">
        <f>tbl_MTG_Set[[#This Row],[Released On]]+tbl_MTG_Set[[#This Row],[Sell Window Month End]]*365.25/12</f>
        <v/>
      </c>
      <c r="X473" s="3">
        <f>AND(NOW()&gt;=tbl_MTG_Set[[#This Row],[Sell Window Start]], NOW()&lt;=tbl_MTG_Set[[#This Row],[Sell Window End]])</f>
        <v/>
      </c>
      <c r="AG473" s="10" t="n"/>
      <c r="AH473" s="10" t="n"/>
      <c r="AM473" s="10">
        <f t="array" ref="AM4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3" s="10">
        <f t="array" ref="AN4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3" s="4">
        <f>_xlfn.XLOOKUP(tbl_MTG_Set[[#This Row],[Play Booster Box Product Id]], tbl_Product[Product Id], tbl_Product[Pack Size])</f>
        <v/>
      </c>
      <c r="AP473" s="10">
        <f>(tbl_MTG_Set[[#This Row],[Play Booster Box Cost]]+v_Item_Shipping_Cost_In)/tbl_MTG_Set[[#This Row],[Play Booster Box Size]]</f>
        <v/>
      </c>
      <c r="AQ473" s="10">
        <f t="array" ref="AQ4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3" s="10" t="n"/>
      <c r="AS473" s="10" t="n"/>
      <c r="AT473" s="17">
        <f>tbl_MTG_Set[[#This Row],[Play Booster CardMarket Profit]]/tbl_MTG_Set[[#This Row],[Play Booster Cost]]</f>
        <v/>
      </c>
      <c r="AU473" s="10">
        <f>_xlfn.XLOOKUP(tbl_MTG_Set[[#This Row],[Collector Booster Box Product Id]], tbl_Product[Product Id], tbl_Product[Min Cost])</f>
        <v/>
      </c>
      <c r="AV473" s="10">
        <f>_xlfn.XLOOKUP(tbl_MTG_Set[[#This Row],[Collector Booster Box Product Id]], tbl_Product[Product Id], tbl_Product[Best Source])</f>
        <v/>
      </c>
      <c r="AW473" s="4">
        <f>_xlfn.XLOOKUP(tbl_MTG_Set[[#This Row],[Collector Booster Box Product Id]], tbl_Product[Product Id], tbl_Product[Pack Size])</f>
        <v/>
      </c>
      <c r="AX473" s="10">
        <f>(tbl_MTG_Set[[#This Row],[Collector Booster Box Cost]] + v_Item_Shipping_Cost_In) / tbl_MTG_Set[[#This Row],[Collector Booster Box Size]]</f>
        <v/>
      </c>
      <c r="AY473" s="10">
        <f t="array" ref="AY4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3" s="10" t="n"/>
      <c r="BA4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3" s="17">
        <f>tbl_MTG_Set[[#This Row],[Collector Booster CardMarket Profit]]/tbl_MTG_Set[[#This Row],[Collector Booster Cost]]</f>
        <v/>
      </c>
      <c r="BC473" s="10" t="n"/>
      <c r="BF473" s="10">
        <f>tbl_MTG_Set[[#This Row],[Play Booster Sell Price CardMarket]]*tbl_MTG_Set[[#This Row],[Play Booster Expected Market Value]]/tbl_MTG_Set[[#This Row],[Play Boost Sealed Market Value]]</f>
        <v/>
      </c>
      <c r="BG4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3" s="10">
        <f>tbl_MTG_Set[[#This Row],[Play Singles CardMarket Profit]]/tbl_MTG_Set[[#This Row],[Play Booster Cost]]</f>
        <v/>
      </c>
      <c r="BI473" s="10">
        <f>tbl_MTG_Set[[#This Row],[Play Singles CardMarket Profit]]&gt;0</f>
        <v/>
      </c>
      <c r="BJ473" s="10" t="n"/>
      <c r="BK473" s="10" t="n"/>
      <c r="BL473" s="10">
        <f>tbl_MTG_Set[[#This Row],[Collector Booster Sell Price CardMarket]]*tbl_MTG_Set[[#This Row],[Collector Booster Expected Market Value]]/tbl_MTG_Set[[#This Row],[Collector Boost Sealed Market Value]]</f>
        <v/>
      </c>
      <c r="BM4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3" s="10">
        <f>tbl_MTG_Set[[#This Row],[Collector Singles CardMarket Profit]]/tbl_MTG_Set[[#This Row],[Collector Booster Cost]]</f>
        <v/>
      </c>
      <c r="BO473" s="10">
        <f>tbl_MTG_Set[[#This Row],[Collector Singles CardMarket Profit]]&gt;0</f>
        <v/>
      </c>
      <c r="BP4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4">
      <c r="A474" t="n">
        <v>472</v>
      </c>
      <c r="B474" t="inlineStr">
        <is>
          <t>Arena New Player Experience Extras XANA</t>
        </is>
      </c>
      <c r="C474" t="n">
        <v>20</v>
      </c>
      <c r="D474" s="3" t="n">
        <v>43295</v>
      </c>
      <c r="F474" t="inlineStr">
        <is>
          <t>en es fr de it pt ja ko ru 汉语 漢語</t>
        </is>
      </c>
      <c r="G474" t="n">
        <v>890</v>
      </c>
      <c r="H474">
        <f>MONTH(NOW())+12*YEAR(NOW())-MONTH(tbl_MTG_Set[[#This Row],[Released On]])-12*YEAR(tbl_MTG_Set[[#This Row],[Released On]])</f>
        <v/>
      </c>
      <c r="I474">
        <f>_xlfn.XLOOKUP(tbl_MTG_Set[[#This Row],[Type Name]], tbl_MTG_Set_Type[Set Type], tbl_MTG_Set_Type[Index], "(Set Type not found)")</f>
        <v/>
      </c>
      <c r="J474">
        <f>_xlfn.XLOOKUP(tbl_MTG_Set[[#This Row],[Type Name]], tbl_MTG_Set_Type[Set Type], tbl_MTG_Set_Type[Buy Window Month Start], "(Set Type not found)")</f>
        <v/>
      </c>
      <c r="K474" s="3">
        <f>tbl_MTG_Set[[#This Row],[Released On]]+tbl_MTG_Set[[#This Row],[Buy Window Month Start]]*365.25/12</f>
        <v/>
      </c>
      <c r="L474">
        <f>_xlfn.XLOOKUP(tbl_MTG_Set[[#This Row],[Type Name]], tbl_MTG_Set_Type[Set Type], tbl_MTG_Set_Type[Buy Window Month End], "(Set Type not found)", 0, 1)</f>
        <v/>
      </c>
      <c r="M474" s="3">
        <f>tbl_MTG_Set[[#This Row],[Released On]]+tbl_MTG_Set[[#This Row],[Buy Window Month End]]*365.25/12</f>
        <v/>
      </c>
      <c r="N474" s="3">
        <f>AND(NOW()&gt;=tbl_MTG_Set[[#This Row],[Buy Window Start]], NOW()&lt;=tbl_MTG_Set[[#This Row],[Buy Window End]])</f>
        <v/>
      </c>
      <c r="O474">
        <f>_xlfn.XLOOKUP(tbl_MTG_Set[[#This Row],[Type Name]], tbl_MTG_Set_Type[Set Type], tbl_MTG_Set_Type[Heavy Printing Window Month Start], "(Set Type not found)", 0, 1)</f>
        <v/>
      </c>
      <c r="P474" s="3">
        <f>tbl_MTG_Set[[#This Row],[Released On]]+tbl_MTG_Set[[#This Row],[Heavy Printing Window Month Start]]*365.25/12</f>
        <v/>
      </c>
      <c r="Q474">
        <f>_xlfn.XLOOKUP(tbl_MTG_Set[[#This Row],[Type Name]], tbl_MTG_Set_Type[Set Type], tbl_MTG_Set_Type[Heavy Printing Window Month End], "(Set Type not found)", 0, 1)</f>
        <v/>
      </c>
      <c r="R474" s="3">
        <f>tbl_MTG_Set[[#This Row],[Released On]]+tbl_MTG_Set[[#This Row],[Heavy Printing Window Month End]]*365.25/12</f>
        <v/>
      </c>
      <c r="S474" s="3">
        <f>AND(NOW()&gt;=tbl_MTG_Set[[#This Row],[Heavy Printing Window Start]], NOW()&lt;=tbl_MTG_Set[[#This Row],[Heavy Printing Window End]])</f>
        <v/>
      </c>
      <c r="T474">
        <f>_xlfn.XLOOKUP(tbl_MTG_Set[[#This Row],[Type Name]], tbl_MTG_Set_Type[Set Type], tbl_MTG_Set_Type[Sell Window Month Start], "(Set Type not found)", 0, 1)</f>
        <v/>
      </c>
      <c r="U474" s="3">
        <f>tbl_MTG_Set[[#This Row],[Released On]]+tbl_MTG_Set[[#This Row],[Sell Window Month Start]]*365.25/12</f>
        <v/>
      </c>
      <c r="V474">
        <f>_xlfn.XLOOKUP(tbl_MTG_Set[[#This Row],[Type Name]], tbl_MTG_Set_Type[Set Type], tbl_MTG_Set_Type[Sell Window Month End], "(Set Type not found)", 0, 1)</f>
        <v/>
      </c>
      <c r="W474" s="3">
        <f>tbl_MTG_Set[[#This Row],[Released On]]+tbl_MTG_Set[[#This Row],[Sell Window Month End]]*365.25/12</f>
        <v/>
      </c>
      <c r="X474" s="3">
        <f>AND(NOW()&gt;=tbl_MTG_Set[[#This Row],[Sell Window Start]], NOW()&lt;=tbl_MTG_Set[[#This Row],[Sell Window End]])</f>
        <v/>
      </c>
      <c r="AG474" s="10" t="n"/>
      <c r="AH474" s="10" t="n"/>
      <c r="AM474" s="10">
        <f t="array" ref="AM4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4" s="10">
        <f t="array" ref="AN4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4" s="4">
        <f>_xlfn.XLOOKUP(tbl_MTG_Set[[#This Row],[Play Booster Box Product Id]], tbl_Product[Product Id], tbl_Product[Pack Size])</f>
        <v/>
      </c>
      <c r="AP474" s="10">
        <f>(tbl_MTG_Set[[#This Row],[Play Booster Box Cost]]+v_Item_Shipping_Cost_In)/tbl_MTG_Set[[#This Row],[Play Booster Box Size]]</f>
        <v/>
      </c>
      <c r="AQ474" s="10">
        <f t="array" ref="AQ4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4" s="10" t="n"/>
      <c r="AS474" s="10" t="n"/>
      <c r="AT474" s="17">
        <f>tbl_MTG_Set[[#This Row],[Play Booster CardMarket Profit]]/tbl_MTG_Set[[#This Row],[Play Booster Cost]]</f>
        <v/>
      </c>
      <c r="AU474" s="10">
        <f>_xlfn.XLOOKUP(tbl_MTG_Set[[#This Row],[Collector Booster Box Product Id]], tbl_Product[Product Id], tbl_Product[Min Cost])</f>
        <v/>
      </c>
      <c r="AV474" s="10">
        <f>_xlfn.XLOOKUP(tbl_MTG_Set[[#This Row],[Collector Booster Box Product Id]], tbl_Product[Product Id], tbl_Product[Best Source])</f>
        <v/>
      </c>
      <c r="AW474" s="4">
        <f>_xlfn.XLOOKUP(tbl_MTG_Set[[#This Row],[Collector Booster Box Product Id]], tbl_Product[Product Id], tbl_Product[Pack Size])</f>
        <v/>
      </c>
      <c r="AX474" s="10">
        <f>(tbl_MTG_Set[[#This Row],[Collector Booster Box Cost]] + v_Item_Shipping_Cost_In) / tbl_MTG_Set[[#This Row],[Collector Booster Box Size]]</f>
        <v/>
      </c>
      <c r="AY474" s="10">
        <f t="array" ref="AY4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4" s="10" t="n"/>
      <c r="BA4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4" s="17">
        <f>tbl_MTG_Set[[#This Row],[Collector Booster CardMarket Profit]]/tbl_MTG_Set[[#This Row],[Collector Booster Cost]]</f>
        <v/>
      </c>
      <c r="BC474" s="10" t="n"/>
      <c r="BF474" s="10">
        <f>tbl_MTG_Set[[#This Row],[Play Booster Sell Price CardMarket]]*tbl_MTG_Set[[#This Row],[Play Booster Expected Market Value]]/tbl_MTG_Set[[#This Row],[Play Boost Sealed Market Value]]</f>
        <v/>
      </c>
      <c r="BG4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4" s="10">
        <f>tbl_MTG_Set[[#This Row],[Play Singles CardMarket Profit]]/tbl_MTG_Set[[#This Row],[Play Booster Cost]]</f>
        <v/>
      </c>
      <c r="BI474" s="10">
        <f>tbl_MTG_Set[[#This Row],[Play Singles CardMarket Profit]]&gt;0</f>
        <v/>
      </c>
      <c r="BJ474" s="10" t="n"/>
      <c r="BK474" s="10" t="n"/>
      <c r="BL474" s="10">
        <f>tbl_MTG_Set[[#This Row],[Collector Booster Sell Price CardMarket]]*tbl_MTG_Set[[#This Row],[Collector Booster Expected Market Value]]/tbl_MTG_Set[[#This Row],[Collector Boost Sealed Market Value]]</f>
        <v/>
      </c>
      <c r="BM4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4" s="10">
        <f>tbl_MTG_Set[[#This Row],[Collector Singles CardMarket Profit]]/tbl_MTG_Set[[#This Row],[Collector Booster Cost]]</f>
        <v/>
      </c>
      <c r="BO474" s="10">
        <f>tbl_MTG_Set[[#This Row],[Collector Singles CardMarket Profit]]&gt;0</f>
        <v/>
      </c>
      <c r="BP4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5">
      <c r="A475" t="n">
        <v>473</v>
      </c>
      <c r="B475" t="inlineStr">
        <is>
          <t>Arena New Player Experience Cards OANA</t>
        </is>
      </c>
      <c r="C475" t="n">
        <v>14</v>
      </c>
      <c r="D475" s="3" t="n">
        <v>43295</v>
      </c>
      <c r="F475" t="inlineStr">
        <is>
          <t>en es fr de it pt ja ko ru 汉语 漢語</t>
        </is>
      </c>
      <c r="G475" t="n">
        <v>892</v>
      </c>
      <c r="H475">
        <f>MONTH(NOW())+12*YEAR(NOW())-MONTH(tbl_MTG_Set[[#This Row],[Released On]])-12*YEAR(tbl_MTG_Set[[#This Row],[Released On]])</f>
        <v/>
      </c>
      <c r="I475">
        <f>_xlfn.XLOOKUP(tbl_MTG_Set[[#This Row],[Type Name]], tbl_MTG_Set_Type[Set Type], tbl_MTG_Set_Type[Index], "(Set Type not found)")</f>
        <v/>
      </c>
      <c r="J475">
        <f>_xlfn.XLOOKUP(tbl_MTG_Set[[#This Row],[Type Name]], tbl_MTG_Set_Type[Set Type], tbl_MTG_Set_Type[Buy Window Month Start], "(Set Type not found)")</f>
        <v/>
      </c>
      <c r="K475" s="3">
        <f>tbl_MTG_Set[[#This Row],[Released On]]+tbl_MTG_Set[[#This Row],[Buy Window Month Start]]*365.25/12</f>
        <v/>
      </c>
      <c r="L475">
        <f>_xlfn.XLOOKUP(tbl_MTG_Set[[#This Row],[Type Name]], tbl_MTG_Set_Type[Set Type], tbl_MTG_Set_Type[Buy Window Month End], "(Set Type not found)", 0, 1)</f>
        <v/>
      </c>
      <c r="M475" s="3">
        <f>tbl_MTG_Set[[#This Row],[Released On]]+tbl_MTG_Set[[#This Row],[Buy Window Month End]]*365.25/12</f>
        <v/>
      </c>
      <c r="N475" s="3">
        <f>AND(NOW()&gt;=tbl_MTG_Set[[#This Row],[Buy Window Start]], NOW()&lt;=tbl_MTG_Set[[#This Row],[Buy Window End]])</f>
        <v/>
      </c>
      <c r="O475">
        <f>_xlfn.XLOOKUP(tbl_MTG_Set[[#This Row],[Type Name]], tbl_MTG_Set_Type[Set Type], tbl_MTG_Set_Type[Heavy Printing Window Month Start], "(Set Type not found)", 0, 1)</f>
        <v/>
      </c>
      <c r="P475" s="3">
        <f>tbl_MTG_Set[[#This Row],[Released On]]+tbl_MTG_Set[[#This Row],[Heavy Printing Window Month Start]]*365.25/12</f>
        <v/>
      </c>
      <c r="Q475">
        <f>_xlfn.XLOOKUP(tbl_MTG_Set[[#This Row],[Type Name]], tbl_MTG_Set_Type[Set Type], tbl_MTG_Set_Type[Heavy Printing Window Month End], "(Set Type not found)", 0, 1)</f>
        <v/>
      </c>
      <c r="R475" s="3">
        <f>tbl_MTG_Set[[#This Row],[Released On]]+tbl_MTG_Set[[#This Row],[Heavy Printing Window Month End]]*365.25/12</f>
        <v/>
      </c>
      <c r="S475" s="3">
        <f>AND(NOW()&gt;=tbl_MTG_Set[[#This Row],[Heavy Printing Window Start]], NOW()&lt;=tbl_MTG_Set[[#This Row],[Heavy Printing Window End]])</f>
        <v/>
      </c>
      <c r="T475">
        <f>_xlfn.XLOOKUP(tbl_MTG_Set[[#This Row],[Type Name]], tbl_MTG_Set_Type[Set Type], tbl_MTG_Set_Type[Sell Window Month Start], "(Set Type not found)", 0, 1)</f>
        <v/>
      </c>
      <c r="U475" s="3">
        <f>tbl_MTG_Set[[#This Row],[Released On]]+tbl_MTG_Set[[#This Row],[Sell Window Month Start]]*365.25/12</f>
        <v/>
      </c>
      <c r="V475">
        <f>_xlfn.XLOOKUP(tbl_MTG_Set[[#This Row],[Type Name]], tbl_MTG_Set_Type[Set Type], tbl_MTG_Set_Type[Sell Window Month End], "(Set Type not found)", 0, 1)</f>
        <v/>
      </c>
      <c r="W475" s="3">
        <f>tbl_MTG_Set[[#This Row],[Released On]]+tbl_MTG_Set[[#This Row],[Sell Window Month End]]*365.25/12</f>
        <v/>
      </c>
      <c r="X475" s="3">
        <f>AND(NOW()&gt;=tbl_MTG_Set[[#This Row],[Sell Window Start]], NOW()&lt;=tbl_MTG_Set[[#This Row],[Sell Window End]])</f>
        <v/>
      </c>
      <c r="AG475" s="10" t="n"/>
      <c r="AH475" s="10" t="n"/>
      <c r="AM475" s="10">
        <f t="array" ref="AM4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5" s="10">
        <f t="array" ref="AN4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5" s="4">
        <f>_xlfn.XLOOKUP(tbl_MTG_Set[[#This Row],[Play Booster Box Product Id]], tbl_Product[Product Id], tbl_Product[Pack Size])</f>
        <v/>
      </c>
      <c r="AP475" s="10">
        <f>(tbl_MTG_Set[[#This Row],[Play Booster Box Cost]]+v_Item_Shipping_Cost_In)/tbl_MTG_Set[[#This Row],[Play Booster Box Size]]</f>
        <v/>
      </c>
      <c r="AQ475" s="10">
        <f t="array" ref="AQ4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5" s="10" t="n"/>
      <c r="AS475" s="10" t="n"/>
      <c r="AT475" s="17">
        <f>tbl_MTG_Set[[#This Row],[Play Booster CardMarket Profit]]/tbl_MTG_Set[[#This Row],[Play Booster Cost]]</f>
        <v/>
      </c>
      <c r="AU475" s="10">
        <f>_xlfn.XLOOKUP(tbl_MTG_Set[[#This Row],[Collector Booster Box Product Id]], tbl_Product[Product Id], tbl_Product[Min Cost])</f>
        <v/>
      </c>
      <c r="AV475" s="10">
        <f>_xlfn.XLOOKUP(tbl_MTG_Set[[#This Row],[Collector Booster Box Product Id]], tbl_Product[Product Id], tbl_Product[Best Source])</f>
        <v/>
      </c>
      <c r="AW475" s="4">
        <f>_xlfn.XLOOKUP(tbl_MTG_Set[[#This Row],[Collector Booster Box Product Id]], tbl_Product[Product Id], tbl_Product[Pack Size])</f>
        <v/>
      </c>
      <c r="AX475" s="10">
        <f>(tbl_MTG_Set[[#This Row],[Collector Booster Box Cost]] + v_Item_Shipping_Cost_In) / tbl_MTG_Set[[#This Row],[Collector Booster Box Size]]</f>
        <v/>
      </c>
      <c r="AY475" s="10">
        <f t="array" ref="AY4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5" s="10" t="n"/>
      <c r="BA4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5" s="17">
        <f>tbl_MTG_Set[[#This Row],[Collector Booster CardMarket Profit]]/tbl_MTG_Set[[#This Row],[Collector Booster Cost]]</f>
        <v/>
      </c>
      <c r="BC475" s="10" t="n"/>
      <c r="BF475" s="10">
        <f>tbl_MTG_Set[[#This Row],[Play Booster Sell Price CardMarket]]*tbl_MTG_Set[[#This Row],[Play Booster Expected Market Value]]/tbl_MTG_Set[[#This Row],[Play Boost Sealed Market Value]]</f>
        <v/>
      </c>
      <c r="BG4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5" s="10">
        <f>tbl_MTG_Set[[#This Row],[Play Singles CardMarket Profit]]/tbl_MTG_Set[[#This Row],[Play Booster Cost]]</f>
        <v/>
      </c>
      <c r="BI475" s="10">
        <f>tbl_MTG_Set[[#This Row],[Play Singles CardMarket Profit]]&gt;0</f>
        <v/>
      </c>
      <c r="BJ475" s="10" t="n"/>
      <c r="BK475" s="10" t="n"/>
      <c r="BL475" s="10">
        <f>tbl_MTG_Set[[#This Row],[Collector Booster Sell Price CardMarket]]*tbl_MTG_Set[[#This Row],[Collector Booster Expected Market Value]]/tbl_MTG_Set[[#This Row],[Collector Boost Sealed Market Value]]</f>
        <v/>
      </c>
      <c r="BM4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5" s="10">
        <f>tbl_MTG_Set[[#This Row],[Collector Singles CardMarket Profit]]/tbl_MTG_Set[[#This Row],[Collector Booster Cost]]</f>
        <v/>
      </c>
      <c r="BO475" s="10">
        <f>tbl_MTG_Set[[#This Row],[Collector Singles CardMarket Profit]]&gt;0</f>
        <v/>
      </c>
      <c r="BP4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6">
      <c r="A476" t="n">
        <v>474</v>
      </c>
      <c r="B476" t="inlineStr">
        <is>
          <t>MTG Arena Promos PANA</t>
        </is>
      </c>
      <c r="C476" t="n">
        <v>78</v>
      </c>
      <c r="D476" s="3" t="n">
        <v>43295</v>
      </c>
      <c r="F476" t="inlineStr">
        <is>
          <t>en es fr de it pt ja ko ru 汉语 漢語</t>
        </is>
      </c>
      <c r="G476" t="n">
        <v>894</v>
      </c>
      <c r="H476">
        <f>MONTH(NOW())+12*YEAR(NOW())-MONTH(tbl_MTG_Set[[#This Row],[Released On]])-12*YEAR(tbl_MTG_Set[[#This Row],[Released On]])</f>
        <v/>
      </c>
      <c r="I476">
        <f>_xlfn.XLOOKUP(tbl_MTG_Set[[#This Row],[Type Name]], tbl_MTG_Set_Type[Set Type], tbl_MTG_Set_Type[Index], "(Set Type not found)")</f>
        <v/>
      </c>
      <c r="J476">
        <f>_xlfn.XLOOKUP(tbl_MTG_Set[[#This Row],[Type Name]], tbl_MTG_Set_Type[Set Type], tbl_MTG_Set_Type[Buy Window Month Start], "(Set Type not found)")</f>
        <v/>
      </c>
      <c r="K476" s="3">
        <f>tbl_MTG_Set[[#This Row],[Released On]]+tbl_MTG_Set[[#This Row],[Buy Window Month Start]]*365.25/12</f>
        <v/>
      </c>
      <c r="L476">
        <f>_xlfn.XLOOKUP(tbl_MTG_Set[[#This Row],[Type Name]], tbl_MTG_Set_Type[Set Type], tbl_MTG_Set_Type[Buy Window Month End], "(Set Type not found)", 0, 1)</f>
        <v/>
      </c>
      <c r="M476" s="3">
        <f>tbl_MTG_Set[[#This Row],[Released On]]+tbl_MTG_Set[[#This Row],[Buy Window Month End]]*365.25/12</f>
        <v/>
      </c>
      <c r="N476" s="3">
        <f>AND(NOW()&gt;=tbl_MTG_Set[[#This Row],[Buy Window Start]], NOW()&lt;=tbl_MTG_Set[[#This Row],[Buy Window End]])</f>
        <v/>
      </c>
      <c r="O476">
        <f>_xlfn.XLOOKUP(tbl_MTG_Set[[#This Row],[Type Name]], tbl_MTG_Set_Type[Set Type], tbl_MTG_Set_Type[Heavy Printing Window Month Start], "(Set Type not found)", 0, 1)</f>
        <v/>
      </c>
      <c r="P476" s="3">
        <f>tbl_MTG_Set[[#This Row],[Released On]]+tbl_MTG_Set[[#This Row],[Heavy Printing Window Month Start]]*365.25/12</f>
        <v/>
      </c>
      <c r="Q476">
        <f>_xlfn.XLOOKUP(tbl_MTG_Set[[#This Row],[Type Name]], tbl_MTG_Set_Type[Set Type], tbl_MTG_Set_Type[Heavy Printing Window Month End], "(Set Type not found)", 0, 1)</f>
        <v/>
      </c>
      <c r="R476" s="3">
        <f>tbl_MTG_Set[[#This Row],[Released On]]+tbl_MTG_Set[[#This Row],[Heavy Printing Window Month End]]*365.25/12</f>
        <v/>
      </c>
      <c r="S476" s="3">
        <f>AND(NOW()&gt;=tbl_MTG_Set[[#This Row],[Heavy Printing Window Start]], NOW()&lt;=tbl_MTG_Set[[#This Row],[Heavy Printing Window End]])</f>
        <v/>
      </c>
      <c r="T476">
        <f>_xlfn.XLOOKUP(tbl_MTG_Set[[#This Row],[Type Name]], tbl_MTG_Set_Type[Set Type], tbl_MTG_Set_Type[Sell Window Month Start], "(Set Type not found)", 0, 1)</f>
        <v/>
      </c>
      <c r="U476" s="3">
        <f>tbl_MTG_Set[[#This Row],[Released On]]+tbl_MTG_Set[[#This Row],[Sell Window Month Start]]*365.25/12</f>
        <v/>
      </c>
      <c r="V476">
        <f>_xlfn.XLOOKUP(tbl_MTG_Set[[#This Row],[Type Name]], tbl_MTG_Set_Type[Set Type], tbl_MTG_Set_Type[Sell Window Month End], "(Set Type not found)", 0, 1)</f>
        <v/>
      </c>
      <c r="W476" s="3">
        <f>tbl_MTG_Set[[#This Row],[Released On]]+tbl_MTG_Set[[#This Row],[Sell Window Month End]]*365.25/12</f>
        <v/>
      </c>
      <c r="X476" s="3">
        <f>AND(NOW()&gt;=tbl_MTG_Set[[#This Row],[Sell Window Start]], NOW()&lt;=tbl_MTG_Set[[#This Row],[Sell Window End]])</f>
        <v/>
      </c>
      <c r="AG476" s="10" t="n"/>
      <c r="AH476" s="10" t="n"/>
      <c r="AM476" s="10">
        <f t="array" ref="AM4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6" s="10">
        <f t="array" ref="AN4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6" s="4">
        <f>_xlfn.XLOOKUP(tbl_MTG_Set[[#This Row],[Play Booster Box Product Id]], tbl_Product[Product Id], tbl_Product[Pack Size])</f>
        <v/>
      </c>
      <c r="AP476" s="10">
        <f>(tbl_MTG_Set[[#This Row],[Play Booster Box Cost]]+v_Item_Shipping_Cost_In)/tbl_MTG_Set[[#This Row],[Play Booster Box Size]]</f>
        <v/>
      </c>
      <c r="AQ476" s="10">
        <f t="array" ref="AQ4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6" s="10" t="n"/>
      <c r="AS476" s="10" t="n"/>
      <c r="AT476" s="17">
        <f>tbl_MTG_Set[[#This Row],[Play Booster CardMarket Profit]]/tbl_MTG_Set[[#This Row],[Play Booster Cost]]</f>
        <v/>
      </c>
      <c r="AU476" s="10">
        <f>_xlfn.XLOOKUP(tbl_MTG_Set[[#This Row],[Collector Booster Box Product Id]], tbl_Product[Product Id], tbl_Product[Min Cost])</f>
        <v/>
      </c>
      <c r="AV476" s="10">
        <f>_xlfn.XLOOKUP(tbl_MTG_Set[[#This Row],[Collector Booster Box Product Id]], tbl_Product[Product Id], tbl_Product[Best Source])</f>
        <v/>
      </c>
      <c r="AW476" s="4">
        <f>_xlfn.XLOOKUP(tbl_MTG_Set[[#This Row],[Collector Booster Box Product Id]], tbl_Product[Product Id], tbl_Product[Pack Size])</f>
        <v/>
      </c>
      <c r="AX476" s="10">
        <f>(tbl_MTG_Set[[#This Row],[Collector Booster Box Cost]] + v_Item_Shipping_Cost_In) / tbl_MTG_Set[[#This Row],[Collector Booster Box Size]]</f>
        <v/>
      </c>
      <c r="AY476" s="10">
        <f t="array" ref="AY4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6" s="10" t="n"/>
      <c r="BA4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6" s="17">
        <f>tbl_MTG_Set[[#This Row],[Collector Booster CardMarket Profit]]/tbl_MTG_Set[[#This Row],[Collector Booster Cost]]</f>
        <v/>
      </c>
      <c r="BC476" s="10" t="n"/>
      <c r="BF476" s="10">
        <f>tbl_MTG_Set[[#This Row],[Play Booster Sell Price CardMarket]]*tbl_MTG_Set[[#This Row],[Play Booster Expected Market Value]]/tbl_MTG_Set[[#This Row],[Play Boost Sealed Market Value]]</f>
        <v/>
      </c>
      <c r="BG4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6" s="10">
        <f>tbl_MTG_Set[[#This Row],[Play Singles CardMarket Profit]]/tbl_MTG_Set[[#This Row],[Play Booster Cost]]</f>
        <v/>
      </c>
      <c r="BI476" s="10">
        <f>tbl_MTG_Set[[#This Row],[Play Singles CardMarket Profit]]&gt;0</f>
        <v/>
      </c>
      <c r="BJ476" s="10" t="n"/>
      <c r="BK476" s="10" t="n"/>
      <c r="BL476" s="10">
        <f>tbl_MTG_Set[[#This Row],[Collector Booster Sell Price CardMarket]]*tbl_MTG_Set[[#This Row],[Collector Booster Expected Market Value]]/tbl_MTG_Set[[#This Row],[Collector Boost Sealed Market Value]]</f>
        <v/>
      </c>
      <c r="BM4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6" s="10">
        <f>tbl_MTG_Set[[#This Row],[Collector Singles CardMarket Profit]]/tbl_MTG_Set[[#This Row],[Collector Booster Cost]]</f>
        <v/>
      </c>
      <c r="BO476" s="10">
        <f>tbl_MTG_Set[[#This Row],[Collector Singles CardMarket Profit]]&gt;0</f>
        <v/>
      </c>
      <c r="BP4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7">
      <c r="A477" t="n">
        <v>475</v>
      </c>
      <c r="B477" t="inlineStr">
        <is>
          <t>Core Set 2019 M19</t>
        </is>
      </c>
      <c r="C477" t="n">
        <v>314</v>
      </c>
      <c r="D477" s="3" t="n">
        <v>43294</v>
      </c>
      <c r="F477" t="inlineStr">
        <is>
          <t>en es fr de it pt ja ko ru 汉语 漢語</t>
        </is>
      </c>
      <c r="G477" t="n">
        <v>896</v>
      </c>
      <c r="H477">
        <f>MONTH(NOW())+12*YEAR(NOW())-MONTH(tbl_MTG_Set[[#This Row],[Released On]])-12*YEAR(tbl_MTG_Set[[#This Row],[Released On]])</f>
        <v/>
      </c>
      <c r="I477">
        <f>_xlfn.XLOOKUP(tbl_MTG_Set[[#This Row],[Type Name]], tbl_MTG_Set_Type[Set Type], tbl_MTG_Set_Type[Index], "(Set Type not found)")</f>
        <v/>
      </c>
      <c r="J477">
        <f>_xlfn.XLOOKUP(tbl_MTG_Set[[#This Row],[Type Name]], tbl_MTG_Set_Type[Set Type], tbl_MTG_Set_Type[Buy Window Month Start], "(Set Type not found)")</f>
        <v/>
      </c>
      <c r="K477" s="3">
        <f>tbl_MTG_Set[[#This Row],[Released On]]+tbl_MTG_Set[[#This Row],[Buy Window Month Start]]*365.25/12</f>
        <v/>
      </c>
      <c r="L477">
        <f>_xlfn.XLOOKUP(tbl_MTG_Set[[#This Row],[Type Name]], tbl_MTG_Set_Type[Set Type], tbl_MTG_Set_Type[Buy Window Month End], "(Set Type not found)", 0, 1)</f>
        <v/>
      </c>
      <c r="M477" s="3">
        <f>tbl_MTG_Set[[#This Row],[Released On]]+tbl_MTG_Set[[#This Row],[Buy Window Month End]]*365.25/12</f>
        <v/>
      </c>
      <c r="N477" s="3">
        <f>AND(NOW()&gt;=tbl_MTG_Set[[#This Row],[Buy Window Start]], NOW()&lt;=tbl_MTG_Set[[#This Row],[Buy Window End]])</f>
        <v/>
      </c>
      <c r="O477">
        <f>_xlfn.XLOOKUP(tbl_MTG_Set[[#This Row],[Type Name]], tbl_MTG_Set_Type[Set Type], tbl_MTG_Set_Type[Heavy Printing Window Month Start], "(Set Type not found)", 0, 1)</f>
        <v/>
      </c>
      <c r="P477" s="3">
        <f>tbl_MTG_Set[[#This Row],[Released On]]+tbl_MTG_Set[[#This Row],[Heavy Printing Window Month Start]]*365.25/12</f>
        <v/>
      </c>
      <c r="Q477">
        <f>_xlfn.XLOOKUP(tbl_MTG_Set[[#This Row],[Type Name]], tbl_MTG_Set_Type[Set Type], tbl_MTG_Set_Type[Heavy Printing Window Month End], "(Set Type not found)", 0, 1)</f>
        <v/>
      </c>
      <c r="R477" s="3">
        <f>tbl_MTG_Set[[#This Row],[Released On]]+tbl_MTG_Set[[#This Row],[Heavy Printing Window Month End]]*365.25/12</f>
        <v/>
      </c>
      <c r="S477" s="3">
        <f>AND(NOW()&gt;=tbl_MTG_Set[[#This Row],[Heavy Printing Window Start]], NOW()&lt;=tbl_MTG_Set[[#This Row],[Heavy Printing Window End]])</f>
        <v/>
      </c>
      <c r="T477">
        <f>_xlfn.XLOOKUP(tbl_MTG_Set[[#This Row],[Type Name]], tbl_MTG_Set_Type[Set Type], tbl_MTG_Set_Type[Sell Window Month Start], "(Set Type not found)", 0, 1)</f>
        <v/>
      </c>
      <c r="U477" s="3">
        <f>tbl_MTG_Set[[#This Row],[Released On]]+tbl_MTG_Set[[#This Row],[Sell Window Month Start]]*365.25/12</f>
        <v/>
      </c>
      <c r="V477">
        <f>_xlfn.XLOOKUP(tbl_MTG_Set[[#This Row],[Type Name]], tbl_MTG_Set_Type[Set Type], tbl_MTG_Set_Type[Sell Window Month End], "(Set Type not found)", 0, 1)</f>
        <v/>
      </c>
      <c r="W477" s="3">
        <f>tbl_MTG_Set[[#This Row],[Released On]]+tbl_MTG_Set[[#This Row],[Sell Window Month End]]*365.25/12</f>
        <v/>
      </c>
      <c r="X477" s="3">
        <f>AND(NOW()&gt;=tbl_MTG_Set[[#This Row],[Sell Window Start]], NOW()&lt;=tbl_MTG_Set[[#This Row],[Sell Window End]])</f>
        <v/>
      </c>
      <c r="AG477" s="10" t="n"/>
      <c r="AH477" s="10" t="n"/>
      <c r="AM477" s="10">
        <f t="array" ref="AM4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7" s="10">
        <f t="array" ref="AN4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7" s="4">
        <f>_xlfn.XLOOKUP(tbl_MTG_Set[[#This Row],[Play Booster Box Product Id]], tbl_Product[Product Id], tbl_Product[Pack Size])</f>
        <v/>
      </c>
      <c r="AP477" s="10">
        <f>(tbl_MTG_Set[[#This Row],[Play Booster Box Cost]]+v_Item_Shipping_Cost_In)/tbl_MTG_Set[[#This Row],[Play Booster Box Size]]</f>
        <v/>
      </c>
      <c r="AQ477" s="10">
        <f t="array" ref="AQ4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7" s="10" t="n"/>
      <c r="AS477" s="10" t="n"/>
      <c r="AT477" s="17">
        <f>tbl_MTG_Set[[#This Row],[Play Booster CardMarket Profit]]/tbl_MTG_Set[[#This Row],[Play Booster Cost]]</f>
        <v/>
      </c>
      <c r="AU477" s="10">
        <f>_xlfn.XLOOKUP(tbl_MTG_Set[[#This Row],[Collector Booster Box Product Id]], tbl_Product[Product Id], tbl_Product[Min Cost])</f>
        <v/>
      </c>
      <c r="AV477" s="10">
        <f>_xlfn.XLOOKUP(tbl_MTG_Set[[#This Row],[Collector Booster Box Product Id]], tbl_Product[Product Id], tbl_Product[Best Source])</f>
        <v/>
      </c>
      <c r="AW477" s="4">
        <f>_xlfn.XLOOKUP(tbl_MTG_Set[[#This Row],[Collector Booster Box Product Id]], tbl_Product[Product Id], tbl_Product[Pack Size])</f>
        <v/>
      </c>
      <c r="AX477" s="10">
        <f>(tbl_MTG_Set[[#This Row],[Collector Booster Box Cost]] + v_Item_Shipping_Cost_In) / tbl_MTG_Set[[#This Row],[Collector Booster Box Size]]</f>
        <v/>
      </c>
      <c r="AY477" s="10">
        <f t="array" ref="AY4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7" s="10" t="n"/>
      <c r="BA4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7" s="17">
        <f>tbl_MTG_Set[[#This Row],[Collector Booster CardMarket Profit]]/tbl_MTG_Set[[#This Row],[Collector Booster Cost]]</f>
        <v/>
      </c>
      <c r="BC477" s="10" t="n"/>
      <c r="BF477" s="10">
        <f>tbl_MTG_Set[[#This Row],[Play Booster Sell Price CardMarket]]*tbl_MTG_Set[[#This Row],[Play Booster Expected Market Value]]/tbl_MTG_Set[[#This Row],[Play Boost Sealed Market Value]]</f>
        <v/>
      </c>
      <c r="BG4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7" s="10">
        <f>tbl_MTG_Set[[#This Row],[Play Singles CardMarket Profit]]/tbl_MTG_Set[[#This Row],[Play Booster Cost]]</f>
        <v/>
      </c>
      <c r="BI477" s="10">
        <f>tbl_MTG_Set[[#This Row],[Play Singles CardMarket Profit]]&gt;0</f>
        <v/>
      </c>
      <c r="BJ477" s="10" t="n"/>
      <c r="BK477" s="10" t="n"/>
      <c r="BL477" s="10">
        <f>tbl_MTG_Set[[#This Row],[Collector Booster Sell Price CardMarket]]*tbl_MTG_Set[[#This Row],[Collector Booster Expected Market Value]]/tbl_MTG_Set[[#This Row],[Collector Boost Sealed Market Value]]</f>
        <v/>
      </c>
      <c r="BM4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7" s="10">
        <f>tbl_MTG_Set[[#This Row],[Collector Singles CardMarket Profit]]/tbl_MTG_Set[[#This Row],[Collector Booster Cost]]</f>
        <v/>
      </c>
      <c r="BO477" s="10">
        <f>tbl_MTG_Set[[#This Row],[Collector Singles CardMarket Profit]]&gt;0</f>
        <v/>
      </c>
      <c r="BP4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8">
      <c r="A478" t="n">
        <v>476</v>
      </c>
      <c r="B478" t="inlineStr">
        <is>
          <t>Core Set 2019 Promos PM19</t>
        </is>
      </c>
      <c r="C478" t="n">
        <v>95</v>
      </c>
      <c r="D478" s="3" t="n">
        <v>43294</v>
      </c>
      <c r="F478" t="inlineStr">
        <is>
          <t>en es fr de it pt ja ko ru 汉语 漢語</t>
        </is>
      </c>
      <c r="G478" t="n">
        <v>898</v>
      </c>
      <c r="H478">
        <f>MONTH(NOW())+12*YEAR(NOW())-MONTH(tbl_MTG_Set[[#This Row],[Released On]])-12*YEAR(tbl_MTG_Set[[#This Row],[Released On]])</f>
        <v/>
      </c>
      <c r="I478">
        <f>_xlfn.XLOOKUP(tbl_MTG_Set[[#This Row],[Type Name]], tbl_MTG_Set_Type[Set Type], tbl_MTG_Set_Type[Index], "(Set Type not found)")</f>
        <v/>
      </c>
      <c r="J478">
        <f>_xlfn.XLOOKUP(tbl_MTG_Set[[#This Row],[Type Name]], tbl_MTG_Set_Type[Set Type], tbl_MTG_Set_Type[Buy Window Month Start], "(Set Type not found)")</f>
        <v/>
      </c>
      <c r="K478" s="3">
        <f>tbl_MTG_Set[[#This Row],[Released On]]+tbl_MTG_Set[[#This Row],[Buy Window Month Start]]*365.25/12</f>
        <v/>
      </c>
      <c r="L478">
        <f>_xlfn.XLOOKUP(tbl_MTG_Set[[#This Row],[Type Name]], tbl_MTG_Set_Type[Set Type], tbl_MTG_Set_Type[Buy Window Month End], "(Set Type not found)", 0, 1)</f>
        <v/>
      </c>
      <c r="M478" s="3">
        <f>tbl_MTG_Set[[#This Row],[Released On]]+tbl_MTG_Set[[#This Row],[Buy Window Month End]]*365.25/12</f>
        <v/>
      </c>
      <c r="N478" s="3">
        <f>AND(NOW()&gt;=tbl_MTG_Set[[#This Row],[Buy Window Start]], NOW()&lt;=tbl_MTG_Set[[#This Row],[Buy Window End]])</f>
        <v/>
      </c>
      <c r="O478">
        <f>_xlfn.XLOOKUP(tbl_MTG_Set[[#This Row],[Type Name]], tbl_MTG_Set_Type[Set Type], tbl_MTG_Set_Type[Heavy Printing Window Month Start], "(Set Type not found)", 0, 1)</f>
        <v/>
      </c>
      <c r="P478" s="3">
        <f>tbl_MTG_Set[[#This Row],[Released On]]+tbl_MTG_Set[[#This Row],[Heavy Printing Window Month Start]]*365.25/12</f>
        <v/>
      </c>
      <c r="Q478">
        <f>_xlfn.XLOOKUP(tbl_MTG_Set[[#This Row],[Type Name]], tbl_MTG_Set_Type[Set Type], tbl_MTG_Set_Type[Heavy Printing Window Month End], "(Set Type not found)", 0, 1)</f>
        <v/>
      </c>
      <c r="R478" s="3">
        <f>tbl_MTG_Set[[#This Row],[Released On]]+tbl_MTG_Set[[#This Row],[Heavy Printing Window Month End]]*365.25/12</f>
        <v/>
      </c>
      <c r="S478" s="3">
        <f>AND(NOW()&gt;=tbl_MTG_Set[[#This Row],[Heavy Printing Window Start]], NOW()&lt;=tbl_MTG_Set[[#This Row],[Heavy Printing Window End]])</f>
        <v/>
      </c>
      <c r="T478">
        <f>_xlfn.XLOOKUP(tbl_MTG_Set[[#This Row],[Type Name]], tbl_MTG_Set_Type[Set Type], tbl_MTG_Set_Type[Sell Window Month Start], "(Set Type not found)", 0, 1)</f>
        <v/>
      </c>
      <c r="U478" s="3">
        <f>tbl_MTG_Set[[#This Row],[Released On]]+tbl_MTG_Set[[#This Row],[Sell Window Month Start]]*365.25/12</f>
        <v/>
      </c>
      <c r="V478">
        <f>_xlfn.XLOOKUP(tbl_MTG_Set[[#This Row],[Type Name]], tbl_MTG_Set_Type[Set Type], tbl_MTG_Set_Type[Sell Window Month End], "(Set Type not found)", 0, 1)</f>
        <v/>
      </c>
      <c r="W478" s="3">
        <f>tbl_MTG_Set[[#This Row],[Released On]]+tbl_MTG_Set[[#This Row],[Sell Window Month End]]*365.25/12</f>
        <v/>
      </c>
      <c r="X478" s="3">
        <f>AND(NOW()&gt;=tbl_MTG_Set[[#This Row],[Sell Window Start]], NOW()&lt;=tbl_MTG_Set[[#This Row],[Sell Window End]])</f>
        <v/>
      </c>
      <c r="AG478" s="10" t="n"/>
      <c r="AH478" s="10" t="n"/>
      <c r="AM478" s="10">
        <f t="array" ref="AM4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8" s="10">
        <f t="array" ref="AN4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8" s="4">
        <f>_xlfn.XLOOKUP(tbl_MTG_Set[[#This Row],[Play Booster Box Product Id]], tbl_Product[Product Id], tbl_Product[Pack Size])</f>
        <v/>
      </c>
      <c r="AP478" s="10">
        <f>(tbl_MTG_Set[[#This Row],[Play Booster Box Cost]]+v_Item_Shipping_Cost_In)/tbl_MTG_Set[[#This Row],[Play Booster Box Size]]</f>
        <v/>
      </c>
      <c r="AQ478" s="10">
        <f t="array" ref="AQ4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8" s="10" t="n"/>
      <c r="AS478" s="10" t="n"/>
      <c r="AT478" s="17">
        <f>tbl_MTG_Set[[#This Row],[Play Booster CardMarket Profit]]/tbl_MTG_Set[[#This Row],[Play Booster Cost]]</f>
        <v/>
      </c>
      <c r="AU478" s="10">
        <f>_xlfn.XLOOKUP(tbl_MTG_Set[[#This Row],[Collector Booster Box Product Id]], tbl_Product[Product Id], tbl_Product[Min Cost])</f>
        <v/>
      </c>
      <c r="AV478" s="10">
        <f>_xlfn.XLOOKUP(tbl_MTG_Set[[#This Row],[Collector Booster Box Product Id]], tbl_Product[Product Id], tbl_Product[Best Source])</f>
        <v/>
      </c>
      <c r="AW478" s="4">
        <f>_xlfn.XLOOKUP(tbl_MTG_Set[[#This Row],[Collector Booster Box Product Id]], tbl_Product[Product Id], tbl_Product[Pack Size])</f>
        <v/>
      </c>
      <c r="AX478" s="10">
        <f>(tbl_MTG_Set[[#This Row],[Collector Booster Box Cost]] + v_Item_Shipping_Cost_In) / tbl_MTG_Set[[#This Row],[Collector Booster Box Size]]</f>
        <v/>
      </c>
      <c r="AY478" s="10">
        <f t="array" ref="AY4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8" s="10" t="n"/>
      <c r="BA4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8" s="17">
        <f>tbl_MTG_Set[[#This Row],[Collector Booster CardMarket Profit]]/tbl_MTG_Set[[#This Row],[Collector Booster Cost]]</f>
        <v/>
      </c>
      <c r="BC478" s="10" t="n"/>
      <c r="BF478" s="10">
        <f>tbl_MTG_Set[[#This Row],[Play Booster Sell Price CardMarket]]*tbl_MTG_Set[[#This Row],[Play Booster Expected Market Value]]/tbl_MTG_Set[[#This Row],[Play Boost Sealed Market Value]]</f>
        <v/>
      </c>
      <c r="BG4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8" s="10">
        <f>tbl_MTG_Set[[#This Row],[Play Singles CardMarket Profit]]/tbl_MTG_Set[[#This Row],[Play Booster Cost]]</f>
        <v/>
      </c>
      <c r="BI478" s="10">
        <f>tbl_MTG_Set[[#This Row],[Play Singles CardMarket Profit]]&gt;0</f>
        <v/>
      </c>
      <c r="BJ478" s="10" t="n"/>
      <c r="BK478" s="10" t="n"/>
      <c r="BL478" s="10">
        <f>tbl_MTG_Set[[#This Row],[Collector Booster Sell Price CardMarket]]*tbl_MTG_Set[[#This Row],[Collector Booster Expected Market Value]]/tbl_MTG_Set[[#This Row],[Collector Boost Sealed Market Value]]</f>
        <v/>
      </c>
      <c r="BM4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8" s="10">
        <f>tbl_MTG_Set[[#This Row],[Collector Singles CardMarket Profit]]/tbl_MTG_Set[[#This Row],[Collector Booster Cost]]</f>
        <v/>
      </c>
      <c r="BO478" s="10">
        <f>tbl_MTG_Set[[#This Row],[Collector Singles CardMarket Profit]]&gt;0</f>
        <v/>
      </c>
      <c r="BP4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9">
      <c r="A479" t="n">
        <v>477</v>
      </c>
      <c r="B479" t="inlineStr">
        <is>
          <t>Core Set 2019 Tokens TM19</t>
        </is>
      </c>
      <c r="C479" t="n">
        <v>18</v>
      </c>
      <c r="D479" s="3" t="n">
        <v>43294</v>
      </c>
      <c r="F479" t="inlineStr">
        <is>
          <t>en es fr de it pt ja ko ru 汉语 漢語</t>
        </is>
      </c>
      <c r="G479" t="n">
        <v>900</v>
      </c>
      <c r="H479">
        <f>MONTH(NOW())+12*YEAR(NOW())-MONTH(tbl_MTG_Set[[#This Row],[Released On]])-12*YEAR(tbl_MTG_Set[[#This Row],[Released On]])</f>
        <v/>
      </c>
      <c r="I479">
        <f>_xlfn.XLOOKUP(tbl_MTG_Set[[#This Row],[Type Name]], tbl_MTG_Set_Type[Set Type], tbl_MTG_Set_Type[Index], "(Set Type not found)")</f>
        <v/>
      </c>
      <c r="J479">
        <f>_xlfn.XLOOKUP(tbl_MTG_Set[[#This Row],[Type Name]], tbl_MTG_Set_Type[Set Type], tbl_MTG_Set_Type[Buy Window Month Start], "(Set Type not found)")</f>
        <v/>
      </c>
      <c r="K479" s="3">
        <f>tbl_MTG_Set[[#This Row],[Released On]]+tbl_MTG_Set[[#This Row],[Buy Window Month Start]]*365.25/12</f>
        <v/>
      </c>
      <c r="L479">
        <f>_xlfn.XLOOKUP(tbl_MTG_Set[[#This Row],[Type Name]], tbl_MTG_Set_Type[Set Type], tbl_MTG_Set_Type[Buy Window Month End], "(Set Type not found)", 0, 1)</f>
        <v/>
      </c>
      <c r="M479" s="3">
        <f>tbl_MTG_Set[[#This Row],[Released On]]+tbl_MTG_Set[[#This Row],[Buy Window Month End]]*365.25/12</f>
        <v/>
      </c>
      <c r="N479" s="3">
        <f>AND(NOW()&gt;=tbl_MTG_Set[[#This Row],[Buy Window Start]], NOW()&lt;=tbl_MTG_Set[[#This Row],[Buy Window End]])</f>
        <v/>
      </c>
      <c r="O479">
        <f>_xlfn.XLOOKUP(tbl_MTG_Set[[#This Row],[Type Name]], tbl_MTG_Set_Type[Set Type], tbl_MTG_Set_Type[Heavy Printing Window Month Start], "(Set Type not found)", 0, 1)</f>
        <v/>
      </c>
      <c r="P479" s="3">
        <f>tbl_MTG_Set[[#This Row],[Released On]]+tbl_MTG_Set[[#This Row],[Heavy Printing Window Month Start]]*365.25/12</f>
        <v/>
      </c>
      <c r="Q479">
        <f>_xlfn.XLOOKUP(tbl_MTG_Set[[#This Row],[Type Name]], tbl_MTG_Set_Type[Set Type], tbl_MTG_Set_Type[Heavy Printing Window Month End], "(Set Type not found)", 0, 1)</f>
        <v/>
      </c>
      <c r="R479" s="3">
        <f>tbl_MTG_Set[[#This Row],[Released On]]+tbl_MTG_Set[[#This Row],[Heavy Printing Window Month End]]*365.25/12</f>
        <v/>
      </c>
      <c r="S479" s="3">
        <f>AND(NOW()&gt;=tbl_MTG_Set[[#This Row],[Heavy Printing Window Start]], NOW()&lt;=tbl_MTG_Set[[#This Row],[Heavy Printing Window End]])</f>
        <v/>
      </c>
      <c r="T479">
        <f>_xlfn.XLOOKUP(tbl_MTG_Set[[#This Row],[Type Name]], tbl_MTG_Set_Type[Set Type], tbl_MTG_Set_Type[Sell Window Month Start], "(Set Type not found)", 0, 1)</f>
        <v/>
      </c>
      <c r="U479" s="3">
        <f>tbl_MTG_Set[[#This Row],[Released On]]+tbl_MTG_Set[[#This Row],[Sell Window Month Start]]*365.25/12</f>
        <v/>
      </c>
      <c r="V479">
        <f>_xlfn.XLOOKUP(tbl_MTG_Set[[#This Row],[Type Name]], tbl_MTG_Set_Type[Set Type], tbl_MTG_Set_Type[Sell Window Month End], "(Set Type not found)", 0, 1)</f>
        <v/>
      </c>
      <c r="W479" s="3">
        <f>tbl_MTG_Set[[#This Row],[Released On]]+tbl_MTG_Set[[#This Row],[Sell Window Month End]]*365.25/12</f>
        <v/>
      </c>
      <c r="X479" s="3">
        <f>AND(NOW()&gt;=tbl_MTG_Set[[#This Row],[Sell Window Start]], NOW()&lt;=tbl_MTG_Set[[#This Row],[Sell Window End]])</f>
        <v/>
      </c>
      <c r="AG479" s="10" t="n"/>
      <c r="AH479" s="10" t="n"/>
      <c r="AM479" s="10">
        <f t="array" ref="AM4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9" s="10">
        <f t="array" ref="AN4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9" s="4">
        <f>_xlfn.XLOOKUP(tbl_MTG_Set[[#This Row],[Play Booster Box Product Id]], tbl_Product[Product Id], tbl_Product[Pack Size])</f>
        <v/>
      </c>
      <c r="AP479" s="10">
        <f>(tbl_MTG_Set[[#This Row],[Play Booster Box Cost]]+v_Item_Shipping_Cost_In)/tbl_MTG_Set[[#This Row],[Play Booster Box Size]]</f>
        <v/>
      </c>
      <c r="AQ479" s="10">
        <f t="array" ref="AQ4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79" s="10" t="n"/>
      <c r="AS479" s="10" t="n"/>
      <c r="AT479" s="17">
        <f>tbl_MTG_Set[[#This Row],[Play Booster CardMarket Profit]]/tbl_MTG_Set[[#This Row],[Play Booster Cost]]</f>
        <v/>
      </c>
      <c r="AU479" s="10">
        <f>_xlfn.XLOOKUP(tbl_MTG_Set[[#This Row],[Collector Booster Box Product Id]], tbl_Product[Product Id], tbl_Product[Min Cost])</f>
        <v/>
      </c>
      <c r="AV479" s="10">
        <f>_xlfn.XLOOKUP(tbl_MTG_Set[[#This Row],[Collector Booster Box Product Id]], tbl_Product[Product Id], tbl_Product[Best Source])</f>
        <v/>
      </c>
      <c r="AW479" s="4">
        <f>_xlfn.XLOOKUP(tbl_MTG_Set[[#This Row],[Collector Booster Box Product Id]], tbl_Product[Product Id], tbl_Product[Pack Size])</f>
        <v/>
      </c>
      <c r="AX479" s="10">
        <f>(tbl_MTG_Set[[#This Row],[Collector Booster Box Cost]] + v_Item_Shipping_Cost_In) / tbl_MTG_Set[[#This Row],[Collector Booster Box Size]]</f>
        <v/>
      </c>
      <c r="AY479" s="10">
        <f t="array" ref="AY4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79" s="10" t="n"/>
      <c r="BA4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9" s="17">
        <f>tbl_MTG_Set[[#This Row],[Collector Booster CardMarket Profit]]/tbl_MTG_Set[[#This Row],[Collector Booster Cost]]</f>
        <v/>
      </c>
      <c r="BC479" s="10" t="n"/>
      <c r="BF479" s="10">
        <f>tbl_MTG_Set[[#This Row],[Play Booster Sell Price CardMarket]]*tbl_MTG_Set[[#This Row],[Play Booster Expected Market Value]]/tbl_MTG_Set[[#This Row],[Play Boost Sealed Market Value]]</f>
        <v/>
      </c>
      <c r="BG4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9" s="10">
        <f>tbl_MTG_Set[[#This Row],[Play Singles CardMarket Profit]]/tbl_MTG_Set[[#This Row],[Play Booster Cost]]</f>
        <v/>
      </c>
      <c r="BI479" s="10">
        <f>tbl_MTG_Set[[#This Row],[Play Singles CardMarket Profit]]&gt;0</f>
        <v/>
      </c>
      <c r="BJ479" s="10" t="n"/>
      <c r="BK479" s="10" t="n"/>
      <c r="BL479" s="10">
        <f>tbl_MTG_Set[[#This Row],[Collector Booster Sell Price CardMarket]]*tbl_MTG_Set[[#This Row],[Collector Booster Expected Market Value]]/tbl_MTG_Set[[#This Row],[Collector Boost Sealed Market Value]]</f>
        <v/>
      </c>
      <c r="BM4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9" s="10">
        <f>tbl_MTG_Set[[#This Row],[Collector Singles CardMarket Profit]]/tbl_MTG_Set[[#This Row],[Collector Booster Cost]]</f>
        <v/>
      </c>
      <c r="BO479" s="10">
        <f>tbl_MTG_Set[[#This Row],[Collector Singles CardMarket Profit]]&gt;0</f>
        <v/>
      </c>
      <c r="BP4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0">
      <c r="A480" t="n">
        <v>478</v>
      </c>
      <c r="B480" t="inlineStr">
        <is>
          <t>M19 Gift Pack G18</t>
        </is>
      </c>
      <c r="C480" t="n">
        <v>5</v>
      </c>
      <c r="D480" s="3" t="n">
        <v>43420</v>
      </c>
      <c r="F480" t="inlineStr">
        <is>
          <t>en es fr de it pt ja ko ru 汉语 漢語</t>
        </is>
      </c>
      <c r="G480" t="n">
        <v>902</v>
      </c>
      <c r="H480">
        <f>MONTH(NOW())+12*YEAR(NOW())-MONTH(tbl_MTG_Set[[#This Row],[Released On]])-12*YEAR(tbl_MTG_Set[[#This Row],[Released On]])</f>
        <v/>
      </c>
      <c r="I480">
        <f>_xlfn.XLOOKUP(tbl_MTG_Set[[#This Row],[Type Name]], tbl_MTG_Set_Type[Set Type], tbl_MTG_Set_Type[Index], "(Set Type not found)")</f>
        <v/>
      </c>
      <c r="J480">
        <f>_xlfn.XLOOKUP(tbl_MTG_Set[[#This Row],[Type Name]], tbl_MTG_Set_Type[Set Type], tbl_MTG_Set_Type[Buy Window Month Start], "(Set Type not found)")</f>
        <v/>
      </c>
      <c r="K480" s="3">
        <f>tbl_MTG_Set[[#This Row],[Released On]]+tbl_MTG_Set[[#This Row],[Buy Window Month Start]]*365.25/12</f>
        <v/>
      </c>
      <c r="L480">
        <f>_xlfn.XLOOKUP(tbl_MTG_Set[[#This Row],[Type Name]], tbl_MTG_Set_Type[Set Type], tbl_MTG_Set_Type[Buy Window Month End], "(Set Type not found)", 0, 1)</f>
        <v/>
      </c>
      <c r="M480" s="3">
        <f>tbl_MTG_Set[[#This Row],[Released On]]+tbl_MTG_Set[[#This Row],[Buy Window Month End]]*365.25/12</f>
        <v/>
      </c>
      <c r="N480" s="3">
        <f>AND(NOW()&gt;=tbl_MTG_Set[[#This Row],[Buy Window Start]], NOW()&lt;=tbl_MTG_Set[[#This Row],[Buy Window End]])</f>
        <v/>
      </c>
      <c r="O480">
        <f>_xlfn.XLOOKUP(tbl_MTG_Set[[#This Row],[Type Name]], tbl_MTG_Set_Type[Set Type], tbl_MTG_Set_Type[Heavy Printing Window Month Start], "(Set Type not found)", 0, 1)</f>
        <v/>
      </c>
      <c r="P480" s="3">
        <f>tbl_MTG_Set[[#This Row],[Released On]]+tbl_MTG_Set[[#This Row],[Heavy Printing Window Month Start]]*365.25/12</f>
        <v/>
      </c>
      <c r="Q480">
        <f>_xlfn.XLOOKUP(tbl_MTG_Set[[#This Row],[Type Name]], tbl_MTG_Set_Type[Set Type], tbl_MTG_Set_Type[Heavy Printing Window Month End], "(Set Type not found)", 0, 1)</f>
        <v/>
      </c>
      <c r="R480" s="3">
        <f>tbl_MTG_Set[[#This Row],[Released On]]+tbl_MTG_Set[[#This Row],[Heavy Printing Window Month End]]*365.25/12</f>
        <v/>
      </c>
      <c r="S480" s="3">
        <f>AND(NOW()&gt;=tbl_MTG_Set[[#This Row],[Heavy Printing Window Start]], NOW()&lt;=tbl_MTG_Set[[#This Row],[Heavy Printing Window End]])</f>
        <v/>
      </c>
      <c r="T480">
        <f>_xlfn.XLOOKUP(tbl_MTG_Set[[#This Row],[Type Name]], tbl_MTG_Set_Type[Set Type], tbl_MTG_Set_Type[Sell Window Month Start], "(Set Type not found)", 0, 1)</f>
        <v/>
      </c>
      <c r="U480" s="3">
        <f>tbl_MTG_Set[[#This Row],[Released On]]+tbl_MTG_Set[[#This Row],[Sell Window Month Start]]*365.25/12</f>
        <v/>
      </c>
      <c r="V480">
        <f>_xlfn.XLOOKUP(tbl_MTG_Set[[#This Row],[Type Name]], tbl_MTG_Set_Type[Set Type], tbl_MTG_Set_Type[Sell Window Month End], "(Set Type not found)", 0, 1)</f>
        <v/>
      </c>
      <c r="W480" s="3">
        <f>tbl_MTG_Set[[#This Row],[Released On]]+tbl_MTG_Set[[#This Row],[Sell Window Month End]]*365.25/12</f>
        <v/>
      </c>
      <c r="X480" s="3">
        <f>AND(NOW()&gt;=tbl_MTG_Set[[#This Row],[Sell Window Start]], NOW()&lt;=tbl_MTG_Set[[#This Row],[Sell Window End]])</f>
        <v/>
      </c>
      <c r="AG480" s="10" t="n"/>
      <c r="AH480" s="10" t="n"/>
      <c r="AM480" s="10">
        <f t="array" ref="AM4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0" s="10">
        <f t="array" ref="AN4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0" s="4">
        <f>_xlfn.XLOOKUP(tbl_MTG_Set[[#This Row],[Play Booster Box Product Id]], tbl_Product[Product Id], tbl_Product[Pack Size])</f>
        <v/>
      </c>
      <c r="AP480" s="10">
        <f>(tbl_MTG_Set[[#This Row],[Play Booster Box Cost]]+v_Item_Shipping_Cost_In)/tbl_MTG_Set[[#This Row],[Play Booster Box Size]]</f>
        <v/>
      </c>
      <c r="AQ480" s="10">
        <f t="array" ref="AQ4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0" s="10" t="n"/>
      <c r="AS480" s="10" t="n"/>
      <c r="AT480" s="17">
        <f>tbl_MTG_Set[[#This Row],[Play Booster CardMarket Profit]]/tbl_MTG_Set[[#This Row],[Play Booster Cost]]</f>
        <v/>
      </c>
      <c r="AU480" s="10">
        <f>_xlfn.XLOOKUP(tbl_MTG_Set[[#This Row],[Collector Booster Box Product Id]], tbl_Product[Product Id], tbl_Product[Min Cost])</f>
        <v/>
      </c>
      <c r="AV480" s="10">
        <f>_xlfn.XLOOKUP(tbl_MTG_Set[[#This Row],[Collector Booster Box Product Id]], tbl_Product[Product Id], tbl_Product[Best Source])</f>
        <v/>
      </c>
      <c r="AW480" s="4">
        <f>_xlfn.XLOOKUP(tbl_MTG_Set[[#This Row],[Collector Booster Box Product Id]], tbl_Product[Product Id], tbl_Product[Pack Size])</f>
        <v/>
      </c>
      <c r="AX480" s="10">
        <f>(tbl_MTG_Set[[#This Row],[Collector Booster Box Cost]] + v_Item_Shipping_Cost_In) / tbl_MTG_Set[[#This Row],[Collector Booster Box Size]]</f>
        <v/>
      </c>
      <c r="AY480" s="10">
        <f t="array" ref="AY4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0" s="10" t="n"/>
      <c r="BA4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0" s="17">
        <f>tbl_MTG_Set[[#This Row],[Collector Booster CardMarket Profit]]/tbl_MTG_Set[[#This Row],[Collector Booster Cost]]</f>
        <v/>
      </c>
      <c r="BC480" s="10" t="n"/>
      <c r="BF480" s="10">
        <f>tbl_MTG_Set[[#This Row],[Play Booster Sell Price CardMarket]]*tbl_MTG_Set[[#This Row],[Play Booster Expected Market Value]]/tbl_MTG_Set[[#This Row],[Play Boost Sealed Market Value]]</f>
        <v/>
      </c>
      <c r="BG4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0" s="10">
        <f>tbl_MTG_Set[[#This Row],[Play Singles CardMarket Profit]]/tbl_MTG_Set[[#This Row],[Play Booster Cost]]</f>
        <v/>
      </c>
      <c r="BI480" s="10">
        <f>tbl_MTG_Set[[#This Row],[Play Singles CardMarket Profit]]&gt;0</f>
        <v/>
      </c>
      <c r="BJ480" s="10" t="n"/>
      <c r="BK480" s="10" t="n"/>
      <c r="BL480" s="10">
        <f>tbl_MTG_Set[[#This Row],[Collector Booster Sell Price CardMarket]]*tbl_MTG_Set[[#This Row],[Collector Booster Expected Market Value]]/tbl_MTG_Set[[#This Row],[Collector Boost Sealed Market Value]]</f>
        <v/>
      </c>
      <c r="BM4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0" s="10">
        <f>tbl_MTG_Set[[#This Row],[Collector Singles CardMarket Profit]]/tbl_MTG_Set[[#This Row],[Collector Booster Cost]]</f>
        <v/>
      </c>
      <c r="BO480" s="10">
        <f>tbl_MTG_Set[[#This Row],[Collector Singles CardMarket Profit]]&gt;0</f>
        <v/>
      </c>
      <c r="BP4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1">
      <c r="A481" t="n">
        <v>479</v>
      </c>
      <c r="B481" t="inlineStr">
        <is>
          <t>M19 Standard Showdown PSS3</t>
        </is>
      </c>
      <c r="C481" t="n">
        <v>5</v>
      </c>
      <c r="D481" s="3" t="n">
        <v>43294</v>
      </c>
      <c r="F481" t="inlineStr">
        <is>
          <t>en es fr de it pt ja ko ru 汉语 漢語</t>
        </is>
      </c>
      <c r="G481" t="n">
        <v>904</v>
      </c>
      <c r="H481">
        <f>MONTH(NOW())+12*YEAR(NOW())-MONTH(tbl_MTG_Set[[#This Row],[Released On]])-12*YEAR(tbl_MTG_Set[[#This Row],[Released On]])</f>
        <v/>
      </c>
      <c r="I481">
        <f>_xlfn.XLOOKUP(tbl_MTG_Set[[#This Row],[Type Name]], tbl_MTG_Set_Type[Set Type], tbl_MTG_Set_Type[Index], "(Set Type not found)")</f>
        <v/>
      </c>
      <c r="J481">
        <f>_xlfn.XLOOKUP(tbl_MTG_Set[[#This Row],[Type Name]], tbl_MTG_Set_Type[Set Type], tbl_MTG_Set_Type[Buy Window Month Start], "(Set Type not found)")</f>
        <v/>
      </c>
      <c r="K481" s="3">
        <f>tbl_MTG_Set[[#This Row],[Released On]]+tbl_MTG_Set[[#This Row],[Buy Window Month Start]]*365.25/12</f>
        <v/>
      </c>
      <c r="L481">
        <f>_xlfn.XLOOKUP(tbl_MTG_Set[[#This Row],[Type Name]], tbl_MTG_Set_Type[Set Type], tbl_MTG_Set_Type[Buy Window Month End], "(Set Type not found)", 0, 1)</f>
        <v/>
      </c>
      <c r="M481" s="3">
        <f>tbl_MTG_Set[[#This Row],[Released On]]+tbl_MTG_Set[[#This Row],[Buy Window Month End]]*365.25/12</f>
        <v/>
      </c>
      <c r="N481" s="3">
        <f>AND(NOW()&gt;=tbl_MTG_Set[[#This Row],[Buy Window Start]], NOW()&lt;=tbl_MTG_Set[[#This Row],[Buy Window End]])</f>
        <v/>
      </c>
      <c r="O481">
        <f>_xlfn.XLOOKUP(tbl_MTG_Set[[#This Row],[Type Name]], tbl_MTG_Set_Type[Set Type], tbl_MTG_Set_Type[Heavy Printing Window Month Start], "(Set Type not found)", 0, 1)</f>
        <v/>
      </c>
      <c r="P481" s="3">
        <f>tbl_MTG_Set[[#This Row],[Released On]]+tbl_MTG_Set[[#This Row],[Heavy Printing Window Month Start]]*365.25/12</f>
        <v/>
      </c>
      <c r="Q481">
        <f>_xlfn.XLOOKUP(tbl_MTG_Set[[#This Row],[Type Name]], tbl_MTG_Set_Type[Set Type], tbl_MTG_Set_Type[Heavy Printing Window Month End], "(Set Type not found)", 0, 1)</f>
        <v/>
      </c>
      <c r="R481" s="3">
        <f>tbl_MTG_Set[[#This Row],[Released On]]+tbl_MTG_Set[[#This Row],[Heavy Printing Window Month End]]*365.25/12</f>
        <v/>
      </c>
      <c r="S481" s="3">
        <f>AND(NOW()&gt;=tbl_MTG_Set[[#This Row],[Heavy Printing Window Start]], NOW()&lt;=tbl_MTG_Set[[#This Row],[Heavy Printing Window End]])</f>
        <v/>
      </c>
      <c r="T481">
        <f>_xlfn.XLOOKUP(tbl_MTG_Set[[#This Row],[Type Name]], tbl_MTG_Set_Type[Set Type], tbl_MTG_Set_Type[Sell Window Month Start], "(Set Type not found)", 0, 1)</f>
        <v/>
      </c>
      <c r="U481" s="3">
        <f>tbl_MTG_Set[[#This Row],[Released On]]+tbl_MTG_Set[[#This Row],[Sell Window Month Start]]*365.25/12</f>
        <v/>
      </c>
      <c r="V481">
        <f>_xlfn.XLOOKUP(tbl_MTG_Set[[#This Row],[Type Name]], tbl_MTG_Set_Type[Set Type], tbl_MTG_Set_Type[Sell Window Month End], "(Set Type not found)", 0, 1)</f>
        <v/>
      </c>
      <c r="W481" s="3">
        <f>tbl_MTG_Set[[#This Row],[Released On]]+tbl_MTG_Set[[#This Row],[Sell Window Month End]]*365.25/12</f>
        <v/>
      </c>
      <c r="X481" s="3">
        <f>AND(NOW()&gt;=tbl_MTG_Set[[#This Row],[Sell Window Start]], NOW()&lt;=tbl_MTG_Set[[#This Row],[Sell Window End]])</f>
        <v/>
      </c>
      <c r="AG481" s="10" t="n"/>
      <c r="AH481" s="10" t="n"/>
      <c r="AM481" s="10">
        <f t="array" ref="AM4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1" s="10">
        <f t="array" ref="AN4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1" s="4">
        <f>_xlfn.XLOOKUP(tbl_MTG_Set[[#This Row],[Play Booster Box Product Id]], tbl_Product[Product Id], tbl_Product[Pack Size])</f>
        <v/>
      </c>
      <c r="AP481" s="10">
        <f>(tbl_MTG_Set[[#This Row],[Play Booster Box Cost]]+v_Item_Shipping_Cost_In)/tbl_MTG_Set[[#This Row],[Play Booster Box Size]]</f>
        <v/>
      </c>
      <c r="AQ481" s="10">
        <f t="array" ref="AQ4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1" s="10" t="n"/>
      <c r="AS481" s="10" t="n"/>
      <c r="AT481" s="17">
        <f>tbl_MTG_Set[[#This Row],[Play Booster CardMarket Profit]]/tbl_MTG_Set[[#This Row],[Play Booster Cost]]</f>
        <v/>
      </c>
      <c r="AU481" s="10">
        <f>_xlfn.XLOOKUP(tbl_MTG_Set[[#This Row],[Collector Booster Box Product Id]], tbl_Product[Product Id], tbl_Product[Min Cost])</f>
        <v/>
      </c>
      <c r="AV481" s="10">
        <f>_xlfn.XLOOKUP(tbl_MTG_Set[[#This Row],[Collector Booster Box Product Id]], tbl_Product[Product Id], tbl_Product[Best Source])</f>
        <v/>
      </c>
      <c r="AW481" s="4">
        <f>_xlfn.XLOOKUP(tbl_MTG_Set[[#This Row],[Collector Booster Box Product Id]], tbl_Product[Product Id], tbl_Product[Pack Size])</f>
        <v/>
      </c>
      <c r="AX481" s="10">
        <f>(tbl_MTG_Set[[#This Row],[Collector Booster Box Cost]] + v_Item_Shipping_Cost_In) / tbl_MTG_Set[[#This Row],[Collector Booster Box Size]]</f>
        <v/>
      </c>
      <c r="AY481" s="10">
        <f t="array" ref="AY4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1" s="10" t="n"/>
      <c r="BA4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1" s="17">
        <f>tbl_MTG_Set[[#This Row],[Collector Booster CardMarket Profit]]/tbl_MTG_Set[[#This Row],[Collector Booster Cost]]</f>
        <v/>
      </c>
      <c r="BC481" s="10" t="n"/>
      <c r="BF481" s="10">
        <f>tbl_MTG_Set[[#This Row],[Play Booster Sell Price CardMarket]]*tbl_MTG_Set[[#This Row],[Play Booster Expected Market Value]]/tbl_MTG_Set[[#This Row],[Play Boost Sealed Market Value]]</f>
        <v/>
      </c>
      <c r="BG4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1" s="10">
        <f>tbl_MTG_Set[[#This Row],[Play Singles CardMarket Profit]]/tbl_MTG_Set[[#This Row],[Play Booster Cost]]</f>
        <v/>
      </c>
      <c r="BI481" s="10">
        <f>tbl_MTG_Set[[#This Row],[Play Singles CardMarket Profit]]&gt;0</f>
        <v/>
      </c>
      <c r="BJ481" s="10" t="n"/>
      <c r="BK481" s="10" t="n"/>
      <c r="BL481" s="10">
        <f>tbl_MTG_Set[[#This Row],[Collector Booster Sell Price CardMarket]]*tbl_MTG_Set[[#This Row],[Collector Booster Expected Market Value]]/tbl_MTG_Set[[#This Row],[Collector Boost Sealed Market Value]]</f>
        <v/>
      </c>
      <c r="BM4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1" s="10">
        <f>tbl_MTG_Set[[#This Row],[Collector Singles CardMarket Profit]]/tbl_MTG_Set[[#This Row],[Collector Booster Cost]]</f>
        <v/>
      </c>
      <c r="BO481" s="10">
        <f>tbl_MTG_Set[[#This Row],[Collector Singles CardMarket Profit]]&gt;0</f>
        <v/>
      </c>
      <c r="BP4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2">
      <c r="A482" t="n">
        <v>480</v>
      </c>
      <c r="B482" t="inlineStr">
        <is>
          <t>Global Series Jiang Yanggu &amp; Mu Yanling GS1</t>
        </is>
      </c>
      <c r="C482" t="n">
        <v>41</v>
      </c>
      <c r="D482" s="3" t="n">
        <v>43273</v>
      </c>
      <c r="F482" t="inlineStr">
        <is>
          <t>en es fr de it pt ja ko ru 汉语 漢語</t>
        </is>
      </c>
      <c r="G482" t="n">
        <v>906</v>
      </c>
      <c r="H482">
        <f>MONTH(NOW())+12*YEAR(NOW())-MONTH(tbl_MTG_Set[[#This Row],[Released On]])-12*YEAR(tbl_MTG_Set[[#This Row],[Released On]])</f>
        <v/>
      </c>
      <c r="I482">
        <f>_xlfn.XLOOKUP(tbl_MTG_Set[[#This Row],[Type Name]], tbl_MTG_Set_Type[Set Type], tbl_MTG_Set_Type[Index], "(Set Type not found)")</f>
        <v/>
      </c>
      <c r="J482">
        <f>_xlfn.XLOOKUP(tbl_MTG_Set[[#This Row],[Type Name]], tbl_MTG_Set_Type[Set Type], tbl_MTG_Set_Type[Buy Window Month Start], "(Set Type not found)")</f>
        <v/>
      </c>
      <c r="K482" s="3">
        <f>tbl_MTG_Set[[#This Row],[Released On]]+tbl_MTG_Set[[#This Row],[Buy Window Month Start]]*365.25/12</f>
        <v/>
      </c>
      <c r="L482">
        <f>_xlfn.XLOOKUP(tbl_MTG_Set[[#This Row],[Type Name]], tbl_MTG_Set_Type[Set Type], tbl_MTG_Set_Type[Buy Window Month End], "(Set Type not found)", 0, 1)</f>
        <v/>
      </c>
      <c r="M482" s="3">
        <f>tbl_MTG_Set[[#This Row],[Released On]]+tbl_MTG_Set[[#This Row],[Buy Window Month End]]*365.25/12</f>
        <v/>
      </c>
      <c r="N482" s="3">
        <f>AND(NOW()&gt;=tbl_MTG_Set[[#This Row],[Buy Window Start]], NOW()&lt;=tbl_MTG_Set[[#This Row],[Buy Window End]])</f>
        <v/>
      </c>
      <c r="O482">
        <f>_xlfn.XLOOKUP(tbl_MTG_Set[[#This Row],[Type Name]], tbl_MTG_Set_Type[Set Type], tbl_MTG_Set_Type[Heavy Printing Window Month Start], "(Set Type not found)", 0, 1)</f>
        <v/>
      </c>
      <c r="P482" s="3">
        <f>tbl_MTG_Set[[#This Row],[Released On]]+tbl_MTG_Set[[#This Row],[Heavy Printing Window Month Start]]*365.25/12</f>
        <v/>
      </c>
      <c r="Q482">
        <f>_xlfn.XLOOKUP(tbl_MTG_Set[[#This Row],[Type Name]], tbl_MTG_Set_Type[Set Type], tbl_MTG_Set_Type[Heavy Printing Window Month End], "(Set Type not found)", 0, 1)</f>
        <v/>
      </c>
      <c r="R482" s="3">
        <f>tbl_MTG_Set[[#This Row],[Released On]]+tbl_MTG_Set[[#This Row],[Heavy Printing Window Month End]]*365.25/12</f>
        <v/>
      </c>
      <c r="S482" s="3">
        <f>AND(NOW()&gt;=tbl_MTG_Set[[#This Row],[Heavy Printing Window Start]], NOW()&lt;=tbl_MTG_Set[[#This Row],[Heavy Printing Window End]])</f>
        <v/>
      </c>
      <c r="T482">
        <f>_xlfn.XLOOKUP(tbl_MTG_Set[[#This Row],[Type Name]], tbl_MTG_Set_Type[Set Type], tbl_MTG_Set_Type[Sell Window Month Start], "(Set Type not found)", 0, 1)</f>
        <v/>
      </c>
      <c r="U482" s="3">
        <f>tbl_MTG_Set[[#This Row],[Released On]]+tbl_MTG_Set[[#This Row],[Sell Window Month Start]]*365.25/12</f>
        <v/>
      </c>
      <c r="V482">
        <f>_xlfn.XLOOKUP(tbl_MTG_Set[[#This Row],[Type Name]], tbl_MTG_Set_Type[Set Type], tbl_MTG_Set_Type[Sell Window Month End], "(Set Type not found)", 0, 1)</f>
        <v/>
      </c>
      <c r="W482" s="3">
        <f>tbl_MTG_Set[[#This Row],[Released On]]+tbl_MTG_Set[[#This Row],[Sell Window Month End]]*365.25/12</f>
        <v/>
      </c>
      <c r="X482" s="3">
        <f>AND(NOW()&gt;=tbl_MTG_Set[[#This Row],[Sell Window Start]], NOW()&lt;=tbl_MTG_Set[[#This Row],[Sell Window End]])</f>
        <v/>
      </c>
      <c r="AG482" s="10" t="n"/>
      <c r="AH482" s="10" t="n"/>
      <c r="AM482" s="10">
        <f t="array" ref="AM4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2" s="10">
        <f t="array" ref="AN4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2" s="4">
        <f>_xlfn.XLOOKUP(tbl_MTG_Set[[#This Row],[Play Booster Box Product Id]], tbl_Product[Product Id], tbl_Product[Pack Size])</f>
        <v/>
      </c>
      <c r="AP482" s="10">
        <f>(tbl_MTG_Set[[#This Row],[Play Booster Box Cost]]+v_Item_Shipping_Cost_In)/tbl_MTG_Set[[#This Row],[Play Booster Box Size]]</f>
        <v/>
      </c>
      <c r="AQ482" s="10">
        <f t="array" ref="AQ4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2" s="10" t="n"/>
      <c r="AS482" s="10" t="n"/>
      <c r="AT482" s="17">
        <f>tbl_MTG_Set[[#This Row],[Play Booster CardMarket Profit]]/tbl_MTG_Set[[#This Row],[Play Booster Cost]]</f>
        <v/>
      </c>
      <c r="AU482" s="10">
        <f>_xlfn.XLOOKUP(tbl_MTG_Set[[#This Row],[Collector Booster Box Product Id]], tbl_Product[Product Id], tbl_Product[Min Cost])</f>
        <v/>
      </c>
      <c r="AV482" s="10">
        <f>_xlfn.XLOOKUP(tbl_MTG_Set[[#This Row],[Collector Booster Box Product Id]], tbl_Product[Product Id], tbl_Product[Best Source])</f>
        <v/>
      </c>
      <c r="AW482" s="4">
        <f>_xlfn.XLOOKUP(tbl_MTG_Set[[#This Row],[Collector Booster Box Product Id]], tbl_Product[Product Id], tbl_Product[Pack Size])</f>
        <v/>
      </c>
      <c r="AX482" s="10">
        <f>(tbl_MTG_Set[[#This Row],[Collector Booster Box Cost]] + v_Item_Shipping_Cost_In) / tbl_MTG_Set[[#This Row],[Collector Booster Box Size]]</f>
        <v/>
      </c>
      <c r="AY482" s="10">
        <f t="array" ref="AY4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2" s="10" t="n"/>
      <c r="BA4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2" s="17">
        <f>tbl_MTG_Set[[#This Row],[Collector Booster CardMarket Profit]]/tbl_MTG_Set[[#This Row],[Collector Booster Cost]]</f>
        <v/>
      </c>
      <c r="BC482" s="10" t="n"/>
      <c r="BF482" s="10">
        <f>tbl_MTG_Set[[#This Row],[Play Booster Sell Price CardMarket]]*tbl_MTG_Set[[#This Row],[Play Booster Expected Market Value]]/tbl_MTG_Set[[#This Row],[Play Boost Sealed Market Value]]</f>
        <v/>
      </c>
      <c r="BG4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2" s="10">
        <f>tbl_MTG_Set[[#This Row],[Play Singles CardMarket Profit]]/tbl_MTG_Set[[#This Row],[Play Booster Cost]]</f>
        <v/>
      </c>
      <c r="BI482" s="10">
        <f>tbl_MTG_Set[[#This Row],[Play Singles CardMarket Profit]]&gt;0</f>
        <v/>
      </c>
      <c r="BJ482" s="10" t="n"/>
      <c r="BK482" s="10" t="n"/>
      <c r="BL482" s="10">
        <f>tbl_MTG_Set[[#This Row],[Collector Booster Sell Price CardMarket]]*tbl_MTG_Set[[#This Row],[Collector Booster Expected Market Value]]/tbl_MTG_Set[[#This Row],[Collector Boost Sealed Market Value]]</f>
        <v/>
      </c>
      <c r="BM4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2" s="10">
        <f>tbl_MTG_Set[[#This Row],[Collector Singles CardMarket Profit]]/tbl_MTG_Set[[#This Row],[Collector Booster Cost]]</f>
        <v/>
      </c>
      <c r="BO482" s="10">
        <f>tbl_MTG_Set[[#This Row],[Collector Singles CardMarket Profit]]&gt;0</f>
        <v/>
      </c>
      <c r="BP4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3">
      <c r="A483" t="n">
        <v>481</v>
      </c>
      <c r="B483" t="inlineStr">
        <is>
          <t>Signature Spellbook: Jace SS1</t>
        </is>
      </c>
      <c r="C483" t="n">
        <v>8</v>
      </c>
      <c r="D483" s="3" t="n">
        <v>43266</v>
      </c>
      <c r="F483" t="inlineStr">
        <is>
          <t>en es fr de it pt ja ko ru 汉语 漢語</t>
        </is>
      </c>
      <c r="G483" t="n">
        <v>908</v>
      </c>
      <c r="H483">
        <f>MONTH(NOW())+12*YEAR(NOW())-MONTH(tbl_MTG_Set[[#This Row],[Released On]])-12*YEAR(tbl_MTG_Set[[#This Row],[Released On]])</f>
        <v/>
      </c>
      <c r="I483">
        <f>_xlfn.XLOOKUP(tbl_MTG_Set[[#This Row],[Type Name]], tbl_MTG_Set_Type[Set Type], tbl_MTG_Set_Type[Index], "(Set Type not found)")</f>
        <v/>
      </c>
      <c r="J483">
        <f>_xlfn.XLOOKUP(tbl_MTG_Set[[#This Row],[Type Name]], tbl_MTG_Set_Type[Set Type], tbl_MTG_Set_Type[Buy Window Month Start], "(Set Type not found)")</f>
        <v/>
      </c>
      <c r="K483" s="3">
        <f>tbl_MTG_Set[[#This Row],[Released On]]+tbl_MTG_Set[[#This Row],[Buy Window Month Start]]*365.25/12</f>
        <v/>
      </c>
      <c r="L483">
        <f>_xlfn.XLOOKUP(tbl_MTG_Set[[#This Row],[Type Name]], tbl_MTG_Set_Type[Set Type], tbl_MTG_Set_Type[Buy Window Month End], "(Set Type not found)", 0, 1)</f>
        <v/>
      </c>
      <c r="M483" s="3">
        <f>tbl_MTG_Set[[#This Row],[Released On]]+tbl_MTG_Set[[#This Row],[Buy Window Month End]]*365.25/12</f>
        <v/>
      </c>
      <c r="N483" s="3">
        <f>AND(NOW()&gt;=tbl_MTG_Set[[#This Row],[Buy Window Start]], NOW()&lt;=tbl_MTG_Set[[#This Row],[Buy Window End]])</f>
        <v/>
      </c>
      <c r="O483">
        <f>_xlfn.XLOOKUP(tbl_MTG_Set[[#This Row],[Type Name]], tbl_MTG_Set_Type[Set Type], tbl_MTG_Set_Type[Heavy Printing Window Month Start], "(Set Type not found)", 0, 1)</f>
        <v/>
      </c>
      <c r="P483" s="3">
        <f>tbl_MTG_Set[[#This Row],[Released On]]+tbl_MTG_Set[[#This Row],[Heavy Printing Window Month Start]]*365.25/12</f>
        <v/>
      </c>
      <c r="Q483">
        <f>_xlfn.XLOOKUP(tbl_MTG_Set[[#This Row],[Type Name]], tbl_MTG_Set_Type[Set Type], tbl_MTG_Set_Type[Heavy Printing Window Month End], "(Set Type not found)", 0, 1)</f>
        <v/>
      </c>
      <c r="R483" s="3">
        <f>tbl_MTG_Set[[#This Row],[Released On]]+tbl_MTG_Set[[#This Row],[Heavy Printing Window Month End]]*365.25/12</f>
        <v/>
      </c>
      <c r="S483" s="3">
        <f>AND(NOW()&gt;=tbl_MTG_Set[[#This Row],[Heavy Printing Window Start]], NOW()&lt;=tbl_MTG_Set[[#This Row],[Heavy Printing Window End]])</f>
        <v/>
      </c>
      <c r="T483">
        <f>_xlfn.XLOOKUP(tbl_MTG_Set[[#This Row],[Type Name]], tbl_MTG_Set_Type[Set Type], tbl_MTG_Set_Type[Sell Window Month Start], "(Set Type not found)", 0, 1)</f>
        <v/>
      </c>
      <c r="U483" s="3">
        <f>tbl_MTG_Set[[#This Row],[Released On]]+tbl_MTG_Set[[#This Row],[Sell Window Month Start]]*365.25/12</f>
        <v/>
      </c>
      <c r="V483">
        <f>_xlfn.XLOOKUP(tbl_MTG_Set[[#This Row],[Type Name]], tbl_MTG_Set_Type[Set Type], tbl_MTG_Set_Type[Sell Window Month End], "(Set Type not found)", 0, 1)</f>
        <v/>
      </c>
      <c r="W483" s="3">
        <f>tbl_MTG_Set[[#This Row],[Released On]]+tbl_MTG_Set[[#This Row],[Sell Window Month End]]*365.25/12</f>
        <v/>
      </c>
      <c r="X483" s="3">
        <f>AND(NOW()&gt;=tbl_MTG_Set[[#This Row],[Sell Window Start]], NOW()&lt;=tbl_MTG_Set[[#This Row],[Sell Window End]])</f>
        <v/>
      </c>
      <c r="AG483" s="10" t="n"/>
      <c r="AH483" s="10" t="n"/>
      <c r="AM483" s="10">
        <f t="array" ref="AM4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3" s="10">
        <f t="array" ref="AN4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3" s="4">
        <f>_xlfn.XLOOKUP(tbl_MTG_Set[[#This Row],[Play Booster Box Product Id]], tbl_Product[Product Id], tbl_Product[Pack Size])</f>
        <v/>
      </c>
      <c r="AP483" s="10">
        <f>(tbl_MTG_Set[[#This Row],[Play Booster Box Cost]]+v_Item_Shipping_Cost_In)/tbl_MTG_Set[[#This Row],[Play Booster Box Size]]</f>
        <v/>
      </c>
      <c r="AQ483" s="10">
        <f t="array" ref="AQ4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3" s="10" t="n"/>
      <c r="AS483" s="10" t="n"/>
      <c r="AT483" s="17">
        <f>tbl_MTG_Set[[#This Row],[Play Booster CardMarket Profit]]/tbl_MTG_Set[[#This Row],[Play Booster Cost]]</f>
        <v/>
      </c>
      <c r="AU483" s="10">
        <f>_xlfn.XLOOKUP(tbl_MTG_Set[[#This Row],[Collector Booster Box Product Id]], tbl_Product[Product Id], tbl_Product[Min Cost])</f>
        <v/>
      </c>
      <c r="AV483" s="10">
        <f>_xlfn.XLOOKUP(tbl_MTG_Set[[#This Row],[Collector Booster Box Product Id]], tbl_Product[Product Id], tbl_Product[Best Source])</f>
        <v/>
      </c>
      <c r="AW483" s="4">
        <f>_xlfn.XLOOKUP(tbl_MTG_Set[[#This Row],[Collector Booster Box Product Id]], tbl_Product[Product Id], tbl_Product[Pack Size])</f>
        <v/>
      </c>
      <c r="AX483" s="10">
        <f>(tbl_MTG_Set[[#This Row],[Collector Booster Box Cost]] + v_Item_Shipping_Cost_In) / tbl_MTG_Set[[#This Row],[Collector Booster Box Size]]</f>
        <v/>
      </c>
      <c r="AY483" s="10">
        <f t="array" ref="AY4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3" s="10" t="n"/>
      <c r="BA4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3" s="17">
        <f>tbl_MTG_Set[[#This Row],[Collector Booster CardMarket Profit]]/tbl_MTG_Set[[#This Row],[Collector Booster Cost]]</f>
        <v/>
      </c>
      <c r="BC483" s="10" t="n"/>
      <c r="BF483" s="10">
        <f>tbl_MTG_Set[[#This Row],[Play Booster Sell Price CardMarket]]*tbl_MTG_Set[[#This Row],[Play Booster Expected Market Value]]/tbl_MTG_Set[[#This Row],[Play Boost Sealed Market Value]]</f>
        <v/>
      </c>
      <c r="BG4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3" s="10">
        <f>tbl_MTG_Set[[#This Row],[Play Singles CardMarket Profit]]/tbl_MTG_Set[[#This Row],[Play Booster Cost]]</f>
        <v/>
      </c>
      <c r="BI483" s="10">
        <f>tbl_MTG_Set[[#This Row],[Play Singles CardMarket Profit]]&gt;0</f>
        <v/>
      </c>
      <c r="BJ483" s="10" t="n"/>
      <c r="BK483" s="10" t="n"/>
      <c r="BL483" s="10">
        <f>tbl_MTG_Set[[#This Row],[Collector Booster Sell Price CardMarket]]*tbl_MTG_Set[[#This Row],[Collector Booster Expected Market Value]]/tbl_MTG_Set[[#This Row],[Collector Boost Sealed Market Value]]</f>
        <v/>
      </c>
      <c r="BM4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3" s="10">
        <f>tbl_MTG_Set[[#This Row],[Collector Singles CardMarket Profit]]/tbl_MTG_Set[[#This Row],[Collector Booster Cost]]</f>
        <v/>
      </c>
      <c r="BO483" s="10">
        <f>tbl_MTG_Set[[#This Row],[Collector Singles CardMarket Profit]]&gt;0</f>
        <v/>
      </c>
      <c r="BP4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4">
      <c r="A484" t="n">
        <v>482</v>
      </c>
      <c r="B484" t="inlineStr">
        <is>
          <t>Vintage Cube VINTAGE</t>
        </is>
      </c>
      <c r="C484" t="n">
        <v>540</v>
      </c>
      <c r="D484" s="3" t="n">
        <v>43264</v>
      </c>
      <c r="F484" t="n">
        <v>0</v>
      </c>
      <c r="G484" t="n">
        <v>910</v>
      </c>
      <c r="H484">
        <f>MONTH(NOW())+12*YEAR(NOW())-MONTH(tbl_MTG_Set[[#This Row],[Released On]])-12*YEAR(tbl_MTG_Set[[#This Row],[Released On]])</f>
        <v/>
      </c>
      <c r="I484">
        <f>_xlfn.XLOOKUP(tbl_MTG_Set[[#This Row],[Type Name]], tbl_MTG_Set_Type[Set Type], tbl_MTG_Set_Type[Index], "(Set Type not found)")</f>
        <v/>
      </c>
      <c r="J484">
        <f>_xlfn.XLOOKUP(tbl_MTG_Set[[#This Row],[Type Name]], tbl_MTG_Set_Type[Set Type], tbl_MTG_Set_Type[Buy Window Month Start], "(Set Type not found)")</f>
        <v/>
      </c>
      <c r="K484" s="3">
        <f>tbl_MTG_Set[[#This Row],[Released On]]+tbl_MTG_Set[[#This Row],[Buy Window Month Start]]*365.25/12</f>
        <v/>
      </c>
      <c r="L484">
        <f>_xlfn.XLOOKUP(tbl_MTG_Set[[#This Row],[Type Name]], tbl_MTG_Set_Type[Set Type], tbl_MTG_Set_Type[Buy Window Month End], "(Set Type not found)", 0, 1)</f>
        <v/>
      </c>
      <c r="M484" s="3">
        <f>tbl_MTG_Set[[#This Row],[Released On]]+tbl_MTG_Set[[#This Row],[Buy Window Month End]]*365.25/12</f>
        <v/>
      </c>
      <c r="N484" s="3">
        <f>AND(NOW()&gt;=tbl_MTG_Set[[#This Row],[Buy Window Start]], NOW()&lt;=tbl_MTG_Set[[#This Row],[Buy Window End]])</f>
        <v/>
      </c>
      <c r="O484">
        <f>_xlfn.XLOOKUP(tbl_MTG_Set[[#This Row],[Type Name]], tbl_MTG_Set_Type[Set Type], tbl_MTG_Set_Type[Heavy Printing Window Month Start], "(Set Type not found)", 0, 1)</f>
        <v/>
      </c>
      <c r="P484" s="3">
        <f>tbl_MTG_Set[[#This Row],[Released On]]+tbl_MTG_Set[[#This Row],[Heavy Printing Window Month Start]]*365.25/12</f>
        <v/>
      </c>
      <c r="Q484">
        <f>_xlfn.XLOOKUP(tbl_MTG_Set[[#This Row],[Type Name]], tbl_MTG_Set_Type[Set Type], tbl_MTG_Set_Type[Heavy Printing Window Month End], "(Set Type not found)", 0, 1)</f>
        <v/>
      </c>
      <c r="R484" s="3">
        <f>tbl_MTG_Set[[#This Row],[Released On]]+tbl_MTG_Set[[#This Row],[Heavy Printing Window Month End]]*365.25/12</f>
        <v/>
      </c>
      <c r="S484" s="3">
        <f>AND(NOW()&gt;=tbl_MTG_Set[[#This Row],[Heavy Printing Window Start]], NOW()&lt;=tbl_MTG_Set[[#This Row],[Heavy Printing Window End]])</f>
        <v/>
      </c>
      <c r="T484">
        <f>_xlfn.XLOOKUP(tbl_MTG_Set[[#This Row],[Type Name]], tbl_MTG_Set_Type[Set Type], tbl_MTG_Set_Type[Sell Window Month Start], "(Set Type not found)", 0, 1)</f>
        <v/>
      </c>
      <c r="U484" s="3">
        <f>tbl_MTG_Set[[#This Row],[Released On]]+tbl_MTG_Set[[#This Row],[Sell Window Month Start]]*365.25/12</f>
        <v/>
      </c>
      <c r="V484">
        <f>_xlfn.XLOOKUP(tbl_MTG_Set[[#This Row],[Type Name]], tbl_MTG_Set_Type[Set Type], tbl_MTG_Set_Type[Sell Window Month End], "(Set Type not found)", 0, 1)</f>
        <v/>
      </c>
      <c r="W484" s="3">
        <f>tbl_MTG_Set[[#This Row],[Released On]]+tbl_MTG_Set[[#This Row],[Sell Window Month End]]*365.25/12</f>
        <v/>
      </c>
      <c r="X484" s="3">
        <f>AND(NOW()&gt;=tbl_MTG_Set[[#This Row],[Sell Window Start]], NOW()&lt;=tbl_MTG_Set[[#This Row],[Sell Window End]])</f>
        <v/>
      </c>
      <c r="AG484" s="10" t="n"/>
      <c r="AH484" s="10" t="n"/>
      <c r="AM484" s="10">
        <f t="array" ref="AM4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4" s="10">
        <f t="array" ref="AN4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4" s="4">
        <f>_xlfn.XLOOKUP(tbl_MTG_Set[[#This Row],[Play Booster Box Product Id]], tbl_Product[Product Id], tbl_Product[Pack Size])</f>
        <v/>
      </c>
      <c r="AP484" s="10">
        <f>(tbl_MTG_Set[[#This Row],[Play Booster Box Cost]]+v_Item_Shipping_Cost_In)/tbl_MTG_Set[[#This Row],[Play Booster Box Size]]</f>
        <v/>
      </c>
      <c r="AQ484" s="10">
        <f t="array" ref="AQ4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4" s="10" t="n"/>
      <c r="AS484" s="10" t="n"/>
      <c r="AT484" s="17">
        <f>tbl_MTG_Set[[#This Row],[Play Booster CardMarket Profit]]/tbl_MTG_Set[[#This Row],[Play Booster Cost]]</f>
        <v/>
      </c>
      <c r="AU484" s="10">
        <f>_xlfn.XLOOKUP(tbl_MTG_Set[[#This Row],[Collector Booster Box Product Id]], tbl_Product[Product Id], tbl_Product[Min Cost])</f>
        <v/>
      </c>
      <c r="AV484" s="10">
        <f>_xlfn.XLOOKUP(tbl_MTG_Set[[#This Row],[Collector Booster Box Product Id]], tbl_Product[Product Id], tbl_Product[Best Source])</f>
        <v/>
      </c>
      <c r="AW484" s="4">
        <f>_xlfn.XLOOKUP(tbl_MTG_Set[[#This Row],[Collector Booster Box Product Id]], tbl_Product[Product Id], tbl_Product[Pack Size])</f>
        <v/>
      </c>
      <c r="AX484" s="10">
        <f>(tbl_MTG_Set[[#This Row],[Collector Booster Box Cost]] + v_Item_Shipping_Cost_In) / tbl_MTG_Set[[#This Row],[Collector Booster Box Size]]</f>
        <v/>
      </c>
      <c r="AY484" s="10">
        <f t="array" ref="AY4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4" s="10" t="n"/>
      <c r="BA4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4" s="17">
        <f>tbl_MTG_Set[[#This Row],[Collector Booster CardMarket Profit]]/tbl_MTG_Set[[#This Row],[Collector Booster Cost]]</f>
        <v/>
      </c>
      <c r="BC484" s="10" t="n"/>
      <c r="BF484" s="10">
        <f>tbl_MTG_Set[[#This Row],[Play Booster Sell Price CardMarket]]*tbl_MTG_Set[[#This Row],[Play Booster Expected Market Value]]/tbl_MTG_Set[[#This Row],[Play Boost Sealed Market Value]]</f>
        <v/>
      </c>
      <c r="BG4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4" s="10">
        <f>tbl_MTG_Set[[#This Row],[Play Singles CardMarket Profit]]/tbl_MTG_Set[[#This Row],[Play Booster Cost]]</f>
        <v/>
      </c>
      <c r="BI484" s="10">
        <f>tbl_MTG_Set[[#This Row],[Play Singles CardMarket Profit]]&gt;0</f>
        <v/>
      </c>
      <c r="BJ484" s="10" t="n"/>
      <c r="BK484" s="10" t="n"/>
      <c r="BL484" s="10">
        <f>tbl_MTG_Set[[#This Row],[Collector Booster Sell Price CardMarket]]*tbl_MTG_Set[[#This Row],[Collector Booster Expected Market Value]]/tbl_MTG_Set[[#This Row],[Collector Boost Sealed Market Value]]</f>
        <v/>
      </c>
      <c r="BM4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4" s="10">
        <f>tbl_MTG_Set[[#This Row],[Collector Singles CardMarket Profit]]/tbl_MTG_Set[[#This Row],[Collector Booster Cost]]</f>
        <v/>
      </c>
      <c r="BO484" s="10">
        <f>tbl_MTG_Set[[#This Row],[Collector Singles CardMarket Profit]]&gt;0</f>
        <v/>
      </c>
      <c r="BP4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5">
      <c r="A485" t="n">
        <v>483</v>
      </c>
      <c r="B485" t="inlineStr">
        <is>
          <t>Commander Anthology Volume II CM2</t>
        </is>
      </c>
      <c r="C485" t="n">
        <v>312</v>
      </c>
      <c r="D485" s="3" t="n">
        <v>43259</v>
      </c>
      <c r="F485" t="inlineStr">
        <is>
          <t>en es fr de it pt ja ko ru 汉语 漢語</t>
        </is>
      </c>
      <c r="G485" t="n">
        <v>912</v>
      </c>
      <c r="H485">
        <f>MONTH(NOW())+12*YEAR(NOW())-MONTH(tbl_MTG_Set[[#This Row],[Released On]])-12*YEAR(tbl_MTG_Set[[#This Row],[Released On]])</f>
        <v/>
      </c>
      <c r="I485">
        <f>_xlfn.XLOOKUP(tbl_MTG_Set[[#This Row],[Type Name]], tbl_MTG_Set_Type[Set Type], tbl_MTG_Set_Type[Index], "(Set Type not found)")</f>
        <v/>
      </c>
      <c r="J485">
        <f>_xlfn.XLOOKUP(tbl_MTG_Set[[#This Row],[Type Name]], tbl_MTG_Set_Type[Set Type], tbl_MTG_Set_Type[Buy Window Month Start], "(Set Type not found)")</f>
        <v/>
      </c>
      <c r="K485" s="3">
        <f>tbl_MTG_Set[[#This Row],[Released On]]+tbl_MTG_Set[[#This Row],[Buy Window Month Start]]*365.25/12</f>
        <v/>
      </c>
      <c r="L485">
        <f>_xlfn.XLOOKUP(tbl_MTG_Set[[#This Row],[Type Name]], tbl_MTG_Set_Type[Set Type], tbl_MTG_Set_Type[Buy Window Month End], "(Set Type not found)", 0, 1)</f>
        <v/>
      </c>
      <c r="M485" s="3">
        <f>tbl_MTG_Set[[#This Row],[Released On]]+tbl_MTG_Set[[#This Row],[Buy Window Month End]]*365.25/12</f>
        <v/>
      </c>
      <c r="N485" s="3">
        <f>AND(NOW()&gt;=tbl_MTG_Set[[#This Row],[Buy Window Start]], NOW()&lt;=tbl_MTG_Set[[#This Row],[Buy Window End]])</f>
        <v/>
      </c>
      <c r="O485">
        <f>_xlfn.XLOOKUP(tbl_MTG_Set[[#This Row],[Type Name]], tbl_MTG_Set_Type[Set Type], tbl_MTG_Set_Type[Heavy Printing Window Month Start], "(Set Type not found)", 0, 1)</f>
        <v/>
      </c>
      <c r="P485" s="3">
        <f>tbl_MTG_Set[[#This Row],[Released On]]+tbl_MTG_Set[[#This Row],[Heavy Printing Window Month Start]]*365.25/12</f>
        <v/>
      </c>
      <c r="Q485">
        <f>_xlfn.XLOOKUP(tbl_MTG_Set[[#This Row],[Type Name]], tbl_MTG_Set_Type[Set Type], tbl_MTG_Set_Type[Heavy Printing Window Month End], "(Set Type not found)", 0, 1)</f>
        <v/>
      </c>
      <c r="R485" s="3">
        <f>tbl_MTG_Set[[#This Row],[Released On]]+tbl_MTG_Set[[#This Row],[Heavy Printing Window Month End]]*365.25/12</f>
        <v/>
      </c>
      <c r="S485" s="3">
        <f>AND(NOW()&gt;=tbl_MTG_Set[[#This Row],[Heavy Printing Window Start]], NOW()&lt;=tbl_MTG_Set[[#This Row],[Heavy Printing Window End]])</f>
        <v/>
      </c>
      <c r="T485">
        <f>_xlfn.XLOOKUP(tbl_MTG_Set[[#This Row],[Type Name]], tbl_MTG_Set_Type[Set Type], tbl_MTG_Set_Type[Sell Window Month Start], "(Set Type not found)", 0, 1)</f>
        <v/>
      </c>
      <c r="U485" s="3">
        <f>tbl_MTG_Set[[#This Row],[Released On]]+tbl_MTG_Set[[#This Row],[Sell Window Month Start]]*365.25/12</f>
        <v/>
      </c>
      <c r="V485">
        <f>_xlfn.XLOOKUP(tbl_MTG_Set[[#This Row],[Type Name]], tbl_MTG_Set_Type[Set Type], tbl_MTG_Set_Type[Sell Window Month End], "(Set Type not found)", 0, 1)</f>
        <v/>
      </c>
      <c r="W485" s="3">
        <f>tbl_MTG_Set[[#This Row],[Released On]]+tbl_MTG_Set[[#This Row],[Sell Window Month End]]*365.25/12</f>
        <v/>
      </c>
      <c r="X485" s="3">
        <f>AND(NOW()&gt;=tbl_MTG_Set[[#This Row],[Sell Window Start]], NOW()&lt;=tbl_MTG_Set[[#This Row],[Sell Window End]])</f>
        <v/>
      </c>
      <c r="AG485" s="10" t="n"/>
      <c r="AH485" s="10" t="n"/>
      <c r="AM485" s="10">
        <f t="array" ref="AM4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5" s="10">
        <f t="array" ref="AN4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5" s="4">
        <f>_xlfn.XLOOKUP(tbl_MTG_Set[[#This Row],[Play Booster Box Product Id]], tbl_Product[Product Id], tbl_Product[Pack Size])</f>
        <v/>
      </c>
      <c r="AP485" s="10">
        <f>(tbl_MTG_Set[[#This Row],[Play Booster Box Cost]]+v_Item_Shipping_Cost_In)/tbl_MTG_Set[[#This Row],[Play Booster Box Size]]</f>
        <v/>
      </c>
      <c r="AQ485" s="10">
        <f t="array" ref="AQ4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5" s="10" t="n"/>
      <c r="AS485" s="10" t="n"/>
      <c r="AT485" s="17">
        <f>tbl_MTG_Set[[#This Row],[Play Booster CardMarket Profit]]/tbl_MTG_Set[[#This Row],[Play Booster Cost]]</f>
        <v/>
      </c>
      <c r="AU485" s="10">
        <f>_xlfn.XLOOKUP(tbl_MTG_Set[[#This Row],[Collector Booster Box Product Id]], tbl_Product[Product Id], tbl_Product[Min Cost])</f>
        <v/>
      </c>
      <c r="AV485" s="10">
        <f>_xlfn.XLOOKUP(tbl_MTG_Set[[#This Row],[Collector Booster Box Product Id]], tbl_Product[Product Id], tbl_Product[Best Source])</f>
        <v/>
      </c>
      <c r="AW485" s="4">
        <f>_xlfn.XLOOKUP(tbl_MTG_Set[[#This Row],[Collector Booster Box Product Id]], tbl_Product[Product Id], tbl_Product[Pack Size])</f>
        <v/>
      </c>
      <c r="AX485" s="10">
        <f>(tbl_MTG_Set[[#This Row],[Collector Booster Box Cost]] + v_Item_Shipping_Cost_In) / tbl_MTG_Set[[#This Row],[Collector Booster Box Size]]</f>
        <v/>
      </c>
      <c r="AY485" s="10">
        <f t="array" ref="AY4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5" s="10" t="n"/>
      <c r="BA4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5" s="17">
        <f>tbl_MTG_Set[[#This Row],[Collector Booster CardMarket Profit]]/tbl_MTG_Set[[#This Row],[Collector Booster Cost]]</f>
        <v/>
      </c>
      <c r="BC485" s="10" t="n"/>
      <c r="BF485" s="10">
        <f>tbl_MTG_Set[[#This Row],[Play Booster Sell Price CardMarket]]*tbl_MTG_Set[[#This Row],[Play Booster Expected Market Value]]/tbl_MTG_Set[[#This Row],[Play Boost Sealed Market Value]]</f>
        <v/>
      </c>
      <c r="BG4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5" s="10">
        <f>tbl_MTG_Set[[#This Row],[Play Singles CardMarket Profit]]/tbl_MTG_Set[[#This Row],[Play Booster Cost]]</f>
        <v/>
      </c>
      <c r="BI485" s="10">
        <f>tbl_MTG_Set[[#This Row],[Play Singles CardMarket Profit]]&gt;0</f>
        <v/>
      </c>
      <c r="BJ485" s="10" t="n"/>
      <c r="BK485" s="10" t="n"/>
      <c r="BL485" s="10">
        <f>tbl_MTG_Set[[#This Row],[Collector Booster Sell Price CardMarket]]*tbl_MTG_Set[[#This Row],[Collector Booster Expected Market Value]]/tbl_MTG_Set[[#This Row],[Collector Boost Sealed Market Value]]</f>
        <v/>
      </c>
      <c r="BM4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5" s="10">
        <f>tbl_MTG_Set[[#This Row],[Collector Singles CardMarket Profit]]/tbl_MTG_Set[[#This Row],[Collector Booster Cost]]</f>
        <v/>
      </c>
      <c r="BO485" s="10">
        <f>tbl_MTG_Set[[#This Row],[Collector Singles CardMarket Profit]]&gt;0</f>
        <v/>
      </c>
      <c r="BP4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6">
      <c r="A486" t="n">
        <v>484</v>
      </c>
      <c r="B486" t="inlineStr">
        <is>
          <t>Commander Anthology Volume II Tokens TCM2</t>
        </is>
      </c>
      <c r="C486" t="n">
        <v>19</v>
      </c>
      <c r="D486" s="3" t="n">
        <v>43259</v>
      </c>
      <c r="F486" t="inlineStr">
        <is>
          <t>en es fr de it pt ja ko ru 汉语 漢語</t>
        </is>
      </c>
      <c r="G486" t="n">
        <v>914</v>
      </c>
      <c r="H486">
        <f>MONTH(NOW())+12*YEAR(NOW())-MONTH(tbl_MTG_Set[[#This Row],[Released On]])-12*YEAR(tbl_MTG_Set[[#This Row],[Released On]])</f>
        <v/>
      </c>
      <c r="I486">
        <f>_xlfn.XLOOKUP(tbl_MTG_Set[[#This Row],[Type Name]], tbl_MTG_Set_Type[Set Type], tbl_MTG_Set_Type[Index], "(Set Type not found)")</f>
        <v/>
      </c>
      <c r="J486">
        <f>_xlfn.XLOOKUP(tbl_MTG_Set[[#This Row],[Type Name]], tbl_MTG_Set_Type[Set Type], tbl_MTG_Set_Type[Buy Window Month Start], "(Set Type not found)")</f>
        <v/>
      </c>
      <c r="K486" s="3">
        <f>tbl_MTG_Set[[#This Row],[Released On]]+tbl_MTG_Set[[#This Row],[Buy Window Month Start]]*365.25/12</f>
        <v/>
      </c>
      <c r="L486">
        <f>_xlfn.XLOOKUP(tbl_MTG_Set[[#This Row],[Type Name]], tbl_MTG_Set_Type[Set Type], tbl_MTG_Set_Type[Buy Window Month End], "(Set Type not found)", 0, 1)</f>
        <v/>
      </c>
      <c r="M486" s="3">
        <f>tbl_MTG_Set[[#This Row],[Released On]]+tbl_MTG_Set[[#This Row],[Buy Window Month End]]*365.25/12</f>
        <v/>
      </c>
      <c r="N486" s="3">
        <f>AND(NOW()&gt;=tbl_MTG_Set[[#This Row],[Buy Window Start]], NOW()&lt;=tbl_MTG_Set[[#This Row],[Buy Window End]])</f>
        <v/>
      </c>
      <c r="O486">
        <f>_xlfn.XLOOKUP(tbl_MTG_Set[[#This Row],[Type Name]], tbl_MTG_Set_Type[Set Type], tbl_MTG_Set_Type[Heavy Printing Window Month Start], "(Set Type not found)", 0, 1)</f>
        <v/>
      </c>
      <c r="P486" s="3">
        <f>tbl_MTG_Set[[#This Row],[Released On]]+tbl_MTG_Set[[#This Row],[Heavy Printing Window Month Start]]*365.25/12</f>
        <v/>
      </c>
      <c r="Q486">
        <f>_xlfn.XLOOKUP(tbl_MTG_Set[[#This Row],[Type Name]], tbl_MTG_Set_Type[Set Type], tbl_MTG_Set_Type[Heavy Printing Window Month End], "(Set Type not found)", 0, 1)</f>
        <v/>
      </c>
      <c r="R486" s="3">
        <f>tbl_MTG_Set[[#This Row],[Released On]]+tbl_MTG_Set[[#This Row],[Heavy Printing Window Month End]]*365.25/12</f>
        <v/>
      </c>
      <c r="S486" s="3">
        <f>AND(NOW()&gt;=tbl_MTG_Set[[#This Row],[Heavy Printing Window Start]], NOW()&lt;=tbl_MTG_Set[[#This Row],[Heavy Printing Window End]])</f>
        <v/>
      </c>
      <c r="T486">
        <f>_xlfn.XLOOKUP(tbl_MTG_Set[[#This Row],[Type Name]], tbl_MTG_Set_Type[Set Type], tbl_MTG_Set_Type[Sell Window Month Start], "(Set Type not found)", 0, 1)</f>
        <v/>
      </c>
      <c r="U486" s="3">
        <f>tbl_MTG_Set[[#This Row],[Released On]]+tbl_MTG_Set[[#This Row],[Sell Window Month Start]]*365.25/12</f>
        <v/>
      </c>
      <c r="V486">
        <f>_xlfn.XLOOKUP(tbl_MTG_Set[[#This Row],[Type Name]], tbl_MTG_Set_Type[Set Type], tbl_MTG_Set_Type[Sell Window Month End], "(Set Type not found)", 0, 1)</f>
        <v/>
      </c>
      <c r="W486" s="3">
        <f>tbl_MTG_Set[[#This Row],[Released On]]+tbl_MTG_Set[[#This Row],[Sell Window Month End]]*365.25/12</f>
        <v/>
      </c>
      <c r="X486" s="3">
        <f>AND(NOW()&gt;=tbl_MTG_Set[[#This Row],[Sell Window Start]], NOW()&lt;=tbl_MTG_Set[[#This Row],[Sell Window End]])</f>
        <v/>
      </c>
      <c r="AG486" s="10" t="n"/>
      <c r="AH486" s="10" t="n"/>
      <c r="AM486" s="10">
        <f t="array" ref="AM4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6" s="10">
        <f t="array" ref="AN4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6" s="4">
        <f>_xlfn.XLOOKUP(tbl_MTG_Set[[#This Row],[Play Booster Box Product Id]], tbl_Product[Product Id], tbl_Product[Pack Size])</f>
        <v/>
      </c>
      <c r="AP486" s="10">
        <f>(tbl_MTG_Set[[#This Row],[Play Booster Box Cost]]+v_Item_Shipping_Cost_In)/tbl_MTG_Set[[#This Row],[Play Booster Box Size]]</f>
        <v/>
      </c>
      <c r="AQ486" s="10">
        <f t="array" ref="AQ4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6" s="10" t="n"/>
      <c r="AS486" s="10" t="n"/>
      <c r="AT486" s="17">
        <f>tbl_MTG_Set[[#This Row],[Play Booster CardMarket Profit]]/tbl_MTG_Set[[#This Row],[Play Booster Cost]]</f>
        <v/>
      </c>
      <c r="AU486" s="10">
        <f>_xlfn.XLOOKUP(tbl_MTG_Set[[#This Row],[Collector Booster Box Product Id]], tbl_Product[Product Id], tbl_Product[Min Cost])</f>
        <v/>
      </c>
      <c r="AV486" s="10">
        <f>_xlfn.XLOOKUP(tbl_MTG_Set[[#This Row],[Collector Booster Box Product Id]], tbl_Product[Product Id], tbl_Product[Best Source])</f>
        <v/>
      </c>
      <c r="AW486" s="4">
        <f>_xlfn.XLOOKUP(tbl_MTG_Set[[#This Row],[Collector Booster Box Product Id]], tbl_Product[Product Id], tbl_Product[Pack Size])</f>
        <v/>
      </c>
      <c r="AX486" s="10">
        <f>(tbl_MTG_Set[[#This Row],[Collector Booster Box Cost]] + v_Item_Shipping_Cost_In) / tbl_MTG_Set[[#This Row],[Collector Booster Box Size]]</f>
        <v/>
      </c>
      <c r="AY486" s="10">
        <f t="array" ref="AY4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6" s="10" t="n"/>
      <c r="BA4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6" s="17">
        <f>tbl_MTG_Set[[#This Row],[Collector Booster CardMarket Profit]]/tbl_MTG_Set[[#This Row],[Collector Booster Cost]]</f>
        <v/>
      </c>
      <c r="BC486" s="10" t="n"/>
      <c r="BF486" s="10">
        <f>tbl_MTG_Set[[#This Row],[Play Booster Sell Price CardMarket]]*tbl_MTG_Set[[#This Row],[Play Booster Expected Market Value]]/tbl_MTG_Set[[#This Row],[Play Boost Sealed Market Value]]</f>
        <v/>
      </c>
      <c r="BG4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6" s="10">
        <f>tbl_MTG_Set[[#This Row],[Play Singles CardMarket Profit]]/tbl_MTG_Set[[#This Row],[Play Booster Cost]]</f>
        <v/>
      </c>
      <c r="BI486" s="10">
        <f>tbl_MTG_Set[[#This Row],[Play Singles CardMarket Profit]]&gt;0</f>
        <v/>
      </c>
      <c r="BJ486" s="10" t="n"/>
      <c r="BK486" s="10" t="n"/>
      <c r="BL486" s="10">
        <f>tbl_MTG_Set[[#This Row],[Collector Booster Sell Price CardMarket]]*tbl_MTG_Set[[#This Row],[Collector Booster Expected Market Value]]/tbl_MTG_Set[[#This Row],[Collector Boost Sealed Market Value]]</f>
        <v/>
      </c>
      <c r="BM4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6" s="10">
        <f>tbl_MTG_Set[[#This Row],[Collector Singles CardMarket Profit]]/tbl_MTG_Set[[#This Row],[Collector Booster Cost]]</f>
        <v/>
      </c>
      <c r="BO486" s="10">
        <f>tbl_MTG_Set[[#This Row],[Collector Singles CardMarket Profit]]&gt;0</f>
        <v/>
      </c>
      <c r="BP4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7">
      <c r="A487" t="n">
        <v>485</v>
      </c>
      <c r="B487" t="inlineStr">
        <is>
          <t>Battlebond BBD</t>
        </is>
      </c>
      <c r="C487" t="n">
        <v>256</v>
      </c>
      <c r="D487" s="3" t="n">
        <v>43259</v>
      </c>
      <c r="F487" t="inlineStr">
        <is>
          <t>en es fr de it pt ja ko ru 汉语 漢語</t>
        </is>
      </c>
      <c r="G487" t="n">
        <v>916</v>
      </c>
      <c r="H487">
        <f>MONTH(NOW())+12*YEAR(NOW())-MONTH(tbl_MTG_Set[[#This Row],[Released On]])-12*YEAR(tbl_MTG_Set[[#This Row],[Released On]])</f>
        <v/>
      </c>
      <c r="I487">
        <f>_xlfn.XLOOKUP(tbl_MTG_Set[[#This Row],[Type Name]], tbl_MTG_Set_Type[Set Type], tbl_MTG_Set_Type[Index], "(Set Type not found)")</f>
        <v/>
      </c>
      <c r="J487">
        <f>_xlfn.XLOOKUP(tbl_MTG_Set[[#This Row],[Type Name]], tbl_MTG_Set_Type[Set Type], tbl_MTG_Set_Type[Buy Window Month Start], "(Set Type not found)")</f>
        <v/>
      </c>
      <c r="K487" s="3">
        <f>tbl_MTG_Set[[#This Row],[Released On]]+tbl_MTG_Set[[#This Row],[Buy Window Month Start]]*365.25/12</f>
        <v/>
      </c>
      <c r="L487">
        <f>_xlfn.XLOOKUP(tbl_MTG_Set[[#This Row],[Type Name]], tbl_MTG_Set_Type[Set Type], tbl_MTG_Set_Type[Buy Window Month End], "(Set Type not found)", 0, 1)</f>
        <v/>
      </c>
      <c r="M487" s="3">
        <f>tbl_MTG_Set[[#This Row],[Released On]]+tbl_MTG_Set[[#This Row],[Buy Window Month End]]*365.25/12</f>
        <v/>
      </c>
      <c r="N487" s="3">
        <f>AND(NOW()&gt;=tbl_MTG_Set[[#This Row],[Buy Window Start]], NOW()&lt;=tbl_MTG_Set[[#This Row],[Buy Window End]])</f>
        <v/>
      </c>
      <c r="O487">
        <f>_xlfn.XLOOKUP(tbl_MTG_Set[[#This Row],[Type Name]], tbl_MTG_Set_Type[Set Type], tbl_MTG_Set_Type[Heavy Printing Window Month Start], "(Set Type not found)", 0, 1)</f>
        <v/>
      </c>
      <c r="P487" s="3">
        <f>tbl_MTG_Set[[#This Row],[Released On]]+tbl_MTG_Set[[#This Row],[Heavy Printing Window Month Start]]*365.25/12</f>
        <v/>
      </c>
      <c r="Q487">
        <f>_xlfn.XLOOKUP(tbl_MTG_Set[[#This Row],[Type Name]], tbl_MTG_Set_Type[Set Type], tbl_MTG_Set_Type[Heavy Printing Window Month End], "(Set Type not found)", 0, 1)</f>
        <v/>
      </c>
      <c r="R487" s="3">
        <f>tbl_MTG_Set[[#This Row],[Released On]]+tbl_MTG_Set[[#This Row],[Heavy Printing Window Month End]]*365.25/12</f>
        <v/>
      </c>
      <c r="S487" s="3">
        <f>AND(NOW()&gt;=tbl_MTG_Set[[#This Row],[Heavy Printing Window Start]], NOW()&lt;=tbl_MTG_Set[[#This Row],[Heavy Printing Window End]])</f>
        <v/>
      </c>
      <c r="T487">
        <f>_xlfn.XLOOKUP(tbl_MTG_Set[[#This Row],[Type Name]], tbl_MTG_Set_Type[Set Type], tbl_MTG_Set_Type[Sell Window Month Start], "(Set Type not found)", 0, 1)</f>
        <v/>
      </c>
      <c r="U487" s="3">
        <f>tbl_MTG_Set[[#This Row],[Released On]]+tbl_MTG_Set[[#This Row],[Sell Window Month Start]]*365.25/12</f>
        <v/>
      </c>
      <c r="V487">
        <f>_xlfn.XLOOKUP(tbl_MTG_Set[[#This Row],[Type Name]], tbl_MTG_Set_Type[Set Type], tbl_MTG_Set_Type[Sell Window Month End], "(Set Type not found)", 0, 1)</f>
        <v/>
      </c>
      <c r="W487" s="3">
        <f>tbl_MTG_Set[[#This Row],[Released On]]+tbl_MTG_Set[[#This Row],[Sell Window Month End]]*365.25/12</f>
        <v/>
      </c>
      <c r="X487" s="3">
        <f>AND(NOW()&gt;=tbl_MTG_Set[[#This Row],[Sell Window Start]], NOW()&lt;=tbl_MTG_Set[[#This Row],[Sell Window End]])</f>
        <v/>
      </c>
      <c r="AG487" s="10" t="n"/>
      <c r="AH487" s="10" t="n"/>
      <c r="AM487" s="10">
        <f t="array" ref="AM4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7" s="10">
        <f t="array" ref="AN4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7" s="4">
        <f>_xlfn.XLOOKUP(tbl_MTG_Set[[#This Row],[Play Booster Box Product Id]], tbl_Product[Product Id], tbl_Product[Pack Size])</f>
        <v/>
      </c>
      <c r="AP487" s="10">
        <f>(tbl_MTG_Set[[#This Row],[Play Booster Box Cost]]+v_Item_Shipping_Cost_In)/tbl_MTG_Set[[#This Row],[Play Booster Box Size]]</f>
        <v/>
      </c>
      <c r="AQ487" s="10">
        <f t="array" ref="AQ4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7" s="10" t="n"/>
      <c r="AS487" s="10" t="n"/>
      <c r="AT487" s="17">
        <f>tbl_MTG_Set[[#This Row],[Play Booster CardMarket Profit]]/tbl_MTG_Set[[#This Row],[Play Booster Cost]]</f>
        <v/>
      </c>
      <c r="AU487" s="10">
        <f>_xlfn.XLOOKUP(tbl_MTG_Set[[#This Row],[Collector Booster Box Product Id]], tbl_Product[Product Id], tbl_Product[Min Cost])</f>
        <v/>
      </c>
      <c r="AV487" s="10">
        <f>_xlfn.XLOOKUP(tbl_MTG_Set[[#This Row],[Collector Booster Box Product Id]], tbl_Product[Product Id], tbl_Product[Best Source])</f>
        <v/>
      </c>
      <c r="AW487" s="4">
        <f>_xlfn.XLOOKUP(tbl_MTG_Set[[#This Row],[Collector Booster Box Product Id]], tbl_Product[Product Id], tbl_Product[Pack Size])</f>
        <v/>
      </c>
      <c r="AX487" s="10">
        <f>(tbl_MTG_Set[[#This Row],[Collector Booster Box Cost]] + v_Item_Shipping_Cost_In) / tbl_MTG_Set[[#This Row],[Collector Booster Box Size]]</f>
        <v/>
      </c>
      <c r="AY487" s="10">
        <f t="array" ref="AY4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7" s="10" t="n"/>
      <c r="BA4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7" s="17">
        <f>tbl_MTG_Set[[#This Row],[Collector Booster CardMarket Profit]]/tbl_MTG_Set[[#This Row],[Collector Booster Cost]]</f>
        <v/>
      </c>
      <c r="BC487" s="10" t="n"/>
      <c r="BF487" s="10">
        <f>tbl_MTG_Set[[#This Row],[Play Booster Sell Price CardMarket]]*tbl_MTG_Set[[#This Row],[Play Booster Expected Market Value]]/tbl_MTG_Set[[#This Row],[Play Boost Sealed Market Value]]</f>
        <v/>
      </c>
      <c r="BG4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7" s="10">
        <f>tbl_MTG_Set[[#This Row],[Play Singles CardMarket Profit]]/tbl_MTG_Set[[#This Row],[Play Booster Cost]]</f>
        <v/>
      </c>
      <c r="BI487" s="10">
        <f>tbl_MTG_Set[[#This Row],[Play Singles CardMarket Profit]]&gt;0</f>
        <v/>
      </c>
      <c r="BJ487" s="10" t="n"/>
      <c r="BK487" s="10" t="n"/>
      <c r="BL487" s="10">
        <f>tbl_MTG_Set[[#This Row],[Collector Booster Sell Price CardMarket]]*tbl_MTG_Set[[#This Row],[Collector Booster Expected Market Value]]/tbl_MTG_Set[[#This Row],[Collector Boost Sealed Market Value]]</f>
        <v/>
      </c>
      <c r="BM4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7" s="10">
        <f>tbl_MTG_Set[[#This Row],[Collector Singles CardMarket Profit]]/tbl_MTG_Set[[#This Row],[Collector Booster Cost]]</f>
        <v/>
      </c>
      <c r="BO487" s="10">
        <f>tbl_MTG_Set[[#This Row],[Collector Singles CardMarket Profit]]&gt;0</f>
        <v/>
      </c>
      <c r="BP4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8">
      <c r="A488" t="n">
        <v>486</v>
      </c>
      <c r="B488" t="inlineStr">
        <is>
          <t>Battlebond Promos PBBD</t>
        </is>
      </c>
      <c r="C488" t="n">
        <v>22</v>
      </c>
      <c r="D488" s="3" t="n">
        <v>43259</v>
      </c>
      <c r="F488" t="inlineStr">
        <is>
          <t>en es fr de it pt ja ko ru 汉语 漢語</t>
        </is>
      </c>
      <c r="G488" t="n">
        <v>918</v>
      </c>
      <c r="H488">
        <f>MONTH(NOW())+12*YEAR(NOW())-MONTH(tbl_MTG_Set[[#This Row],[Released On]])-12*YEAR(tbl_MTG_Set[[#This Row],[Released On]])</f>
        <v/>
      </c>
      <c r="I488">
        <f>_xlfn.XLOOKUP(tbl_MTG_Set[[#This Row],[Type Name]], tbl_MTG_Set_Type[Set Type], tbl_MTG_Set_Type[Index], "(Set Type not found)")</f>
        <v/>
      </c>
      <c r="J488">
        <f>_xlfn.XLOOKUP(tbl_MTG_Set[[#This Row],[Type Name]], tbl_MTG_Set_Type[Set Type], tbl_MTG_Set_Type[Buy Window Month Start], "(Set Type not found)")</f>
        <v/>
      </c>
      <c r="K488" s="3">
        <f>tbl_MTG_Set[[#This Row],[Released On]]+tbl_MTG_Set[[#This Row],[Buy Window Month Start]]*365.25/12</f>
        <v/>
      </c>
      <c r="L488">
        <f>_xlfn.XLOOKUP(tbl_MTG_Set[[#This Row],[Type Name]], tbl_MTG_Set_Type[Set Type], tbl_MTG_Set_Type[Buy Window Month End], "(Set Type not found)", 0, 1)</f>
        <v/>
      </c>
      <c r="M488" s="3">
        <f>tbl_MTG_Set[[#This Row],[Released On]]+tbl_MTG_Set[[#This Row],[Buy Window Month End]]*365.25/12</f>
        <v/>
      </c>
      <c r="N488" s="3">
        <f>AND(NOW()&gt;=tbl_MTG_Set[[#This Row],[Buy Window Start]], NOW()&lt;=tbl_MTG_Set[[#This Row],[Buy Window End]])</f>
        <v/>
      </c>
      <c r="O488">
        <f>_xlfn.XLOOKUP(tbl_MTG_Set[[#This Row],[Type Name]], tbl_MTG_Set_Type[Set Type], tbl_MTG_Set_Type[Heavy Printing Window Month Start], "(Set Type not found)", 0, 1)</f>
        <v/>
      </c>
      <c r="P488" s="3">
        <f>tbl_MTG_Set[[#This Row],[Released On]]+tbl_MTG_Set[[#This Row],[Heavy Printing Window Month Start]]*365.25/12</f>
        <v/>
      </c>
      <c r="Q488">
        <f>_xlfn.XLOOKUP(tbl_MTG_Set[[#This Row],[Type Name]], tbl_MTG_Set_Type[Set Type], tbl_MTG_Set_Type[Heavy Printing Window Month End], "(Set Type not found)", 0, 1)</f>
        <v/>
      </c>
      <c r="R488" s="3">
        <f>tbl_MTG_Set[[#This Row],[Released On]]+tbl_MTG_Set[[#This Row],[Heavy Printing Window Month End]]*365.25/12</f>
        <v/>
      </c>
      <c r="S488" s="3">
        <f>AND(NOW()&gt;=tbl_MTG_Set[[#This Row],[Heavy Printing Window Start]], NOW()&lt;=tbl_MTG_Set[[#This Row],[Heavy Printing Window End]])</f>
        <v/>
      </c>
      <c r="T488">
        <f>_xlfn.XLOOKUP(tbl_MTG_Set[[#This Row],[Type Name]], tbl_MTG_Set_Type[Set Type], tbl_MTG_Set_Type[Sell Window Month Start], "(Set Type not found)", 0, 1)</f>
        <v/>
      </c>
      <c r="U488" s="3">
        <f>tbl_MTG_Set[[#This Row],[Released On]]+tbl_MTG_Set[[#This Row],[Sell Window Month Start]]*365.25/12</f>
        <v/>
      </c>
      <c r="V488">
        <f>_xlfn.XLOOKUP(tbl_MTG_Set[[#This Row],[Type Name]], tbl_MTG_Set_Type[Set Type], tbl_MTG_Set_Type[Sell Window Month End], "(Set Type not found)", 0, 1)</f>
        <v/>
      </c>
      <c r="W488" s="3">
        <f>tbl_MTG_Set[[#This Row],[Released On]]+tbl_MTG_Set[[#This Row],[Sell Window Month End]]*365.25/12</f>
        <v/>
      </c>
      <c r="X488" s="3">
        <f>AND(NOW()&gt;=tbl_MTG_Set[[#This Row],[Sell Window Start]], NOW()&lt;=tbl_MTG_Set[[#This Row],[Sell Window End]])</f>
        <v/>
      </c>
      <c r="AG488" s="10" t="n"/>
      <c r="AH488" s="10" t="n"/>
      <c r="AM488" s="10">
        <f t="array" ref="AM4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8" s="10">
        <f t="array" ref="AN4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8" s="4">
        <f>_xlfn.XLOOKUP(tbl_MTG_Set[[#This Row],[Play Booster Box Product Id]], tbl_Product[Product Id], tbl_Product[Pack Size])</f>
        <v/>
      </c>
      <c r="AP488" s="10">
        <f>(tbl_MTG_Set[[#This Row],[Play Booster Box Cost]]+v_Item_Shipping_Cost_In)/tbl_MTG_Set[[#This Row],[Play Booster Box Size]]</f>
        <v/>
      </c>
      <c r="AQ488" s="10">
        <f t="array" ref="AQ4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8" s="10" t="n"/>
      <c r="AS488" s="10" t="n"/>
      <c r="AT488" s="17">
        <f>tbl_MTG_Set[[#This Row],[Play Booster CardMarket Profit]]/tbl_MTG_Set[[#This Row],[Play Booster Cost]]</f>
        <v/>
      </c>
      <c r="AU488" s="10">
        <f>_xlfn.XLOOKUP(tbl_MTG_Set[[#This Row],[Collector Booster Box Product Id]], tbl_Product[Product Id], tbl_Product[Min Cost])</f>
        <v/>
      </c>
      <c r="AV488" s="10">
        <f>_xlfn.XLOOKUP(tbl_MTG_Set[[#This Row],[Collector Booster Box Product Id]], tbl_Product[Product Id], tbl_Product[Best Source])</f>
        <v/>
      </c>
      <c r="AW488" s="4">
        <f>_xlfn.XLOOKUP(tbl_MTG_Set[[#This Row],[Collector Booster Box Product Id]], tbl_Product[Product Id], tbl_Product[Pack Size])</f>
        <v/>
      </c>
      <c r="AX488" s="10">
        <f>(tbl_MTG_Set[[#This Row],[Collector Booster Box Cost]] + v_Item_Shipping_Cost_In) / tbl_MTG_Set[[#This Row],[Collector Booster Box Size]]</f>
        <v/>
      </c>
      <c r="AY488" s="10">
        <f t="array" ref="AY4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8" s="10" t="n"/>
      <c r="BA4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8" s="17">
        <f>tbl_MTG_Set[[#This Row],[Collector Booster CardMarket Profit]]/tbl_MTG_Set[[#This Row],[Collector Booster Cost]]</f>
        <v/>
      </c>
      <c r="BC488" s="10" t="n"/>
      <c r="BF488" s="10">
        <f>tbl_MTG_Set[[#This Row],[Play Booster Sell Price CardMarket]]*tbl_MTG_Set[[#This Row],[Play Booster Expected Market Value]]/tbl_MTG_Set[[#This Row],[Play Boost Sealed Market Value]]</f>
        <v/>
      </c>
      <c r="BG4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8" s="10">
        <f>tbl_MTG_Set[[#This Row],[Play Singles CardMarket Profit]]/tbl_MTG_Set[[#This Row],[Play Booster Cost]]</f>
        <v/>
      </c>
      <c r="BI488" s="10">
        <f>tbl_MTG_Set[[#This Row],[Play Singles CardMarket Profit]]&gt;0</f>
        <v/>
      </c>
      <c r="BJ488" s="10" t="n"/>
      <c r="BK488" s="10" t="n"/>
      <c r="BL488" s="10">
        <f>tbl_MTG_Set[[#This Row],[Collector Booster Sell Price CardMarket]]*tbl_MTG_Set[[#This Row],[Collector Booster Expected Market Value]]/tbl_MTG_Set[[#This Row],[Collector Boost Sealed Market Value]]</f>
        <v/>
      </c>
      <c r="BM4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8" s="10">
        <f>tbl_MTG_Set[[#This Row],[Collector Singles CardMarket Profit]]/tbl_MTG_Set[[#This Row],[Collector Booster Cost]]</f>
        <v/>
      </c>
      <c r="BO488" s="10">
        <f>tbl_MTG_Set[[#This Row],[Collector Singles CardMarket Profit]]&gt;0</f>
        <v/>
      </c>
      <c r="BP4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9">
      <c r="A489" t="n">
        <v>487</v>
      </c>
      <c r="B489" t="inlineStr">
        <is>
          <t>Battlebond Tokens TBBD</t>
        </is>
      </c>
      <c r="C489" t="n">
        <v>8</v>
      </c>
      <c r="D489" s="3" t="n">
        <v>43259</v>
      </c>
      <c r="F489" t="inlineStr">
        <is>
          <t>en es fr de it pt ja ko ru 汉语 漢語</t>
        </is>
      </c>
      <c r="G489" t="n">
        <v>920</v>
      </c>
      <c r="H489">
        <f>MONTH(NOW())+12*YEAR(NOW())-MONTH(tbl_MTG_Set[[#This Row],[Released On]])-12*YEAR(tbl_MTG_Set[[#This Row],[Released On]])</f>
        <v/>
      </c>
      <c r="I489">
        <f>_xlfn.XLOOKUP(tbl_MTG_Set[[#This Row],[Type Name]], tbl_MTG_Set_Type[Set Type], tbl_MTG_Set_Type[Index], "(Set Type not found)")</f>
        <v/>
      </c>
      <c r="J489">
        <f>_xlfn.XLOOKUP(tbl_MTG_Set[[#This Row],[Type Name]], tbl_MTG_Set_Type[Set Type], tbl_MTG_Set_Type[Buy Window Month Start], "(Set Type not found)")</f>
        <v/>
      </c>
      <c r="K489" s="3">
        <f>tbl_MTG_Set[[#This Row],[Released On]]+tbl_MTG_Set[[#This Row],[Buy Window Month Start]]*365.25/12</f>
        <v/>
      </c>
      <c r="L489">
        <f>_xlfn.XLOOKUP(tbl_MTG_Set[[#This Row],[Type Name]], tbl_MTG_Set_Type[Set Type], tbl_MTG_Set_Type[Buy Window Month End], "(Set Type not found)", 0, 1)</f>
        <v/>
      </c>
      <c r="M489" s="3">
        <f>tbl_MTG_Set[[#This Row],[Released On]]+tbl_MTG_Set[[#This Row],[Buy Window Month End]]*365.25/12</f>
        <v/>
      </c>
      <c r="N489" s="3">
        <f>AND(NOW()&gt;=tbl_MTG_Set[[#This Row],[Buy Window Start]], NOW()&lt;=tbl_MTG_Set[[#This Row],[Buy Window End]])</f>
        <v/>
      </c>
      <c r="O489">
        <f>_xlfn.XLOOKUP(tbl_MTG_Set[[#This Row],[Type Name]], tbl_MTG_Set_Type[Set Type], tbl_MTG_Set_Type[Heavy Printing Window Month Start], "(Set Type not found)", 0, 1)</f>
        <v/>
      </c>
      <c r="P489" s="3">
        <f>tbl_MTG_Set[[#This Row],[Released On]]+tbl_MTG_Set[[#This Row],[Heavy Printing Window Month Start]]*365.25/12</f>
        <v/>
      </c>
      <c r="Q489">
        <f>_xlfn.XLOOKUP(tbl_MTG_Set[[#This Row],[Type Name]], tbl_MTG_Set_Type[Set Type], tbl_MTG_Set_Type[Heavy Printing Window Month End], "(Set Type not found)", 0, 1)</f>
        <v/>
      </c>
      <c r="R489" s="3">
        <f>tbl_MTG_Set[[#This Row],[Released On]]+tbl_MTG_Set[[#This Row],[Heavy Printing Window Month End]]*365.25/12</f>
        <v/>
      </c>
      <c r="S489" s="3">
        <f>AND(NOW()&gt;=tbl_MTG_Set[[#This Row],[Heavy Printing Window Start]], NOW()&lt;=tbl_MTG_Set[[#This Row],[Heavy Printing Window End]])</f>
        <v/>
      </c>
      <c r="T489">
        <f>_xlfn.XLOOKUP(tbl_MTG_Set[[#This Row],[Type Name]], tbl_MTG_Set_Type[Set Type], tbl_MTG_Set_Type[Sell Window Month Start], "(Set Type not found)", 0, 1)</f>
        <v/>
      </c>
      <c r="U489" s="3">
        <f>tbl_MTG_Set[[#This Row],[Released On]]+tbl_MTG_Set[[#This Row],[Sell Window Month Start]]*365.25/12</f>
        <v/>
      </c>
      <c r="V489">
        <f>_xlfn.XLOOKUP(tbl_MTG_Set[[#This Row],[Type Name]], tbl_MTG_Set_Type[Set Type], tbl_MTG_Set_Type[Sell Window Month End], "(Set Type not found)", 0, 1)</f>
        <v/>
      </c>
      <c r="W489" s="3">
        <f>tbl_MTG_Set[[#This Row],[Released On]]+tbl_MTG_Set[[#This Row],[Sell Window Month End]]*365.25/12</f>
        <v/>
      </c>
      <c r="X489" s="3">
        <f>AND(NOW()&gt;=tbl_MTG_Set[[#This Row],[Sell Window Start]], NOW()&lt;=tbl_MTG_Set[[#This Row],[Sell Window End]])</f>
        <v/>
      </c>
      <c r="AG489" s="10" t="n"/>
      <c r="AH489" s="10" t="n"/>
      <c r="AM489" s="10">
        <f t="array" ref="AM4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9" s="10">
        <f t="array" ref="AN4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9" s="4">
        <f>_xlfn.XLOOKUP(tbl_MTG_Set[[#This Row],[Play Booster Box Product Id]], tbl_Product[Product Id], tbl_Product[Pack Size])</f>
        <v/>
      </c>
      <c r="AP489" s="10">
        <f>(tbl_MTG_Set[[#This Row],[Play Booster Box Cost]]+v_Item_Shipping_Cost_In)/tbl_MTG_Set[[#This Row],[Play Booster Box Size]]</f>
        <v/>
      </c>
      <c r="AQ489" s="10">
        <f t="array" ref="AQ4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89" s="10" t="n"/>
      <c r="AS489" s="10" t="n"/>
      <c r="AT489" s="17">
        <f>tbl_MTG_Set[[#This Row],[Play Booster CardMarket Profit]]/tbl_MTG_Set[[#This Row],[Play Booster Cost]]</f>
        <v/>
      </c>
      <c r="AU489" s="10">
        <f>_xlfn.XLOOKUP(tbl_MTG_Set[[#This Row],[Collector Booster Box Product Id]], tbl_Product[Product Id], tbl_Product[Min Cost])</f>
        <v/>
      </c>
      <c r="AV489" s="10">
        <f>_xlfn.XLOOKUP(tbl_MTG_Set[[#This Row],[Collector Booster Box Product Id]], tbl_Product[Product Id], tbl_Product[Best Source])</f>
        <v/>
      </c>
      <c r="AW489" s="4">
        <f>_xlfn.XLOOKUP(tbl_MTG_Set[[#This Row],[Collector Booster Box Product Id]], tbl_Product[Product Id], tbl_Product[Pack Size])</f>
        <v/>
      </c>
      <c r="AX489" s="10">
        <f>(tbl_MTG_Set[[#This Row],[Collector Booster Box Cost]] + v_Item_Shipping_Cost_In) / tbl_MTG_Set[[#This Row],[Collector Booster Box Size]]</f>
        <v/>
      </c>
      <c r="AY489" s="10">
        <f t="array" ref="AY4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89" s="10" t="n"/>
      <c r="BA4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9" s="17">
        <f>tbl_MTG_Set[[#This Row],[Collector Booster CardMarket Profit]]/tbl_MTG_Set[[#This Row],[Collector Booster Cost]]</f>
        <v/>
      </c>
      <c r="BC489" s="10" t="n"/>
      <c r="BF489" s="10">
        <f>tbl_MTG_Set[[#This Row],[Play Booster Sell Price CardMarket]]*tbl_MTG_Set[[#This Row],[Play Booster Expected Market Value]]/tbl_MTG_Set[[#This Row],[Play Boost Sealed Market Value]]</f>
        <v/>
      </c>
      <c r="BG4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9" s="10">
        <f>tbl_MTG_Set[[#This Row],[Play Singles CardMarket Profit]]/tbl_MTG_Set[[#This Row],[Play Booster Cost]]</f>
        <v/>
      </c>
      <c r="BI489" s="10">
        <f>tbl_MTG_Set[[#This Row],[Play Singles CardMarket Profit]]&gt;0</f>
        <v/>
      </c>
      <c r="BJ489" s="10" t="n"/>
      <c r="BK489" s="10" t="n"/>
      <c r="BL489" s="10">
        <f>tbl_MTG_Set[[#This Row],[Collector Booster Sell Price CardMarket]]*tbl_MTG_Set[[#This Row],[Collector Booster Expected Market Value]]/tbl_MTG_Set[[#This Row],[Collector Boost Sealed Market Value]]</f>
        <v/>
      </c>
      <c r="BM4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9" s="10">
        <f>tbl_MTG_Set[[#This Row],[Collector Singles CardMarket Profit]]/tbl_MTG_Set[[#This Row],[Collector Booster Cost]]</f>
        <v/>
      </c>
      <c r="BO489" s="10">
        <f>tbl_MTG_Set[[#This Row],[Collector Singles CardMarket Profit]]&gt;0</f>
        <v/>
      </c>
      <c r="BP4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0">
      <c r="A490" t="n">
        <v>488</v>
      </c>
      <c r="B490" t="inlineStr">
        <is>
          <t>Uncommon Cube UNCOMMON</t>
        </is>
      </c>
      <c r="C490" t="n">
        <v>600</v>
      </c>
      <c r="D490" s="3" t="n">
        <v>43243</v>
      </c>
      <c r="F490" t="n">
        <v>0</v>
      </c>
      <c r="G490" t="n">
        <v>922</v>
      </c>
      <c r="H490">
        <f>MONTH(NOW())+12*YEAR(NOW())-MONTH(tbl_MTG_Set[[#This Row],[Released On]])-12*YEAR(tbl_MTG_Set[[#This Row],[Released On]])</f>
        <v/>
      </c>
      <c r="I490">
        <f>_xlfn.XLOOKUP(tbl_MTG_Set[[#This Row],[Type Name]], tbl_MTG_Set_Type[Set Type], tbl_MTG_Set_Type[Index], "(Set Type not found)")</f>
        <v/>
      </c>
      <c r="J490">
        <f>_xlfn.XLOOKUP(tbl_MTG_Set[[#This Row],[Type Name]], tbl_MTG_Set_Type[Set Type], tbl_MTG_Set_Type[Buy Window Month Start], "(Set Type not found)")</f>
        <v/>
      </c>
      <c r="K490" s="3">
        <f>tbl_MTG_Set[[#This Row],[Released On]]+tbl_MTG_Set[[#This Row],[Buy Window Month Start]]*365.25/12</f>
        <v/>
      </c>
      <c r="L490">
        <f>_xlfn.XLOOKUP(tbl_MTG_Set[[#This Row],[Type Name]], tbl_MTG_Set_Type[Set Type], tbl_MTG_Set_Type[Buy Window Month End], "(Set Type not found)", 0, 1)</f>
        <v/>
      </c>
      <c r="M490" s="3">
        <f>tbl_MTG_Set[[#This Row],[Released On]]+tbl_MTG_Set[[#This Row],[Buy Window Month End]]*365.25/12</f>
        <v/>
      </c>
      <c r="N490" s="3">
        <f>AND(NOW()&gt;=tbl_MTG_Set[[#This Row],[Buy Window Start]], NOW()&lt;=tbl_MTG_Set[[#This Row],[Buy Window End]])</f>
        <v/>
      </c>
      <c r="O490">
        <f>_xlfn.XLOOKUP(tbl_MTG_Set[[#This Row],[Type Name]], tbl_MTG_Set_Type[Set Type], tbl_MTG_Set_Type[Heavy Printing Window Month Start], "(Set Type not found)", 0, 1)</f>
        <v/>
      </c>
      <c r="P490" s="3">
        <f>tbl_MTG_Set[[#This Row],[Released On]]+tbl_MTG_Set[[#This Row],[Heavy Printing Window Month Start]]*365.25/12</f>
        <v/>
      </c>
      <c r="Q490">
        <f>_xlfn.XLOOKUP(tbl_MTG_Set[[#This Row],[Type Name]], tbl_MTG_Set_Type[Set Type], tbl_MTG_Set_Type[Heavy Printing Window Month End], "(Set Type not found)", 0, 1)</f>
        <v/>
      </c>
      <c r="R490" s="3">
        <f>tbl_MTG_Set[[#This Row],[Released On]]+tbl_MTG_Set[[#This Row],[Heavy Printing Window Month End]]*365.25/12</f>
        <v/>
      </c>
      <c r="S490" s="3">
        <f>AND(NOW()&gt;=tbl_MTG_Set[[#This Row],[Heavy Printing Window Start]], NOW()&lt;=tbl_MTG_Set[[#This Row],[Heavy Printing Window End]])</f>
        <v/>
      </c>
      <c r="T490">
        <f>_xlfn.XLOOKUP(tbl_MTG_Set[[#This Row],[Type Name]], tbl_MTG_Set_Type[Set Type], tbl_MTG_Set_Type[Sell Window Month Start], "(Set Type not found)", 0, 1)</f>
        <v/>
      </c>
      <c r="U490" s="3">
        <f>tbl_MTG_Set[[#This Row],[Released On]]+tbl_MTG_Set[[#This Row],[Sell Window Month Start]]*365.25/12</f>
        <v/>
      </c>
      <c r="V490">
        <f>_xlfn.XLOOKUP(tbl_MTG_Set[[#This Row],[Type Name]], tbl_MTG_Set_Type[Set Type], tbl_MTG_Set_Type[Sell Window Month End], "(Set Type not found)", 0, 1)</f>
        <v/>
      </c>
      <c r="W490" s="3">
        <f>tbl_MTG_Set[[#This Row],[Released On]]+tbl_MTG_Set[[#This Row],[Sell Window Month End]]*365.25/12</f>
        <v/>
      </c>
      <c r="X490" s="3">
        <f>AND(NOW()&gt;=tbl_MTG_Set[[#This Row],[Sell Window Start]], NOW()&lt;=tbl_MTG_Set[[#This Row],[Sell Window End]])</f>
        <v/>
      </c>
      <c r="AG490" s="10" t="n"/>
      <c r="AH490" s="10" t="n"/>
      <c r="AM490" s="10">
        <f t="array" ref="AM4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0" s="10">
        <f t="array" ref="AN4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0" s="4">
        <f>_xlfn.XLOOKUP(tbl_MTG_Set[[#This Row],[Play Booster Box Product Id]], tbl_Product[Product Id], tbl_Product[Pack Size])</f>
        <v/>
      </c>
      <c r="AP490" s="10">
        <f>(tbl_MTG_Set[[#This Row],[Play Booster Box Cost]]+v_Item_Shipping_Cost_In)/tbl_MTG_Set[[#This Row],[Play Booster Box Size]]</f>
        <v/>
      </c>
      <c r="AQ490" s="10">
        <f t="array" ref="AQ4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0" s="10" t="n"/>
      <c r="AS490" s="10" t="n"/>
      <c r="AT490" s="17">
        <f>tbl_MTG_Set[[#This Row],[Play Booster CardMarket Profit]]/tbl_MTG_Set[[#This Row],[Play Booster Cost]]</f>
        <v/>
      </c>
      <c r="AU490" s="10">
        <f>_xlfn.XLOOKUP(tbl_MTG_Set[[#This Row],[Collector Booster Box Product Id]], tbl_Product[Product Id], tbl_Product[Min Cost])</f>
        <v/>
      </c>
      <c r="AV490" s="10">
        <f>_xlfn.XLOOKUP(tbl_MTG_Set[[#This Row],[Collector Booster Box Product Id]], tbl_Product[Product Id], tbl_Product[Best Source])</f>
        <v/>
      </c>
      <c r="AW490" s="4">
        <f>_xlfn.XLOOKUP(tbl_MTG_Set[[#This Row],[Collector Booster Box Product Id]], tbl_Product[Product Id], tbl_Product[Pack Size])</f>
        <v/>
      </c>
      <c r="AX490" s="10">
        <f>(tbl_MTG_Set[[#This Row],[Collector Booster Box Cost]] + v_Item_Shipping_Cost_In) / tbl_MTG_Set[[#This Row],[Collector Booster Box Size]]</f>
        <v/>
      </c>
      <c r="AY490" s="10">
        <f t="array" ref="AY4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0" s="10" t="n"/>
      <c r="BA4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0" s="17">
        <f>tbl_MTG_Set[[#This Row],[Collector Booster CardMarket Profit]]/tbl_MTG_Set[[#This Row],[Collector Booster Cost]]</f>
        <v/>
      </c>
      <c r="BC490" s="10" t="n"/>
      <c r="BF490" s="10">
        <f>tbl_MTG_Set[[#This Row],[Play Booster Sell Price CardMarket]]*tbl_MTG_Set[[#This Row],[Play Booster Expected Market Value]]/tbl_MTG_Set[[#This Row],[Play Boost Sealed Market Value]]</f>
        <v/>
      </c>
      <c r="BG4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0" s="10">
        <f>tbl_MTG_Set[[#This Row],[Play Singles CardMarket Profit]]/tbl_MTG_Set[[#This Row],[Play Booster Cost]]</f>
        <v/>
      </c>
      <c r="BI490" s="10">
        <f>tbl_MTG_Set[[#This Row],[Play Singles CardMarket Profit]]&gt;0</f>
        <v/>
      </c>
      <c r="BJ490" s="10" t="n"/>
      <c r="BK490" s="10" t="n"/>
      <c r="BL490" s="10">
        <f>tbl_MTG_Set[[#This Row],[Collector Booster Sell Price CardMarket]]*tbl_MTG_Set[[#This Row],[Collector Booster Expected Market Value]]/tbl_MTG_Set[[#This Row],[Collector Boost Sealed Market Value]]</f>
        <v/>
      </c>
      <c r="BM4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0" s="10">
        <f>tbl_MTG_Set[[#This Row],[Collector Singles CardMarket Profit]]/tbl_MTG_Set[[#This Row],[Collector Booster Cost]]</f>
        <v/>
      </c>
      <c r="BO490" s="10">
        <f>tbl_MTG_Set[[#This Row],[Collector Singles CardMarket Profit]]&gt;0</f>
        <v/>
      </c>
      <c r="BP4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1">
      <c r="A491" t="n">
        <v>489</v>
      </c>
      <c r="B491" t="inlineStr">
        <is>
          <t>Dominaria DOM</t>
        </is>
      </c>
      <c r="C491" t="n">
        <v>280</v>
      </c>
      <c r="D491" s="3" t="n">
        <v>43217</v>
      </c>
      <c r="F491" t="inlineStr">
        <is>
          <t>en es fr de it pt ja ko ru 汉语 漢語</t>
        </is>
      </c>
      <c r="G491" t="n">
        <v>924</v>
      </c>
      <c r="H491">
        <f>MONTH(NOW())+12*YEAR(NOW())-MONTH(tbl_MTG_Set[[#This Row],[Released On]])-12*YEAR(tbl_MTG_Set[[#This Row],[Released On]])</f>
        <v/>
      </c>
      <c r="I491">
        <f>_xlfn.XLOOKUP(tbl_MTG_Set[[#This Row],[Type Name]], tbl_MTG_Set_Type[Set Type], tbl_MTG_Set_Type[Index], "(Set Type not found)")</f>
        <v/>
      </c>
      <c r="J491">
        <f>_xlfn.XLOOKUP(tbl_MTG_Set[[#This Row],[Type Name]], tbl_MTG_Set_Type[Set Type], tbl_MTG_Set_Type[Buy Window Month Start], "(Set Type not found)")</f>
        <v/>
      </c>
      <c r="K491" s="3">
        <f>tbl_MTG_Set[[#This Row],[Released On]]+tbl_MTG_Set[[#This Row],[Buy Window Month Start]]*365.25/12</f>
        <v/>
      </c>
      <c r="L491">
        <f>_xlfn.XLOOKUP(tbl_MTG_Set[[#This Row],[Type Name]], tbl_MTG_Set_Type[Set Type], tbl_MTG_Set_Type[Buy Window Month End], "(Set Type not found)", 0, 1)</f>
        <v/>
      </c>
      <c r="M491" s="3">
        <f>tbl_MTG_Set[[#This Row],[Released On]]+tbl_MTG_Set[[#This Row],[Buy Window Month End]]*365.25/12</f>
        <v/>
      </c>
      <c r="N491" s="3">
        <f>AND(NOW()&gt;=tbl_MTG_Set[[#This Row],[Buy Window Start]], NOW()&lt;=tbl_MTG_Set[[#This Row],[Buy Window End]])</f>
        <v/>
      </c>
      <c r="O491">
        <f>_xlfn.XLOOKUP(tbl_MTG_Set[[#This Row],[Type Name]], tbl_MTG_Set_Type[Set Type], tbl_MTG_Set_Type[Heavy Printing Window Month Start], "(Set Type not found)", 0, 1)</f>
        <v/>
      </c>
      <c r="P491" s="3">
        <f>tbl_MTG_Set[[#This Row],[Released On]]+tbl_MTG_Set[[#This Row],[Heavy Printing Window Month Start]]*365.25/12</f>
        <v/>
      </c>
      <c r="Q491">
        <f>_xlfn.XLOOKUP(tbl_MTG_Set[[#This Row],[Type Name]], tbl_MTG_Set_Type[Set Type], tbl_MTG_Set_Type[Heavy Printing Window Month End], "(Set Type not found)", 0, 1)</f>
        <v/>
      </c>
      <c r="R491" s="3">
        <f>tbl_MTG_Set[[#This Row],[Released On]]+tbl_MTG_Set[[#This Row],[Heavy Printing Window Month End]]*365.25/12</f>
        <v/>
      </c>
      <c r="S491" s="3">
        <f>AND(NOW()&gt;=tbl_MTG_Set[[#This Row],[Heavy Printing Window Start]], NOW()&lt;=tbl_MTG_Set[[#This Row],[Heavy Printing Window End]])</f>
        <v/>
      </c>
      <c r="T491">
        <f>_xlfn.XLOOKUP(tbl_MTG_Set[[#This Row],[Type Name]], tbl_MTG_Set_Type[Set Type], tbl_MTG_Set_Type[Sell Window Month Start], "(Set Type not found)", 0, 1)</f>
        <v/>
      </c>
      <c r="U491" s="3">
        <f>tbl_MTG_Set[[#This Row],[Released On]]+tbl_MTG_Set[[#This Row],[Sell Window Month Start]]*365.25/12</f>
        <v/>
      </c>
      <c r="V491">
        <f>_xlfn.XLOOKUP(tbl_MTG_Set[[#This Row],[Type Name]], tbl_MTG_Set_Type[Set Type], tbl_MTG_Set_Type[Sell Window Month End], "(Set Type not found)", 0, 1)</f>
        <v/>
      </c>
      <c r="W491" s="3">
        <f>tbl_MTG_Set[[#This Row],[Released On]]+tbl_MTG_Set[[#This Row],[Sell Window Month End]]*365.25/12</f>
        <v/>
      </c>
      <c r="X491" s="3">
        <f>AND(NOW()&gt;=tbl_MTG_Set[[#This Row],[Sell Window Start]], NOW()&lt;=tbl_MTG_Set[[#This Row],[Sell Window End]])</f>
        <v/>
      </c>
      <c r="Z491" s="10" t="n">
        <v>144</v>
      </c>
      <c r="AE491" s="10">
        <f>(tbl_MTG_Set[[#This Row],[Chaos Cards PSBBBP]]+96/20)/36</f>
        <v/>
      </c>
      <c r="AG491" s="10" t="n"/>
      <c r="AH491" s="10" t="n"/>
      <c r="AI491" s="4" t="n">
        <v>62</v>
      </c>
      <c r="AJ491" s="4" t="n">
        <v>17</v>
      </c>
      <c r="AM491" s="10">
        <f t="array" ref="AM4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1" s="10">
        <f t="array" ref="AN4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1" s="4">
        <f>_xlfn.XLOOKUP(tbl_MTG_Set[[#This Row],[Play Booster Box Product Id]], tbl_Product[Product Id], tbl_Product[Pack Size])</f>
        <v/>
      </c>
      <c r="AP491" s="10">
        <f>(tbl_MTG_Set[[#This Row],[Play Booster Box Cost]]+v_Item_Shipping_Cost_In)/tbl_MTG_Set[[#This Row],[Play Booster Box Size]]</f>
        <v/>
      </c>
      <c r="AQ491" s="10">
        <f t="array" ref="AQ4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1" s="10" t="n">
        <v>4</v>
      </c>
      <c r="AS49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491" s="17">
        <f>tbl_MTG_Set[[#This Row],[Play Booster CardMarket Profit]]/tbl_MTG_Set[[#This Row],[Play Booster Cost]]</f>
        <v/>
      </c>
      <c r="AU491" s="10">
        <f>_xlfn.XLOOKUP(tbl_MTG_Set[[#This Row],[Collector Booster Box Product Id]], tbl_Product[Product Id], tbl_Product[Min Cost])</f>
        <v/>
      </c>
      <c r="AV491" s="10">
        <f>_xlfn.XLOOKUP(tbl_MTG_Set[[#This Row],[Collector Booster Box Product Id]], tbl_Product[Product Id], tbl_Product[Best Source])</f>
        <v/>
      </c>
      <c r="AW491" s="4">
        <f>_xlfn.XLOOKUP(tbl_MTG_Set[[#This Row],[Collector Booster Box Product Id]], tbl_Product[Product Id], tbl_Product[Pack Size])</f>
        <v/>
      </c>
      <c r="AX491" s="10">
        <f>(tbl_MTG_Set[[#This Row],[Collector Booster Box Cost]] + v_Item_Shipping_Cost_In) / tbl_MTG_Set[[#This Row],[Collector Booster Box Size]]</f>
        <v/>
      </c>
      <c r="AY491" s="10">
        <f t="array" ref="AY4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1" s="10" t="n"/>
      <c r="BA4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1" s="17">
        <f>tbl_MTG_Set[[#This Row],[Collector Booster CardMarket Profit]]/tbl_MTG_Set[[#This Row],[Collector Booster Cost]]</f>
        <v/>
      </c>
      <c r="BC491" s="15" t="inlineStr">
        <is>
          <t>https://www.mtgstocks.com/sets/291-dominaria#ev</t>
        </is>
      </c>
      <c r="BD491" s="11" t="n">
        <v>3.48</v>
      </c>
      <c r="BE491" s="11" t="n">
        <v>4.88</v>
      </c>
      <c r="BF491" s="10">
        <f>tbl_MTG_Set[[#This Row],[Play Booster Sell Price CardMarket]]*tbl_MTG_Set[[#This Row],[Play Booster Expected Market Value]]/tbl_MTG_Set[[#This Row],[Play Boost Sealed Market Value]]</f>
        <v/>
      </c>
      <c r="BG4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1" s="17">
        <f>tbl_MTG_Set[[#This Row],[Play Singles CardMarket Profit]]/tbl_MTG_Set[[#This Row],[Play Booster Cost]]</f>
        <v/>
      </c>
      <c r="BI491" s="10">
        <f>tbl_MTG_Set[[#This Row],[Play Singles CardMarket Profit]]&gt;0</f>
        <v/>
      </c>
      <c r="BJ491" s="10" t="n"/>
      <c r="BK491" s="10" t="n"/>
      <c r="BL491" s="10">
        <f>tbl_MTG_Set[[#This Row],[Collector Booster Sell Price CardMarket]]*tbl_MTG_Set[[#This Row],[Collector Booster Expected Market Value]]/tbl_MTG_Set[[#This Row],[Collector Boost Sealed Market Value]]</f>
        <v/>
      </c>
      <c r="BM4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1" s="17">
        <f>tbl_MTG_Set[[#This Row],[Collector Singles CardMarket Profit]]/tbl_MTG_Set[[#This Row],[Collector Booster Cost]]</f>
        <v/>
      </c>
      <c r="BO491" s="10">
        <f>tbl_MTG_Set[[#This Row],[Collector Singles CardMarket Profit]]&gt;0</f>
        <v/>
      </c>
      <c r="BP4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2">
      <c r="A492" t="n">
        <v>490</v>
      </c>
      <c r="B492" t="inlineStr">
        <is>
          <t>Dominaria Promos PDOM</t>
        </is>
      </c>
      <c r="C492" t="n">
        <v>118</v>
      </c>
      <c r="D492" s="3" t="n">
        <v>43217</v>
      </c>
      <c r="F492" t="inlineStr">
        <is>
          <t>en es fr de it pt ja ko ru 汉语 漢語</t>
        </is>
      </c>
      <c r="G492" t="n">
        <v>926</v>
      </c>
      <c r="H492">
        <f>MONTH(NOW())+12*YEAR(NOW())-MONTH(tbl_MTG_Set[[#This Row],[Released On]])-12*YEAR(tbl_MTG_Set[[#This Row],[Released On]])</f>
        <v/>
      </c>
      <c r="I492">
        <f>_xlfn.XLOOKUP(tbl_MTG_Set[[#This Row],[Type Name]], tbl_MTG_Set_Type[Set Type], tbl_MTG_Set_Type[Index], "(Set Type not found)")</f>
        <v/>
      </c>
      <c r="J492">
        <f>_xlfn.XLOOKUP(tbl_MTG_Set[[#This Row],[Type Name]], tbl_MTG_Set_Type[Set Type], tbl_MTG_Set_Type[Buy Window Month Start], "(Set Type not found)")</f>
        <v/>
      </c>
      <c r="K492" s="3">
        <f>tbl_MTG_Set[[#This Row],[Released On]]+tbl_MTG_Set[[#This Row],[Buy Window Month Start]]*365.25/12</f>
        <v/>
      </c>
      <c r="L492">
        <f>_xlfn.XLOOKUP(tbl_MTG_Set[[#This Row],[Type Name]], tbl_MTG_Set_Type[Set Type], tbl_MTG_Set_Type[Buy Window Month End], "(Set Type not found)", 0, 1)</f>
        <v/>
      </c>
      <c r="M492" s="3">
        <f>tbl_MTG_Set[[#This Row],[Released On]]+tbl_MTG_Set[[#This Row],[Buy Window Month End]]*365.25/12</f>
        <v/>
      </c>
      <c r="N492" s="3">
        <f>AND(NOW()&gt;=tbl_MTG_Set[[#This Row],[Buy Window Start]], NOW()&lt;=tbl_MTG_Set[[#This Row],[Buy Window End]])</f>
        <v/>
      </c>
      <c r="O492">
        <f>_xlfn.XLOOKUP(tbl_MTG_Set[[#This Row],[Type Name]], tbl_MTG_Set_Type[Set Type], tbl_MTG_Set_Type[Heavy Printing Window Month Start], "(Set Type not found)", 0, 1)</f>
        <v/>
      </c>
      <c r="P492" s="3">
        <f>tbl_MTG_Set[[#This Row],[Released On]]+tbl_MTG_Set[[#This Row],[Heavy Printing Window Month Start]]*365.25/12</f>
        <v/>
      </c>
      <c r="Q492">
        <f>_xlfn.XLOOKUP(tbl_MTG_Set[[#This Row],[Type Name]], tbl_MTG_Set_Type[Set Type], tbl_MTG_Set_Type[Heavy Printing Window Month End], "(Set Type not found)", 0, 1)</f>
        <v/>
      </c>
      <c r="R492" s="3">
        <f>tbl_MTG_Set[[#This Row],[Released On]]+tbl_MTG_Set[[#This Row],[Heavy Printing Window Month End]]*365.25/12</f>
        <v/>
      </c>
      <c r="S492" s="3">
        <f>AND(NOW()&gt;=tbl_MTG_Set[[#This Row],[Heavy Printing Window Start]], NOW()&lt;=tbl_MTG_Set[[#This Row],[Heavy Printing Window End]])</f>
        <v/>
      </c>
      <c r="T492">
        <f>_xlfn.XLOOKUP(tbl_MTG_Set[[#This Row],[Type Name]], tbl_MTG_Set_Type[Set Type], tbl_MTG_Set_Type[Sell Window Month Start], "(Set Type not found)", 0, 1)</f>
        <v/>
      </c>
      <c r="U492" s="3">
        <f>tbl_MTG_Set[[#This Row],[Released On]]+tbl_MTG_Set[[#This Row],[Sell Window Month Start]]*365.25/12</f>
        <v/>
      </c>
      <c r="V492">
        <f>_xlfn.XLOOKUP(tbl_MTG_Set[[#This Row],[Type Name]], tbl_MTG_Set_Type[Set Type], tbl_MTG_Set_Type[Sell Window Month End], "(Set Type not found)", 0, 1)</f>
        <v/>
      </c>
      <c r="W492" s="3">
        <f>tbl_MTG_Set[[#This Row],[Released On]]+tbl_MTG_Set[[#This Row],[Sell Window Month End]]*365.25/12</f>
        <v/>
      </c>
      <c r="X492" s="3">
        <f>AND(NOW()&gt;=tbl_MTG_Set[[#This Row],[Sell Window Start]], NOW()&lt;=tbl_MTG_Set[[#This Row],[Sell Window End]])</f>
        <v/>
      </c>
      <c r="AG492" s="10" t="n"/>
      <c r="AH492" s="10" t="n"/>
      <c r="AM492" s="10">
        <f t="array" ref="AM4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2" s="10">
        <f t="array" ref="AN4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2" s="4">
        <f>_xlfn.XLOOKUP(tbl_MTG_Set[[#This Row],[Play Booster Box Product Id]], tbl_Product[Product Id], tbl_Product[Pack Size])</f>
        <v/>
      </c>
      <c r="AP492" s="10">
        <f>(tbl_MTG_Set[[#This Row],[Play Booster Box Cost]]+v_Item_Shipping_Cost_In)/tbl_MTG_Set[[#This Row],[Play Booster Box Size]]</f>
        <v/>
      </c>
      <c r="AQ492" s="10">
        <f t="array" ref="AQ4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2" s="10" t="n"/>
      <c r="AS492" s="10" t="n"/>
      <c r="AT492" s="17">
        <f>tbl_MTG_Set[[#This Row],[Play Booster CardMarket Profit]]/tbl_MTG_Set[[#This Row],[Play Booster Cost]]</f>
        <v/>
      </c>
      <c r="AU492" s="10">
        <f>_xlfn.XLOOKUP(tbl_MTG_Set[[#This Row],[Collector Booster Box Product Id]], tbl_Product[Product Id], tbl_Product[Min Cost])</f>
        <v/>
      </c>
      <c r="AV492" s="10">
        <f>_xlfn.XLOOKUP(tbl_MTG_Set[[#This Row],[Collector Booster Box Product Id]], tbl_Product[Product Id], tbl_Product[Best Source])</f>
        <v/>
      </c>
      <c r="AW492" s="4">
        <f>_xlfn.XLOOKUP(tbl_MTG_Set[[#This Row],[Collector Booster Box Product Id]], tbl_Product[Product Id], tbl_Product[Pack Size])</f>
        <v/>
      </c>
      <c r="AX492" s="10">
        <f>(tbl_MTG_Set[[#This Row],[Collector Booster Box Cost]] + v_Item_Shipping_Cost_In) / tbl_MTG_Set[[#This Row],[Collector Booster Box Size]]</f>
        <v/>
      </c>
      <c r="AY492" s="10">
        <f t="array" ref="AY4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2" s="10" t="n"/>
      <c r="BA4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2" s="17">
        <f>tbl_MTG_Set[[#This Row],[Collector Booster CardMarket Profit]]/tbl_MTG_Set[[#This Row],[Collector Booster Cost]]</f>
        <v/>
      </c>
      <c r="BC492" s="10" t="n"/>
      <c r="BF492" s="10">
        <f>tbl_MTG_Set[[#This Row],[Play Booster Sell Price CardMarket]]*tbl_MTG_Set[[#This Row],[Play Booster Expected Market Value]]/tbl_MTG_Set[[#This Row],[Play Boost Sealed Market Value]]</f>
        <v/>
      </c>
      <c r="BG4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2" s="10">
        <f>tbl_MTG_Set[[#This Row],[Play Singles CardMarket Profit]]/tbl_MTG_Set[[#This Row],[Play Booster Cost]]</f>
        <v/>
      </c>
      <c r="BI492" s="10">
        <f>tbl_MTG_Set[[#This Row],[Play Singles CardMarket Profit]]&gt;0</f>
        <v/>
      </c>
      <c r="BJ492" s="10" t="n"/>
      <c r="BK492" s="10" t="n"/>
      <c r="BL492" s="10">
        <f>tbl_MTG_Set[[#This Row],[Collector Booster Sell Price CardMarket]]*tbl_MTG_Set[[#This Row],[Collector Booster Expected Market Value]]/tbl_MTG_Set[[#This Row],[Collector Boost Sealed Market Value]]</f>
        <v/>
      </c>
      <c r="BM4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2" s="10">
        <f>tbl_MTG_Set[[#This Row],[Collector Singles CardMarket Profit]]/tbl_MTG_Set[[#This Row],[Collector Booster Cost]]</f>
        <v/>
      </c>
      <c r="BO492" s="10">
        <f>tbl_MTG_Set[[#This Row],[Collector Singles CardMarket Profit]]&gt;0</f>
        <v/>
      </c>
      <c r="BP4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3">
      <c r="A493" t="n">
        <v>491</v>
      </c>
      <c r="B493" t="inlineStr">
        <is>
          <t>Dominaria Tokens TDOM</t>
        </is>
      </c>
      <c r="C493" t="n">
        <v>16</v>
      </c>
      <c r="D493" s="3" t="n">
        <v>43217</v>
      </c>
      <c r="F493" t="inlineStr">
        <is>
          <t>en es fr de it pt ja ko ru 汉语 漢語</t>
        </is>
      </c>
      <c r="G493" t="n">
        <v>928</v>
      </c>
      <c r="H493">
        <f>MONTH(NOW())+12*YEAR(NOW())-MONTH(tbl_MTG_Set[[#This Row],[Released On]])-12*YEAR(tbl_MTG_Set[[#This Row],[Released On]])</f>
        <v/>
      </c>
      <c r="I493">
        <f>_xlfn.XLOOKUP(tbl_MTG_Set[[#This Row],[Type Name]], tbl_MTG_Set_Type[Set Type], tbl_MTG_Set_Type[Index], "(Set Type not found)")</f>
        <v/>
      </c>
      <c r="J493">
        <f>_xlfn.XLOOKUP(tbl_MTG_Set[[#This Row],[Type Name]], tbl_MTG_Set_Type[Set Type], tbl_MTG_Set_Type[Buy Window Month Start], "(Set Type not found)")</f>
        <v/>
      </c>
      <c r="K493" s="3">
        <f>tbl_MTG_Set[[#This Row],[Released On]]+tbl_MTG_Set[[#This Row],[Buy Window Month Start]]*365.25/12</f>
        <v/>
      </c>
      <c r="L493">
        <f>_xlfn.XLOOKUP(tbl_MTG_Set[[#This Row],[Type Name]], tbl_MTG_Set_Type[Set Type], tbl_MTG_Set_Type[Buy Window Month End], "(Set Type not found)", 0, 1)</f>
        <v/>
      </c>
      <c r="M493" s="3">
        <f>tbl_MTG_Set[[#This Row],[Released On]]+tbl_MTG_Set[[#This Row],[Buy Window Month End]]*365.25/12</f>
        <v/>
      </c>
      <c r="N493" s="3">
        <f>AND(NOW()&gt;=tbl_MTG_Set[[#This Row],[Buy Window Start]], NOW()&lt;=tbl_MTG_Set[[#This Row],[Buy Window End]])</f>
        <v/>
      </c>
      <c r="O493">
        <f>_xlfn.XLOOKUP(tbl_MTG_Set[[#This Row],[Type Name]], tbl_MTG_Set_Type[Set Type], tbl_MTG_Set_Type[Heavy Printing Window Month Start], "(Set Type not found)", 0, 1)</f>
        <v/>
      </c>
      <c r="P493" s="3">
        <f>tbl_MTG_Set[[#This Row],[Released On]]+tbl_MTG_Set[[#This Row],[Heavy Printing Window Month Start]]*365.25/12</f>
        <v/>
      </c>
      <c r="Q493">
        <f>_xlfn.XLOOKUP(tbl_MTG_Set[[#This Row],[Type Name]], tbl_MTG_Set_Type[Set Type], tbl_MTG_Set_Type[Heavy Printing Window Month End], "(Set Type not found)", 0, 1)</f>
        <v/>
      </c>
      <c r="R493" s="3">
        <f>tbl_MTG_Set[[#This Row],[Released On]]+tbl_MTG_Set[[#This Row],[Heavy Printing Window Month End]]*365.25/12</f>
        <v/>
      </c>
      <c r="S493" s="3">
        <f>AND(NOW()&gt;=tbl_MTG_Set[[#This Row],[Heavy Printing Window Start]], NOW()&lt;=tbl_MTG_Set[[#This Row],[Heavy Printing Window End]])</f>
        <v/>
      </c>
      <c r="T493">
        <f>_xlfn.XLOOKUP(tbl_MTG_Set[[#This Row],[Type Name]], tbl_MTG_Set_Type[Set Type], tbl_MTG_Set_Type[Sell Window Month Start], "(Set Type not found)", 0, 1)</f>
        <v/>
      </c>
      <c r="U493" s="3">
        <f>tbl_MTG_Set[[#This Row],[Released On]]+tbl_MTG_Set[[#This Row],[Sell Window Month Start]]*365.25/12</f>
        <v/>
      </c>
      <c r="V493">
        <f>_xlfn.XLOOKUP(tbl_MTG_Set[[#This Row],[Type Name]], tbl_MTG_Set_Type[Set Type], tbl_MTG_Set_Type[Sell Window Month End], "(Set Type not found)", 0, 1)</f>
        <v/>
      </c>
      <c r="W493" s="3">
        <f>tbl_MTG_Set[[#This Row],[Released On]]+tbl_MTG_Set[[#This Row],[Sell Window Month End]]*365.25/12</f>
        <v/>
      </c>
      <c r="X493" s="3">
        <f>AND(NOW()&gt;=tbl_MTG_Set[[#This Row],[Sell Window Start]], NOW()&lt;=tbl_MTG_Set[[#This Row],[Sell Window End]])</f>
        <v/>
      </c>
      <c r="AG493" s="10" t="n"/>
      <c r="AH493" s="10" t="n"/>
      <c r="AM493" s="10">
        <f t="array" ref="AM4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3" s="10">
        <f t="array" ref="AN4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3" s="4">
        <f>_xlfn.XLOOKUP(tbl_MTG_Set[[#This Row],[Play Booster Box Product Id]], tbl_Product[Product Id], tbl_Product[Pack Size])</f>
        <v/>
      </c>
      <c r="AP493" s="10">
        <f>(tbl_MTG_Set[[#This Row],[Play Booster Box Cost]]+v_Item_Shipping_Cost_In)/tbl_MTG_Set[[#This Row],[Play Booster Box Size]]</f>
        <v/>
      </c>
      <c r="AQ493" s="10">
        <f t="array" ref="AQ4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3" s="10" t="n"/>
      <c r="AS493" s="10" t="n"/>
      <c r="AT493" s="17">
        <f>tbl_MTG_Set[[#This Row],[Play Booster CardMarket Profit]]/tbl_MTG_Set[[#This Row],[Play Booster Cost]]</f>
        <v/>
      </c>
      <c r="AU493" s="10">
        <f>_xlfn.XLOOKUP(tbl_MTG_Set[[#This Row],[Collector Booster Box Product Id]], tbl_Product[Product Id], tbl_Product[Min Cost])</f>
        <v/>
      </c>
      <c r="AV493" s="10">
        <f>_xlfn.XLOOKUP(tbl_MTG_Set[[#This Row],[Collector Booster Box Product Id]], tbl_Product[Product Id], tbl_Product[Best Source])</f>
        <v/>
      </c>
      <c r="AW493" s="4">
        <f>_xlfn.XLOOKUP(tbl_MTG_Set[[#This Row],[Collector Booster Box Product Id]], tbl_Product[Product Id], tbl_Product[Pack Size])</f>
        <v/>
      </c>
      <c r="AX493" s="10">
        <f>(tbl_MTG_Set[[#This Row],[Collector Booster Box Cost]] + v_Item_Shipping_Cost_In) / tbl_MTG_Set[[#This Row],[Collector Booster Box Size]]</f>
        <v/>
      </c>
      <c r="AY493" s="10">
        <f t="array" ref="AY4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3" s="10" t="n"/>
      <c r="BA4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3" s="17">
        <f>tbl_MTG_Set[[#This Row],[Collector Booster CardMarket Profit]]/tbl_MTG_Set[[#This Row],[Collector Booster Cost]]</f>
        <v/>
      </c>
      <c r="BC493" s="10" t="n"/>
      <c r="BF493" s="10">
        <f>tbl_MTG_Set[[#This Row],[Play Booster Sell Price CardMarket]]*tbl_MTG_Set[[#This Row],[Play Booster Expected Market Value]]/tbl_MTG_Set[[#This Row],[Play Boost Sealed Market Value]]</f>
        <v/>
      </c>
      <c r="BG4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3" s="10">
        <f>tbl_MTG_Set[[#This Row],[Play Singles CardMarket Profit]]/tbl_MTG_Set[[#This Row],[Play Booster Cost]]</f>
        <v/>
      </c>
      <c r="BI493" s="10">
        <f>tbl_MTG_Set[[#This Row],[Play Singles CardMarket Profit]]&gt;0</f>
        <v/>
      </c>
      <c r="BJ493" s="10" t="n"/>
      <c r="BK493" s="10" t="n"/>
      <c r="BL493" s="10">
        <f>tbl_MTG_Set[[#This Row],[Collector Booster Sell Price CardMarket]]*tbl_MTG_Set[[#This Row],[Collector Booster Expected Market Value]]/tbl_MTG_Set[[#This Row],[Collector Boost Sealed Market Value]]</f>
        <v/>
      </c>
      <c r="BM4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3" s="10">
        <f>tbl_MTG_Set[[#This Row],[Collector Singles CardMarket Profit]]/tbl_MTG_Set[[#This Row],[Collector Booster Cost]]</f>
        <v/>
      </c>
      <c r="BO493" s="10">
        <f>tbl_MTG_Set[[#This Row],[Collector Singles CardMarket Profit]]&gt;0</f>
        <v/>
      </c>
      <c r="BP4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4">
      <c r="A494" t="n">
        <v>492</v>
      </c>
      <c r="B494" t="inlineStr">
        <is>
          <t>Duel Decks: Elves vs. Inventors DDU</t>
        </is>
      </c>
      <c r="C494" t="n">
        <v>76</v>
      </c>
      <c r="D494" s="3" t="n">
        <v>43196</v>
      </c>
      <c r="F494" t="inlineStr">
        <is>
          <t>en es fr de it pt ja ko ru 汉语 漢語</t>
        </is>
      </c>
      <c r="G494" t="n">
        <v>930</v>
      </c>
      <c r="H494">
        <f>MONTH(NOW())+12*YEAR(NOW())-MONTH(tbl_MTG_Set[[#This Row],[Released On]])-12*YEAR(tbl_MTG_Set[[#This Row],[Released On]])</f>
        <v/>
      </c>
      <c r="I494">
        <f>_xlfn.XLOOKUP(tbl_MTG_Set[[#This Row],[Type Name]], tbl_MTG_Set_Type[Set Type], tbl_MTG_Set_Type[Index], "(Set Type not found)")</f>
        <v/>
      </c>
      <c r="J494">
        <f>_xlfn.XLOOKUP(tbl_MTG_Set[[#This Row],[Type Name]], tbl_MTG_Set_Type[Set Type], tbl_MTG_Set_Type[Buy Window Month Start], "(Set Type not found)")</f>
        <v/>
      </c>
      <c r="K494" s="3">
        <f>tbl_MTG_Set[[#This Row],[Released On]]+tbl_MTG_Set[[#This Row],[Buy Window Month Start]]*365.25/12</f>
        <v/>
      </c>
      <c r="L494">
        <f>_xlfn.XLOOKUP(tbl_MTG_Set[[#This Row],[Type Name]], tbl_MTG_Set_Type[Set Type], tbl_MTG_Set_Type[Buy Window Month End], "(Set Type not found)", 0, 1)</f>
        <v/>
      </c>
      <c r="M494" s="3">
        <f>tbl_MTG_Set[[#This Row],[Released On]]+tbl_MTG_Set[[#This Row],[Buy Window Month End]]*365.25/12</f>
        <v/>
      </c>
      <c r="N494" s="3">
        <f>AND(NOW()&gt;=tbl_MTG_Set[[#This Row],[Buy Window Start]], NOW()&lt;=tbl_MTG_Set[[#This Row],[Buy Window End]])</f>
        <v/>
      </c>
      <c r="O494">
        <f>_xlfn.XLOOKUP(tbl_MTG_Set[[#This Row],[Type Name]], tbl_MTG_Set_Type[Set Type], tbl_MTG_Set_Type[Heavy Printing Window Month Start], "(Set Type not found)", 0, 1)</f>
        <v/>
      </c>
      <c r="P494" s="3">
        <f>tbl_MTG_Set[[#This Row],[Released On]]+tbl_MTG_Set[[#This Row],[Heavy Printing Window Month Start]]*365.25/12</f>
        <v/>
      </c>
      <c r="Q494">
        <f>_xlfn.XLOOKUP(tbl_MTG_Set[[#This Row],[Type Name]], tbl_MTG_Set_Type[Set Type], tbl_MTG_Set_Type[Heavy Printing Window Month End], "(Set Type not found)", 0, 1)</f>
        <v/>
      </c>
      <c r="R494" s="3">
        <f>tbl_MTG_Set[[#This Row],[Released On]]+tbl_MTG_Set[[#This Row],[Heavy Printing Window Month End]]*365.25/12</f>
        <v/>
      </c>
      <c r="S494" s="3">
        <f>AND(NOW()&gt;=tbl_MTG_Set[[#This Row],[Heavy Printing Window Start]], NOW()&lt;=tbl_MTG_Set[[#This Row],[Heavy Printing Window End]])</f>
        <v/>
      </c>
      <c r="T494">
        <f>_xlfn.XLOOKUP(tbl_MTG_Set[[#This Row],[Type Name]], tbl_MTG_Set_Type[Set Type], tbl_MTG_Set_Type[Sell Window Month Start], "(Set Type not found)", 0, 1)</f>
        <v/>
      </c>
      <c r="U494" s="3">
        <f>tbl_MTG_Set[[#This Row],[Released On]]+tbl_MTG_Set[[#This Row],[Sell Window Month Start]]*365.25/12</f>
        <v/>
      </c>
      <c r="V494">
        <f>_xlfn.XLOOKUP(tbl_MTG_Set[[#This Row],[Type Name]], tbl_MTG_Set_Type[Set Type], tbl_MTG_Set_Type[Sell Window Month End], "(Set Type not found)", 0, 1)</f>
        <v/>
      </c>
      <c r="W494" s="3">
        <f>tbl_MTG_Set[[#This Row],[Released On]]+tbl_MTG_Set[[#This Row],[Sell Window Month End]]*365.25/12</f>
        <v/>
      </c>
      <c r="X494" s="3">
        <f>AND(NOW()&gt;=tbl_MTG_Set[[#This Row],[Sell Window Start]], NOW()&lt;=tbl_MTG_Set[[#This Row],[Sell Window End]])</f>
        <v/>
      </c>
      <c r="AG494" s="10" t="n"/>
      <c r="AH494" s="10" t="n"/>
      <c r="AM494" s="10">
        <f t="array" ref="AM4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4" s="10">
        <f t="array" ref="AN4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4" s="4">
        <f>_xlfn.XLOOKUP(tbl_MTG_Set[[#This Row],[Play Booster Box Product Id]], tbl_Product[Product Id], tbl_Product[Pack Size])</f>
        <v/>
      </c>
      <c r="AP494" s="10">
        <f>(tbl_MTG_Set[[#This Row],[Play Booster Box Cost]]+v_Item_Shipping_Cost_In)/tbl_MTG_Set[[#This Row],[Play Booster Box Size]]</f>
        <v/>
      </c>
      <c r="AQ494" s="10">
        <f t="array" ref="AQ4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4" s="10" t="n"/>
      <c r="AS494" s="10" t="n"/>
      <c r="AT494" s="17">
        <f>tbl_MTG_Set[[#This Row],[Play Booster CardMarket Profit]]/tbl_MTG_Set[[#This Row],[Play Booster Cost]]</f>
        <v/>
      </c>
      <c r="AU494" s="10">
        <f>_xlfn.XLOOKUP(tbl_MTG_Set[[#This Row],[Collector Booster Box Product Id]], tbl_Product[Product Id], tbl_Product[Min Cost])</f>
        <v/>
      </c>
      <c r="AV494" s="10">
        <f>_xlfn.XLOOKUP(tbl_MTG_Set[[#This Row],[Collector Booster Box Product Id]], tbl_Product[Product Id], tbl_Product[Best Source])</f>
        <v/>
      </c>
      <c r="AW494" s="4">
        <f>_xlfn.XLOOKUP(tbl_MTG_Set[[#This Row],[Collector Booster Box Product Id]], tbl_Product[Product Id], tbl_Product[Pack Size])</f>
        <v/>
      </c>
      <c r="AX494" s="10">
        <f>(tbl_MTG_Set[[#This Row],[Collector Booster Box Cost]] + v_Item_Shipping_Cost_In) / tbl_MTG_Set[[#This Row],[Collector Booster Box Size]]</f>
        <v/>
      </c>
      <c r="AY494" s="10">
        <f t="array" ref="AY4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4" s="10" t="n"/>
      <c r="BA4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4" s="17">
        <f>tbl_MTG_Set[[#This Row],[Collector Booster CardMarket Profit]]/tbl_MTG_Set[[#This Row],[Collector Booster Cost]]</f>
        <v/>
      </c>
      <c r="BC494" s="10" t="n"/>
      <c r="BF494" s="10">
        <f>tbl_MTG_Set[[#This Row],[Play Booster Sell Price CardMarket]]*tbl_MTG_Set[[#This Row],[Play Booster Expected Market Value]]/tbl_MTG_Set[[#This Row],[Play Boost Sealed Market Value]]</f>
        <v/>
      </c>
      <c r="BG4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4" s="10">
        <f>tbl_MTG_Set[[#This Row],[Play Singles CardMarket Profit]]/tbl_MTG_Set[[#This Row],[Play Booster Cost]]</f>
        <v/>
      </c>
      <c r="BI494" s="10">
        <f>tbl_MTG_Set[[#This Row],[Play Singles CardMarket Profit]]&gt;0</f>
        <v/>
      </c>
      <c r="BJ494" s="10" t="n"/>
      <c r="BK494" s="10" t="n"/>
      <c r="BL494" s="10">
        <f>tbl_MTG_Set[[#This Row],[Collector Booster Sell Price CardMarket]]*tbl_MTG_Set[[#This Row],[Collector Booster Expected Market Value]]/tbl_MTG_Set[[#This Row],[Collector Boost Sealed Market Value]]</f>
        <v/>
      </c>
      <c r="BM4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4" s="10">
        <f>tbl_MTG_Set[[#This Row],[Collector Singles CardMarket Profit]]/tbl_MTG_Set[[#This Row],[Collector Booster Cost]]</f>
        <v/>
      </c>
      <c r="BO494" s="10">
        <f>tbl_MTG_Set[[#This Row],[Collector Singles CardMarket Profit]]&gt;0</f>
        <v/>
      </c>
      <c r="BP4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5">
      <c r="A495" t="n">
        <v>493</v>
      </c>
      <c r="B495" t="inlineStr">
        <is>
          <t>Duel Decks: Elves vs. Inventors Tokens TDDU</t>
        </is>
      </c>
      <c r="C495" t="n">
        <v>4</v>
      </c>
      <c r="D495" s="3" t="n">
        <v>43196</v>
      </c>
      <c r="F495" t="inlineStr">
        <is>
          <t>en es fr de it pt ja ko ru 汉语 漢語</t>
        </is>
      </c>
      <c r="G495" t="n">
        <v>932</v>
      </c>
      <c r="H495">
        <f>MONTH(NOW())+12*YEAR(NOW())-MONTH(tbl_MTG_Set[[#This Row],[Released On]])-12*YEAR(tbl_MTG_Set[[#This Row],[Released On]])</f>
        <v/>
      </c>
      <c r="I495">
        <f>_xlfn.XLOOKUP(tbl_MTG_Set[[#This Row],[Type Name]], tbl_MTG_Set_Type[Set Type], tbl_MTG_Set_Type[Index], "(Set Type not found)")</f>
        <v/>
      </c>
      <c r="J495">
        <f>_xlfn.XLOOKUP(tbl_MTG_Set[[#This Row],[Type Name]], tbl_MTG_Set_Type[Set Type], tbl_MTG_Set_Type[Buy Window Month Start], "(Set Type not found)")</f>
        <v/>
      </c>
      <c r="K495" s="3">
        <f>tbl_MTG_Set[[#This Row],[Released On]]+tbl_MTG_Set[[#This Row],[Buy Window Month Start]]*365.25/12</f>
        <v/>
      </c>
      <c r="L495">
        <f>_xlfn.XLOOKUP(tbl_MTG_Set[[#This Row],[Type Name]], tbl_MTG_Set_Type[Set Type], tbl_MTG_Set_Type[Buy Window Month End], "(Set Type not found)", 0, 1)</f>
        <v/>
      </c>
      <c r="M495" s="3">
        <f>tbl_MTG_Set[[#This Row],[Released On]]+tbl_MTG_Set[[#This Row],[Buy Window Month End]]*365.25/12</f>
        <v/>
      </c>
      <c r="N495" s="3">
        <f>AND(NOW()&gt;=tbl_MTG_Set[[#This Row],[Buy Window Start]], NOW()&lt;=tbl_MTG_Set[[#This Row],[Buy Window End]])</f>
        <v/>
      </c>
      <c r="O495">
        <f>_xlfn.XLOOKUP(tbl_MTG_Set[[#This Row],[Type Name]], tbl_MTG_Set_Type[Set Type], tbl_MTG_Set_Type[Heavy Printing Window Month Start], "(Set Type not found)", 0, 1)</f>
        <v/>
      </c>
      <c r="P495" s="3">
        <f>tbl_MTG_Set[[#This Row],[Released On]]+tbl_MTG_Set[[#This Row],[Heavy Printing Window Month Start]]*365.25/12</f>
        <v/>
      </c>
      <c r="Q495">
        <f>_xlfn.XLOOKUP(tbl_MTG_Set[[#This Row],[Type Name]], tbl_MTG_Set_Type[Set Type], tbl_MTG_Set_Type[Heavy Printing Window Month End], "(Set Type not found)", 0, 1)</f>
        <v/>
      </c>
      <c r="R495" s="3">
        <f>tbl_MTG_Set[[#This Row],[Released On]]+tbl_MTG_Set[[#This Row],[Heavy Printing Window Month End]]*365.25/12</f>
        <v/>
      </c>
      <c r="S495" s="3">
        <f>AND(NOW()&gt;=tbl_MTG_Set[[#This Row],[Heavy Printing Window Start]], NOW()&lt;=tbl_MTG_Set[[#This Row],[Heavy Printing Window End]])</f>
        <v/>
      </c>
      <c r="T495">
        <f>_xlfn.XLOOKUP(tbl_MTG_Set[[#This Row],[Type Name]], tbl_MTG_Set_Type[Set Type], tbl_MTG_Set_Type[Sell Window Month Start], "(Set Type not found)", 0, 1)</f>
        <v/>
      </c>
      <c r="U495" s="3">
        <f>tbl_MTG_Set[[#This Row],[Released On]]+tbl_MTG_Set[[#This Row],[Sell Window Month Start]]*365.25/12</f>
        <v/>
      </c>
      <c r="V495">
        <f>_xlfn.XLOOKUP(tbl_MTG_Set[[#This Row],[Type Name]], tbl_MTG_Set_Type[Set Type], tbl_MTG_Set_Type[Sell Window Month End], "(Set Type not found)", 0, 1)</f>
        <v/>
      </c>
      <c r="W495" s="3">
        <f>tbl_MTG_Set[[#This Row],[Released On]]+tbl_MTG_Set[[#This Row],[Sell Window Month End]]*365.25/12</f>
        <v/>
      </c>
      <c r="X495" s="3">
        <f>AND(NOW()&gt;=tbl_MTG_Set[[#This Row],[Sell Window Start]], NOW()&lt;=tbl_MTG_Set[[#This Row],[Sell Window End]])</f>
        <v/>
      </c>
      <c r="AG495" s="10" t="n"/>
      <c r="AH495" s="10" t="n"/>
      <c r="AM495" s="10">
        <f t="array" ref="AM4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5" s="10">
        <f t="array" ref="AN4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5" s="4">
        <f>_xlfn.XLOOKUP(tbl_MTG_Set[[#This Row],[Play Booster Box Product Id]], tbl_Product[Product Id], tbl_Product[Pack Size])</f>
        <v/>
      </c>
      <c r="AP495" s="10">
        <f>(tbl_MTG_Set[[#This Row],[Play Booster Box Cost]]+v_Item_Shipping_Cost_In)/tbl_MTG_Set[[#This Row],[Play Booster Box Size]]</f>
        <v/>
      </c>
      <c r="AQ495" s="10">
        <f t="array" ref="AQ4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5" s="10" t="n"/>
      <c r="AS495" s="10" t="n"/>
      <c r="AT495" s="17">
        <f>tbl_MTG_Set[[#This Row],[Play Booster CardMarket Profit]]/tbl_MTG_Set[[#This Row],[Play Booster Cost]]</f>
        <v/>
      </c>
      <c r="AU495" s="10">
        <f>_xlfn.XLOOKUP(tbl_MTG_Set[[#This Row],[Collector Booster Box Product Id]], tbl_Product[Product Id], tbl_Product[Min Cost])</f>
        <v/>
      </c>
      <c r="AV495" s="10">
        <f>_xlfn.XLOOKUP(tbl_MTG_Set[[#This Row],[Collector Booster Box Product Id]], tbl_Product[Product Id], tbl_Product[Best Source])</f>
        <v/>
      </c>
      <c r="AW495" s="4">
        <f>_xlfn.XLOOKUP(tbl_MTG_Set[[#This Row],[Collector Booster Box Product Id]], tbl_Product[Product Id], tbl_Product[Pack Size])</f>
        <v/>
      </c>
      <c r="AX495" s="10">
        <f>(tbl_MTG_Set[[#This Row],[Collector Booster Box Cost]] + v_Item_Shipping_Cost_In) / tbl_MTG_Set[[#This Row],[Collector Booster Box Size]]</f>
        <v/>
      </c>
      <c r="AY495" s="10">
        <f t="array" ref="AY4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5" s="10" t="n"/>
      <c r="BA4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5" s="17">
        <f>tbl_MTG_Set[[#This Row],[Collector Booster CardMarket Profit]]/tbl_MTG_Set[[#This Row],[Collector Booster Cost]]</f>
        <v/>
      </c>
      <c r="BC495" s="10" t="n"/>
      <c r="BF495" s="10">
        <f>tbl_MTG_Set[[#This Row],[Play Booster Sell Price CardMarket]]*tbl_MTG_Set[[#This Row],[Play Booster Expected Market Value]]/tbl_MTG_Set[[#This Row],[Play Boost Sealed Market Value]]</f>
        <v/>
      </c>
      <c r="BG4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5" s="10">
        <f>tbl_MTG_Set[[#This Row],[Play Singles CardMarket Profit]]/tbl_MTG_Set[[#This Row],[Play Booster Cost]]</f>
        <v/>
      </c>
      <c r="BI495" s="10">
        <f>tbl_MTG_Set[[#This Row],[Play Singles CardMarket Profit]]&gt;0</f>
        <v/>
      </c>
      <c r="BJ495" s="10" t="n"/>
      <c r="BK495" s="10" t="n"/>
      <c r="BL495" s="10">
        <f>tbl_MTG_Set[[#This Row],[Collector Booster Sell Price CardMarket]]*tbl_MTG_Set[[#This Row],[Collector Booster Expected Market Value]]/tbl_MTG_Set[[#This Row],[Collector Boost Sealed Market Value]]</f>
        <v/>
      </c>
      <c r="BM4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5" s="10">
        <f>tbl_MTG_Set[[#This Row],[Collector Singles CardMarket Profit]]/tbl_MTG_Set[[#This Row],[Collector Booster Cost]]</f>
        <v/>
      </c>
      <c r="BO495" s="10">
        <f>tbl_MTG_Set[[#This Row],[Collector Singles CardMarket Profit]]&gt;0</f>
        <v/>
      </c>
      <c r="BP4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6">
      <c r="A496" t="n">
        <v>494</v>
      </c>
      <c r="B496" t="inlineStr">
        <is>
          <t>Masters 25 A25</t>
        </is>
      </c>
      <c r="C496" t="n">
        <v>249</v>
      </c>
      <c r="D496" s="3" t="n">
        <v>43175</v>
      </c>
      <c r="F496" t="inlineStr">
        <is>
          <t>en es fr de it pt ja ko ru 汉语 漢語</t>
        </is>
      </c>
      <c r="G496" t="n">
        <v>934</v>
      </c>
      <c r="H496">
        <f>MONTH(NOW())+12*YEAR(NOW())-MONTH(tbl_MTG_Set[[#This Row],[Released On]])-12*YEAR(tbl_MTG_Set[[#This Row],[Released On]])</f>
        <v/>
      </c>
      <c r="I496">
        <f>_xlfn.XLOOKUP(tbl_MTG_Set[[#This Row],[Type Name]], tbl_MTG_Set_Type[Set Type], tbl_MTG_Set_Type[Index], "(Set Type not found)")</f>
        <v/>
      </c>
      <c r="J496">
        <f>_xlfn.XLOOKUP(tbl_MTG_Set[[#This Row],[Type Name]], tbl_MTG_Set_Type[Set Type], tbl_MTG_Set_Type[Buy Window Month Start], "(Set Type not found)")</f>
        <v/>
      </c>
      <c r="K496" s="3">
        <f>tbl_MTG_Set[[#This Row],[Released On]]+tbl_MTG_Set[[#This Row],[Buy Window Month Start]]*365.25/12</f>
        <v/>
      </c>
      <c r="L496">
        <f>_xlfn.XLOOKUP(tbl_MTG_Set[[#This Row],[Type Name]], tbl_MTG_Set_Type[Set Type], tbl_MTG_Set_Type[Buy Window Month End], "(Set Type not found)", 0, 1)</f>
        <v/>
      </c>
      <c r="M496" s="3">
        <f>tbl_MTG_Set[[#This Row],[Released On]]+tbl_MTG_Set[[#This Row],[Buy Window Month End]]*365.25/12</f>
        <v/>
      </c>
      <c r="N496" s="3">
        <f>AND(NOW()&gt;=tbl_MTG_Set[[#This Row],[Buy Window Start]], NOW()&lt;=tbl_MTG_Set[[#This Row],[Buy Window End]])</f>
        <v/>
      </c>
      <c r="O496">
        <f>_xlfn.XLOOKUP(tbl_MTG_Set[[#This Row],[Type Name]], tbl_MTG_Set_Type[Set Type], tbl_MTG_Set_Type[Heavy Printing Window Month Start], "(Set Type not found)", 0, 1)</f>
        <v/>
      </c>
      <c r="P496" s="3">
        <f>tbl_MTG_Set[[#This Row],[Released On]]+tbl_MTG_Set[[#This Row],[Heavy Printing Window Month Start]]*365.25/12</f>
        <v/>
      </c>
      <c r="Q496">
        <f>_xlfn.XLOOKUP(tbl_MTG_Set[[#This Row],[Type Name]], tbl_MTG_Set_Type[Set Type], tbl_MTG_Set_Type[Heavy Printing Window Month End], "(Set Type not found)", 0, 1)</f>
        <v/>
      </c>
      <c r="R496" s="3">
        <f>tbl_MTG_Set[[#This Row],[Released On]]+tbl_MTG_Set[[#This Row],[Heavy Printing Window Month End]]*365.25/12</f>
        <v/>
      </c>
      <c r="S496" s="3">
        <f>AND(NOW()&gt;=tbl_MTG_Set[[#This Row],[Heavy Printing Window Start]], NOW()&lt;=tbl_MTG_Set[[#This Row],[Heavy Printing Window End]])</f>
        <v/>
      </c>
      <c r="T496">
        <f>_xlfn.XLOOKUP(tbl_MTG_Set[[#This Row],[Type Name]], tbl_MTG_Set_Type[Set Type], tbl_MTG_Set_Type[Sell Window Month Start], "(Set Type not found)", 0, 1)</f>
        <v/>
      </c>
      <c r="U496" s="3">
        <f>tbl_MTG_Set[[#This Row],[Released On]]+tbl_MTG_Set[[#This Row],[Sell Window Month Start]]*365.25/12</f>
        <v/>
      </c>
      <c r="V496">
        <f>_xlfn.XLOOKUP(tbl_MTG_Set[[#This Row],[Type Name]], tbl_MTG_Set_Type[Set Type], tbl_MTG_Set_Type[Sell Window Month End], "(Set Type not found)", 0, 1)</f>
        <v/>
      </c>
      <c r="W496" s="3">
        <f>tbl_MTG_Set[[#This Row],[Released On]]+tbl_MTG_Set[[#This Row],[Sell Window Month End]]*365.25/12</f>
        <v/>
      </c>
      <c r="X496" s="3">
        <f>AND(NOW()&gt;=tbl_MTG_Set[[#This Row],[Sell Window Start]], NOW()&lt;=tbl_MTG_Set[[#This Row],[Sell Window End]])</f>
        <v/>
      </c>
      <c r="AG496" s="10" t="n"/>
      <c r="AH496" s="10" t="n"/>
      <c r="AM496" s="10">
        <f t="array" ref="AM4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6" s="10">
        <f t="array" ref="AN4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6" s="4">
        <f>_xlfn.XLOOKUP(tbl_MTG_Set[[#This Row],[Play Booster Box Product Id]], tbl_Product[Product Id], tbl_Product[Pack Size])</f>
        <v/>
      </c>
      <c r="AP496" s="10">
        <f>(tbl_MTG_Set[[#This Row],[Play Booster Box Cost]]+v_Item_Shipping_Cost_In)/tbl_MTG_Set[[#This Row],[Play Booster Box Size]]</f>
        <v/>
      </c>
      <c r="AQ496" s="10">
        <f t="array" ref="AQ4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6" s="10" t="n"/>
      <c r="AS496" s="10" t="n"/>
      <c r="AT496" s="17">
        <f>tbl_MTG_Set[[#This Row],[Play Booster CardMarket Profit]]/tbl_MTG_Set[[#This Row],[Play Booster Cost]]</f>
        <v/>
      </c>
      <c r="AU496" s="10">
        <f>_xlfn.XLOOKUP(tbl_MTG_Set[[#This Row],[Collector Booster Box Product Id]], tbl_Product[Product Id], tbl_Product[Min Cost])</f>
        <v/>
      </c>
      <c r="AV496" s="10">
        <f>_xlfn.XLOOKUP(tbl_MTG_Set[[#This Row],[Collector Booster Box Product Id]], tbl_Product[Product Id], tbl_Product[Best Source])</f>
        <v/>
      </c>
      <c r="AW496" s="4">
        <f>_xlfn.XLOOKUP(tbl_MTG_Set[[#This Row],[Collector Booster Box Product Id]], tbl_Product[Product Id], tbl_Product[Pack Size])</f>
        <v/>
      </c>
      <c r="AX496" s="10">
        <f>(tbl_MTG_Set[[#This Row],[Collector Booster Box Cost]] + v_Item_Shipping_Cost_In) / tbl_MTG_Set[[#This Row],[Collector Booster Box Size]]</f>
        <v/>
      </c>
      <c r="AY496" s="10">
        <f t="array" ref="AY4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6" s="10" t="n"/>
      <c r="BA4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6" s="17">
        <f>tbl_MTG_Set[[#This Row],[Collector Booster CardMarket Profit]]/tbl_MTG_Set[[#This Row],[Collector Booster Cost]]</f>
        <v/>
      </c>
      <c r="BC496" s="10" t="n"/>
      <c r="BF496" s="10">
        <f>tbl_MTG_Set[[#This Row],[Play Booster Sell Price CardMarket]]*tbl_MTG_Set[[#This Row],[Play Booster Expected Market Value]]/tbl_MTG_Set[[#This Row],[Play Boost Sealed Market Value]]</f>
        <v/>
      </c>
      <c r="BG4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6" s="10">
        <f>tbl_MTG_Set[[#This Row],[Play Singles CardMarket Profit]]/tbl_MTG_Set[[#This Row],[Play Booster Cost]]</f>
        <v/>
      </c>
      <c r="BI496" s="10">
        <f>tbl_MTG_Set[[#This Row],[Play Singles CardMarket Profit]]&gt;0</f>
        <v/>
      </c>
      <c r="BJ496" s="10" t="n"/>
      <c r="BK496" s="10" t="n"/>
      <c r="BL496" s="10">
        <f>tbl_MTG_Set[[#This Row],[Collector Booster Sell Price CardMarket]]*tbl_MTG_Set[[#This Row],[Collector Booster Expected Market Value]]/tbl_MTG_Set[[#This Row],[Collector Boost Sealed Market Value]]</f>
        <v/>
      </c>
      <c r="BM4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6" s="10">
        <f>tbl_MTG_Set[[#This Row],[Collector Singles CardMarket Profit]]/tbl_MTG_Set[[#This Row],[Collector Booster Cost]]</f>
        <v/>
      </c>
      <c r="BO496" s="10">
        <f>tbl_MTG_Set[[#This Row],[Collector Singles CardMarket Profit]]&gt;0</f>
        <v/>
      </c>
      <c r="BP4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7">
      <c r="A497" t="n">
        <v>495</v>
      </c>
      <c r="B497" t="inlineStr">
        <is>
          <t>Masters 25 Tokens TA25</t>
        </is>
      </c>
      <c r="C497" t="n">
        <v>16</v>
      </c>
      <c r="D497" s="3" t="n">
        <v>43175</v>
      </c>
      <c r="F497" t="inlineStr">
        <is>
          <t>en es fr de it pt ja ko ru 汉语 漢語</t>
        </is>
      </c>
      <c r="G497" t="n">
        <v>936</v>
      </c>
      <c r="H497">
        <f>MONTH(NOW())+12*YEAR(NOW())-MONTH(tbl_MTG_Set[[#This Row],[Released On]])-12*YEAR(tbl_MTG_Set[[#This Row],[Released On]])</f>
        <v/>
      </c>
      <c r="I497">
        <f>_xlfn.XLOOKUP(tbl_MTG_Set[[#This Row],[Type Name]], tbl_MTG_Set_Type[Set Type], tbl_MTG_Set_Type[Index], "(Set Type not found)")</f>
        <v/>
      </c>
      <c r="J497">
        <f>_xlfn.XLOOKUP(tbl_MTG_Set[[#This Row],[Type Name]], tbl_MTG_Set_Type[Set Type], tbl_MTG_Set_Type[Buy Window Month Start], "(Set Type not found)")</f>
        <v/>
      </c>
      <c r="K497" s="3">
        <f>tbl_MTG_Set[[#This Row],[Released On]]+tbl_MTG_Set[[#This Row],[Buy Window Month Start]]*365.25/12</f>
        <v/>
      </c>
      <c r="L497">
        <f>_xlfn.XLOOKUP(tbl_MTG_Set[[#This Row],[Type Name]], tbl_MTG_Set_Type[Set Type], tbl_MTG_Set_Type[Buy Window Month End], "(Set Type not found)", 0, 1)</f>
        <v/>
      </c>
      <c r="M497" s="3">
        <f>tbl_MTG_Set[[#This Row],[Released On]]+tbl_MTG_Set[[#This Row],[Buy Window Month End]]*365.25/12</f>
        <v/>
      </c>
      <c r="N497" s="3">
        <f>AND(NOW()&gt;=tbl_MTG_Set[[#This Row],[Buy Window Start]], NOW()&lt;=tbl_MTG_Set[[#This Row],[Buy Window End]])</f>
        <v/>
      </c>
      <c r="O497">
        <f>_xlfn.XLOOKUP(tbl_MTG_Set[[#This Row],[Type Name]], tbl_MTG_Set_Type[Set Type], tbl_MTG_Set_Type[Heavy Printing Window Month Start], "(Set Type not found)", 0, 1)</f>
        <v/>
      </c>
      <c r="P497" s="3">
        <f>tbl_MTG_Set[[#This Row],[Released On]]+tbl_MTG_Set[[#This Row],[Heavy Printing Window Month Start]]*365.25/12</f>
        <v/>
      </c>
      <c r="Q497">
        <f>_xlfn.XLOOKUP(tbl_MTG_Set[[#This Row],[Type Name]], tbl_MTG_Set_Type[Set Type], tbl_MTG_Set_Type[Heavy Printing Window Month End], "(Set Type not found)", 0, 1)</f>
        <v/>
      </c>
      <c r="R497" s="3">
        <f>tbl_MTG_Set[[#This Row],[Released On]]+tbl_MTG_Set[[#This Row],[Heavy Printing Window Month End]]*365.25/12</f>
        <v/>
      </c>
      <c r="S497" s="3">
        <f>AND(NOW()&gt;=tbl_MTG_Set[[#This Row],[Heavy Printing Window Start]], NOW()&lt;=tbl_MTG_Set[[#This Row],[Heavy Printing Window End]])</f>
        <v/>
      </c>
      <c r="T497">
        <f>_xlfn.XLOOKUP(tbl_MTG_Set[[#This Row],[Type Name]], tbl_MTG_Set_Type[Set Type], tbl_MTG_Set_Type[Sell Window Month Start], "(Set Type not found)", 0, 1)</f>
        <v/>
      </c>
      <c r="U497" s="3">
        <f>tbl_MTG_Set[[#This Row],[Released On]]+tbl_MTG_Set[[#This Row],[Sell Window Month Start]]*365.25/12</f>
        <v/>
      </c>
      <c r="V497">
        <f>_xlfn.XLOOKUP(tbl_MTG_Set[[#This Row],[Type Name]], tbl_MTG_Set_Type[Set Type], tbl_MTG_Set_Type[Sell Window Month End], "(Set Type not found)", 0, 1)</f>
        <v/>
      </c>
      <c r="W497" s="3">
        <f>tbl_MTG_Set[[#This Row],[Released On]]+tbl_MTG_Set[[#This Row],[Sell Window Month End]]*365.25/12</f>
        <v/>
      </c>
      <c r="X497" s="3">
        <f>AND(NOW()&gt;=tbl_MTG_Set[[#This Row],[Sell Window Start]], NOW()&lt;=tbl_MTG_Set[[#This Row],[Sell Window End]])</f>
        <v/>
      </c>
      <c r="AG497" s="10" t="n"/>
      <c r="AH497" s="10" t="n"/>
      <c r="AM497" s="10">
        <f t="array" ref="AM4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7" s="10">
        <f t="array" ref="AN4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7" s="4">
        <f>_xlfn.XLOOKUP(tbl_MTG_Set[[#This Row],[Play Booster Box Product Id]], tbl_Product[Product Id], tbl_Product[Pack Size])</f>
        <v/>
      </c>
      <c r="AP497" s="10">
        <f>(tbl_MTG_Set[[#This Row],[Play Booster Box Cost]]+v_Item_Shipping_Cost_In)/tbl_MTG_Set[[#This Row],[Play Booster Box Size]]</f>
        <v/>
      </c>
      <c r="AQ497" s="10">
        <f t="array" ref="AQ4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7" s="10" t="n"/>
      <c r="AS497" s="10" t="n"/>
      <c r="AT497" s="17">
        <f>tbl_MTG_Set[[#This Row],[Play Booster CardMarket Profit]]/tbl_MTG_Set[[#This Row],[Play Booster Cost]]</f>
        <v/>
      </c>
      <c r="AU497" s="10">
        <f>_xlfn.XLOOKUP(tbl_MTG_Set[[#This Row],[Collector Booster Box Product Id]], tbl_Product[Product Id], tbl_Product[Min Cost])</f>
        <v/>
      </c>
      <c r="AV497" s="10">
        <f>_xlfn.XLOOKUP(tbl_MTG_Set[[#This Row],[Collector Booster Box Product Id]], tbl_Product[Product Id], tbl_Product[Best Source])</f>
        <v/>
      </c>
      <c r="AW497" s="4">
        <f>_xlfn.XLOOKUP(tbl_MTG_Set[[#This Row],[Collector Booster Box Product Id]], tbl_Product[Product Id], tbl_Product[Pack Size])</f>
        <v/>
      </c>
      <c r="AX497" s="10">
        <f>(tbl_MTG_Set[[#This Row],[Collector Booster Box Cost]] + v_Item_Shipping_Cost_In) / tbl_MTG_Set[[#This Row],[Collector Booster Box Size]]</f>
        <v/>
      </c>
      <c r="AY497" s="10">
        <f t="array" ref="AY4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7" s="10" t="n"/>
      <c r="BA4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7" s="17">
        <f>tbl_MTG_Set[[#This Row],[Collector Booster CardMarket Profit]]/tbl_MTG_Set[[#This Row],[Collector Booster Cost]]</f>
        <v/>
      </c>
      <c r="BC497" s="10" t="n"/>
      <c r="BF497" s="10">
        <f>tbl_MTG_Set[[#This Row],[Play Booster Sell Price CardMarket]]*tbl_MTG_Set[[#This Row],[Play Booster Expected Market Value]]/tbl_MTG_Set[[#This Row],[Play Boost Sealed Market Value]]</f>
        <v/>
      </c>
      <c r="BG4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7" s="10">
        <f>tbl_MTG_Set[[#This Row],[Play Singles CardMarket Profit]]/tbl_MTG_Set[[#This Row],[Play Booster Cost]]</f>
        <v/>
      </c>
      <c r="BI497" s="10">
        <f>tbl_MTG_Set[[#This Row],[Play Singles CardMarket Profit]]&gt;0</f>
        <v/>
      </c>
      <c r="BJ497" s="10" t="n"/>
      <c r="BK497" s="10" t="n"/>
      <c r="BL497" s="10">
        <f>tbl_MTG_Set[[#This Row],[Collector Booster Sell Price CardMarket]]*tbl_MTG_Set[[#This Row],[Collector Booster Expected Market Value]]/tbl_MTG_Set[[#This Row],[Collector Boost Sealed Market Value]]</f>
        <v/>
      </c>
      <c r="BM4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7" s="10">
        <f>tbl_MTG_Set[[#This Row],[Collector Singles CardMarket Profit]]/tbl_MTG_Set[[#This Row],[Collector Booster Cost]]</f>
        <v/>
      </c>
      <c r="BO497" s="10">
        <f>tbl_MTG_Set[[#This Row],[Collector Singles CardMarket Profit]]&gt;0</f>
        <v/>
      </c>
      <c r="BP4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8">
      <c r="A498" t="n">
        <v>496</v>
      </c>
      <c r="B498" t="inlineStr">
        <is>
          <t>Lunar New Year 2018 PLNY</t>
        </is>
      </c>
      <c r="C498" t="n">
        <v>1</v>
      </c>
      <c r="D498" s="3" t="n">
        <v>43147</v>
      </c>
      <c r="F498" t="inlineStr">
        <is>
          <t>en es fr de it pt ja ko ru 汉语 漢語</t>
        </is>
      </c>
      <c r="G498" t="n">
        <v>938</v>
      </c>
      <c r="H498">
        <f>MONTH(NOW())+12*YEAR(NOW())-MONTH(tbl_MTG_Set[[#This Row],[Released On]])-12*YEAR(tbl_MTG_Set[[#This Row],[Released On]])</f>
        <v/>
      </c>
      <c r="I498">
        <f>_xlfn.XLOOKUP(tbl_MTG_Set[[#This Row],[Type Name]], tbl_MTG_Set_Type[Set Type], tbl_MTG_Set_Type[Index], "(Set Type not found)")</f>
        <v/>
      </c>
      <c r="J498">
        <f>_xlfn.XLOOKUP(tbl_MTG_Set[[#This Row],[Type Name]], tbl_MTG_Set_Type[Set Type], tbl_MTG_Set_Type[Buy Window Month Start], "(Set Type not found)")</f>
        <v/>
      </c>
      <c r="K498" s="3">
        <f>tbl_MTG_Set[[#This Row],[Released On]]+tbl_MTG_Set[[#This Row],[Buy Window Month Start]]*365.25/12</f>
        <v/>
      </c>
      <c r="L498">
        <f>_xlfn.XLOOKUP(tbl_MTG_Set[[#This Row],[Type Name]], tbl_MTG_Set_Type[Set Type], tbl_MTG_Set_Type[Buy Window Month End], "(Set Type not found)", 0, 1)</f>
        <v/>
      </c>
      <c r="M498" s="3">
        <f>tbl_MTG_Set[[#This Row],[Released On]]+tbl_MTG_Set[[#This Row],[Buy Window Month End]]*365.25/12</f>
        <v/>
      </c>
      <c r="N498" s="3">
        <f>AND(NOW()&gt;=tbl_MTG_Set[[#This Row],[Buy Window Start]], NOW()&lt;=tbl_MTG_Set[[#This Row],[Buy Window End]])</f>
        <v/>
      </c>
      <c r="O498">
        <f>_xlfn.XLOOKUP(tbl_MTG_Set[[#This Row],[Type Name]], tbl_MTG_Set_Type[Set Type], tbl_MTG_Set_Type[Heavy Printing Window Month Start], "(Set Type not found)", 0, 1)</f>
        <v/>
      </c>
      <c r="P498" s="3">
        <f>tbl_MTG_Set[[#This Row],[Released On]]+tbl_MTG_Set[[#This Row],[Heavy Printing Window Month Start]]*365.25/12</f>
        <v/>
      </c>
      <c r="Q498">
        <f>_xlfn.XLOOKUP(tbl_MTG_Set[[#This Row],[Type Name]], tbl_MTG_Set_Type[Set Type], tbl_MTG_Set_Type[Heavy Printing Window Month End], "(Set Type not found)", 0, 1)</f>
        <v/>
      </c>
      <c r="R498" s="3">
        <f>tbl_MTG_Set[[#This Row],[Released On]]+tbl_MTG_Set[[#This Row],[Heavy Printing Window Month End]]*365.25/12</f>
        <v/>
      </c>
      <c r="S498" s="3">
        <f>AND(NOW()&gt;=tbl_MTG_Set[[#This Row],[Heavy Printing Window Start]], NOW()&lt;=tbl_MTG_Set[[#This Row],[Heavy Printing Window End]])</f>
        <v/>
      </c>
      <c r="T498">
        <f>_xlfn.XLOOKUP(tbl_MTG_Set[[#This Row],[Type Name]], tbl_MTG_Set_Type[Set Type], tbl_MTG_Set_Type[Sell Window Month Start], "(Set Type not found)", 0, 1)</f>
        <v/>
      </c>
      <c r="U498" s="3">
        <f>tbl_MTG_Set[[#This Row],[Released On]]+tbl_MTG_Set[[#This Row],[Sell Window Month Start]]*365.25/12</f>
        <v/>
      </c>
      <c r="V498">
        <f>_xlfn.XLOOKUP(tbl_MTG_Set[[#This Row],[Type Name]], tbl_MTG_Set_Type[Set Type], tbl_MTG_Set_Type[Sell Window Month End], "(Set Type not found)", 0, 1)</f>
        <v/>
      </c>
      <c r="W498" s="3">
        <f>tbl_MTG_Set[[#This Row],[Released On]]+tbl_MTG_Set[[#This Row],[Sell Window Month End]]*365.25/12</f>
        <v/>
      </c>
      <c r="X498" s="3">
        <f>AND(NOW()&gt;=tbl_MTG_Set[[#This Row],[Sell Window Start]], NOW()&lt;=tbl_MTG_Set[[#This Row],[Sell Window End]])</f>
        <v/>
      </c>
      <c r="AG498" s="10" t="n"/>
      <c r="AH498" s="10" t="n"/>
      <c r="AM498" s="10">
        <f t="array" ref="AM4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8" s="10">
        <f t="array" ref="AN4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8" s="4">
        <f>_xlfn.XLOOKUP(tbl_MTG_Set[[#This Row],[Play Booster Box Product Id]], tbl_Product[Product Id], tbl_Product[Pack Size])</f>
        <v/>
      </c>
      <c r="AP498" s="10">
        <f>(tbl_MTG_Set[[#This Row],[Play Booster Box Cost]]+v_Item_Shipping_Cost_In)/tbl_MTG_Set[[#This Row],[Play Booster Box Size]]</f>
        <v/>
      </c>
      <c r="AQ498" s="10">
        <f t="array" ref="AQ4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8" s="10" t="n"/>
      <c r="AS498" s="10" t="n"/>
      <c r="AT498" s="17">
        <f>tbl_MTG_Set[[#This Row],[Play Booster CardMarket Profit]]/tbl_MTG_Set[[#This Row],[Play Booster Cost]]</f>
        <v/>
      </c>
      <c r="AU498" s="10">
        <f>_xlfn.XLOOKUP(tbl_MTG_Set[[#This Row],[Collector Booster Box Product Id]], tbl_Product[Product Id], tbl_Product[Min Cost])</f>
        <v/>
      </c>
      <c r="AV498" s="10">
        <f>_xlfn.XLOOKUP(tbl_MTG_Set[[#This Row],[Collector Booster Box Product Id]], tbl_Product[Product Id], tbl_Product[Best Source])</f>
        <v/>
      </c>
      <c r="AW498" s="4">
        <f>_xlfn.XLOOKUP(tbl_MTG_Set[[#This Row],[Collector Booster Box Product Id]], tbl_Product[Product Id], tbl_Product[Pack Size])</f>
        <v/>
      </c>
      <c r="AX498" s="10">
        <f>(tbl_MTG_Set[[#This Row],[Collector Booster Box Cost]] + v_Item_Shipping_Cost_In) / tbl_MTG_Set[[#This Row],[Collector Booster Box Size]]</f>
        <v/>
      </c>
      <c r="AY498" s="10">
        <f t="array" ref="AY4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8" s="10" t="n"/>
      <c r="BA4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8" s="17">
        <f>tbl_MTG_Set[[#This Row],[Collector Booster CardMarket Profit]]/tbl_MTG_Set[[#This Row],[Collector Booster Cost]]</f>
        <v/>
      </c>
      <c r="BC498" s="10" t="n"/>
      <c r="BF498" s="10">
        <f>tbl_MTG_Set[[#This Row],[Play Booster Sell Price CardMarket]]*tbl_MTG_Set[[#This Row],[Play Booster Expected Market Value]]/tbl_MTG_Set[[#This Row],[Play Boost Sealed Market Value]]</f>
        <v/>
      </c>
      <c r="BG4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8" s="10">
        <f>tbl_MTG_Set[[#This Row],[Play Singles CardMarket Profit]]/tbl_MTG_Set[[#This Row],[Play Booster Cost]]</f>
        <v/>
      </c>
      <c r="BI498" s="10">
        <f>tbl_MTG_Set[[#This Row],[Play Singles CardMarket Profit]]&gt;0</f>
        <v/>
      </c>
      <c r="BJ498" s="10" t="n"/>
      <c r="BK498" s="10" t="n"/>
      <c r="BL498" s="10">
        <f>tbl_MTG_Set[[#This Row],[Collector Booster Sell Price CardMarket]]*tbl_MTG_Set[[#This Row],[Collector Booster Expected Market Value]]/tbl_MTG_Set[[#This Row],[Collector Boost Sealed Market Value]]</f>
        <v/>
      </c>
      <c r="BM4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8" s="10">
        <f>tbl_MTG_Set[[#This Row],[Collector Singles CardMarket Profit]]/tbl_MTG_Set[[#This Row],[Collector Booster Cost]]</f>
        <v/>
      </c>
      <c r="BO498" s="10">
        <f>tbl_MTG_Set[[#This Row],[Collector Singles CardMarket Profit]]&gt;0</f>
        <v/>
      </c>
      <c r="BP4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9">
      <c r="A499" t="n">
        <v>497</v>
      </c>
      <c r="B499" t="inlineStr">
        <is>
          <t>Nationals Promos PNAT</t>
        </is>
      </c>
      <c r="C499" t="n">
        <v>1</v>
      </c>
      <c r="D499" s="3" t="n">
        <v>43125</v>
      </c>
      <c r="F499" t="inlineStr">
        <is>
          <t>en es fr de it pt ja ko ru 汉语 漢語</t>
        </is>
      </c>
      <c r="G499" t="n">
        <v>940</v>
      </c>
      <c r="H499">
        <f>MONTH(NOW())+12*YEAR(NOW())-MONTH(tbl_MTG_Set[[#This Row],[Released On]])-12*YEAR(tbl_MTG_Set[[#This Row],[Released On]])</f>
        <v/>
      </c>
      <c r="I499">
        <f>_xlfn.XLOOKUP(tbl_MTG_Set[[#This Row],[Type Name]], tbl_MTG_Set_Type[Set Type], tbl_MTG_Set_Type[Index], "(Set Type not found)")</f>
        <v/>
      </c>
      <c r="J499">
        <f>_xlfn.XLOOKUP(tbl_MTG_Set[[#This Row],[Type Name]], tbl_MTG_Set_Type[Set Type], tbl_MTG_Set_Type[Buy Window Month Start], "(Set Type not found)")</f>
        <v/>
      </c>
      <c r="K499" s="3">
        <f>tbl_MTG_Set[[#This Row],[Released On]]+tbl_MTG_Set[[#This Row],[Buy Window Month Start]]*365.25/12</f>
        <v/>
      </c>
      <c r="L499">
        <f>_xlfn.XLOOKUP(tbl_MTG_Set[[#This Row],[Type Name]], tbl_MTG_Set_Type[Set Type], tbl_MTG_Set_Type[Buy Window Month End], "(Set Type not found)", 0, 1)</f>
        <v/>
      </c>
      <c r="M499" s="3">
        <f>tbl_MTG_Set[[#This Row],[Released On]]+tbl_MTG_Set[[#This Row],[Buy Window Month End]]*365.25/12</f>
        <v/>
      </c>
      <c r="N499" s="3">
        <f>AND(NOW()&gt;=tbl_MTG_Set[[#This Row],[Buy Window Start]], NOW()&lt;=tbl_MTG_Set[[#This Row],[Buy Window End]])</f>
        <v/>
      </c>
      <c r="O499">
        <f>_xlfn.XLOOKUP(tbl_MTG_Set[[#This Row],[Type Name]], tbl_MTG_Set_Type[Set Type], tbl_MTG_Set_Type[Heavy Printing Window Month Start], "(Set Type not found)", 0, 1)</f>
        <v/>
      </c>
      <c r="P499" s="3">
        <f>tbl_MTG_Set[[#This Row],[Released On]]+tbl_MTG_Set[[#This Row],[Heavy Printing Window Month Start]]*365.25/12</f>
        <v/>
      </c>
      <c r="Q499">
        <f>_xlfn.XLOOKUP(tbl_MTG_Set[[#This Row],[Type Name]], tbl_MTG_Set_Type[Set Type], tbl_MTG_Set_Type[Heavy Printing Window Month End], "(Set Type not found)", 0, 1)</f>
        <v/>
      </c>
      <c r="R499" s="3">
        <f>tbl_MTG_Set[[#This Row],[Released On]]+tbl_MTG_Set[[#This Row],[Heavy Printing Window Month End]]*365.25/12</f>
        <v/>
      </c>
      <c r="S499" s="3">
        <f>AND(NOW()&gt;=tbl_MTG_Set[[#This Row],[Heavy Printing Window Start]], NOW()&lt;=tbl_MTG_Set[[#This Row],[Heavy Printing Window End]])</f>
        <v/>
      </c>
      <c r="T499">
        <f>_xlfn.XLOOKUP(tbl_MTG_Set[[#This Row],[Type Name]], tbl_MTG_Set_Type[Set Type], tbl_MTG_Set_Type[Sell Window Month Start], "(Set Type not found)", 0, 1)</f>
        <v/>
      </c>
      <c r="U499" s="3">
        <f>tbl_MTG_Set[[#This Row],[Released On]]+tbl_MTG_Set[[#This Row],[Sell Window Month Start]]*365.25/12</f>
        <v/>
      </c>
      <c r="V499">
        <f>_xlfn.XLOOKUP(tbl_MTG_Set[[#This Row],[Type Name]], tbl_MTG_Set_Type[Set Type], tbl_MTG_Set_Type[Sell Window Month End], "(Set Type not found)", 0, 1)</f>
        <v/>
      </c>
      <c r="W499" s="3">
        <f>tbl_MTG_Set[[#This Row],[Released On]]+tbl_MTG_Set[[#This Row],[Sell Window Month End]]*365.25/12</f>
        <v/>
      </c>
      <c r="X499" s="3">
        <f>AND(NOW()&gt;=tbl_MTG_Set[[#This Row],[Sell Window Start]], NOW()&lt;=tbl_MTG_Set[[#This Row],[Sell Window End]])</f>
        <v/>
      </c>
      <c r="AG499" s="10" t="n"/>
      <c r="AH499" s="10" t="n"/>
      <c r="AM499" s="10">
        <f t="array" ref="AM4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9" s="10">
        <f t="array" ref="AN4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9" s="4">
        <f>_xlfn.XLOOKUP(tbl_MTG_Set[[#This Row],[Play Booster Box Product Id]], tbl_Product[Product Id], tbl_Product[Pack Size])</f>
        <v/>
      </c>
      <c r="AP499" s="10">
        <f>(tbl_MTG_Set[[#This Row],[Play Booster Box Cost]]+v_Item_Shipping_Cost_In)/tbl_MTG_Set[[#This Row],[Play Booster Box Size]]</f>
        <v/>
      </c>
      <c r="AQ499" s="10">
        <f t="array" ref="AQ4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499" s="10" t="n"/>
      <c r="AS499" s="10" t="n"/>
      <c r="AT499" s="17">
        <f>tbl_MTG_Set[[#This Row],[Play Booster CardMarket Profit]]/tbl_MTG_Set[[#This Row],[Play Booster Cost]]</f>
        <v/>
      </c>
      <c r="AU499" s="10">
        <f>_xlfn.XLOOKUP(tbl_MTG_Set[[#This Row],[Collector Booster Box Product Id]], tbl_Product[Product Id], tbl_Product[Min Cost])</f>
        <v/>
      </c>
      <c r="AV499" s="10">
        <f>_xlfn.XLOOKUP(tbl_MTG_Set[[#This Row],[Collector Booster Box Product Id]], tbl_Product[Product Id], tbl_Product[Best Source])</f>
        <v/>
      </c>
      <c r="AW499" s="4">
        <f>_xlfn.XLOOKUP(tbl_MTG_Set[[#This Row],[Collector Booster Box Product Id]], tbl_Product[Product Id], tbl_Product[Pack Size])</f>
        <v/>
      </c>
      <c r="AX499" s="10">
        <f>(tbl_MTG_Set[[#This Row],[Collector Booster Box Cost]] + v_Item_Shipping_Cost_In) / tbl_MTG_Set[[#This Row],[Collector Booster Box Size]]</f>
        <v/>
      </c>
      <c r="AY499" s="10">
        <f t="array" ref="AY4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499" s="10" t="n"/>
      <c r="BA4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9" s="17">
        <f>tbl_MTG_Set[[#This Row],[Collector Booster CardMarket Profit]]/tbl_MTG_Set[[#This Row],[Collector Booster Cost]]</f>
        <v/>
      </c>
      <c r="BC499" s="10" t="n"/>
      <c r="BF499" s="10">
        <f>tbl_MTG_Set[[#This Row],[Play Booster Sell Price CardMarket]]*tbl_MTG_Set[[#This Row],[Play Booster Expected Market Value]]/tbl_MTG_Set[[#This Row],[Play Boost Sealed Market Value]]</f>
        <v/>
      </c>
      <c r="BG4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9" s="10">
        <f>tbl_MTG_Set[[#This Row],[Play Singles CardMarket Profit]]/tbl_MTG_Set[[#This Row],[Play Booster Cost]]</f>
        <v/>
      </c>
      <c r="BI499" s="10">
        <f>tbl_MTG_Set[[#This Row],[Play Singles CardMarket Profit]]&gt;0</f>
        <v/>
      </c>
      <c r="BJ499" s="10" t="n"/>
      <c r="BK499" s="10" t="n"/>
      <c r="BL499" s="10">
        <f>tbl_MTG_Set[[#This Row],[Collector Booster Sell Price CardMarket]]*tbl_MTG_Set[[#This Row],[Collector Booster Expected Market Value]]/tbl_MTG_Set[[#This Row],[Collector Boost Sealed Market Value]]</f>
        <v/>
      </c>
      <c r="BM4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9" s="10">
        <f>tbl_MTG_Set[[#This Row],[Collector Singles CardMarket Profit]]/tbl_MTG_Set[[#This Row],[Collector Booster Cost]]</f>
        <v/>
      </c>
      <c r="BO499" s="10">
        <f>tbl_MTG_Set[[#This Row],[Collector Singles CardMarket Profit]]&gt;0</f>
        <v/>
      </c>
      <c r="BP4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0">
      <c r="A500" t="n">
        <v>498</v>
      </c>
      <c r="B500" t="inlineStr">
        <is>
          <t>Rivals of Ixalan RIX</t>
        </is>
      </c>
      <c r="C500" t="n">
        <v>205</v>
      </c>
      <c r="D500" s="3" t="n">
        <v>43119</v>
      </c>
      <c r="E500" t="inlineStr">
        <is>
          <t>Standard Expansion</t>
        </is>
      </c>
      <c r="F500" t="inlineStr">
        <is>
          <t>en es fr de it pt ja ko ru 汉语 漢語</t>
        </is>
      </c>
      <c r="G500" t="n">
        <v>942</v>
      </c>
      <c r="H500">
        <f>MONTH(NOW())+12*YEAR(NOW())-MONTH(tbl_MTG_Set[[#This Row],[Released On]])-12*YEAR(tbl_MTG_Set[[#This Row],[Released On]])</f>
        <v/>
      </c>
      <c r="I500">
        <f>_xlfn.XLOOKUP(tbl_MTG_Set[[#This Row],[Type Name]], tbl_MTG_Set_Type[Set Type], tbl_MTG_Set_Type[Index], "(Set Type not found)")</f>
        <v/>
      </c>
      <c r="J500">
        <f>_xlfn.XLOOKUP(tbl_MTG_Set[[#This Row],[Type Name]], tbl_MTG_Set_Type[Set Type], tbl_MTG_Set_Type[Buy Window Month Start], "(Set Type not found)")</f>
        <v/>
      </c>
      <c r="K500" s="3">
        <f>tbl_MTG_Set[[#This Row],[Released On]]+tbl_MTG_Set[[#This Row],[Buy Window Month Start]]*365.25/12</f>
        <v/>
      </c>
      <c r="L500">
        <f>_xlfn.XLOOKUP(tbl_MTG_Set[[#This Row],[Type Name]], tbl_MTG_Set_Type[Set Type], tbl_MTG_Set_Type[Buy Window Month End], "(Set Type not found)", 0, 1)</f>
        <v/>
      </c>
      <c r="M500" s="3">
        <f>tbl_MTG_Set[[#This Row],[Released On]]+tbl_MTG_Set[[#This Row],[Buy Window Month End]]*365.25/12</f>
        <v/>
      </c>
      <c r="N500" s="3">
        <f>AND(NOW()&gt;=tbl_MTG_Set[[#This Row],[Buy Window Start]], NOW()&lt;=tbl_MTG_Set[[#This Row],[Buy Window End]])</f>
        <v/>
      </c>
      <c r="O500">
        <f>_xlfn.XLOOKUP(tbl_MTG_Set[[#This Row],[Type Name]], tbl_MTG_Set_Type[Set Type], tbl_MTG_Set_Type[Heavy Printing Window Month Start], "(Set Type not found)", 0, 1)</f>
        <v/>
      </c>
      <c r="P500" s="3">
        <f>tbl_MTG_Set[[#This Row],[Released On]]+tbl_MTG_Set[[#This Row],[Heavy Printing Window Month Start]]*365.25/12</f>
        <v/>
      </c>
      <c r="Q500">
        <f>_xlfn.XLOOKUP(tbl_MTG_Set[[#This Row],[Type Name]], tbl_MTG_Set_Type[Set Type], tbl_MTG_Set_Type[Heavy Printing Window Month End], "(Set Type not found)", 0, 1)</f>
        <v/>
      </c>
      <c r="R500" s="3">
        <f>tbl_MTG_Set[[#This Row],[Released On]]+tbl_MTG_Set[[#This Row],[Heavy Printing Window Month End]]*365.25/12</f>
        <v/>
      </c>
      <c r="S500" s="3">
        <f>AND(NOW()&gt;=tbl_MTG_Set[[#This Row],[Heavy Printing Window Start]], NOW()&lt;=tbl_MTG_Set[[#This Row],[Heavy Printing Window End]])</f>
        <v/>
      </c>
      <c r="T500">
        <f>_xlfn.XLOOKUP(tbl_MTG_Set[[#This Row],[Type Name]], tbl_MTG_Set_Type[Set Type], tbl_MTG_Set_Type[Sell Window Month Start], "(Set Type not found)", 0, 1)</f>
        <v/>
      </c>
      <c r="U500" s="3">
        <f>tbl_MTG_Set[[#This Row],[Released On]]+tbl_MTG_Set[[#This Row],[Sell Window Month Start]]*365.25/12</f>
        <v/>
      </c>
      <c r="V500">
        <f>_xlfn.XLOOKUP(tbl_MTG_Set[[#This Row],[Type Name]], tbl_MTG_Set_Type[Set Type], tbl_MTG_Set_Type[Sell Window Month End], "(Set Type not found)", 0, 1)</f>
        <v/>
      </c>
      <c r="W500" s="3">
        <f>tbl_MTG_Set[[#This Row],[Released On]]+tbl_MTG_Set[[#This Row],[Sell Window Month End]]*365.25/12</f>
        <v/>
      </c>
      <c r="X500" s="3">
        <f>AND(NOW()&gt;=tbl_MTG_Set[[#This Row],[Sell Window Start]], NOW()&lt;=tbl_MTG_Set[[#This Row],[Sell Window End]])</f>
        <v/>
      </c>
      <c r="AG500" s="10" t="n"/>
      <c r="AH500" s="10" t="n"/>
      <c r="AM500" s="10">
        <f t="array" ref="AM5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0" s="10">
        <f t="array" ref="AN5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0" s="4">
        <f>_xlfn.XLOOKUP(tbl_MTG_Set[[#This Row],[Play Booster Box Product Id]], tbl_Product[Product Id], tbl_Product[Pack Size])</f>
        <v/>
      </c>
      <c r="AP500" s="10">
        <f>(tbl_MTG_Set[[#This Row],[Play Booster Box Cost]]+v_Item_Shipping_Cost_In)/tbl_MTG_Set[[#This Row],[Play Booster Box Size]]</f>
        <v/>
      </c>
      <c r="AQ500" s="10">
        <f t="array" ref="AQ5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0" s="10" t="n"/>
      <c r="AS500" s="10" t="n"/>
      <c r="AT500" s="17">
        <f>tbl_MTG_Set[[#This Row],[Play Booster CardMarket Profit]]/tbl_MTG_Set[[#This Row],[Play Booster Cost]]</f>
        <v/>
      </c>
      <c r="AU500" s="10">
        <f>_xlfn.XLOOKUP(tbl_MTG_Set[[#This Row],[Collector Booster Box Product Id]], tbl_Product[Product Id], tbl_Product[Min Cost])</f>
        <v/>
      </c>
      <c r="AV500" s="10">
        <f>_xlfn.XLOOKUP(tbl_MTG_Set[[#This Row],[Collector Booster Box Product Id]], tbl_Product[Product Id], tbl_Product[Best Source])</f>
        <v/>
      </c>
      <c r="AW500" s="4">
        <f>_xlfn.XLOOKUP(tbl_MTG_Set[[#This Row],[Collector Booster Box Product Id]], tbl_Product[Product Id], tbl_Product[Pack Size])</f>
        <v/>
      </c>
      <c r="AX500" s="10">
        <f>(tbl_MTG_Set[[#This Row],[Collector Booster Box Cost]] + v_Item_Shipping_Cost_In) / tbl_MTG_Set[[#This Row],[Collector Booster Box Size]]</f>
        <v/>
      </c>
      <c r="AY500" s="10">
        <f t="array" ref="AY5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0" s="10" t="n"/>
      <c r="BA5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0" s="17">
        <f>tbl_MTG_Set[[#This Row],[Collector Booster CardMarket Profit]]/tbl_MTG_Set[[#This Row],[Collector Booster Cost]]</f>
        <v/>
      </c>
      <c r="BC500" s="10" t="n"/>
      <c r="BF500" s="10">
        <f>tbl_MTG_Set[[#This Row],[Play Booster Sell Price CardMarket]]*tbl_MTG_Set[[#This Row],[Play Booster Expected Market Value]]/tbl_MTG_Set[[#This Row],[Play Boost Sealed Market Value]]</f>
        <v/>
      </c>
      <c r="BG5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0" s="10">
        <f>tbl_MTG_Set[[#This Row],[Play Singles CardMarket Profit]]/tbl_MTG_Set[[#This Row],[Play Booster Cost]]</f>
        <v/>
      </c>
      <c r="BI500" s="10">
        <f>tbl_MTG_Set[[#This Row],[Play Singles CardMarket Profit]]&gt;0</f>
        <v/>
      </c>
      <c r="BJ500" s="10" t="n"/>
      <c r="BK500" s="10" t="n"/>
      <c r="BL500" s="10">
        <f>tbl_MTG_Set[[#This Row],[Collector Booster Sell Price CardMarket]]*tbl_MTG_Set[[#This Row],[Collector Booster Expected Market Value]]/tbl_MTG_Set[[#This Row],[Collector Boost Sealed Market Value]]</f>
        <v/>
      </c>
      <c r="BM5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0" s="10">
        <f>tbl_MTG_Set[[#This Row],[Collector Singles CardMarket Profit]]/tbl_MTG_Set[[#This Row],[Collector Booster Cost]]</f>
        <v/>
      </c>
      <c r="BO500" s="10">
        <f>tbl_MTG_Set[[#This Row],[Collector Singles CardMarket Profit]]&gt;0</f>
        <v/>
      </c>
      <c r="BP5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1">
      <c r="A501" t="n">
        <v>499</v>
      </c>
      <c r="B501" t="inlineStr">
        <is>
          <t>Rivals of Ixalan Promos PRIX</t>
        </is>
      </c>
      <c r="C501" t="n">
        <v>98</v>
      </c>
      <c r="D501" s="3" t="n">
        <v>43119</v>
      </c>
      <c r="E501" t="inlineStr">
        <is>
          <t>Standard Expansion</t>
        </is>
      </c>
      <c r="F501" t="inlineStr">
        <is>
          <t>en es fr de it pt ja ko ru 汉语 漢語</t>
        </is>
      </c>
      <c r="G501" t="n">
        <v>944</v>
      </c>
      <c r="H501">
        <f>MONTH(NOW())+12*YEAR(NOW())-MONTH(tbl_MTG_Set[[#This Row],[Released On]])-12*YEAR(tbl_MTG_Set[[#This Row],[Released On]])</f>
        <v/>
      </c>
      <c r="I501">
        <f>_xlfn.XLOOKUP(tbl_MTG_Set[[#This Row],[Type Name]], tbl_MTG_Set_Type[Set Type], tbl_MTG_Set_Type[Index], "(Set Type not found)")</f>
        <v/>
      </c>
      <c r="J501">
        <f>_xlfn.XLOOKUP(tbl_MTG_Set[[#This Row],[Type Name]], tbl_MTG_Set_Type[Set Type], tbl_MTG_Set_Type[Buy Window Month Start], "(Set Type not found)")</f>
        <v/>
      </c>
      <c r="K501" s="3">
        <f>tbl_MTG_Set[[#This Row],[Released On]]+tbl_MTG_Set[[#This Row],[Buy Window Month Start]]*365.25/12</f>
        <v/>
      </c>
      <c r="L501">
        <f>_xlfn.XLOOKUP(tbl_MTG_Set[[#This Row],[Type Name]], tbl_MTG_Set_Type[Set Type], tbl_MTG_Set_Type[Buy Window Month End], "(Set Type not found)", 0, 1)</f>
        <v/>
      </c>
      <c r="M501" s="3">
        <f>tbl_MTG_Set[[#This Row],[Released On]]+tbl_MTG_Set[[#This Row],[Buy Window Month End]]*365.25/12</f>
        <v/>
      </c>
      <c r="N501" s="3">
        <f>AND(NOW()&gt;=tbl_MTG_Set[[#This Row],[Buy Window Start]], NOW()&lt;=tbl_MTG_Set[[#This Row],[Buy Window End]])</f>
        <v/>
      </c>
      <c r="O501">
        <f>_xlfn.XLOOKUP(tbl_MTG_Set[[#This Row],[Type Name]], tbl_MTG_Set_Type[Set Type], tbl_MTG_Set_Type[Heavy Printing Window Month Start], "(Set Type not found)", 0, 1)</f>
        <v/>
      </c>
      <c r="P501" s="3">
        <f>tbl_MTG_Set[[#This Row],[Released On]]+tbl_MTG_Set[[#This Row],[Heavy Printing Window Month Start]]*365.25/12</f>
        <v/>
      </c>
      <c r="Q501">
        <f>_xlfn.XLOOKUP(tbl_MTG_Set[[#This Row],[Type Name]], tbl_MTG_Set_Type[Set Type], tbl_MTG_Set_Type[Heavy Printing Window Month End], "(Set Type not found)", 0, 1)</f>
        <v/>
      </c>
      <c r="R501" s="3">
        <f>tbl_MTG_Set[[#This Row],[Released On]]+tbl_MTG_Set[[#This Row],[Heavy Printing Window Month End]]*365.25/12</f>
        <v/>
      </c>
      <c r="S501" s="3">
        <f>AND(NOW()&gt;=tbl_MTG_Set[[#This Row],[Heavy Printing Window Start]], NOW()&lt;=tbl_MTG_Set[[#This Row],[Heavy Printing Window End]])</f>
        <v/>
      </c>
      <c r="T501">
        <f>_xlfn.XLOOKUP(tbl_MTG_Set[[#This Row],[Type Name]], tbl_MTG_Set_Type[Set Type], tbl_MTG_Set_Type[Sell Window Month Start], "(Set Type not found)", 0, 1)</f>
        <v/>
      </c>
      <c r="U501" s="3">
        <f>tbl_MTG_Set[[#This Row],[Released On]]+tbl_MTG_Set[[#This Row],[Sell Window Month Start]]*365.25/12</f>
        <v/>
      </c>
      <c r="V501">
        <f>_xlfn.XLOOKUP(tbl_MTG_Set[[#This Row],[Type Name]], tbl_MTG_Set_Type[Set Type], tbl_MTG_Set_Type[Sell Window Month End], "(Set Type not found)", 0, 1)</f>
        <v/>
      </c>
      <c r="W501" s="3">
        <f>tbl_MTG_Set[[#This Row],[Released On]]+tbl_MTG_Set[[#This Row],[Sell Window Month End]]*365.25/12</f>
        <v/>
      </c>
      <c r="X501" s="3">
        <f>AND(NOW()&gt;=tbl_MTG_Set[[#This Row],[Sell Window Start]], NOW()&lt;=tbl_MTG_Set[[#This Row],[Sell Window End]])</f>
        <v/>
      </c>
      <c r="AG501" s="10" t="n"/>
      <c r="AH501" s="10" t="n"/>
      <c r="AM501" s="10">
        <f t="array" ref="AM5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1" s="10">
        <f t="array" ref="AN5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1" s="4">
        <f>_xlfn.XLOOKUP(tbl_MTG_Set[[#This Row],[Play Booster Box Product Id]], tbl_Product[Product Id], tbl_Product[Pack Size])</f>
        <v/>
      </c>
      <c r="AP501" s="10">
        <f>(tbl_MTG_Set[[#This Row],[Play Booster Box Cost]]+v_Item_Shipping_Cost_In)/tbl_MTG_Set[[#This Row],[Play Booster Box Size]]</f>
        <v/>
      </c>
      <c r="AQ501" s="10">
        <f t="array" ref="AQ5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1" s="10" t="n"/>
      <c r="AS501" s="10" t="n"/>
      <c r="AT501" s="17">
        <f>tbl_MTG_Set[[#This Row],[Play Booster CardMarket Profit]]/tbl_MTG_Set[[#This Row],[Play Booster Cost]]</f>
        <v/>
      </c>
      <c r="AU501" s="10">
        <f>_xlfn.XLOOKUP(tbl_MTG_Set[[#This Row],[Collector Booster Box Product Id]], tbl_Product[Product Id], tbl_Product[Min Cost])</f>
        <v/>
      </c>
      <c r="AV501" s="10">
        <f>_xlfn.XLOOKUP(tbl_MTG_Set[[#This Row],[Collector Booster Box Product Id]], tbl_Product[Product Id], tbl_Product[Best Source])</f>
        <v/>
      </c>
      <c r="AW501" s="4">
        <f>_xlfn.XLOOKUP(tbl_MTG_Set[[#This Row],[Collector Booster Box Product Id]], tbl_Product[Product Id], tbl_Product[Pack Size])</f>
        <v/>
      </c>
      <c r="AX501" s="10">
        <f>(tbl_MTG_Set[[#This Row],[Collector Booster Box Cost]] + v_Item_Shipping_Cost_In) / tbl_MTG_Set[[#This Row],[Collector Booster Box Size]]</f>
        <v/>
      </c>
      <c r="AY501" s="10">
        <f t="array" ref="AY5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1" s="10" t="n"/>
      <c r="BA5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1" s="17">
        <f>tbl_MTG_Set[[#This Row],[Collector Booster CardMarket Profit]]/tbl_MTG_Set[[#This Row],[Collector Booster Cost]]</f>
        <v/>
      </c>
      <c r="BC501" s="10" t="n"/>
      <c r="BF501" s="10">
        <f>tbl_MTG_Set[[#This Row],[Play Booster Sell Price CardMarket]]*tbl_MTG_Set[[#This Row],[Play Booster Expected Market Value]]/tbl_MTG_Set[[#This Row],[Play Boost Sealed Market Value]]</f>
        <v/>
      </c>
      <c r="BG5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1" s="10">
        <f>tbl_MTG_Set[[#This Row],[Play Singles CardMarket Profit]]/tbl_MTG_Set[[#This Row],[Play Booster Cost]]</f>
        <v/>
      </c>
      <c r="BI501" s="10">
        <f>tbl_MTG_Set[[#This Row],[Play Singles CardMarket Profit]]&gt;0</f>
        <v/>
      </c>
      <c r="BJ501" s="10" t="n"/>
      <c r="BK501" s="10" t="n"/>
      <c r="BL501" s="10">
        <f>tbl_MTG_Set[[#This Row],[Collector Booster Sell Price CardMarket]]*tbl_MTG_Set[[#This Row],[Collector Booster Expected Market Value]]/tbl_MTG_Set[[#This Row],[Collector Boost Sealed Market Value]]</f>
        <v/>
      </c>
      <c r="BM5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1" s="10">
        <f>tbl_MTG_Set[[#This Row],[Collector Singles CardMarket Profit]]/tbl_MTG_Set[[#This Row],[Collector Booster Cost]]</f>
        <v/>
      </c>
      <c r="BO501" s="10">
        <f>tbl_MTG_Set[[#This Row],[Collector Singles CardMarket Profit]]&gt;0</f>
        <v/>
      </c>
      <c r="BP5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2">
      <c r="A502" t="n">
        <v>500</v>
      </c>
      <c r="B502" t="inlineStr">
        <is>
          <t>Rivals of Ixalan Tokens TRIX</t>
        </is>
      </c>
      <c r="C502" t="n">
        <v>7</v>
      </c>
      <c r="D502" s="3" t="n">
        <v>43119</v>
      </c>
      <c r="E502" t="inlineStr">
        <is>
          <t>Standard Expansion</t>
        </is>
      </c>
      <c r="F502" t="inlineStr">
        <is>
          <t>en es fr de it pt ja ko ru 汉语 漢語</t>
        </is>
      </c>
      <c r="G502" t="n">
        <v>946</v>
      </c>
      <c r="H502">
        <f>MONTH(NOW())+12*YEAR(NOW())-MONTH(tbl_MTG_Set[[#This Row],[Released On]])-12*YEAR(tbl_MTG_Set[[#This Row],[Released On]])</f>
        <v/>
      </c>
      <c r="I502">
        <f>_xlfn.XLOOKUP(tbl_MTG_Set[[#This Row],[Type Name]], tbl_MTG_Set_Type[Set Type], tbl_MTG_Set_Type[Index], "(Set Type not found)")</f>
        <v/>
      </c>
      <c r="J502">
        <f>_xlfn.XLOOKUP(tbl_MTG_Set[[#This Row],[Type Name]], tbl_MTG_Set_Type[Set Type], tbl_MTG_Set_Type[Buy Window Month Start], "(Set Type not found)")</f>
        <v/>
      </c>
      <c r="K502" s="3">
        <f>tbl_MTG_Set[[#This Row],[Released On]]+tbl_MTG_Set[[#This Row],[Buy Window Month Start]]*365.25/12</f>
        <v/>
      </c>
      <c r="L502">
        <f>_xlfn.XLOOKUP(tbl_MTG_Set[[#This Row],[Type Name]], tbl_MTG_Set_Type[Set Type], tbl_MTG_Set_Type[Buy Window Month End], "(Set Type not found)", 0, 1)</f>
        <v/>
      </c>
      <c r="M502" s="3">
        <f>tbl_MTG_Set[[#This Row],[Released On]]+tbl_MTG_Set[[#This Row],[Buy Window Month End]]*365.25/12</f>
        <v/>
      </c>
      <c r="N502" s="3">
        <f>AND(NOW()&gt;=tbl_MTG_Set[[#This Row],[Buy Window Start]], NOW()&lt;=tbl_MTG_Set[[#This Row],[Buy Window End]])</f>
        <v/>
      </c>
      <c r="O502">
        <f>_xlfn.XLOOKUP(tbl_MTG_Set[[#This Row],[Type Name]], tbl_MTG_Set_Type[Set Type], tbl_MTG_Set_Type[Heavy Printing Window Month Start], "(Set Type not found)", 0, 1)</f>
        <v/>
      </c>
      <c r="P502" s="3">
        <f>tbl_MTG_Set[[#This Row],[Released On]]+tbl_MTG_Set[[#This Row],[Heavy Printing Window Month Start]]*365.25/12</f>
        <v/>
      </c>
      <c r="Q502">
        <f>_xlfn.XLOOKUP(tbl_MTG_Set[[#This Row],[Type Name]], tbl_MTG_Set_Type[Set Type], tbl_MTG_Set_Type[Heavy Printing Window Month End], "(Set Type not found)", 0, 1)</f>
        <v/>
      </c>
      <c r="R502" s="3">
        <f>tbl_MTG_Set[[#This Row],[Released On]]+tbl_MTG_Set[[#This Row],[Heavy Printing Window Month End]]*365.25/12</f>
        <v/>
      </c>
      <c r="S502" s="3">
        <f>AND(NOW()&gt;=tbl_MTG_Set[[#This Row],[Heavy Printing Window Start]], NOW()&lt;=tbl_MTG_Set[[#This Row],[Heavy Printing Window End]])</f>
        <v/>
      </c>
      <c r="T502">
        <f>_xlfn.XLOOKUP(tbl_MTG_Set[[#This Row],[Type Name]], tbl_MTG_Set_Type[Set Type], tbl_MTG_Set_Type[Sell Window Month Start], "(Set Type not found)", 0, 1)</f>
        <v/>
      </c>
      <c r="U502" s="3">
        <f>tbl_MTG_Set[[#This Row],[Released On]]+tbl_MTG_Set[[#This Row],[Sell Window Month Start]]*365.25/12</f>
        <v/>
      </c>
      <c r="V502">
        <f>_xlfn.XLOOKUP(tbl_MTG_Set[[#This Row],[Type Name]], tbl_MTG_Set_Type[Set Type], tbl_MTG_Set_Type[Sell Window Month End], "(Set Type not found)", 0, 1)</f>
        <v/>
      </c>
      <c r="W502" s="3">
        <f>tbl_MTG_Set[[#This Row],[Released On]]+tbl_MTG_Set[[#This Row],[Sell Window Month End]]*365.25/12</f>
        <v/>
      </c>
      <c r="X502" s="3">
        <f>AND(NOW()&gt;=tbl_MTG_Set[[#This Row],[Sell Window Start]], NOW()&lt;=tbl_MTG_Set[[#This Row],[Sell Window End]])</f>
        <v/>
      </c>
      <c r="AG502" s="10" t="n"/>
      <c r="AH502" s="10" t="n"/>
      <c r="AM502" s="10">
        <f t="array" ref="AM5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2" s="10">
        <f t="array" ref="AN5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2" s="4">
        <f>_xlfn.XLOOKUP(tbl_MTG_Set[[#This Row],[Play Booster Box Product Id]], tbl_Product[Product Id], tbl_Product[Pack Size])</f>
        <v/>
      </c>
      <c r="AP502" s="10">
        <f>(tbl_MTG_Set[[#This Row],[Play Booster Box Cost]]+v_Item_Shipping_Cost_In)/tbl_MTG_Set[[#This Row],[Play Booster Box Size]]</f>
        <v/>
      </c>
      <c r="AQ502" s="10">
        <f t="array" ref="AQ5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2" s="10" t="n"/>
      <c r="AS502" s="10" t="n"/>
      <c r="AT502" s="17">
        <f>tbl_MTG_Set[[#This Row],[Play Booster CardMarket Profit]]/tbl_MTG_Set[[#This Row],[Play Booster Cost]]</f>
        <v/>
      </c>
      <c r="AU502" s="10">
        <f>_xlfn.XLOOKUP(tbl_MTG_Set[[#This Row],[Collector Booster Box Product Id]], tbl_Product[Product Id], tbl_Product[Min Cost])</f>
        <v/>
      </c>
      <c r="AV502" s="10">
        <f>_xlfn.XLOOKUP(tbl_MTG_Set[[#This Row],[Collector Booster Box Product Id]], tbl_Product[Product Id], tbl_Product[Best Source])</f>
        <v/>
      </c>
      <c r="AW502" s="4">
        <f>_xlfn.XLOOKUP(tbl_MTG_Set[[#This Row],[Collector Booster Box Product Id]], tbl_Product[Product Id], tbl_Product[Pack Size])</f>
        <v/>
      </c>
      <c r="AX502" s="10">
        <f>(tbl_MTG_Set[[#This Row],[Collector Booster Box Cost]] + v_Item_Shipping_Cost_In) / tbl_MTG_Set[[#This Row],[Collector Booster Box Size]]</f>
        <v/>
      </c>
      <c r="AY502" s="10">
        <f t="array" ref="AY5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2" s="10" t="n"/>
      <c r="BA5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2" s="17">
        <f>tbl_MTG_Set[[#This Row],[Collector Booster CardMarket Profit]]/tbl_MTG_Set[[#This Row],[Collector Booster Cost]]</f>
        <v/>
      </c>
      <c r="BC502" s="10" t="n"/>
      <c r="BF502" s="10">
        <f>tbl_MTG_Set[[#This Row],[Play Booster Sell Price CardMarket]]*tbl_MTG_Set[[#This Row],[Play Booster Expected Market Value]]/tbl_MTG_Set[[#This Row],[Play Boost Sealed Market Value]]</f>
        <v/>
      </c>
      <c r="BG5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2" s="10">
        <f>tbl_MTG_Set[[#This Row],[Play Singles CardMarket Profit]]/tbl_MTG_Set[[#This Row],[Play Booster Cost]]</f>
        <v/>
      </c>
      <c r="BI502" s="10">
        <f>tbl_MTG_Set[[#This Row],[Play Singles CardMarket Profit]]&gt;0</f>
        <v/>
      </c>
      <c r="BJ502" s="10" t="n"/>
      <c r="BK502" s="10" t="n"/>
      <c r="BL502" s="10">
        <f>tbl_MTG_Set[[#This Row],[Collector Booster Sell Price CardMarket]]*tbl_MTG_Set[[#This Row],[Collector Booster Expected Market Value]]/tbl_MTG_Set[[#This Row],[Collector Boost Sealed Market Value]]</f>
        <v/>
      </c>
      <c r="BM5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2" s="10">
        <f>tbl_MTG_Set[[#This Row],[Collector Singles CardMarket Profit]]/tbl_MTG_Set[[#This Row],[Collector Booster Cost]]</f>
        <v/>
      </c>
      <c r="BO502" s="10">
        <f>tbl_MTG_Set[[#This Row],[Collector Singles CardMarket Profit]]&gt;0</f>
        <v/>
      </c>
      <c r="BP5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3">
      <c r="A503" t="n">
        <v>501</v>
      </c>
      <c r="B503" t="inlineStr">
        <is>
          <t>Judge Gift Cards 2018 J18</t>
        </is>
      </c>
      <c r="C503" t="n">
        <v>8</v>
      </c>
      <c r="D503" s="3" t="n">
        <v>43101</v>
      </c>
      <c r="F503" t="inlineStr">
        <is>
          <t>en es fr de it pt ja ko ru 汉语 漢語</t>
        </is>
      </c>
      <c r="G503" t="n">
        <v>948</v>
      </c>
      <c r="H503">
        <f>MONTH(NOW())+12*YEAR(NOW())-MONTH(tbl_MTG_Set[[#This Row],[Released On]])-12*YEAR(tbl_MTG_Set[[#This Row],[Released On]])</f>
        <v/>
      </c>
      <c r="I503">
        <f>_xlfn.XLOOKUP(tbl_MTG_Set[[#This Row],[Type Name]], tbl_MTG_Set_Type[Set Type], tbl_MTG_Set_Type[Index], "(Set Type not found)")</f>
        <v/>
      </c>
      <c r="J503">
        <f>_xlfn.XLOOKUP(tbl_MTG_Set[[#This Row],[Type Name]], tbl_MTG_Set_Type[Set Type], tbl_MTG_Set_Type[Buy Window Month Start], "(Set Type not found)")</f>
        <v/>
      </c>
      <c r="K503" s="3">
        <f>tbl_MTG_Set[[#This Row],[Released On]]+tbl_MTG_Set[[#This Row],[Buy Window Month Start]]*365.25/12</f>
        <v/>
      </c>
      <c r="L503">
        <f>_xlfn.XLOOKUP(tbl_MTG_Set[[#This Row],[Type Name]], tbl_MTG_Set_Type[Set Type], tbl_MTG_Set_Type[Buy Window Month End], "(Set Type not found)", 0, 1)</f>
        <v/>
      </c>
      <c r="M503" s="3">
        <f>tbl_MTG_Set[[#This Row],[Released On]]+tbl_MTG_Set[[#This Row],[Buy Window Month End]]*365.25/12</f>
        <v/>
      </c>
      <c r="N503" s="3">
        <f>AND(NOW()&gt;=tbl_MTG_Set[[#This Row],[Buy Window Start]], NOW()&lt;=tbl_MTG_Set[[#This Row],[Buy Window End]])</f>
        <v/>
      </c>
      <c r="O503">
        <f>_xlfn.XLOOKUP(tbl_MTG_Set[[#This Row],[Type Name]], tbl_MTG_Set_Type[Set Type], tbl_MTG_Set_Type[Heavy Printing Window Month Start], "(Set Type not found)", 0, 1)</f>
        <v/>
      </c>
      <c r="P503" s="3">
        <f>tbl_MTG_Set[[#This Row],[Released On]]+tbl_MTG_Set[[#This Row],[Heavy Printing Window Month Start]]*365.25/12</f>
        <v/>
      </c>
      <c r="Q503">
        <f>_xlfn.XLOOKUP(tbl_MTG_Set[[#This Row],[Type Name]], tbl_MTG_Set_Type[Set Type], tbl_MTG_Set_Type[Heavy Printing Window Month End], "(Set Type not found)", 0, 1)</f>
        <v/>
      </c>
      <c r="R503" s="3">
        <f>tbl_MTG_Set[[#This Row],[Released On]]+tbl_MTG_Set[[#This Row],[Heavy Printing Window Month End]]*365.25/12</f>
        <v/>
      </c>
      <c r="S503" s="3">
        <f>AND(NOW()&gt;=tbl_MTG_Set[[#This Row],[Heavy Printing Window Start]], NOW()&lt;=tbl_MTG_Set[[#This Row],[Heavy Printing Window End]])</f>
        <v/>
      </c>
      <c r="T503">
        <f>_xlfn.XLOOKUP(tbl_MTG_Set[[#This Row],[Type Name]], tbl_MTG_Set_Type[Set Type], tbl_MTG_Set_Type[Sell Window Month Start], "(Set Type not found)", 0, 1)</f>
        <v/>
      </c>
      <c r="U503" s="3">
        <f>tbl_MTG_Set[[#This Row],[Released On]]+tbl_MTG_Set[[#This Row],[Sell Window Month Start]]*365.25/12</f>
        <v/>
      </c>
      <c r="V503">
        <f>_xlfn.XLOOKUP(tbl_MTG_Set[[#This Row],[Type Name]], tbl_MTG_Set_Type[Set Type], tbl_MTG_Set_Type[Sell Window Month End], "(Set Type not found)", 0, 1)</f>
        <v/>
      </c>
      <c r="W503" s="3">
        <f>tbl_MTG_Set[[#This Row],[Released On]]+tbl_MTG_Set[[#This Row],[Sell Window Month End]]*365.25/12</f>
        <v/>
      </c>
      <c r="X503" s="3">
        <f>AND(NOW()&gt;=tbl_MTG_Set[[#This Row],[Sell Window Start]], NOW()&lt;=tbl_MTG_Set[[#This Row],[Sell Window End]])</f>
        <v/>
      </c>
      <c r="AG503" s="10" t="n"/>
      <c r="AH503" s="10" t="n"/>
      <c r="AM503" s="10">
        <f t="array" ref="AM5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3" s="10">
        <f t="array" ref="AN5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3" s="4">
        <f>_xlfn.XLOOKUP(tbl_MTG_Set[[#This Row],[Play Booster Box Product Id]], tbl_Product[Product Id], tbl_Product[Pack Size])</f>
        <v/>
      </c>
      <c r="AP503" s="10">
        <f>(tbl_MTG_Set[[#This Row],[Play Booster Box Cost]]+v_Item_Shipping_Cost_In)/tbl_MTG_Set[[#This Row],[Play Booster Box Size]]</f>
        <v/>
      </c>
      <c r="AQ503" s="10">
        <f t="array" ref="AQ5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3" s="10" t="n"/>
      <c r="AS503" s="10" t="n"/>
      <c r="AT503" s="17">
        <f>tbl_MTG_Set[[#This Row],[Play Booster CardMarket Profit]]/tbl_MTG_Set[[#This Row],[Play Booster Cost]]</f>
        <v/>
      </c>
      <c r="AU503" s="10">
        <f>_xlfn.XLOOKUP(tbl_MTG_Set[[#This Row],[Collector Booster Box Product Id]], tbl_Product[Product Id], tbl_Product[Min Cost])</f>
        <v/>
      </c>
      <c r="AV503" s="10">
        <f>_xlfn.XLOOKUP(tbl_MTG_Set[[#This Row],[Collector Booster Box Product Id]], tbl_Product[Product Id], tbl_Product[Best Source])</f>
        <v/>
      </c>
      <c r="AW503" s="4">
        <f>_xlfn.XLOOKUP(tbl_MTG_Set[[#This Row],[Collector Booster Box Product Id]], tbl_Product[Product Id], tbl_Product[Pack Size])</f>
        <v/>
      </c>
      <c r="AX503" s="10">
        <f>(tbl_MTG_Set[[#This Row],[Collector Booster Box Cost]] + v_Item_Shipping_Cost_In) / tbl_MTG_Set[[#This Row],[Collector Booster Box Size]]</f>
        <v/>
      </c>
      <c r="AY503" s="10">
        <f t="array" ref="AY5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3" s="10" t="n"/>
      <c r="BA5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3" s="17">
        <f>tbl_MTG_Set[[#This Row],[Collector Booster CardMarket Profit]]/tbl_MTG_Set[[#This Row],[Collector Booster Cost]]</f>
        <v/>
      </c>
      <c r="BC503" s="10" t="n"/>
      <c r="BF503" s="10">
        <f>tbl_MTG_Set[[#This Row],[Play Booster Sell Price CardMarket]]*tbl_MTG_Set[[#This Row],[Play Booster Expected Market Value]]/tbl_MTG_Set[[#This Row],[Play Boost Sealed Market Value]]</f>
        <v/>
      </c>
      <c r="BG5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3" s="10">
        <f>tbl_MTG_Set[[#This Row],[Play Singles CardMarket Profit]]/tbl_MTG_Set[[#This Row],[Play Booster Cost]]</f>
        <v/>
      </c>
      <c r="BI503" s="10">
        <f>tbl_MTG_Set[[#This Row],[Play Singles CardMarket Profit]]&gt;0</f>
        <v/>
      </c>
      <c r="BJ503" s="10" t="n"/>
      <c r="BK503" s="10" t="n"/>
      <c r="BL503" s="10">
        <f>tbl_MTG_Set[[#This Row],[Collector Booster Sell Price CardMarket]]*tbl_MTG_Set[[#This Row],[Collector Booster Expected Market Value]]/tbl_MTG_Set[[#This Row],[Collector Boost Sealed Market Value]]</f>
        <v/>
      </c>
      <c r="BM5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3" s="10">
        <f>tbl_MTG_Set[[#This Row],[Collector Singles CardMarket Profit]]/tbl_MTG_Set[[#This Row],[Collector Booster Cost]]</f>
        <v/>
      </c>
      <c r="BO503" s="10">
        <f>tbl_MTG_Set[[#This Row],[Collector Singles CardMarket Profit]]&gt;0</f>
        <v/>
      </c>
      <c r="BP5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4">
      <c r="A504" t="n">
        <v>502</v>
      </c>
      <c r="B504" t="inlineStr">
        <is>
          <t>Friday Night Magic 2018 F18</t>
        </is>
      </c>
      <c r="C504" t="n">
        <v>3</v>
      </c>
      <c r="D504" s="3" t="n">
        <v>43096</v>
      </c>
      <c r="F504" t="inlineStr">
        <is>
          <t>en es fr de it pt ja ko ru 汉语 漢語</t>
        </is>
      </c>
      <c r="G504" t="n">
        <v>950</v>
      </c>
      <c r="H504">
        <f>MONTH(NOW())+12*YEAR(NOW())-MONTH(tbl_MTG_Set[[#This Row],[Released On]])-12*YEAR(tbl_MTG_Set[[#This Row],[Released On]])</f>
        <v/>
      </c>
      <c r="I504">
        <f>_xlfn.XLOOKUP(tbl_MTG_Set[[#This Row],[Type Name]], tbl_MTG_Set_Type[Set Type], tbl_MTG_Set_Type[Index], "(Set Type not found)")</f>
        <v/>
      </c>
      <c r="J504">
        <f>_xlfn.XLOOKUP(tbl_MTG_Set[[#This Row],[Type Name]], tbl_MTG_Set_Type[Set Type], tbl_MTG_Set_Type[Buy Window Month Start], "(Set Type not found)")</f>
        <v/>
      </c>
      <c r="K504" s="3">
        <f>tbl_MTG_Set[[#This Row],[Released On]]+tbl_MTG_Set[[#This Row],[Buy Window Month Start]]*365.25/12</f>
        <v/>
      </c>
      <c r="L504">
        <f>_xlfn.XLOOKUP(tbl_MTG_Set[[#This Row],[Type Name]], tbl_MTG_Set_Type[Set Type], tbl_MTG_Set_Type[Buy Window Month End], "(Set Type not found)", 0, 1)</f>
        <v/>
      </c>
      <c r="M504" s="3">
        <f>tbl_MTG_Set[[#This Row],[Released On]]+tbl_MTG_Set[[#This Row],[Buy Window Month End]]*365.25/12</f>
        <v/>
      </c>
      <c r="N504" s="3">
        <f>AND(NOW()&gt;=tbl_MTG_Set[[#This Row],[Buy Window Start]], NOW()&lt;=tbl_MTG_Set[[#This Row],[Buy Window End]])</f>
        <v/>
      </c>
      <c r="O504">
        <f>_xlfn.XLOOKUP(tbl_MTG_Set[[#This Row],[Type Name]], tbl_MTG_Set_Type[Set Type], tbl_MTG_Set_Type[Heavy Printing Window Month Start], "(Set Type not found)", 0, 1)</f>
        <v/>
      </c>
      <c r="P504" s="3">
        <f>tbl_MTG_Set[[#This Row],[Released On]]+tbl_MTG_Set[[#This Row],[Heavy Printing Window Month Start]]*365.25/12</f>
        <v/>
      </c>
      <c r="Q504">
        <f>_xlfn.XLOOKUP(tbl_MTG_Set[[#This Row],[Type Name]], tbl_MTG_Set_Type[Set Type], tbl_MTG_Set_Type[Heavy Printing Window Month End], "(Set Type not found)", 0, 1)</f>
        <v/>
      </c>
      <c r="R504" s="3">
        <f>tbl_MTG_Set[[#This Row],[Released On]]+tbl_MTG_Set[[#This Row],[Heavy Printing Window Month End]]*365.25/12</f>
        <v/>
      </c>
      <c r="S504" s="3">
        <f>AND(NOW()&gt;=tbl_MTG_Set[[#This Row],[Heavy Printing Window Start]], NOW()&lt;=tbl_MTG_Set[[#This Row],[Heavy Printing Window End]])</f>
        <v/>
      </c>
      <c r="T504">
        <f>_xlfn.XLOOKUP(tbl_MTG_Set[[#This Row],[Type Name]], tbl_MTG_Set_Type[Set Type], tbl_MTG_Set_Type[Sell Window Month Start], "(Set Type not found)", 0, 1)</f>
        <v/>
      </c>
      <c r="U504" s="3">
        <f>tbl_MTG_Set[[#This Row],[Released On]]+tbl_MTG_Set[[#This Row],[Sell Window Month Start]]*365.25/12</f>
        <v/>
      </c>
      <c r="V504">
        <f>_xlfn.XLOOKUP(tbl_MTG_Set[[#This Row],[Type Name]], tbl_MTG_Set_Type[Set Type], tbl_MTG_Set_Type[Sell Window Month End], "(Set Type not found)", 0, 1)</f>
        <v/>
      </c>
      <c r="W504" s="3">
        <f>tbl_MTG_Set[[#This Row],[Released On]]+tbl_MTG_Set[[#This Row],[Sell Window Month End]]*365.25/12</f>
        <v/>
      </c>
      <c r="X504" s="3">
        <f>AND(NOW()&gt;=tbl_MTG_Set[[#This Row],[Sell Window Start]], NOW()&lt;=tbl_MTG_Set[[#This Row],[Sell Window End]])</f>
        <v/>
      </c>
      <c r="AG504" s="10" t="n"/>
      <c r="AH504" s="10" t="n"/>
      <c r="AM504" s="10">
        <f t="array" ref="AM5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4" s="10">
        <f t="array" ref="AN5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4" s="4">
        <f>_xlfn.XLOOKUP(tbl_MTG_Set[[#This Row],[Play Booster Box Product Id]], tbl_Product[Product Id], tbl_Product[Pack Size])</f>
        <v/>
      </c>
      <c r="AP504" s="10">
        <f>(tbl_MTG_Set[[#This Row],[Play Booster Box Cost]]+v_Item_Shipping_Cost_In)/tbl_MTG_Set[[#This Row],[Play Booster Box Size]]</f>
        <v/>
      </c>
      <c r="AQ504" s="10">
        <f t="array" ref="AQ5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4" s="10" t="n"/>
      <c r="AS504" s="10" t="n"/>
      <c r="AT504" s="17">
        <f>tbl_MTG_Set[[#This Row],[Play Booster CardMarket Profit]]/tbl_MTG_Set[[#This Row],[Play Booster Cost]]</f>
        <v/>
      </c>
      <c r="AU504" s="10">
        <f>_xlfn.XLOOKUP(tbl_MTG_Set[[#This Row],[Collector Booster Box Product Id]], tbl_Product[Product Id], tbl_Product[Min Cost])</f>
        <v/>
      </c>
      <c r="AV504" s="10">
        <f>_xlfn.XLOOKUP(tbl_MTG_Set[[#This Row],[Collector Booster Box Product Id]], tbl_Product[Product Id], tbl_Product[Best Source])</f>
        <v/>
      </c>
      <c r="AW504" s="4">
        <f>_xlfn.XLOOKUP(tbl_MTG_Set[[#This Row],[Collector Booster Box Product Id]], tbl_Product[Product Id], tbl_Product[Pack Size])</f>
        <v/>
      </c>
      <c r="AX504" s="10">
        <f>(tbl_MTG_Set[[#This Row],[Collector Booster Box Cost]] + v_Item_Shipping_Cost_In) / tbl_MTG_Set[[#This Row],[Collector Booster Box Size]]</f>
        <v/>
      </c>
      <c r="AY504" s="10">
        <f t="array" ref="AY5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4" s="10" t="n"/>
      <c r="BA5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4" s="17">
        <f>tbl_MTG_Set[[#This Row],[Collector Booster CardMarket Profit]]/tbl_MTG_Set[[#This Row],[Collector Booster Cost]]</f>
        <v/>
      </c>
      <c r="BC504" s="10" t="n"/>
      <c r="BF504" s="10">
        <f>tbl_MTG_Set[[#This Row],[Play Booster Sell Price CardMarket]]*tbl_MTG_Set[[#This Row],[Play Booster Expected Market Value]]/tbl_MTG_Set[[#This Row],[Play Boost Sealed Market Value]]</f>
        <v/>
      </c>
      <c r="BG5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4" s="10">
        <f>tbl_MTG_Set[[#This Row],[Play Singles CardMarket Profit]]/tbl_MTG_Set[[#This Row],[Play Booster Cost]]</f>
        <v/>
      </c>
      <c r="BI504" s="10">
        <f>tbl_MTG_Set[[#This Row],[Play Singles CardMarket Profit]]&gt;0</f>
        <v/>
      </c>
      <c r="BJ504" s="10" t="n"/>
      <c r="BK504" s="10" t="n"/>
      <c r="BL504" s="10">
        <f>tbl_MTG_Set[[#This Row],[Collector Booster Sell Price CardMarket]]*tbl_MTG_Set[[#This Row],[Collector Booster Expected Market Value]]/tbl_MTG_Set[[#This Row],[Collector Boost Sealed Market Value]]</f>
        <v/>
      </c>
      <c r="BM5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4" s="10">
        <f>tbl_MTG_Set[[#This Row],[Collector Singles CardMarket Profit]]/tbl_MTG_Set[[#This Row],[Collector Booster Cost]]</f>
        <v/>
      </c>
      <c r="BO504" s="10">
        <f>tbl_MTG_Set[[#This Row],[Collector Singles CardMarket Profit]]&gt;0</f>
        <v/>
      </c>
      <c r="BP5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5">
      <c r="A505" t="n">
        <v>503</v>
      </c>
      <c r="B505" t="inlineStr">
        <is>
          <t>Unstable UST</t>
        </is>
      </c>
      <c r="C505" t="n">
        <v>268</v>
      </c>
      <c r="D505" s="3" t="n">
        <v>43077</v>
      </c>
      <c r="F505" t="inlineStr">
        <is>
          <t>en es fr de it pt ja ko ru 汉语 漢語</t>
        </is>
      </c>
      <c r="G505" t="n">
        <v>952</v>
      </c>
      <c r="H505">
        <f>MONTH(NOW())+12*YEAR(NOW())-MONTH(tbl_MTG_Set[[#This Row],[Released On]])-12*YEAR(tbl_MTG_Set[[#This Row],[Released On]])</f>
        <v/>
      </c>
      <c r="I505">
        <f>_xlfn.XLOOKUP(tbl_MTG_Set[[#This Row],[Type Name]], tbl_MTG_Set_Type[Set Type], tbl_MTG_Set_Type[Index], "(Set Type not found)")</f>
        <v/>
      </c>
      <c r="J505">
        <f>_xlfn.XLOOKUP(tbl_MTG_Set[[#This Row],[Type Name]], tbl_MTG_Set_Type[Set Type], tbl_MTG_Set_Type[Buy Window Month Start], "(Set Type not found)")</f>
        <v/>
      </c>
      <c r="K505" s="3">
        <f>tbl_MTG_Set[[#This Row],[Released On]]+tbl_MTG_Set[[#This Row],[Buy Window Month Start]]*365.25/12</f>
        <v/>
      </c>
      <c r="L505">
        <f>_xlfn.XLOOKUP(tbl_MTG_Set[[#This Row],[Type Name]], tbl_MTG_Set_Type[Set Type], tbl_MTG_Set_Type[Buy Window Month End], "(Set Type not found)", 0, 1)</f>
        <v/>
      </c>
      <c r="M505" s="3">
        <f>tbl_MTG_Set[[#This Row],[Released On]]+tbl_MTG_Set[[#This Row],[Buy Window Month End]]*365.25/12</f>
        <v/>
      </c>
      <c r="N505" s="3">
        <f>AND(NOW()&gt;=tbl_MTG_Set[[#This Row],[Buy Window Start]], NOW()&lt;=tbl_MTG_Set[[#This Row],[Buy Window End]])</f>
        <v/>
      </c>
      <c r="O505">
        <f>_xlfn.XLOOKUP(tbl_MTG_Set[[#This Row],[Type Name]], tbl_MTG_Set_Type[Set Type], tbl_MTG_Set_Type[Heavy Printing Window Month Start], "(Set Type not found)", 0, 1)</f>
        <v/>
      </c>
      <c r="P505" s="3">
        <f>tbl_MTG_Set[[#This Row],[Released On]]+tbl_MTG_Set[[#This Row],[Heavy Printing Window Month Start]]*365.25/12</f>
        <v/>
      </c>
      <c r="Q505">
        <f>_xlfn.XLOOKUP(tbl_MTG_Set[[#This Row],[Type Name]], tbl_MTG_Set_Type[Set Type], tbl_MTG_Set_Type[Heavy Printing Window Month End], "(Set Type not found)", 0, 1)</f>
        <v/>
      </c>
      <c r="R505" s="3">
        <f>tbl_MTG_Set[[#This Row],[Released On]]+tbl_MTG_Set[[#This Row],[Heavy Printing Window Month End]]*365.25/12</f>
        <v/>
      </c>
      <c r="S505" s="3">
        <f>AND(NOW()&gt;=tbl_MTG_Set[[#This Row],[Heavy Printing Window Start]], NOW()&lt;=tbl_MTG_Set[[#This Row],[Heavy Printing Window End]])</f>
        <v/>
      </c>
      <c r="T505">
        <f>_xlfn.XLOOKUP(tbl_MTG_Set[[#This Row],[Type Name]], tbl_MTG_Set_Type[Set Type], tbl_MTG_Set_Type[Sell Window Month Start], "(Set Type not found)", 0, 1)</f>
        <v/>
      </c>
      <c r="U505" s="3">
        <f>tbl_MTG_Set[[#This Row],[Released On]]+tbl_MTG_Set[[#This Row],[Sell Window Month Start]]*365.25/12</f>
        <v/>
      </c>
      <c r="V505">
        <f>_xlfn.XLOOKUP(tbl_MTG_Set[[#This Row],[Type Name]], tbl_MTG_Set_Type[Set Type], tbl_MTG_Set_Type[Sell Window Month End], "(Set Type not found)", 0, 1)</f>
        <v/>
      </c>
      <c r="W505" s="3">
        <f>tbl_MTG_Set[[#This Row],[Released On]]+tbl_MTG_Set[[#This Row],[Sell Window Month End]]*365.25/12</f>
        <v/>
      </c>
      <c r="X505" s="3">
        <f>AND(NOW()&gt;=tbl_MTG_Set[[#This Row],[Sell Window Start]], NOW()&lt;=tbl_MTG_Set[[#This Row],[Sell Window End]])</f>
        <v/>
      </c>
      <c r="AG505" s="10" t="n"/>
      <c r="AH505" s="10" t="n"/>
      <c r="AM505" s="10">
        <f t="array" ref="AM5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5" s="10">
        <f t="array" ref="AN5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5" s="4">
        <f>_xlfn.XLOOKUP(tbl_MTG_Set[[#This Row],[Play Booster Box Product Id]], tbl_Product[Product Id], tbl_Product[Pack Size])</f>
        <v/>
      </c>
      <c r="AP505" s="10">
        <f>(tbl_MTG_Set[[#This Row],[Play Booster Box Cost]]+v_Item_Shipping_Cost_In)/tbl_MTG_Set[[#This Row],[Play Booster Box Size]]</f>
        <v/>
      </c>
      <c r="AQ505" s="10">
        <f t="array" ref="AQ5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5" s="10" t="n"/>
      <c r="AS505" s="10" t="n"/>
      <c r="AT505" s="17">
        <f>tbl_MTG_Set[[#This Row],[Play Booster CardMarket Profit]]/tbl_MTG_Set[[#This Row],[Play Booster Cost]]</f>
        <v/>
      </c>
      <c r="AU505" s="10">
        <f>_xlfn.XLOOKUP(tbl_MTG_Set[[#This Row],[Collector Booster Box Product Id]], tbl_Product[Product Id], tbl_Product[Min Cost])</f>
        <v/>
      </c>
      <c r="AV505" s="10">
        <f>_xlfn.XLOOKUP(tbl_MTG_Set[[#This Row],[Collector Booster Box Product Id]], tbl_Product[Product Id], tbl_Product[Best Source])</f>
        <v/>
      </c>
      <c r="AW505" s="4">
        <f>_xlfn.XLOOKUP(tbl_MTG_Set[[#This Row],[Collector Booster Box Product Id]], tbl_Product[Product Id], tbl_Product[Pack Size])</f>
        <v/>
      </c>
      <c r="AX505" s="10">
        <f>(tbl_MTG_Set[[#This Row],[Collector Booster Box Cost]] + v_Item_Shipping_Cost_In) / tbl_MTG_Set[[#This Row],[Collector Booster Box Size]]</f>
        <v/>
      </c>
      <c r="AY505" s="10">
        <f t="array" ref="AY5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5" s="10" t="n"/>
      <c r="BA5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5" s="17">
        <f>tbl_MTG_Set[[#This Row],[Collector Booster CardMarket Profit]]/tbl_MTG_Set[[#This Row],[Collector Booster Cost]]</f>
        <v/>
      </c>
      <c r="BC505" s="10" t="n"/>
      <c r="BF505" s="10">
        <f>tbl_MTG_Set[[#This Row],[Play Booster Sell Price CardMarket]]*tbl_MTG_Set[[#This Row],[Play Booster Expected Market Value]]/tbl_MTG_Set[[#This Row],[Play Boost Sealed Market Value]]</f>
        <v/>
      </c>
      <c r="BG5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5" s="10">
        <f>tbl_MTG_Set[[#This Row],[Play Singles CardMarket Profit]]/tbl_MTG_Set[[#This Row],[Play Booster Cost]]</f>
        <v/>
      </c>
      <c r="BI505" s="10">
        <f>tbl_MTG_Set[[#This Row],[Play Singles CardMarket Profit]]&gt;0</f>
        <v/>
      </c>
      <c r="BJ505" s="10" t="n"/>
      <c r="BK505" s="10" t="n"/>
      <c r="BL505" s="10">
        <f>tbl_MTG_Set[[#This Row],[Collector Booster Sell Price CardMarket]]*tbl_MTG_Set[[#This Row],[Collector Booster Expected Market Value]]/tbl_MTG_Set[[#This Row],[Collector Boost Sealed Market Value]]</f>
        <v/>
      </c>
      <c r="BM5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5" s="10">
        <f>tbl_MTG_Set[[#This Row],[Collector Singles CardMarket Profit]]/tbl_MTG_Set[[#This Row],[Collector Booster Cost]]</f>
        <v/>
      </c>
      <c r="BO505" s="10">
        <f>tbl_MTG_Set[[#This Row],[Collector Singles CardMarket Profit]]&gt;0</f>
        <v/>
      </c>
      <c r="BP5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6">
      <c r="A506" t="n">
        <v>504</v>
      </c>
      <c r="B506" t="inlineStr">
        <is>
          <t>Unstable Promos PUST</t>
        </is>
      </c>
      <c r="C506" t="n">
        <v>1</v>
      </c>
      <c r="D506" s="3" t="n">
        <v>43077</v>
      </c>
      <c r="F506" t="inlineStr">
        <is>
          <t>en es fr de it pt ja ko ru 汉语 漢語</t>
        </is>
      </c>
      <c r="G506" t="n">
        <v>954</v>
      </c>
      <c r="H506">
        <f>MONTH(NOW())+12*YEAR(NOW())-MONTH(tbl_MTG_Set[[#This Row],[Released On]])-12*YEAR(tbl_MTG_Set[[#This Row],[Released On]])</f>
        <v/>
      </c>
      <c r="I506">
        <f>_xlfn.XLOOKUP(tbl_MTG_Set[[#This Row],[Type Name]], tbl_MTG_Set_Type[Set Type], tbl_MTG_Set_Type[Index], "(Set Type not found)")</f>
        <v/>
      </c>
      <c r="J506">
        <f>_xlfn.XLOOKUP(tbl_MTG_Set[[#This Row],[Type Name]], tbl_MTG_Set_Type[Set Type], tbl_MTG_Set_Type[Buy Window Month Start], "(Set Type not found)")</f>
        <v/>
      </c>
      <c r="K506" s="3">
        <f>tbl_MTG_Set[[#This Row],[Released On]]+tbl_MTG_Set[[#This Row],[Buy Window Month Start]]*365.25/12</f>
        <v/>
      </c>
      <c r="L506">
        <f>_xlfn.XLOOKUP(tbl_MTG_Set[[#This Row],[Type Name]], tbl_MTG_Set_Type[Set Type], tbl_MTG_Set_Type[Buy Window Month End], "(Set Type not found)", 0, 1)</f>
        <v/>
      </c>
      <c r="M506" s="3">
        <f>tbl_MTG_Set[[#This Row],[Released On]]+tbl_MTG_Set[[#This Row],[Buy Window Month End]]*365.25/12</f>
        <v/>
      </c>
      <c r="N506" s="3">
        <f>AND(NOW()&gt;=tbl_MTG_Set[[#This Row],[Buy Window Start]], NOW()&lt;=tbl_MTG_Set[[#This Row],[Buy Window End]])</f>
        <v/>
      </c>
      <c r="O506">
        <f>_xlfn.XLOOKUP(tbl_MTG_Set[[#This Row],[Type Name]], tbl_MTG_Set_Type[Set Type], tbl_MTG_Set_Type[Heavy Printing Window Month Start], "(Set Type not found)", 0, 1)</f>
        <v/>
      </c>
      <c r="P506" s="3">
        <f>tbl_MTG_Set[[#This Row],[Released On]]+tbl_MTG_Set[[#This Row],[Heavy Printing Window Month Start]]*365.25/12</f>
        <v/>
      </c>
      <c r="Q506">
        <f>_xlfn.XLOOKUP(tbl_MTG_Set[[#This Row],[Type Name]], tbl_MTG_Set_Type[Set Type], tbl_MTG_Set_Type[Heavy Printing Window Month End], "(Set Type not found)", 0, 1)</f>
        <v/>
      </c>
      <c r="R506" s="3">
        <f>tbl_MTG_Set[[#This Row],[Released On]]+tbl_MTG_Set[[#This Row],[Heavy Printing Window Month End]]*365.25/12</f>
        <v/>
      </c>
      <c r="S506" s="3">
        <f>AND(NOW()&gt;=tbl_MTG_Set[[#This Row],[Heavy Printing Window Start]], NOW()&lt;=tbl_MTG_Set[[#This Row],[Heavy Printing Window End]])</f>
        <v/>
      </c>
      <c r="T506">
        <f>_xlfn.XLOOKUP(tbl_MTG_Set[[#This Row],[Type Name]], tbl_MTG_Set_Type[Set Type], tbl_MTG_Set_Type[Sell Window Month Start], "(Set Type not found)", 0, 1)</f>
        <v/>
      </c>
      <c r="U506" s="3">
        <f>tbl_MTG_Set[[#This Row],[Released On]]+tbl_MTG_Set[[#This Row],[Sell Window Month Start]]*365.25/12</f>
        <v/>
      </c>
      <c r="V506">
        <f>_xlfn.XLOOKUP(tbl_MTG_Set[[#This Row],[Type Name]], tbl_MTG_Set_Type[Set Type], tbl_MTG_Set_Type[Sell Window Month End], "(Set Type not found)", 0, 1)</f>
        <v/>
      </c>
      <c r="W506" s="3">
        <f>tbl_MTG_Set[[#This Row],[Released On]]+tbl_MTG_Set[[#This Row],[Sell Window Month End]]*365.25/12</f>
        <v/>
      </c>
      <c r="X506" s="3">
        <f>AND(NOW()&gt;=tbl_MTG_Set[[#This Row],[Sell Window Start]], NOW()&lt;=tbl_MTG_Set[[#This Row],[Sell Window End]])</f>
        <v/>
      </c>
      <c r="AG506" s="10" t="n"/>
      <c r="AH506" s="10" t="n"/>
      <c r="AM506" s="10">
        <f t="array" ref="AM5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6" s="10">
        <f t="array" ref="AN5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6" s="4">
        <f>_xlfn.XLOOKUP(tbl_MTG_Set[[#This Row],[Play Booster Box Product Id]], tbl_Product[Product Id], tbl_Product[Pack Size])</f>
        <v/>
      </c>
      <c r="AP506" s="10">
        <f>(tbl_MTG_Set[[#This Row],[Play Booster Box Cost]]+v_Item_Shipping_Cost_In)/tbl_MTG_Set[[#This Row],[Play Booster Box Size]]</f>
        <v/>
      </c>
      <c r="AQ506" s="10">
        <f t="array" ref="AQ5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6" s="10" t="n"/>
      <c r="AS506" s="10" t="n"/>
      <c r="AT506" s="17">
        <f>tbl_MTG_Set[[#This Row],[Play Booster CardMarket Profit]]/tbl_MTG_Set[[#This Row],[Play Booster Cost]]</f>
        <v/>
      </c>
      <c r="AU506" s="10">
        <f>_xlfn.XLOOKUP(tbl_MTG_Set[[#This Row],[Collector Booster Box Product Id]], tbl_Product[Product Id], tbl_Product[Min Cost])</f>
        <v/>
      </c>
      <c r="AV506" s="10">
        <f>_xlfn.XLOOKUP(tbl_MTG_Set[[#This Row],[Collector Booster Box Product Id]], tbl_Product[Product Id], tbl_Product[Best Source])</f>
        <v/>
      </c>
      <c r="AW506" s="4">
        <f>_xlfn.XLOOKUP(tbl_MTG_Set[[#This Row],[Collector Booster Box Product Id]], tbl_Product[Product Id], tbl_Product[Pack Size])</f>
        <v/>
      </c>
      <c r="AX506" s="10">
        <f>(tbl_MTG_Set[[#This Row],[Collector Booster Box Cost]] + v_Item_Shipping_Cost_In) / tbl_MTG_Set[[#This Row],[Collector Booster Box Size]]</f>
        <v/>
      </c>
      <c r="AY506" s="10">
        <f t="array" ref="AY5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6" s="10" t="n"/>
      <c r="BA5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6" s="17">
        <f>tbl_MTG_Set[[#This Row],[Collector Booster CardMarket Profit]]/tbl_MTG_Set[[#This Row],[Collector Booster Cost]]</f>
        <v/>
      </c>
      <c r="BC506" s="10" t="n"/>
      <c r="BF506" s="10">
        <f>tbl_MTG_Set[[#This Row],[Play Booster Sell Price CardMarket]]*tbl_MTG_Set[[#This Row],[Play Booster Expected Market Value]]/tbl_MTG_Set[[#This Row],[Play Boost Sealed Market Value]]</f>
        <v/>
      </c>
      <c r="BG5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6" s="10">
        <f>tbl_MTG_Set[[#This Row],[Play Singles CardMarket Profit]]/tbl_MTG_Set[[#This Row],[Play Booster Cost]]</f>
        <v/>
      </c>
      <c r="BI506" s="10">
        <f>tbl_MTG_Set[[#This Row],[Play Singles CardMarket Profit]]&gt;0</f>
        <v/>
      </c>
      <c r="BJ506" s="10" t="n"/>
      <c r="BK506" s="10" t="n"/>
      <c r="BL506" s="10">
        <f>tbl_MTG_Set[[#This Row],[Collector Booster Sell Price CardMarket]]*tbl_MTG_Set[[#This Row],[Collector Booster Expected Market Value]]/tbl_MTG_Set[[#This Row],[Collector Boost Sealed Market Value]]</f>
        <v/>
      </c>
      <c r="BM5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6" s="10">
        <f>tbl_MTG_Set[[#This Row],[Collector Singles CardMarket Profit]]/tbl_MTG_Set[[#This Row],[Collector Booster Cost]]</f>
        <v/>
      </c>
      <c r="BO506" s="10">
        <f>tbl_MTG_Set[[#This Row],[Collector Singles CardMarket Profit]]&gt;0</f>
        <v/>
      </c>
      <c r="BP5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7">
      <c r="A507" t="n">
        <v>505</v>
      </c>
      <c r="B507" t="inlineStr">
        <is>
          <t>Unstable Tokens TUST</t>
        </is>
      </c>
      <c r="C507" t="n">
        <v>20</v>
      </c>
      <c r="D507" s="3" t="n">
        <v>43077</v>
      </c>
      <c r="F507" t="inlineStr">
        <is>
          <t>en es fr de it pt ja ko ru 汉语 漢語</t>
        </is>
      </c>
      <c r="G507" t="n">
        <v>956</v>
      </c>
      <c r="H507">
        <f>MONTH(NOW())+12*YEAR(NOW())-MONTH(tbl_MTG_Set[[#This Row],[Released On]])-12*YEAR(tbl_MTG_Set[[#This Row],[Released On]])</f>
        <v/>
      </c>
      <c r="I507">
        <f>_xlfn.XLOOKUP(tbl_MTG_Set[[#This Row],[Type Name]], tbl_MTG_Set_Type[Set Type], tbl_MTG_Set_Type[Index], "(Set Type not found)")</f>
        <v/>
      </c>
      <c r="J507">
        <f>_xlfn.XLOOKUP(tbl_MTG_Set[[#This Row],[Type Name]], tbl_MTG_Set_Type[Set Type], tbl_MTG_Set_Type[Buy Window Month Start], "(Set Type not found)")</f>
        <v/>
      </c>
      <c r="K507" s="3">
        <f>tbl_MTG_Set[[#This Row],[Released On]]+tbl_MTG_Set[[#This Row],[Buy Window Month Start]]*365.25/12</f>
        <v/>
      </c>
      <c r="L507">
        <f>_xlfn.XLOOKUP(tbl_MTG_Set[[#This Row],[Type Name]], tbl_MTG_Set_Type[Set Type], tbl_MTG_Set_Type[Buy Window Month End], "(Set Type not found)", 0, 1)</f>
        <v/>
      </c>
      <c r="M507" s="3">
        <f>tbl_MTG_Set[[#This Row],[Released On]]+tbl_MTG_Set[[#This Row],[Buy Window Month End]]*365.25/12</f>
        <v/>
      </c>
      <c r="N507" s="3">
        <f>AND(NOW()&gt;=tbl_MTG_Set[[#This Row],[Buy Window Start]], NOW()&lt;=tbl_MTG_Set[[#This Row],[Buy Window End]])</f>
        <v/>
      </c>
      <c r="O507">
        <f>_xlfn.XLOOKUP(tbl_MTG_Set[[#This Row],[Type Name]], tbl_MTG_Set_Type[Set Type], tbl_MTG_Set_Type[Heavy Printing Window Month Start], "(Set Type not found)", 0, 1)</f>
        <v/>
      </c>
      <c r="P507" s="3">
        <f>tbl_MTG_Set[[#This Row],[Released On]]+tbl_MTG_Set[[#This Row],[Heavy Printing Window Month Start]]*365.25/12</f>
        <v/>
      </c>
      <c r="Q507">
        <f>_xlfn.XLOOKUP(tbl_MTG_Set[[#This Row],[Type Name]], tbl_MTG_Set_Type[Set Type], tbl_MTG_Set_Type[Heavy Printing Window Month End], "(Set Type not found)", 0, 1)</f>
        <v/>
      </c>
      <c r="R507" s="3">
        <f>tbl_MTG_Set[[#This Row],[Released On]]+tbl_MTG_Set[[#This Row],[Heavy Printing Window Month End]]*365.25/12</f>
        <v/>
      </c>
      <c r="S507" s="3">
        <f>AND(NOW()&gt;=tbl_MTG_Set[[#This Row],[Heavy Printing Window Start]], NOW()&lt;=tbl_MTG_Set[[#This Row],[Heavy Printing Window End]])</f>
        <v/>
      </c>
      <c r="T507">
        <f>_xlfn.XLOOKUP(tbl_MTG_Set[[#This Row],[Type Name]], tbl_MTG_Set_Type[Set Type], tbl_MTG_Set_Type[Sell Window Month Start], "(Set Type not found)", 0, 1)</f>
        <v/>
      </c>
      <c r="U507" s="3">
        <f>tbl_MTG_Set[[#This Row],[Released On]]+tbl_MTG_Set[[#This Row],[Sell Window Month Start]]*365.25/12</f>
        <v/>
      </c>
      <c r="V507">
        <f>_xlfn.XLOOKUP(tbl_MTG_Set[[#This Row],[Type Name]], tbl_MTG_Set_Type[Set Type], tbl_MTG_Set_Type[Sell Window Month End], "(Set Type not found)", 0, 1)</f>
        <v/>
      </c>
      <c r="W507" s="3">
        <f>tbl_MTG_Set[[#This Row],[Released On]]+tbl_MTG_Set[[#This Row],[Sell Window Month End]]*365.25/12</f>
        <v/>
      </c>
      <c r="X507" s="3">
        <f>AND(NOW()&gt;=tbl_MTG_Set[[#This Row],[Sell Window Start]], NOW()&lt;=tbl_MTG_Set[[#This Row],[Sell Window End]])</f>
        <v/>
      </c>
      <c r="AG507" s="10" t="n"/>
      <c r="AH507" s="10" t="n"/>
      <c r="AM507" s="10">
        <f t="array" ref="AM5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7" s="10">
        <f t="array" ref="AN5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7" s="4">
        <f>_xlfn.XLOOKUP(tbl_MTG_Set[[#This Row],[Play Booster Box Product Id]], tbl_Product[Product Id], tbl_Product[Pack Size])</f>
        <v/>
      </c>
      <c r="AP507" s="10">
        <f>(tbl_MTG_Set[[#This Row],[Play Booster Box Cost]]+v_Item_Shipping_Cost_In)/tbl_MTG_Set[[#This Row],[Play Booster Box Size]]</f>
        <v/>
      </c>
      <c r="AQ507" s="10">
        <f t="array" ref="AQ5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7" s="10" t="n"/>
      <c r="AS507" s="10" t="n"/>
      <c r="AT507" s="17">
        <f>tbl_MTG_Set[[#This Row],[Play Booster CardMarket Profit]]/tbl_MTG_Set[[#This Row],[Play Booster Cost]]</f>
        <v/>
      </c>
      <c r="AU507" s="10">
        <f>_xlfn.XLOOKUP(tbl_MTG_Set[[#This Row],[Collector Booster Box Product Id]], tbl_Product[Product Id], tbl_Product[Min Cost])</f>
        <v/>
      </c>
      <c r="AV507" s="10">
        <f>_xlfn.XLOOKUP(tbl_MTG_Set[[#This Row],[Collector Booster Box Product Id]], tbl_Product[Product Id], tbl_Product[Best Source])</f>
        <v/>
      </c>
      <c r="AW507" s="4">
        <f>_xlfn.XLOOKUP(tbl_MTG_Set[[#This Row],[Collector Booster Box Product Id]], tbl_Product[Product Id], tbl_Product[Pack Size])</f>
        <v/>
      </c>
      <c r="AX507" s="10">
        <f>(tbl_MTG_Set[[#This Row],[Collector Booster Box Cost]] + v_Item_Shipping_Cost_In) / tbl_MTG_Set[[#This Row],[Collector Booster Box Size]]</f>
        <v/>
      </c>
      <c r="AY507" s="10">
        <f t="array" ref="AY5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7" s="10" t="n"/>
      <c r="BA5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7" s="17">
        <f>tbl_MTG_Set[[#This Row],[Collector Booster CardMarket Profit]]/tbl_MTG_Set[[#This Row],[Collector Booster Cost]]</f>
        <v/>
      </c>
      <c r="BC507" s="10" t="n"/>
      <c r="BF507" s="10">
        <f>tbl_MTG_Set[[#This Row],[Play Booster Sell Price CardMarket]]*tbl_MTG_Set[[#This Row],[Play Booster Expected Market Value]]/tbl_MTG_Set[[#This Row],[Play Boost Sealed Market Value]]</f>
        <v/>
      </c>
      <c r="BG5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7" s="10">
        <f>tbl_MTG_Set[[#This Row],[Play Singles CardMarket Profit]]/tbl_MTG_Set[[#This Row],[Play Booster Cost]]</f>
        <v/>
      </c>
      <c r="BI507" s="10">
        <f>tbl_MTG_Set[[#This Row],[Play Singles CardMarket Profit]]&gt;0</f>
        <v/>
      </c>
      <c r="BJ507" s="10" t="n"/>
      <c r="BK507" s="10" t="n"/>
      <c r="BL507" s="10">
        <f>tbl_MTG_Set[[#This Row],[Collector Booster Sell Price CardMarket]]*tbl_MTG_Set[[#This Row],[Collector Booster Expected Market Value]]/tbl_MTG_Set[[#This Row],[Collector Boost Sealed Market Value]]</f>
        <v/>
      </c>
      <c r="BM5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7" s="10">
        <f>tbl_MTG_Set[[#This Row],[Collector Singles CardMarket Profit]]/tbl_MTG_Set[[#This Row],[Collector Booster Cost]]</f>
        <v/>
      </c>
      <c r="BO507" s="10">
        <f>tbl_MTG_Set[[#This Row],[Collector Singles CardMarket Profit]]&gt;0</f>
        <v/>
      </c>
      <c r="BP5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8">
      <c r="A508" t="n">
        <v>506</v>
      </c>
      <c r="B508" t="inlineStr">
        <is>
          <t>From the Vault: Transform V17</t>
        </is>
      </c>
      <c r="C508" t="n">
        <v>16</v>
      </c>
      <c r="D508" s="3" t="n">
        <v>43063</v>
      </c>
      <c r="F508" t="inlineStr">
        <is>
          <t>en es fr de it pt ja ko ru 汉语 漢語</t>
        </is>
      </c>
      <c r="G508" t="n">
        <v>958</v>
      </c>
      <c r="H508">
        <f>MONTH(NOW())+12*YEAR(NOW())-MONTH(tbl_MTG_Set[[#This Row],[Released On]])-12*YEAR(tbl_MTG_Set[[#This Row],[Released On]])</f>
        <v/>
      </c>
      <c r="I508">
        <f>_xlfn.XLOOKUP(tbl_MTG_Set[[#This Row],[Type Name]], tbl_MTG_Set_Type[Set Type], tbl_MTG_Set_Type[Index], "(Set Type not found)")</f>
        <v/>
      </c>
      <c r="J508">
        <f>_xlfn.XLOOKUP(tbl_MTG_Set[[#This Row],[Type Name]], tbl_MTG_Set_Type[Set Type], tbl_MTG_Set_Type[Buy Window Month Start], "(Set Type not found)")</f>
        <v/>
      </c>
      <c r="K508" s="3">
        <f>tbl_MTG_Set[[#This Row],[Released On]]+tbl_MTG_Set[[#This Row],[Buy Window Month Start]]*365.25/12</f>
        <v/>
      </c>
      <c r="L508">
        <f>_xlfn.XLOOKUP(tbl_MTG_Set[[#This Row],[Type Name]], tbl_MTG_Set_Type[Set Type], tbl_MTG_Set_Type[Buy Window Month End], "(Set Type not found)", 0, 1)</f>
        <v/>
      </c>
      <c r="M508" s="3">
        <f>tbl_MTG_Set[[#This Row],[Released On]]+tbl_MTG_Set[[#This Row],[Buy Window Month End]]*365.25/12</f>
        <v/>
      </c>
      <c r="N508" s="3">
        <f>AND(NOW()&gt;=tbl_MTG_Set[[#This Row],[Buy Window Start]], NOW()&lt;=tbl_MTG_Set[[#This Row],[Buy Window End]])</f>
        <v/>
      </c>
      <c r="O508">
        <f>_xlfn.XLOOKUP(tbl_MTG_Set[[#This Row],[Type Name]], tbl_MTG_Set_Type[Set Type], tbl_MTG_Set_Type[Heavy Printing Window Month Start], "(Set Type not found)", 0, 1)</f>
        <v/>
      </c>
      <c r="P508" s="3">
        <f>tbl_MTG_Set[[#This Row],[Released On]]+tbl_MTG_Set[[#This Row],[Heavy Printing Window Month Start]]*365.25/12</f>
        <v/>
      </c>
      <c r="Q508">
        <f>_xlfn.XLOOKUP(tbl_MTG_Set[[#This Row],[Type Name]], tbl_MTG_Set_Type[Set Type], tbl_MTG_Set_Type[Heavy Printing Window Month End], "(Set Type not found)", 0, 1)</f>
        <v/>
      </c>
      <c r="R508" s="3">
        <f>tbl_MTG_Set[[#This Row],[Released On]]+tbl_MTG_Set[[#This Row],[Heavy Printing Window Month End]]*365.25/12</f>
        <v/>
      </c>
      <c r="S508" s="3">
        <f>AND(NOW()&gt;=tbl_MTG_Set[[#This Row],[Heavy Printing Window Start]], NOW()&lt;=tbl_MTG_Set[[#This Row],[Heavy Printing Window End]])</f>
        <v/>
      </c>
      <c r="T508">
        <f>_xlfn.XLOOKUP(tbl_MTG_Set[[#This Row],[Type Name]], tbl_MTG_Set_Type[Set Type], tbl_MTG_Set_Type[Sell Window Month Start], "(Set Type not found)", 0, 1)</f>
        <v/>
      </c>
      <c r="U508" s="3">
        <f>tbl_MTG_Set[[#This Row],[Released On]]+tbl_MTG_Set[[#This Row],[Sell Window Month Start]]*365.25/12</f>
        <v/>
      </c>
      <c r="V508">
        <f>_xlfn.XLOOKUP(tbl_MTG_Set[[#This Row],[Type Name]], tbl_MTG_Set_Type[Set Type], tbl_MTG_Set_Type[Sell Window Month End], "(Set Type not found)", 0, 1)</f>
        <v/>
      </c>
      <c r="W508" s="3">
        <f>tbl_MTG_Set[[#This Row],[Released On]]+tbl_MTG_Set[[#This Row],[Sell Window Month End]]*365.25/12</f>
        <v/>
      </c>
      <c r="X508" s="3">
        <f>AND(NOW()&gt;=tbl_MTG_Set[[#This Row],[Sell Window Start]], NOW()&lt;=tbl_MTG_Set[[#This Row],[Sell Window End]])</f>
        <v/>
      </c>
      <c r="AG508" s="10" t="n"/>
      <c r="AH508" s="10" t="n"/>
      <c r="AM508" s="10">
        <f t="array" ref="AM5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8" s="10">
        <f t="array" ref="AN5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8" s="4">
        <f>_xlfn.XLOOKUP(tbl_MTG_Set[[#This Row],[Play Booster Box Product Id]], tbl_Product[Product Id], tbl_Product[Pack Size])</f>
        <v/>
      </c>
      <c r="AP508" s="10">
        <f>(tbl_MTG_Set[[#This Row],[Play Booster Box Cost]]+v_Item_Shipping_Cost_In)/tbl_MTG_Set[[#This Row],[Play Booster Box Size]]</f>
        <v/>
      </c>
      <c r="AQ508" s="10">
        <f t="array" ref="AQ5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8" s="10" t="n"/>
      <c r="AS508" s="10" t="n"/>
      <c r="AT508" s="17">
        <f>tbl_MTG_Set[[#This Row],[Play Booster CardMarket Profit]]/tbl_MTG_Set[[#This Row],[Play Booster Cost]]</f>
        <v/>
      </c>
      <c r="AU508" s="10">
        <f>_xlfn.XLOOKUP(tbl_MTG_Set[[#This Row],[Collector Booster Box Product Id]], tbl_Product[Product Id], tbl_Product[Min Cost])</f>
        <v/>
      </c>
      <c r="AV508" s="10">
        <f>_xlfn.XLOOKUP(tbl_MTG_Set[[#This Row],[Collector Booster Box Product Id]], tbl_Product[Product Id], tbl_Product[Best Source])</f>
        <v/>
      </c>
      <c r="AW508" s="4">
        <f>_xlfn.XLOOKUP(tbl_MTG_Set[[#This Row],[Collector Booster Box Product Id]], tbl_Product[Product Id], tbl_Product[Pack Size])</f>
        <v/>
      </c>
      <c r="AX508" s="10">
        <f>(tbl_MTG_Set[[#This Row],[Collector Booster Box Cost]] + v_Item_Shipping_Cost_In) / tbl_MTG_Set[[#This Row],[Collector Booster Box Size]]</f>
        <v/>
      </c>
      <c r="AY508" s="10">
        <f t="array" ref="AY5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8" s="10" t="n"/>
      <c r="BA5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8" s="17">
        <f>tbl_MTG_Set[[#This Row],[Collector Booster CardMarket Profit]]/tbl_MTG_Set[[#This Row],[Collector Booster Cost]]</f>
        <v/>
      </c>
      <c r="BC508" s="10" t="n"/>
      <c r="BF508" s="10">
        <f>tbl_MTG_Set[[#This Row],[Play Booster Sell Price CardMarket]]*tbl_MTG_Set[[#This Row],[Play Booster Expected Market Value]]/tbl_MTG_Set[[#This Row],[Play Boost Sealed Market Value]]</f>
        <v/>
      </c>
      <c r="BG5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8" s="10">
        <f>tbl_MTG_Set[[#This Row],[Play Singles CardMarket Profit]]/tbl_MTG_Set[[#This Row],[Play Booster Cost]]</f>
        <v/>
      </c>
      <c r="BI508" s="10">
        <f>tbl_MTG_Set[[#This Row],[Play Singles CardMarket Profit]]&gt;0</f>
        <v/>
      </c>
      <c r="BJ508" s="10" t="n"/>
      <c r="BK508" s="10" t="n"/>
      <c r="BL508" s="10">
        <f>tbl_MTG_Set[[#This Row],[Collector Booster Sell Price CardMarket]]*tbl_MTG_Set[[#This Row],[Collector Booster Expected Market Value]]/tbl_MTG_Set[[#This Row],[Collector Boost Sealed Market Value]]</f>
        <v/>
      </c>
      <c r="BM5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8" s="10">
        <f>tbl_MTG_Set[[#This Row],[Collector Singles CardMarket Profit]]/tbl_MTG_Set[[#This Row],[Collector Booster Cost]]</f>
        <v/>
      </c>
      <c r="BO508" s="10">
        <f>tbl_MTG_Set[[#This Row],[Collector Singles CardMarket Profit]]&gt;0</f>
        <v/>
      </c>
      <c r="BP5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9">
      <c r="A509" t="n">
        <v>507</v>
      </c>
      <c r="B509" t="inlineStr">
        <is>
          <t>Explorers of Ixalan E02</t>
        </is>
      </c>
      <c r="C509" t="n">
        <v>48</v>
      </c>
      <c r="D509" s="3" t="n">
        <v>43063</v>
      </c>
      <c r="F509" t="inlineStr">
        <is>
          <t>en es fr de it pt ja ko ru 汉语 漢語</t>
        </is>
      </c>
      <c r="G509" t="n">
        <v>960</v>
      </c>
      <c r="H509">
        <f>MONTH(NOW())+12*YEAR(NOW())-MONTH(tbl_MTG_Set[[#This Row],[Released On]])-12*YEAR(tbl_MTG_Set[[#This Row],[Released On]])</f>
        <v/>
      </c>
      <c r="I509">
        <f>_xlfn.XLOOKUP(tbl_MTG_Set[[#This Row],[Type Name]], tbl_MTG_Set_Type[Set Type], tbl_MTG_Set_Type[Index], "(Set Type not found)")</f>
        <v/>
      </c>
      <c r="J509">
        <f>_xlfn.XLOOKUP(tbl_MTG_Set[[#This Row],[Type Name]], tbl_MTG_Set_Type[Set Type], tbl_MTG_Set_Type[Buy Window Month Start], "(Set Type not found)")</f>
        <v/>
      </c>
      <c r="K509" s="3">
        <f>tbl_MTG_Set[[#This Row],[Released On]]+tbl_MTG_Set[[#This Row],[Buy Window Month Start]]*365.25/12</f>
        <v/>
      </c>
      <c r="L509">
        <f>_xlfn.XLOOKUP(tbl_MTG_Set[[#This Row],[Type Name]], tbl_MTG_Set_Type[Set Type], tbl_MTG_Set_Type[Buy Window Month End], "(Set Type not found)", 0, 1)</f>
        <v/>
      </c>
      <c r="M509" s="3">
        <f>tbl_MTG_Set[[#This Row],[Released On]]+tbl_MTG_Set[[#This Row],[Buy Window Month End]]*365.25/12</f>
        <v/>
      </c>
      <c r="N509" s="3">
        <f>AND(NOW()&gt;=tbl_MTG_Set[[#This Row],[Buy Window Start]], NOW()&lt;=tbl_MTG_Set[[#This Row],[Buy Window End]])</f>
        <v/>
      </c>
      <c r="O509">
        <f>_xlfn.XLOOKUP(tbl_MTG_Set[[#This Row],[Type Name]], tbl_MTG_Set_Type[Set Type], tbl_MTG_Set_Type[Heavy Printing Window Month Start], "(Set Type not found)", 0, 1)</f>
        <v/>
      </c>
      <c r="P509" s="3">
        <f>tbl_MTG_Set[[#This Row],[Released On]]+tbl_MTG_Set[[#This Row],[Heavy Printing Window Month Start]]*365.25/12</f>
        <v/>
      </c>
      <c r="Q509">
        <f>_xlfn.XLOOKUP(tbl_MTG_Set[[#This Row],[Type Name]], tbl_MTG_Set_Type[Set Type], tbl_MTG_Set_Type[Heavy Printing Window Month End], "(Set Type not found)", 0, 1)</f>
        <v/>
      </c>
      <c r="R509" s="3">
        <f>tbl_MTG_Set[[#This Row],[Released On]]+tbl_MTG_Set[[#This Row],[Heavy Printing Window Month End]]*365.25/12</f>
        <v/>
      </c>
      <c r="S509" s="3">
        <f>AND(NOW()&gt;=tbl_MTG_Set[[#This Row],[Heavy Printing Window Start]], NOW()&lt;=tbl_MTG_Set[[#This Row],[Heavy Printing Window End]])</f>
        <v/>
      </c>
      <c r="T509">
        <f>_xlfn.XLOOKUP(tbl_MTG_Set[[#This Row],[Type Name]], tbl_MTG_Set_Type[Set Type], tbl_MTG_Set_Type[Sell Window Month Start], "(Set Type not found)", 0, 1)</f>
        <v/>
      </c>
      <c r="U509" s="3">
        <f>tbl_MTG_Set[[#This Row],[Released On]]+tbl_MTG_Set[[#This Row],[Sell Window Month Start]]*365.25/12</f>
        <v/>
      </c>
      <c r="V509">
        <f>_xlfn.XLOOKUP(tbl_MTG_Set[[#This Row],[Type Name]], tbl_MTG_Set_Type[Set Type], tbl_MTG_Set_Type[Sell Window Month End], "(Set Type not found)", 0, 1)</f>
        <v/>
      </c>
      <c r="W509" s="3">
        <f>tbl_MTG_Set[[#This Row],[Released On]]+tbl_MTG_Set[[#This Row],[Sell Window Month End]]*365.25/12</f>
        <v/>
      </c>
      <c r="X509" s="3">
        <f>AND(NOW()&gt;=tbl_MTG_Set[[#This Row],[Sell Window Start]], NOW()&lt;=tbl_MTG_Set[[#This Row],[Sell Window End]])</f>
        <v/>
      </c>
      <c r="AG509" s="10" t="n"/>
      <c r="AH509" s="10" t="n"/>
      <c r="AM509" s="10">
        <f t="array" ref="AM5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9" s="10">
        <f t="array" ref="AN5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9" s="4">
        <f>_xlfn.XLOOKUP(tbl_MTG_Set[[#This Row],[Play Booster Box Product Id]], tbl_Product[Product Id], tbl_Product[Pack Size])</f>
        <v/>
      </c>
      <c r="AP509" s="10">
        <f>(tbl_MTG_Set[[#This Row],[Play Booster Box Cost]]+v_Item_Shipping_Cost_In)/tbl_MTG_Set[[#This Row],[Play Booster Box Size]]</f>
        <v/>
      </c>
      <c r="AQ509" s="10">
        <f t="array" ref="AQ5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09" s="10" t="n"/>
      <c r="AS509" s="10" t="n"/>
      <c r="AT509" s="17">
        <f>tbl_MTG_Set[[#This Row],[Play Booster CardMarket Profit]]/tbl_MTG_Set[[#This Row],[Play Booster Cost]]</f>
        <v/>
      </c>
      <c r="AU509" s="10">
        <f>_xlfn.XLOOKUP(tbl_MTG_Set[[#This Row],[Collector Booster Box Product Id]], tbl_Product[Product Id], tbl_Product[Min Cost])</f>
        <v/>
      </c>
      <c r="AV509" s="10">
        <f>_xlfn.XLOOKUP(tbl_MTG_Set[[#This Row],[Collector Booster Box Product Id]], tbl_Product[Product Id], tbl_Product[Best Source])</f>
        <v/>
      </c>
      <c r="AW509" s="4">
        <f>_xlfn.XLOOKUP(tbl_MTG_Set[[#This Row],[Collector Booster Box Product Id]], tbl_Product[Product Id], tbl_Product[Pack Size])</f>
        <v/>
      </c>
      <c r="AX509" s="10">
        <f>(tbl_MTG_Set[[#This Row],[Collector Booster Box Cost]] + v_Item_Shipping_Cost_In) / tbl_MTG_Set[[#This Row],[Collector Booster Box Size]]</f>
        <v/>
      </c>
      <c r="AY509" s="10">
        <f t="array" ref="AY5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09" s="10" t="n"/>
      <c r="BA5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9" s="17">
        <f>tbl_MTG_Set[[#This Row],[Collector Booster CardMarket Profit]]/tbl_MTG_Set[[#This Row],[Collector Booster Cost]]</f>
        <v/>
      </c>
      <c r="BC509" s="10" t="n"/>
      <c r="BF509" s="10">
        <f>tbl_MTG_Set[[#This Row],[Play Booster Sell Price CardMarket]]*tbl_MTG_Set[[#This Row],[Play Booster Expected Market Value]]/tbl_MTG_Set[[#This Row],[Play Boost Sealed Market Value]]</f>
        <v/>
      </c>
      <c r="BG5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9" s="10">
        <f>tbl_MTG_Set[[#This Row],[Play Singles CardMarket Profit]]/tbl_MTG_Set[[#This Row],[Play Booster Cost]]</f>
        <v/>
      </c>
      <c r="BI509" s="10">
        <f>tbl_MTG_Set[[#This Row],[Play Singles CardMarket Profit]]&gt;0</f>
        <v/>
      </c>
      <c r="BJ509" s="10" t="n"/>
      <c r="BK509" s="10" t="n"/>
      <c r="BL509" s="10">
        <f>tbl_MTG_Set[[#This Row],[Collector Booster Sell Price CardMarket]]*tbl_MTG_Set[[#This Row],[Collector Booster Expected Market Value]]/tbl_MTG_Set[[#This Row],[Collector Boost Sealed Market Value]]</f>
        <v/>
      </c>
      <c r="BM5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9" s="10">
        <f>tbl_MTG_Set[[#This Row],[Collector Singles CardMarket Profit]]/tbl_MTG_Set[[#This Row],[Collector Booster Cost]]</f>
        <v/>
      </c>
      <c r="BO509" s="10">
        <f>tbl_MTG_Set[[#This Row],[Collector Singles CardMarket Profit]]&gt;0</f>
        <v/>
      </c>
      <c r="BP5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0">
      <c r="A510" t="n">
        <v>508</v>
      </c>
      <c r="B510" t="inlineStr">
        <is>
          <t>Iconic Masters IMA</t>
        </is>
      </c>
      <c r="C510" t="n">
        <v>249</v>
      </c>
      <c r="D510" s="3" t="n">
        <v>43056</v>
      </c>
      <c r="F510" t="inlineStr">
        <is>
          <t>en es fr de it pt ja ko ru 汉语 漢語</t>
        </is>
      </c>
      <c r="G510" t="n">
        <v>962</v>
      </c>
      <c r="H510">
        <f>MONTH(NOW())+12*YEAR(NOW())-MONTH(tbl_MTG_Set[[#This Row],[Released On]])-12*YEAR(tbl_MTG_Set[[#This Row],[Released On]])</f>
        <v/>
      </c>
      <c r="I510">
        <f>_xlfn.XLOOKUP(tbl_MTG_Set[[#This Row],[Type Name]], tbl_MTG_Set_Type[Set Type], tbl_MTG_Set_Type[Index], "(Set Type not found)")</f>
        <v/>
      </c>
      <c r="J510">
        <f>_xlfn.XLOOKUP(tbl_MTG_Set[[#This Row],[Type Name]], tbl_MTG_Set_Type[Set Type], tbl_MTG_Set_Type[Buy Window Month Start], "(Set Type not found)")</f>
        <v/>
      </c>
      <c r="K510" s="3">
        <f>tbl_MTG_Set[[#This Row],[Released On]]+tbl_MTG_Set[[#This Row],[Buy Window Month Start]]*365.25/12</f>
        <v/>
      </c>
      <c r="L510">
        <f>_xlfn.XLOOKUP(tbl_MTG_Set[[#This Row],[Type Name]], tbl_MTG_Set_Type[Set Type], tbl_MTG_Set_Type[Buy Window Month End], "(Set Type not found)", 0, 1)</f>
        <v/>
      </c>
      <c r="M510" s="3">
        <f>tbl_MTG_Set[[#This Row],[Released On]]+tbl_MTG_Set[[#This Row],[Buy Window Month End]]*365.25/12</f>
        <v/>
      </c>
      <c r="N510" s="3">
        <f>AND(NOW()&gt;=tbl_MTG_Set[[#This Row],[Buy Window Start]], NOW()&lt;=tbl_MTG_Set[[#This Row],[Buy Window End]])</f>
        <v/>
      </c>
      <c r="O510">
        <f>_xlfn.XLOOKUP(tbl_MTG_Set[[#This Row],[Type Name]], tbl_MTG_Set_Type[Set Type], tbl_MTG_Set_Type[Heavy Printing Window Month Start], "(Set Type not found)", 0, 1)</f>
        <v/>
      </c>
      <c r="P510" s="3">
        <f>tbl_MTG_Set[[#This Row],[Released On]]+tbl_MTG_Set[[#This Row],[Heavy Printing Window Month Start]]*365.25/12</f>
        <v/>
      </c>
      <c r="Q510">
        <f>_xlfn.XLOOKUP(tbl_MTG_Set[[#This Row],[Type Name]], tbl_MTG_Set_Type[Set Type], tbl_MTG_Set_Type[Heavy Printing Window Month End], "(Set Type not found)", 0, 1)</f>
        <v/>
      </c>
      <c r="R510" s="3">
        <f>tbl_MTG_Set[[#This Row],[Released On]]+tbl_MTG_Set[[#This Row],[Heavy Printing Window Month End]]*365.25/12</f>
        <v/>
      </c>
      <c r="S510" s="3">
        <f>AND(NOW()&gt;=tbl_MTG_Set[[#This Row],[Heavy Printing Window Start]], NOW()&lt;=tbl_MTG_Set[[#This Row],[Heavy Printing Window End]])</f>
        <v/>
      </c>
      <c r="T510">
        <f>_xlfn.XLOOKUP(tbl_MTG_Set[[#This Row],[Type Name]], tbl_MTG_Set_Type[Set Type], tbl_MTG_Set_Type[Sell Window Month Start], "(Set Type not found)", 0, 1)</f>
        <v/>
      </c>
      <c r="U510" s="3">
        <f>tbl_MTG_Set[[#This Row],[Released On]]+tbl_MTG_Set[[#This Row],[Sell Window Month Start]]*365.25/12</f>
        <v/>
      </c>
      <c r="V510">
        <f>_xlfn.XLOOKUP(tbl_MTG_Set[[#This Row],[Type Name]], tbl_MTG_Set_Type[Set Type], tbl_MTG_Set_Type[Sell Window Month End], "(Set Type not found)", 0, 1)</f>
        <v/>
      </c>
      <c r="W510" s="3">
        <f>tbl_MTG_Set[[#This Row],[Released On]]+tbl_MTG_Set[[#This Row],[Sell Window Month End]]*365.25/12</f>
        <v/>
      </c>
      <c r="X510" s="3">
        <f>AND(NOW()&gt;=tbl_MTG_Set[[#This Row],[Sell Window Start]], NOW()&lt;=tbl_MTG_Set[[#This Row],[Sell Window End]])</f>
        <v/>
      </c>
      <c r="AG510" s="10" t="n"/>
      <c r="AH510" s="10" t="n"/>
      <c r="AM510" s="10">
        <f t="array" ref="AM5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0" s="10">
        <f t="array" ref="AN5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0" s="4">
        <f>_xlfn.XLOOKUP(tbl_MTG_Set[[#This Row],[Play Booster Box Product Id]], tbl_Product[Product Id], tbl_Product[Pack Size])</f>
        <v/>
      </c>
      <c r="AP510" s="10">
        <f>(tbl_MTG_Set[[#This Row],[Play Booster Box Cost]]+v_Item_Shipping_Cost_In)/tbl_MTG_Set[[#This Row],[Play Booster Box Size]]</f>
        <v/>
      </c>
      <c r="AQ510" s="10">
        <f t="array" ref="AQ5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0" s="10" t="n"/>
      <c r="AS510" s="10" t="n"/>
      <c r="AT510" s="17">
        <f>tbl_MTG_Set[[#This Row],[Play Booster CardMarket Profit]]/tbl_MTG_Set[[#This Row],[Play Booster Cost]]</f>
        <v/>
      </c>
      <c r="AU510" s="10">
        <f>_xlfn.XLOOKUP(tbl_MTG_Set[[#This Row],[Collector Booster Box Product Id]], tbl_Product[Product Id], tbl_Product[Min Cost])</f>
        <v/>
      </c>
      <c r="AV510" s="10">
        <f>_xlfn.XLOOKUP(tbl_MTG_Set[[#This Row],[Collector Booster Box Product Id]], tbl_Product[Product Id], tbl_Product[Best Source])</f>
        <v/>
      </c>
      <c r="AW510" s="4">
        <f>_xlfn.XLOOKUP(tbl_MTG_Set[[#This Row],[Collector Booster Box Product Id]], tbl_Product[Product Id], tbl_Product[Pack Size])</f>
        <v/>
      </c>
      <c r="AX510" s="10">
        <f>(tbl_MTG_Set[[#This Row],[Collector Booster Box Cost]] + v_Item_Shipping_Cost_In) / tbl_MTG_Set[[#This Row],[Collector Booster Box Size]]</f>
        <v/>
      </c>
      <c r="AY510" s="10">
        <f t="array" ref="AY5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0" s="10" t="n"/>
      <c r="BA5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0" s="17">
        <f>tbl_MTG_Set[[#This Row],[Collector Booster CardMarket Profit]]/tbl_MTG_Set[[#This Row],[Collector Booster Cost]]</f>
        <v/>
      </c>
      <c r="BC510" s="10" t="n"/>
      <c r="BF510" s="10">
        <f>tbl_MTG_Set[[#This Row],[Play Booster Sell Price CardMarket]]*tbl_MTG_Set[[#This Row],[Play Booster Expected Market Value]]/tbl_MTG_Set[[#This Row],[Play Boost Sealed Market Value]]</f>
        <v/>
      </c>
      <c r="BG5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0" s="10">
        <f>tbl_MTG_Set[[#This Row],[Play Singles CardMarket Profit]]/tbl_MTG_Set[[#This Row],[Play Booster Cost]]</f>
        <v/>
      </c>
      <c r="BI510" s="10">
        <f>tbl_MTG_Set[[#This Row],[Play Singles CardMarket Profit]]&gt;0</f>
        <v/>
      </c>
      <c r="BJ510" s="10" t="n"/>
      <c r="BK510" s="10" t="n"/>
      <c r="BL510" s="10">
        <f>tbl_MTG_Set[[#This Row],[Collector Booster Sell Price CardMarket]]*tbl_MTG_Set[[#This Row],[Collector Booster Expected Market Value]]/tbl_MTG_Set[[#This Row],[Collector Boost Sealed Market Value]]</f>
        <v/>
      </c>
      <c r="BM5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0" s="10">
        <f>tbl_MTG_Set[[#This Row],[Collector Singles CardMarket Profit]]/tbl_MTG_Set[[#This Row],[Collector Booster Cost]]</f>
        <v/>
      </c>
      <c r="BO510" s="10">
        <f>tbl_MTG_Set[[#This Row],[Collector Singles CardMarket Profit]]&gt;0</f>
        <v/>
      </c>
      <c r="BP5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1">
      <c r="A511" t="n">
        <v>509</v>
      </c>
      <c r="B511" t="inlineStr">
        <is>
          <t>Iconic Masters Tokens TIMA</t>
        </is>
      </c>
      <c r="C511" t="n">
        <v>7</v>
      </c>
      <c r="D511" s="3" t="n">
        <v>43068</v>
      </c>
      <c r="F511" t="inlineStr">
        <is>
          <t>en es fr de it pt ja ko ru 汉语 漢語</t>
        </is>
      </c>
      <c r="G511" t="n">
        <v>964</v>
      </c>
      <c r="H511">
        <f>MONTH(NOW())+12*YEAR(NOW())-MONTH(tbl_MTG_Set[[#This Row],[Released On]])-12*YEAR(tbl_MTG_Set[[#This Row],[Released On]])</f>
        <v/>
      </c>
      <c r="I511">
        <f>_xlfn.XLOOKUP(tbl_MTG_Set[[#This Row],[Type Name]], tbl_MTG_Set_Type[Set Type], tbl_MTG_Set_Type[Index], "(Set Type not found)")</f>
        <v/>
      </c>
      <c r="J511">
        <f>_xlfn.XLOOKUP(tbl_MTG_Set[[#This Row],[Type Name]], tbl_MTG_Set_Type[Set Type], tbl_MTG_Set_Type[Buy Window Month Start], "(Set Type not found)")</f>
        <v/>
      </c>
      <c r="K511" s="3">
        <f>tbl_MTG_Set[[#This Row],[Released On]]+tbl_MTG_Set[[#This Row],[Buy Window Month Start]]*365.25/12</f>
        <v/>
      </c>
      <c r="L511">
        <f>_xlfn.XLOOKUP(tbl_MTG_Set[[#This Row],[Type Name]], tbl_MTG_Set_Type[Set Type], tbl_MTG_Set_Type[Buy Window Month End], "(Set Type not found)", 0, 1)</f>
        <v/>
      </c>
      <c r="M511" s="3">
        <f>tbl_MTG_Set[[#This Row],[Released On]]+tbl_MTG_Set[[#This Row],[Buy Window Month End]]*365.25/12</f>
        <v/>
      </c>
      <c r="N511" s="3">
        <f>AND(NOW()&gt;=tbl_MTG_Set[[#This Row],[Buy Window Start]], NOW()&lt;=tbl_MTG_Set[[#This Row],[Buy Window End]])</f>
        <v/>
      </c>
      <c r="O511">
        <f>_xlfn.XLOOKUP(tbl_MTG_Set[[#This Row],[Type Name]], tbl_MTG_Set_Type[Set Type], tbl_MTG_Set_Type[Heavy Printing Window Month Start], "(Set Type not found)", 0, 1)</f>
        <v/>
      </c>
      <c r="P511" s="3">
        <f>tbl_MTG_Set[[#This Row],[Released On]]+tbl_MTG_Set[[#This Row],[Heavy Printing Window Month Start]]*365.25/12</f>
        <v/>
      </c>
      <c r="Q511">
        <f>_xlfn.XLOOKUP(tbl_MTG_Set[[#This Row],[Type Name]], tbl_MTG_Set_Type[Set Type], tbl_MTG_Set_Type[Heavy Printing Window Month End], "(Set Type not found)", 0, 1)</f>
        <v/>
      </c>
      <c r="R511" s="3">
        <f>tbl_MTG_Set[[#This Row],[Released On]]+tbl_MTG_Set[[#This Row],[Heavy Printing Window Month End]]*365.25/12</f>
        <v/>
      </c>
      <c r="S511" s="3">
        <f>AND(NOW()&gt;=tbl_MTG_Set[[#This Row],[Heavy Printing Window Start]], NOW()&lt;=tbl_MTG_Set[[#This Row],[Heavy Printing Window End]])</f>
        <v/>
      </c>
      <c r="T511">
        <f>_xlfn.XLOOKUP(tbl_MTG_Set[[#This Row],[Type Name]], tbl_MTG_Set_Type[Set Type], tbl_MTG_Set_Type[Sell Window Month Start], "(Set Type not found)", 0, 1)</f>
        <v/>
      </c>
      <c r="U511" s="3">
        <f>tbl_MTG_Set[[#This Row],[Released On]]+tbl_MTG_Set[[#This Row],[Sell Window Month Start]]*365.25/12</f>
        <v/>
      </c>
      <c r="V511">
        <f>_xlfn.XLOOKUP(tbl_MTG_Set[[#This Row],[Type Name]], tbl_MTG_Set_Type[Set Type], tbl_MTG_Set_Type[Sell Window Month End], "(Set Type not found)", 0, 1)</f>
        <v/>
      </c>
      <c r="W511" s="3">
        <f>tbl_MTG_Set[[#This Row],[Released On]]+tbl_MTG_Set[[#This Row],[Sell Window Month End]]*365.25/12</f>
        <v/>
      </c>
      <c r="X511" s="3">
        <f>AND(NOW()&gt;=tbl_MTG_Set[[#This Row],[Sell Window Start]], NOW()&lt;=tbl_MTG_Set[[#This Row],[Sell Window End]])</f>
        <v/>
      </c>
      <c r="AG511" s="10" t="n"/>
      <c r="AH511" s="10" t="n"/>
      <c r="AM511" s="10">
        <f t="array" ref="AM5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1" s="10">
        <f t="array" ref="AN5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1" s="4">
        <f>_xlfn.XLOOKUP(tbl_MTG_Set[[#This Row],[Play Booster Box Product Id]], tbl_Product[Product Id], tbl_Product[Pack Size])</f>
        <v/>
      </c>
      <c r="AP511" s="10">
        <f>(tbl_MTG_Set[[#This Row],[Play Booster Box Cost]]+v_Item_Shipping_Cost_In)/tbl_MTG_Set[[#This Row],[Play Booster Box Size]]</f>
        <v/>
      </c>
      <c r="AQ511" s="10">
        <f t="array" ref="AQ5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1" s="10" t="n"/>
      <c r="AS511" s="10" t="n"/>
      <c r="AT511" s="17">
        <f>tbl_MTG_Set[[#This Row],[Play Booster CardMarket Profit]]/tbl_MTG_Set[[#This Row],[Play Booster Cost]]</f>
        <v/>
      </c>
      <c r="AU511" s="10">
        <f>_xlfn.XLOOKUP(tbl_MTG_Set[[#This Row],[Collector Booster Box Product Id]], tbl_Product[Product Id], tbl_Product[Min Cost])</f>
        <v/>
      </c>
      <c r="AV511" s="10">
        <f>_xlfn.XLOOKUP(tbl_MTG_Set[[#This Row],[Collector Booster Box Product Id]], tbl_Product[Product Id], tbl_Product[Best Source])</f>
        <v/>
      </c>
      <c r="AW511" s="4">
        <f>_xlfn.XLOOKUP(tbl_MTG_Set[[#This Row],[Collector Booster Box Product Id]], tbl_Product[Product Id], tbl_Product[Pack Size])</f>
        <v/>
      </c>
      <c r="AX511" s="10">
        <f>(tbl_MTG_Set[[#This Row],[Collector Booster Box Cost]] + v_Item_Shipping_Cost_In) / tbl_MTG_Set[[#This Row],[Collector Booster Box Size]]</f>
        <v/>
      </c>
      <c r="AY511" s="10">
        <f t="array" ref="AY5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1" s="10" t="n"/>
      <c r="BA5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1" s="17">
        <f>tbl_MTG_Set[[#This Row],[Collector Booster CardMarket Profit]]/tbl_MTG_Set[[#This Row],[Collector Booster Cost]]</f>
        <v/>
      </c>
      <c r="BC511" s="10" t="n"/>
      <c r="BF511" s="10">
        <f>tbl_MTG_Set[[#This Row],[Play Booster Sell Price CardMarket]]*tbl_MTG_Set[[#This Row],[Play Booster Expected Market Value]]/tbl_MTG_Set[[#This Row],[Play Boost Sealed Market Value]]</f>
        <v/>
      </c>
      <c r="BG5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1" s="10">
        <f>tbl_MTG_Set[[#This Row],[Play Singles CardMarket Profit]]/tbl_MTG_Set[[#This Row],[Play Booster Cost]]</f>
        <v/>
      </c>
      <c r="BI511" s="10">
        <f>tbl_MTG_Set[[#This Row],[Play Singles CardMarket Profit]]&gt;0</f>
        <v/>
      </c>
      <c r="BJ511" s="10" t="n"/>
      <c r="BK511" s="10" t="n"/>
      <c r="BL511" s="10">
        <f>tbl_MTG_Set[[#This Row],[Collector Booster Sell Price CardMarket]]*tbl_MTG_Set[[#This Row],[Collector Booster Expected Market Value]]/tbl_MTG_Set[[#This Row],[Collector Boost Sealed Market Value]]</f>
        <v/>
      </c>
      <c r="BM5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1" s="10">
        <f>tbl_MTG_Set[[#This Row],[Collector Singles CardMarket Profit]]/tbl_MTG_Set[[#This Row],[Collector Booster Cost]]</f>
        <v/>
      </c>
      <c r="BO511" s="10">
        <f>tbl_MTG_Set[[#This Row],[Collector Singles CardMarket Profit]]&gt;0</f>
        <v/>
      </c>
      <c r="BP5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2">
      <c r="A512" t="n">
        <v>510</v>
      </c>
      <c r="B512" t="inlineStr">
        <is>
          <t>Duel Decks: Merfolk vs. Goblins DDT</t>
        </is>
      </c>
      <c r="C512" t="n">
        <v>63</v>
      </c>
      <c r="D512" s="3" t="n">
        <v>43032</v>
      </c>
      <c r="F512" t="inlineStr">
        <is>
          <t>en es fr de it pt ja ko ru 汉语 漢語</t>
        </is>
      </c>
      <c r="G512" t="n">
        <v>966</v>
      </c>
      <c r="H512">
        <f>MONTH(NOW())+12*YEAR(NOW())-MONTH(tbl_MTG_Set[[#This Row],[Released On]])-12*YEAR(tbl_MTG_Set[[#This Row],[Released On]])</f>
        <v/>
      </c>
      <c r="I512">
        <f>_xlfn.XLOOKUP(tbl_MTG_Set[[#This Row],[Type Name]], tbl_MTG_Set_Type[Set Type], tbl_MTG_Set_Type[Index], "(Set Type not found)")</f>
        <v/>
      </c>
      <c r="J512">
        <f>_xlfn.XLOOKUP(tbl_MTG_Set[[#This Row],[Type Name]], tbl_MTG_Set_Type[Set Type], tbl_MTG_Set_Type[Buy Window Month Start], "(Set Type not found)")</f>
        <v/>
      </c>
      <c r="K512" s="3">
        <f>tbl_MTG_Set[[#This Row],[Released On]]+tbl_MTG_Set[[#This Row],[Buy Window Month Start]]*365.25/12</f>
        <v/>
      </c>
      <c r="L512">
        <f>_xlfn.XLOOKUP(tbl_MTG_Set[[#This Row],[Type Name]], tbl_MTG_Set_Type[Set Type], tbl_MTG_Set_Type[Buy Window Month End], "(Set Type not found)", 0, 1)</f>
        <v/>
      </c>
      <c r="M512" s="3">
        <f>tbl_MTG_Set[[#This Row],[Released On]]+tbl_MTG_Set[[#This Row],[Buy Window Month End]]*365.25/12</f>
        <v/>
      </c>
      <c r="N512" s="3">
        <f>AND(NOW()&gt;=tbl_MTG_Set[[#This Row],[Buy Window Start]], NOW()&lt;=tbl_MTG_Set[[#This Row],[Buy Window End]])</f>
        <v/>
      </c>
      <c r="O512">
        <f>_xlfn.XLOOKUP(tbl_MTG_Set[[#This Row],[Type Name]], tbl_MTG_Set_Type[Set Type], tbl_MTG_Set_Type[Heavy Printing Window Month Start], "(Set Type not found)", 0, 1)</f>
        <v/>
      </c>
      <c r="P512" s="3">
        <f>tbl_MTG_Set[[#This Row],[Released On]]+tbl_MTG_Set[[#This Row],[Heavy Printing Window Month Start]]*365.25/12</f>
        <v/>
      </c>
      <c r="Q512">
        <f>_xlfn.XLOOKUP(tbl_MTG_Set[[#This Row],[Type Name]], tbl_MTG_Set_Type[Set Type], tbl_MTG_Set_Type[Heavy Printing Window Month End], "(Set Type not found)", 0, 1)</f>
        <v/>
      </c>
      <c r="R512" s="3">
        <f>tbl_MTG_Set[[#This Row],[Released On]]+tbl_MTG_Set[[#This Row],[Heavy Printing Window Month End]]*365.25/12</f>
        <v/>
      </c>
      <c r="S512" s="3">
        <f>AND(NOW()&gt;=tbl_MTG_Set[[#This Row],[Heavy Printing Window Start]], NOW()&lt;=tbl_MTG_Set[[#This Row],[Heavy Printing Window End]])</f>
        <v/>
      </c>
      <c r="T512">
        <f>_xlfn.XLOOKUP(tbl_MTG_Set[[#This Row],[Type Name]], tbl_MTG_Set_Type[Set Type], tbl_MTG_Set_Type[Sell Window Month Start], "(Set Type not found)", 0, 1)</f>
        <v/>
      </c>
      <c r="U512" s="3">
        <f>tbl_MTG_Set[[#This Row],[Released On]]+tbl_MTG_Set[[#This Row],[Sell Window Month Start]]*365.25/12</f>
        <v/>
      </c>
      <c r="V512">
        <f>_xlfn.XLOOKUP(tbl_MTG_Set[[#This Row],[Type Name]], tbl_MTG_Set_Type[Set Type], tbl_MTG_Set_Type[Sell Window Month End], "(Set Type not found)", 0, 1)</f>
        <v/>
      </c>
      <c r="W512" s="3">
        <f>tbl_MTG_Set[[#This Row],[Released On]]+tbl_MTG_Set[[#This Row],[Sell Window Month End]]*365.25/12</f>
        <v/>
      </c>
      <c r="X512" s="3">
        <f>AND(NOW()&gt;=tbl_MTG_Set[[#This Row],[Sell Window Start]], NOW()&lt;=tbl_MTG_Set[[#This Row],[Sell Window End]])</f>
        <v/>
      </c>
      <c r="AG512" s="10" t="n"/>
      <c r="AH512" s="10" t="n"/>
      <c r="AM512" s="10">
        <f t="array" ref="AM5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2" s="10">
        <f t="array" ref="AN5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2" s="4">
        <f>_xlfn.XLOOKUP(tbl_MTG_Set[[#This Row],[Play Booster Box Product Id]], tbl_Product[Product Id], tbl_Product[Pack Size])</f>
        <v/>
      </c>
      <c r="AP512" s="10">
        <f>(tbl_MTG_Set[[#This Row],[Play Booster Box Cost]]+v_Item_Shipping_Cost_In)/tbl_MTG_Set[[#This Row],[Play Booster Box Size]]</f>
        <v/>
      </c>
      <c r="AQ512" s="10">
        <f t="array" ref="AQ5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2" s="10" t="n"/>
      <c r="AS512" s="10" t="n"/>
      <c r="AT512" s="17">
        <f>tbl_MTG_Set[[#This Row],[Play Booster CardMarket Profit]]/tbl_MTG_Set[[#This Row],[Play Booster Cost]]</f>
        <v/>
      </c>
      <c r="AU512" s="10">
        <f>_xlfn.XLOOKUP(tbl_MTG_Set[[#This Row],[Collector Booster Box Product Id]], tbl_Product[Product Id], tbl_Product[Min Cost])</f>
        <v/>
      </c>
      <c r="AV512" s="10">
        <f>_xlfn.XLOOKUP(tbl_MTG_Set[[#This Row],[Collector Booster Box Product Id]], tbl_Product[Product Id], tbl_Product[Best Source])</f>
        <v/>
      </c>
      <c r="AW512" s="4">
        <f>_xlfn.XLOOKUP(tbl_MTG_Set[[#This Row],[Collector Booster Box Product Id]], tbl_Product[Product Id], tbl_Product[Pack Size])</f>
        <v/>
      </c>
      <c r="AX512" s="10">
        <f>(tbl_MTG_Set[[#This Row],[Collector Booster Box Cost]] + v_Item_Shipping_Cost_In) / tbl_MTG_Set[[#This Row],[Collector Booster Box Size]]</f>
        <v/>
      </c>
      <c r="AY512" s="10">
        <f t="array" ref="AY5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2" s="10" t="n"/>
      <c r="BA5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2" s="17">
        <f>tbl_MTG_Set[[#This Row],[Collector Booster CardMarket Profit]]/tbl_MTG_Set[[#This Row],[Collector Booster Cost]]</f>
        <v/>
      </c>
      <c r="BC512" s="10" t="n"/>
      <c r="BF512" s="10">
        <f>tbl_MTG_Set[[#This Row],[Play Booster Sell Price CardMarket]]*tbl_MTG_Set[[#This Row],[Play Booster Expected Market Value]]/tbl_MTG_Set[[#This Row],[Play Boost Sealed Market Value]]</f>
        <v/>
      </c>
      <c r="BG5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2" s="10">
        <f>tbl_MTG_Set[[#This Row],[Play Singles CardMarket Profit]]/tbl_MTG_Set[[#This Row],[Play Booster Cost]]</f>
        <v/>
      </c>
      <c r="BI512" s="10">
        <f>tbl_MTG_Set[[#This Row],[Play Singles CardMarket Profit]]&gt;0</f>
        <v/>
      </c>
      <c r="BJ512" s="10" t="n"/>
      <c r="BK512" s="10" t="n"/>
      <c r="BL512" s="10">
        <f>tbl_MTG_Set[[#This Row],[Collector Booster Sell Price CardMarket]]*tbl_MTG_Set[[#This Row],[Collector Booster Expected Market Value]]/tbl_MTG_Set[[#This Row],[Collector Boost Sealed Market Value]]</f>
        <v/>
      </c>
      <c r="BM5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2" s="10">
        <f>tbl_MTG_Set[[#This Row],[Collector Singles CardMarket Profit]]/tbl_MTG_Set[[#This Row],[Collector Booster Cost]]</f>
        <v/>
      </c>
      <c r="BO512" s="10">
        <f>tbl_MTG_Set[[#This Row],[Collector Singles CardMarket Profit]]&gt;0</f>
        <v/>
      </c>
      <c r="BP5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3">
      <c r="A513" t="n">
        <v>511</v>
      </c>
      <c r="B513" t="inlineStr">
        <is>
          <t>Duel Decks: Merfolk vs. Goblins Tokens TDDT</t>
        </is>
      </c>
      <c r="C513" t="n">
        <v>3</v>
      </c>
      <c r="D513" s="3" t="n">
        <v>43032</v>
      </c>
      <c r="F513" t="inlineStr">
        <is>
          <t>en es fr de it pt ja ko ru 汉语 漢語</t>
        </is>
      </c>
      <c r="G513" t="n">
        <v>968</v>
      </c>
      <c r="H513">
        <f>MONTH(NOW())+12*YEAR(NOW())-MONTH(tbl_MTG_Set[[#This Row],[Released On]])-12*YEAR(tbl_MTG_Set[[#This Row],[Released On]])</f>
        <v/>
      </c>
      <c r="I513">
        <f>_xlfn.XLOOKUP(tbl_MTG_Set[[#This Row],[Type Name]], tbl_MTG_Set_Type[Set Type], tbl_MTG_Set_Type[Index], "(Set Type not found)")</f>
        <v/>
      </c>
      <c r="J513">
        <f>_xlfn.XLOOKUP(tbl_MTG_Set[[#This Row],[Type Name]], tbl_MTG_Set_Type[Set Type], tbl_MTG_Set_Type[Buy Window Month Start], "(Set Type not found)")</f>
        <v/>
      </c>
      <c r="K513" s="3">
        <f>tbl_MTG_Set[[#This Row],[Released On]]+tbl_MTG_Set[[#This Row],[Buy Window Month Start]]*365.25/12</f>
        <v/>
      </c>
      <c r="L513">
        <f>_xlfn.XLOOKUP(tbl_MTG_Set[[#This Row],[Type Name]], tbl_MTG_Set_Type[Set Type], tbl_MTG_Set_Type[Buy Window Month End], "(Set Type not found)", 0, 1)</f>
        <v/>
      </c>
      <c r="M513" s="3">
        <f>tbl_MTG_Set[[#This Row],[Released On]]+tbl_MTG_Set[[#This Row],[Buy Window Month End]]*365.25/12</f>
        <v/>
      </c>
      <c r="N513" s="3">
        <f>AND(NOW()&gt;=tbl_MTG_Set[[#This Row],[Buy Window Start]], NOW()&lt;=tbl_MTG_Set[[#This Row],[Buy Window End]])</f>
        <v/>
      </c>
      <c r="O513">
        <f>_xlfn.XLOOKUP(tbl_MTG_Set[[#This Row],[Type Name]], tbl_MTG_Set_Type[Set Type], tbl_MTG_Set_Type[Heavy Printing Window Month Start], "(Set Type not found)", 0, 1)</f>
        <v/>
      </c>
      <c r="P513" s="3">
        <f>tbl_MTG_Set[[#This Row],[Released On]]+tbl_MTG_Set[[#This Row],[Heavy Printing Window Month Start]]*365.25/12</f>
        <v/>
      </c>
      <c r="Q513">
        <f>_xlfn.XLOOKUP(tbl_MTG_Set[[#This Row],[Type Name]], tbl_MTG_Set_Type[Set Type], tbl_MTG_Set_Type[Heavy Printing Window Month End], "(Set Type not found)", 0, 1)</f>
        <v/>
      </c>
      <c r="R513" s="3">
        <f>tbl_MTG_Set[[#This Row],[Released On]]+tbl_MTG_Set[[#This Row],[Heavy Printing Window Month End]]*365.25/12</f>
        <v/>
      </c>
      <c r="S513" s="3">
        <f>AND(NOW()&gt;=tbl_MTG_Set[[#This Row],[Heavy Printing Window Start]], NOW()&lt;=tbl_MTG_Set[[#This Row],[Heavy Printing Window End]])</f>
        <v/>
      </c>
      <c r="T513">
        <f>_xlfn.XLOOKUP(tbl_MTG_Set[[#This Row],[Type Name]], tbl_MTG_Set_Type[Set Type], tbl_MTG_Set_Type[Sell Window Month Start], "(Set Type not found)", 0, 1)</f>
        <v/>
      </c>
      <c r="U513" s="3">
        <f>tbl_MTG_Set[[#This Row],[Released On]]+tbl_MTG_Set[[#This Row],[Sell Window Month Start]]*365.25/12</f>
        <v/>
      </c>
      <c r="V513">
        <f>_xlfn.XLOOKUP(tbl_MTG_Set[[#This Row],[Type Name]], tbl_MTG_Set_Type[Set Type], tbl_MTG_Set_Type[Sell Window Month End], "(Set Type not found)", 0, 1)</f>
        <v/>
      </c>
      <c r="W513" s="3">
        <f>tbl_MTG_Set[[#This Row],[Released On]]+tbl_MTG_Set[[#This Row],[Sell Window Month End]]*365.25/12</f>
        <v/>
      </c>
      <c r="X513" s="3">
        <f>AND(NOW()&gt;=tbl_MTG_Set[[#This Row],[Sell Window Start]], NOW()&lt;=tbl_MTG_Set[[#This Row],[Sell Window End]])</f>
        <v/>
      </c>
      <c r="AG513" s="10" t="n"/>
      <c r="AH513" s="10" t="n"/>
      <c r="AM513" s="10">
        <f t="array" ref="AM5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3" s="10">
        <f t="array" ref="AN5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3" s="4">
        <f>_xlfn.XLOOKUP(tbl_MTG_Set[[#This Row],[Play Booster Box Product Id]], tbl_Product[Product Id], tbl_Product[Pack Size])</f>
        <v/>
      </c>
      <c r="AP513" s="10">
        <f>(tbl_MTG_Set[[#This Row],[Play Booster Box Cost]]+v_Item_Shipping_Cost_In)/tbl_MTG_Set[[#This Row],[Play Booster Box Size]]</f>
        <v/>
      </c>
      <c r="AQ513" s="10">
        <f t="array" ref="AQ5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3" s="10" t="n"/>
      <c r="AS513" s="10" t="n"/>
      <c r="AT513" s="17">
        <f>tbl_MTG_Set[[#This Row],[Play Booster CardMarket Profit]]/tbl_MTG_Set[[#This Row],[Play Booster Cost]]</f>
        <v/>
      </c>
      <c r="AU513" s="10">
        <f>_xlfn.XLOOKUP(tbl_MTG_Set[[#This Row],[Collector Booster Box Product Id]], tbl_Product[Product Id], tbl_Product[Min Cost])</f>
        <v/>
      </c>
      <c r="AV513" s="10">
        <f>_xlfn.XLOOKUP(tbl_MTG_Set[[#This Row],[Collector Booster Box Product Id]], tbl_Product[Product Id], tbl_Product[Best Source])</f>
        <v/>
      </c>
      <c r="AW513" s="4">
        <f>_xlfn.XLOOKUP(tbl_MTG_Set[[#This Row],[Collector Booster Box Product Id]], tbl_Product[Product Id], tbl_Product[Pack Size])</f>
        <v/>
      </c>
      <c r="AX513" s="10">
        <f>(tbl_MTG_Set[[#This Row],[Collector Booster Box Cost]] + v_Item_Shipping_Cost_In) / tbl_MTG_Set[[#This Row],[Collector Booster Box Size]]</f>
        <v/>
      </c>
      <c r="AY513" s="10">
        <f t="array" ref="AY5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3" s="10" t="n"/>
      <c r="BA5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3" s="17">
        <f>tbl_MTG_Set[[#This Row],[Collector Booster CardMarket Profit]]/tbl_MTG_Set[[#This Row],[Collector Booster Cost]]</f>
        <v/>
      </c>
      <c r="BC513" s="10" t="n"/>
      <c r="BF513" s="10">
        <f>tbl_MTG_Set[[#This Row],[Play Booster Sell Price CardMarket]]*tbl_MTG_Set[[#This Row],[Play Booster Expected Market Value]]/tbl_MTG_Set[[#This Row],[Play Boost Sealed Market Value]]</f>
        <v/>
      </c>
      <c r="BG5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3" s="10">
        <f>tbl_MTG_Set[[#This Row],[Play Singles CardMarket Profit]]/tbl_MTG_Set[[#This Row],[Play Booster Cost]]</f>
        <v/>
      </c>
      <c r="BI513" s="10">
        <f>tbl_MTG_Set[[#This Row],[Play Singles CardMarket Profit]]&gt;0</f>
        <v/>
      </c>
      <c r="BJ513" s="10" t="n"/>
      <c r="BK513" s="10" t="n"/>
      <c r="BL513" s="10">
        <f>tbl_MTG_Set[[#This Row],[Collector Booster Sell Price CardMarket]]*tbl_MTG_Set[[#This Row],[Collector Booster Expected Market Value]]/tbl_MTG_Set[[#This Row],[Collector Boost Sealed Market Value]]</f>
        <v/>
      </c>
      <c r="BM5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3" s="10">
        <f>tbl_MTG_Set[[#This Row],[Collector Singles CardMarket Profit]]/tbl_MTG_Set[[#This Row],[Collector Booster Cost]]</f>
        <v/>
      </c>
      <c r="BO513" s="10">
        <f>tbl_MTG_Set[[#This Row],[Collector Singles CardMarket Profit]]&gt;0</f>
        <v/>
      </c>
      <c r="BP5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4">
      <c r="A514" t="n">
        <v>512</v>
      </c>
      <c r="B514" t="inlineStr">
        <is>
          <t>2017 Gift Pack G17</t>
        </is>
      </c>
      <c r="C514" t="n">
        <v>5</v>
      </c>
      <c r="D514" s="3" t="n">
        <v>43028</v>
      </c>
      <c r="F514" t="inlineStr">
        <is>
          <t>en es fr de it pt ja ko ru 汉语 漢語</t>
        </is>
      </c>
      <c r="G514" t="n">
        <v>970</v>
      </c>
      <c r="H514">
        <f>MONTH(NOW())+12*YEAR(NOW())-MONTH(tbl_MTG_Set[[#This Row],[Released On]])-12*YEAR(tbl_MTG_Set[[#This Row],[Released On]])</f>
        <v/>
      </c>
      <c r="I514">
        <f>_xlfn.XLOOKUP(tbl_MTG_Set[[#This Row],[Type Name]], tbl_MTG_Set_Type[Set Type], tbl_MTG_Set_Type[Index], "(Set Type not found)")</f>
        <v/>
      </c>
      <c r="J514">
        <f>_xlfn.XLOOKUP(tbl_MTG_Set[[#This Row],[Type Name]], tbl_MTG_Set_Type[Set Type], tbl_MTG_Set_Type[Buy Window Month Start], "(Set Type not found)")</f>
        <v/>
      </c>
      <c r="K514" s="3">
        <f>tbl_MTG_Set[[#This Row],[Released On]]+tbl_MTG_Set[[#This Row],[Buy Window Month Start]]*365.25/12</f>
        <v/>
      </c>
      <c r="L514">
        <f>_xlfn.XLOOKUP(tbl_MTG_Set[[#This Row],[Type Name]], tbl_MTG_Set_Type[Set Type], tbl_MTG_Set_Type[Buy Window Month End], "(Set Type not found)", 0, 1)</f>
        <v/>
      </c>
      <c r="M514" s="3">
        <f>tbl_MTG_Set[[#This Row],[Released On]]+tbl_MTG_Set[[#This Row],[Buy Window Month End]]*365.25/12</f>
        <v/>
      </c>
      <c r="N514" s="3">
        <f>AND(NOW()&gt;=tbl_MTG_Set[[#This Row],[Buy Window Start]], NOW()&lt;=tbl_MTG_Set[[#This Row],[Buy Window End]])</f>
        <v/>
      </c>
      <c r="O514">
        <f>_xlfn.XLOOKUP(tbl_MTG_Set[[#This Row],[Type Name]], tbl_MTG_Set_Type[Set Type], tbl_MTG_Set_Type[Heavy Printing Window Month Start], "(Set Type not found)", 0, 1)</f>
        <v/>
      </c>
      <c r="P514" s="3">
        <f>tbl_MTG_Set[[#This Row],[Released On]]+tbl_MTG_Set[[#This Row],[Heavy Printing Window Month Start]]*365.25/12</f>
        <v/>
      </c>
      <c r="Q514">
        <f>_xlfn.XLOOKUP(tbl_MTG_Set[[#This Row],[Type Name]], tbl_MTG_Set_Type[Set Type], tbl_MTG_Set_Type[Heavy Printing Window Month End], "(Set Type not found)", 0, 1)</f>
        <v/>
      </c>
      <c r="R514" s="3">
        <f>tbl_MTG_Set[[#This Row],[Released On]]+tbl_MTG_Set[[#This Row],[Heavy Printing Window Month End]]*365.25/12</f>
        <v/>
      </c>
      <c r="S514" s="3">
        <f>AND(NOW()&gt;=tbl_MTG_Set[[#This Row],[Heavy Printing Window Start]], NOW()&lt;=tbl_MTG_Set[[#This Row],[Heavy Printing Window End]])</f>
        <v/>
      </c>
      <c r="T514">
        <f>_xlfn.XLOOKUP(tbl_MTG_Set[[#This Row],[Type Name]], tbl_MTG_Set_Type[Set Type], tbl_MTG_Set_Type[Sell Window Month Start], "(Set Type not found)", 0, 1)</f>
        <v/>
      </c>
      <c r="U514" s="3">
        <f>tbl_MTG_Set[[#This Row],[Released On]]+tbl_MTG_Set[[#This Row],[Sell Window Month Start]]*365.25/12</f>
        <v/>
      </c>
      <c r="V514">
        <f>_xlfn.XLOOKUP(tbl_MTG_Set[[#This Row],[Type Name]], tbl_MTG_Set_Type[Set Type], tbl_MTG_Set_Type[Sell Window Month End], "(Set Type not found)", 0, 1)</f>
        <v/>
      </c>
      <c r="W514" s="3">
        <f>tbl_MTG_Set[[#This Row],[Released On]]+tbl_MTG_Set[[#This Row],[Sell Window Month End]]*365.25/12</f>
        <v/>
      </c>
      <c r="X514" s="3">
        <f>AND(NOW()&gt;=tbl_MTG_Set[[#This Row],[Sell Window Start]], NOW()&lt;=tbl_MTG_Set[[#This Row],[Sell Window End]])</f>
        <v/>
      </c>
      <c r="AG514" s="10" t="n"/>
      <c r="AH514" s="10" t="n"/>
      <c r="AM514" s="10">
        <f t="array" ref="AM5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4" s="10">
        <f t="array" ref="AN5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4" s="4">
        <f>_xlfn.XLOOKUP(tbl_MTG_Set[[#This Row],[Play Booster Box Product Id]], tbl_Product[Product Id], tbl_Product[Pack Size])</f>
        <v/>
      </c>
      <c r="AP514" s="10">
        <f>(tbl_MTG_Set[[#This Row],[Play Booster Box Cost]]+v_Item_Shipping_Cost_In)/tbl_MTG_Set[[#This Row],[Play Booster Box Size]]</f>
        <v/>
      </c>
      <c r="AQ514" s="10">
        <f t="array" ref="AQ5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4" s="10" t="n"/>
      <c r="AS514" s="10" t="n"/>
      <c r="AT514" s="17">
        <f>tbl_MTG_Set[[#This Row],[Play Booster CardMarket Profit]]/tbl_MTG_Set[[#This Row],[Play Booster Cost]]</f>
        <v/>
      </c>
      <c r="AU514" s="10">
        <f>_xlfn.XLOOKUP(tbl_MTG_Set[[#This Row],[Collector Booster Box Product Id]], tbl_Product[Product Id], tbl_Product[Min Cost])</f>
        <v/>
      </c>
      <c r="AV514" s="10">
        <f>_xlfn.XLOOKUP(tbl_MTG_Set[[#This Row],[Collector Booster Box Product Id]], tbl_Product[Product Id], tbl_Product[Best Source])</f>
        <v/>
      </c>
      <c r="AW514" s="4">
        <f>_xlfn.XLOOKUP(tbl_MTG_Set[[#This Row],[Collector Booster Box Product Id]], tbl_Product[Product Id], tbl_Product[Pack Size])</f>
        <v/>
      </c>
      <c r="AX514" s="10">
        <f>(tbl_MTG_Set[[#This Row],[Collector Booster Box Cost]] + v_Item_Shipping_Cost_In) / tbl_MTG_Set[[#This Row],[Collector Booster Box Size]]</f>
        <v/>
      </c>
      <c r="AY514" s="10">
        <f t="array" ref="AY5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4" s="10" t="n"/>
      <c r="BA5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4" s="17">
        <f>tbl_MTG_Set[[#This Row],[Collector Booster CardMarket Profit]]/tbl_MTG_Set[[#This Row],[Collector Booster Cost]]</f>
        <v/>
      </c>
      <c r="BC514" s="10" t="n"/>
      <c r="BF514" s="10">
        <f>tbl_MTG_Set[[#This Row],[Play Booster Sell Price CardMarket]]*tbl_MTG_Set[[#This Row],[Play Booster Expected Market Value]]/tbl_MTG_Set[[#This Row],[Play Boost Sealed Market Value]]</f>
        <v/>
      </c>
      <c r="BG5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4" s="10">
        <f>tbl_MTG_Set[[#This Row],[Play Singles CardMarket Profit]]/tbl_MTG_Set[[#This Row],[Play Booster Cost]]</f>
        <v/>
      </c>
      <c r="BI514" s="10">
        <f>tbl_MTG_Set[[#This Row],[Play Singles CardMarket Profit]]&gt;0</f>
        <v/>
      </c>
      <c r="BJ514" s="10" t="n"/>
      <c r="BK514" s="10" t="n"/>
      <c r="BL514" s="10">
        <f>tbl_MTG_Set[[#This Row],[Collector Booster Sell Price CardMarket]]*tbl_MTG_Set[[#This Row],[Collector Booster Expected Market Value]]/tbl_MTG_Set[[#This Row],[Collector Boost Sealed Market Value]]</f>
        <v/>
      </c>
      <c r="BM5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4" s="10">
        <f>tbl_MTG_Set[[#This Row],[Collector Singles CardMarket Profit]]/tbl_MTG_Set[[#This Row],[Collector Booster Cost]]</f>
        <v/>
      </c>
      <c r="BO514" s="10">
        <f>tbl_MTG_Set[[#This Row],[Collector Singles CardMarket Profit]]&gt;0</f>
        <v/>
      </c>
      <c r="BP5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5">
      <c r="A515" t="n">
        <v>513</v>
      </c>
      <c r="B515" t="inlineStr">
        <is>
          <t>Ixalan XLN</t>
        </is>
      </c>
      <c r="C515" t="n">
        <v>289</v>
      </c>
      <c r="D515" s="3" t="n">
        <v>43007</v>
      </c>
      <c r="E515" t="inlineStr">
        <is>
          <t>Standard Expansion</t>
        </is>
      </c>
      <c r="F515" t="inlineStr">
        <is>
          <t>en es fr de it pt ja ko ru 汉语 漢語</t>
        </is>
      </c>
      <c r="G515" t="n">
        <v>972</v>
      </c>
      <c r="H515">
        <f>MONTH(NOW())+12*YEAR(NOW())-MONTH(tbl_MTG_Set[[#This Row],[Released On]])-12*YEAR(tbl_MTG_Set[[#This Row],[Released On]])</f>
        <v/>
      </c>
      <c r="I515">
        <f>_xlfn.XLOOKUP(tbl_MTG_Set[[#This Row],[Type Name]], tbl_MTG_Set_Type[Set Type], tbl_MTG_Set_Type[Index], "(Set Type not found)")</f>
        <v/>
      </c>
      <c r="J515">
        <f>_xlfn.XLOOKUP(tbl_MTG_Set[[#This Row],[Type Name]], tbl_MTG_Set_Type[Set Type], tbl_MTG_Set_Type[Buy Window Month Start], "(Set Type not found)")</f>
        <v/>
      </c>
      <c r="K515" s="3">
        <f>tbl_MTG_Set[[#This Row],[Released On]]+tbl_MTG_Set[[#This Row],[Buy Window Month Start]]*365.25/12</f>
        <v/>
      </c>
      <c r="L515">
        <f>_xlfn.XLOOKUP(tbl_MTG_Set[[#This Row],[Type Name]], tbl_MTG_Set_Type[Set Type], tbl_MTG_Set_Type[Buy Window Month End], "(Set Type not found)", 0, 1)</f>
        <v/>
      </c>
      <c r="M515" s="3">
        <f>tbl_MTG_Set[[#This Row],[Released On]]+tbl_MTG_Set[[#This Row],[Buy Window Month End]]*365.25/12</f>
        <v/>
      </c>
      <c r="N515" s="3">
        <f>AND(NOW()&gt;=tbl_MTG_Set[[#This Row],[Buy Window Start]], NOW()&lt;=tbl_MTG_Set[[#This Row],[Buy Window End]])</f>
        <v/>
      </c>
      <c r="O515">
        <f>_xlfn.XLOOKUP(tbl_MTG_Set[[#This Row],[Type Name]], tbl_MTG_Set_Type[Set Type], tbl_MTG_Set_Type[Heavy Printing Window Month Start], "(Set Type not found)", 0, 1)</f>
        <v/>
      </c>
      <c r="P515" s="3">
        <f>tbl_MTG_Set[[#This Row],[Released On]]+tbl_MTG_Set[[#This Row],[Heavy Printing Window Month Start]]*365.25/12</f>
        <v/>
      </c>
      <c r="Q515">
        <f>_xlfn.XLOOKUP(tbl_MTG_Set[[#This Row],[Type Name]], tbl_MTG_Set_Type[Set Type], tbl_MTG_Set_Type[Heavy Printing Window Month End], "(Set Type not found)", 0, 1)</f>
        <v/>
      </c>
      <c r="R515" s="3">
        <f>tbl_MTG_Set[[#This Row],[Released On]]+tbl_MTG_Set[[#This Row],[Heavy Printing Window Month End]]*365.25/12</f>
        <v/>
      </c>
      <c r="S515" s="3">
        <f>AND(NOW()&gt;=tbl_MTG_Set[[#This Row],[Heavy Printing Window Start]], NOW()&lt;=tbl_MTG_Set[[#This Row],[Heavy Printing Window End]])</f>
        <v/>
      </c>
      <c r="T515">
        <f>_xlfn.XLOOKUP(tbl_MTG_Set[[#This Row],[Type Name]], tbl_MTG_Set_Type[Set Type], tbl_MTG_Set_Type[Sell Window Month Start], "(Set Type not found)", 0, 1)</f>
        <v/>
      </c>
      <c r="U515" s="3">
        <f>tbl_MTG_Set[[#This Row],[Released On]]+tbl_MTG_Set[[#This Row],[Sell Window Month Start]]*365.25/12</f>
        <v/>
      </c>
      <c r="V515">
        <f>_xlfn.XLOOKUP(tbl_MTG_Set[[#This Row],[Type Name]], tbl_MTG_Set_Type[Set Type], tbl_MTG_Set_Type[Sell Window Month End], "(Set Type not found)", 0, 1)</f>
        <v/>
      </c>
      <c r="W515" s="3">
        <f>tbl_MTG_Set[[#This Row],[Released On]]+tbl_MTG_Set[[#This Row],[Sell Window Month End]]*365.25/12</f>
        <v/>
      </c>
      <c r="X515" s="3">
        <f>AND(NOW()&gt;=tbl_MTG_Set[[#This Row],[Sell Window Start]], NOW()&lt;=tbl_MTG_Set[[#This Row],[Sell Window End]])</f>
        <v/>
      </c>
      <c r="AG515" s="10" t="n"/>
      <c r="AH515" s="10" t="n"/>
      <c r="AM515" s="10">
        <f t="array" ref="AM5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5" s="10">
        <f t="array" ref="AN5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5" s="4">
        <f>_xlfn.XLOOKUP(tbl_MTG_Set[[#This Row],[Play Booster Box Product Id]], tbl_Product[Product Id], tbl_Product[Pack Size])</f>
        <v/>
      </c>
      <c r="AP515" s="10">
        <f>(tbl_MTG_Set[[#This Row],[Play Booster Box Cost]]+v_Item_Shipping_Cost_In)/tbl_MTG_Set[[#This Row],[Play Booster Box Size]]</f>
        <v/>
      </c>
      <c r="AQ515" s="10">
        <f t="array" ref="AQ5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5" s="10" t="n"/>
      <c r="AS515" s="10" t="n"/>
      <c r="AT515" s="17">
        <f>tbl_MTG_Set[[#This Row],[Play Booster CardMarket Profit]]/tbl_MTG_Set[[#This Row],[Play Booster Cost]]</f>
        <v/>
      </c>
      <c r="AU515" s="10">
        <f>_xlfn.XLOOKUP(tbl_MTG_Set[[#This Row],[Collector Booster Box Product Id]], tbl_Product[Product Id], tbl_Product[Min Cost])</f>
        <v/>
      </c>
      <c r="AV515" s="10">
        <f>_xlfn.XLOOKUP(tbl_MTG_Set[[#This Row],[Collector Booster Box Product Id]], tbl_Product[Product Id], tbl_Product[Best Source])</f>
        <v/>
      </c>
      <c r="AW515" s="4">
        <f>_xlfn.XLOOKUP(tbl_MTG_Set[[#This Row],[Collector Booster Box Product Id]], tbl_Product[Product Id], tbl_Product[Pack Size])</f>
        <v/>
      </c>
      <c r="AX515" s="10">
        <f>(tbl_MTG_Set[[#This Row],[Collector Booster Box Cost]] + v_Item_Shipping_Cost_In) / tbl_MTG_Set[[#This Row],[Collector Booster Box Size]]</f>
        <v/>
      </c>
      <c r="AY515" s="10">
        <f t="array" ref="AY5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5" s="10" t="n"/>
      <c r="BA5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5" s="17">
        <f>tbl_MTG_Set[[#This Row],[Collector Booster CardMarket Profit]]/tbl_MTG_Set[[#This Row],[Collector Booster Cost]]</f>
        <v/>
      </c>
      <c r="BC515" s="10" t="n"/>
      <c r="BF515" s="10">
        <f>tbl_MTG_Set[[#This Row],[Play Booster Sell Price CardMarket]]*tbl_MTG_Set[[#This Row],[Play Booster Expected Market Value]]/tbl_MTG_Set[[#This Row],[Play Boost Sealed Market Value]]</f>
        <v/>
      </c>
      <c r="BG5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5" s="10">
        <f>tbl_MTG_Set[[#This Row],[Play Singles CardMarket Profit]]/tbl_MTG_Set[[#This Row],[Play Booster Cost]]</f>
        <v/>
      </c>
      <c r="BI515" s="10">
        <f>tbl_MTG_Set[[#This Row],[Play Singles CardMarket Profit]]&gt;0</f>
        <v/>
      </c>
      <c r="BJ515" s="10" t="n"/>
      <c r="BK515" s="10" t="n"/>
      <c r="BL515" s="10">
        <f>tbl_MTG_Set[[#This Row],[Collector Booster Sell Price CardMarket]]*tbl_MTG_Set[[#This Row],[Collector Booster Expected Market Value]]/tbl_MTG_Set[[#This Row],[Collector Boost Sealed Market Value]]</f>
        <v/>
      </c>
      <c r="BM5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5" s="10">
        <f>tbl_MTG_Set[[#This Row],[Collector Singles CardMarket Profit]]/tbl_MTG_Set[[#This Row],[Collector Booster Cost]]</f>
        <v/>
      </c>
      <c r="BO515" s="10">
        <f>tbl_MTG_Set[[#This Row],[Collector Singles CardMarket Profit]]&gt;0</f>
        <v/>
      </c>
      <c r="BP5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6">
      <c r="A516" t="n">
        <v>514</v>
      </c>
      <c r="B516" t="inlineStr">
        <is>
          <t>Ixalan Promos PXLN</t>
        </is>
      </c>
      <c r="C516" t="n">
        <v>120</v>
      </c>
      <c r="D516" s="3" t="n">
        <v>43007</v>
      </c>
      <c r="E516" t="inlineStr">
        <is>
          <t>Standard Expansion</t>
        </is>
      </c>
      <c r="F516" t="inlineStr">
        <is>
          <t>en es fr de it pt ja ko ru 汉语 漢語</t>
        </is>
      </c>
      <c r="G516" t="n">
        <v>974</v>
      </c>
      <c r="H516">
        <f>MONTH(NOW())+12*YEAR(NOW())-MONTH(tbl_MTG_Set[[#This Row],[Released On]])-12*YEAR(tbl_MTG_Set[[#This Row],[Released On]])</f>
        <v/>
      </c>
      <c r="I516">
        <f>_xlfn.XLOOKUP(tbl_MTG_Set[[#This Row],[Type Name]], tbl_MTG_Set_Type[Set Type], tbl_MTG_Set_Type[Index], "(Set Type not found)")</f>
        <v/>
      </c>
      <c r="J516">
        <f>_xlfn.XLOOKUP(tbl_MTG_Set[[#This Row],[Type Name]], tbl_MTG_Set_Type[Set Type], tbl_MTG_Set_Type[Buy Window Month Start], "(Set Type not found)")</f>
        <v/>
      </c>
      <c r="K516" s="3">
        <f>tbl_MTG_Set[[#This Row],[Released On]]+tbl_MTG_Set[[#This Row],[Buy Window Month Start]]*365.25/12</f>
        <v/>
      </c>
      <c r="L516">
        <f>_xlfn.XLOOKUP(tbl_MTG_Set[[#This Row],[Type Name]], tbl_MTG_Set_Type[Set Type], tbl_MTG_Set_Type[Buy Window Month End], "(Set Type not found)", 0, 1)</f>
        <v/>
      </c>
      <c r="M516" s="3">
        <f>tbl_MTG_Set[[#This Row],[Released On]]+tbl_MTG_Set[[#This Row],[Buy Window Month End]]*365.25/12</f>
        <v/>
      </c>
      <c r="N516" s="3">
        <f>AND(NOW()&gt;=tbl_MTG_Set[[#This Row],[Buy Window Start]], NOW()&lt;=tbl_MTG_Set[[#This Row],[Buy Window End]])</f>
        <v/>
      </c>
      <c r="O516">
        <f>_xlfn.XLOOKUP(tbl_MTG_Set[[#This Row],[Type Name]], tbl_MTG_Set_Type[Set Type], tbl_MTG_Set_Type[Heavy Printing Window Month Start], "(Set Type not found)", 0, 1)</f>
        <v/>
      </c>
      <c r="P516" s="3">
        <f>tbl_MTG_Set[[#This Row],[Released On]]+tbl_MTG_Set[[#This Row],[Heavy Printing Window Month Start]]*365.25/12</f>
        <v/>
      </c>
      <c r="Q516">
        <f>_xlfn.XLOOKUP(tbl_MTG_Set[[#This Row],[Type Name]], tbl_MTG_Set_Type[Set Type], tbl_MTG_Set_Type[Heavy Printing Window Month End], "(Set Type not found)", 0, 1)</f>
        <v/>
      </c>
      <c r="R516" s="3">
        <f>tbl_MTG_Set[[#This Row],[Released On]]+tbl_MTG_Set[[#This Row],[Heavy Printing Window Month End]]*365.25/12</f>
        <v/>
      </c>
      <c r="S516" s="3">
        <f>AND(NOW()&gt;=tbl_MTG_Set[[#This Row],[Heavy Printing Window Start]], NOW()&lt;=tbl_MTG_Set[[#This Row],[Heavy Printing Window End]])</f>
        <v/>
      </c>
      <c r="T516">
        <f>_xlfn.XLOOKUP(tbl_MTG_Set[[#This Row],[Type Name]], tbl_MTG_Set_Type[Set Type], tbl_MTG_Set_Type[Sell Window Month Start], "(Set Type not found)", 0, 1)</f>
        <v/>
      </c>
      <c r="U516" s="3">
        <f>tbl_MTG_Set[[#This Row],[Released On]]+tbl_MTG_Set[[#This Row],[Sell Window Month Start]]*365.25/12</f>
        <v/>
      </c>
      <c r="V516">
        <f>_xlfn.XLOOKUP(tbl_MTG_Set[[#This Row],[Type Name]], tbl_MTG_Set_Type[Set Type], tbl_MTG_Set_Type[Sell Window Month End], "(Set Type not found)", 0, 1)</f>
        <v/>
      </c>
      <c r="W516" s="3">
        <f>tbl_MTG_Set[[#This Row],[Released On]]+tbl_MTG_Set[[#This Row],[Sell Window Month End]]*365.25/12</f>
        <v/>
      </c>
      <c r="X516" s="3">
        <f>AND(NOW()&gt;=tbl_MTG_Set[[#This Row],[Sell Window Start]], NOW()&lt;=tbl_MTG_Set[[#This Row],[Sell Window End]])</f>
        <v/>
      </c>
      <c r="AG516" s="10" t="n"/>
      <c r="AH516" s="10" t="n"/>
      <c r="AM516" s="10">
        <f t="array" ref="AM5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6" s="10">
        <f t="array" ref="AN5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6" s="4">
        <f>_xlfn.XLOOKUP(tbl_MTG_Set[[#This Row],[Play Booster Box Product Id]], tbl_Product[Product Id], tbl_Product[Pack Size])</f>
        <v/>
      </c>
      <c r="AP516" s="10">
        <f>(tbl_MTG_Set[[#This Row],[Play Booster Box Cost]]+v_Item_Shipping_Cost_In)/tbl_MTG_Set[[#This Row],[Play Booster Box Size]]</f>
        <v/>
      </c>
      <c r="AQ516" s="10">
        <f t="array" ref="AQ5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6" s="10" t="n"/>
      <c r="AS516" s="10" t="n"/>
      <c r="AT516" s="17">
        <f>tbl_MTG_Set[[#This Row],[Play Booster CardMarket Profit]]/tbl_MTG_Set[[#This Row],[Play Booster Cost]]</f>
        <v/>
      </c>
      <c r="AU516" s="10">
        <f>_xlfn.XLOOKUP(tbl_MTG_Set[[#This Row],[Collector Booster Box Product Id]], tbl_Product[Product Id], tbl_Product[Min Cost])</f>
        <v/>
      </c>
      <c r="AV516" s="10">
        <f>_xlfn.XLOOKUP(tbl_MTG_Set[[#This Row],[Collector Booster Box Product Id]], tbl_Product[Product Id], tbl_Product[Best Source])</f>
        <v/>
      </c>
      <c r="AW516" s="4">
        <f>_xlfn.XLOOKUP(tbl_MTG_Set[[#This Row],[Collector Booster Box Product Id]], tbl_Product[Product Id], tbl_Product[Pack Size])</f>
        <v/>
      </c>
      <c r="AX516" s="10">
        <f>(tbl_MTG_Set[[#This Row],[Collector Booster Box Cost]] + v_Item_Shipping_Cost_In) / tbl_MTG_Set[[#This Row],[Collector Booster Box Size]]</f>
        <v/>
      </c>
      <c r="AY516" s="10">
        <f t="array" ref="AY5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6" s="10" t="n"/>
      <c r="BA5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6" s="17">
        <f>tbl_MTG_Set[[#This Row],[Collector Booster CardMarket Profit]]/tbl_MTG_Set[[#This Row],[Collector Booster Cost]]</f>
        <v/>
      </c>
      <c r="BC516" s="10" t="n"/>
      <c r="BF516" s="10">
        <f>tbl_MTG_Set[[#This Row],[Play Booster Sell Price CardMarket]]*tbl_MTG_Set[[#This Row],[Play Booster Expected Market Value]]/tbl_MTG_Set[[#This Row],[Play Boost Sealed Market Value]]</f>
        <v/>
      </c>
      <c r="BG5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6" s="10">
        <f>tbl_MTG_Set[[#This Row],[Play Singles CardMarket Profit]]/tbl_MTG_Set[[#This Row],[Play Booster Cost]]</f>
        <v/>
      </c>
      <c r="BI516" s="10">
        <f>tbl_MTG_Set[[#This Row],[Play Singles CardMarket Profit]]&gt;0</f>
        <v/>
      </c>
      <c r="BJ516" s="10" t="n"/>
      <c r="BK516" s="10" t="n"/>
      <c r="BL516" s="10">
        <f>tbl_MTG_Set[[#This Row],[Collector Booster Sell Price CardMarket]]*tbl_MTG_Set[[#This Row],[Collector Booster Expected Market Value]]/tbl_MTG_Set[[#This Row],[Collector Boost Sealed Market Value]]</f>
        <v/>
      </c>
      <c r="BM5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6" s="10">
        <f>tbl_MTG_Set[[#This Row],[Collector Singles CardMarket Profit]]/tbl_MTG_Set[[#This Row],[Collector Booster Cost]]</f>
        <v/>
      </c>
      <c r="BO516" s="10">
        <f>tbl_MTG_Set[[#This Row],[Collector Singles CardMarket Profit]]&gt;0</f>
        <v/>
      </c>
      <c r="BP5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7">
      <c r="A517" t="n">
        <v>515</v>
      </c>
      <c r="B517" t="inlineStr">
        <is>
          <t>Ixalan Tokens TXLN</t>
        </is>
      </c>
      <c r="C517" t="n">
        <v>11</v>
      </c>
      <c r="D517" s="3" t="n">
        <v>43007</v>
      </c>
      <c r="E517" t="inlineStr">
        <is>
          <t>Standard Expansion</t>
        </is>
      </c>
      <c r="F517" t="inlineStr">
        <is>
          <t>en es fr de it pt ja ko ru 汉语 漢語</t>
        </is>
      </c>
      <c r="G517" t="n">
        <v>976</v>
      </c>
      <c r="H517">
        <f>MONTH(NOW())+12*YEAR(NOW())-MONTH(tbl_MTG_Set[[#This Row],[Released On]])-12*YEAR(tbl_MTG_Set[[#This Row],[Released On]])</f>
        <v/>
      </c>
      <c r="I517">
        <f>_xlfn.XLOOKUP(tbl_MTG_Set[[#This Row],[Type Name]], tbl_MTG_Set_Type[Set Type], tbl_MTG_Set_Type[Index], "(Set Type not found)")</f>
        <v/>
      </c>
      <c r="J517">
        <f>_xlfn.XLOOKUP(tbl_MTG_Set[[#This Row],[Type Name]], tbl_MTG_Set_Type[Set Type], tbl_MTG_Set_Type[Buy Window Month Start], "(Set Type not found)")</f>
        <v/>
      </c>
      <c r="K517" s="3">
        <f>tbl_MTG_Set[[#This Row],[Released On]]+tbl_MTG_Set[[#This Row],[Buy Window Month Start]]*365.25/12</f>
        <v/>
      </c>
      <c r="L517">
        <f>_xlfn.XLOOKUP(tbl_MTG_Set[[#This Row],[Type Name]], tbl_MTG_Set_Type[Set Type], tbl_MTG_Set_Type[Buy Window Month End], "(Set Type not found)", 0, 1)</f>
        <v/>
      </c>
      <c r="M517" s="3">
        <f>tbl_MTG_Set[[#This Row],[Released On]]+tbl_MTG_Set[[#This Row],[Buy Window Month End]]*365.25/12</f>
        <v/>
      </c>
      <c r="N517" s="3">
        <f>AND(NOW()&gt;=tbl_MTG_Set[[#This Row],[Buy Window Start]], NOW()&lt;=tbl_MTG_Set[[#This Row],[Buy Window End]])</f>
        <v/>
      </c>
      <c r="O517">
        <f>_xlfn.XLOOKUP(tbl_MTG_Set[[#This Row],[Type Name]], tbl_MTG_Set_Type[Set Type], tbl_MTG_Set_Type[Heavy Printing Window Month Start], "(Set Type not found)", 0, 1)</f>
        <v/>
      </c>
      <c r="P517" s="3">
        <f>tbl_MTG_Set[[#This Row],[Released On]]+tbl_MTG_Set[[#This Row],[Heavy Printing Window Month Start]]*365.25/12</f>
        <v/>
      </c>
      <c r="Q517">
        <f>_xlfn.XLOOKUP(tbl_MTG_Set[[#This Row],[Type Name]], tbl_MTG_Set_Type[Set Type], tbl_MTG_Set_Type[Heavy Printing Window Month End], "(Set Type not found)", 0, 1)</f>
        <v/>
      </c>
      <c r="R517" s="3">
        <f>tbl_MTG_Set[[#This Row],[Released On]]+tbl_MTG_Set[[#This Row],[Heavy Printing Window Month End]]*365.25/12</f>
        <v/>
      </c>
      <c r="S517" s="3">
        <f>AND(NOW()&gt;=tbl_MTG_Set[[#This Row],[Heavy Printing Window Start]], NOW()&lt;=tbl_MTG_Set[[#This Row],[Heavy Printing Window End]])</f>
        <v/>
      </c>
      <c r="T517">
        <f>_xlfn.XLOOKUP(tbl_MTG_Set[[#This Row],[Type Name]], tbl_MTG_Set_Type[Set Type], tbl_MTG_Set_Type[Sell Window Month Start], "(Set Type not found)", 0, 1)</f>
        <v/>
      </c>
      <c r="U517" s="3">
        <f>tbl_MTG_Set[[#This Row],[Released On]]+tbl_MTG_Set[[#This Row],[Sell Window Month Start]]*365.25/12</f>
        <v/>
      </c>
      <c r="V517">
        <f>_xlfn.XLOOKUP(tbl_MTG_Set[[#This Row],[Type Name]], tbl_MTG_Set_Type[Set Type], tbl_MTG_Set_Type[Sell Window Month End], "(Set Type not found)", 0, 1)</f>
        <v/>
      </c>
      <c r="W517" s="3">
        <f>tbl_MTG_Set[[#This Row],[Released On]]+tbl_MTG_Set[[#This Row],[Sell Window Month End]]*365.25/12</f>
        <v/>
      </c>
      <c r="X517" s="3">
        <f>AND(NOW()&gt;=tbl_MTG_Set[[#This Row],[Sell Window Start]], NOW()&lt;=tbl_MTG_Set[[#This Row],[Sell Window End]])</f>
        <v/>
      </c>
      <c r="AG517" s="10" t="n"/>
      <c r="AH517" s="10" t="n"/>
      <c r="AM517" s="10">
        <f t="array" ref="AM5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7" s="10">
        <f t="array" ref="AN5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7" s="4">
        <f>_xlfn.XLOOKUP(tbl_MTG_Set[[#This Row],[Play Booster Box Product Id]], tbl_Product[Product Id], tbl_Product[Pack Size])</f>
        <v/>
      </c>
      <c r="AP517" s="10">
        <f>(tbl_MTG_Set[[#This Row],[Play Booster Box Cost]]+v_Item_Shipping_Cost_In)/tbl_MTG_Set[[#This Row],[Play Booster Box Size]]</f>
        <v/>
      </c>
      <c r="AQ517" s="10">
        <f t="array" ref="AQ5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7" s="10" t="n"/>
      <c r="AS517" s="10" t="n"/>
      <c r="AT517" s="17">
        <f>tbl_MTG_Set[[#This Row],[Play Booster CardMarket Profit]]/tbl_MTG_Set[[#This Row],[Play Booster Cost]]</f>
        <v/>
      </c>
      <c r="AU517" s="10">
        <f>_xlfn.XLOOKUP(tbl_MTG_Set[[#This Row],[Collector Booster Box Product Id]], tbl_Product[Product Id], tbl_Product[Min Cost])</f>
        <v/>
      </c>
      <c r="AV517" s="10">
        <f>_xlfn.XLOOKUP(tbl_MTG_Set[[#This Row],[Collector Booster Box Product Id]], tbl_Product[Product Id], tbl_Product[Best Source])</f>
        <v/>
      </c>
      <c r="AW517" s="4">
        <f>_xlfn.XLOOKUP(tbl_MTG_Set[[#This Row],[Collector Booster Box Product Id]], tbl_Product[Product Id], tbl_Product[Pack Size])</f>
        <v/>
      </c>
      <c r="AX517" s="10">
        <f>(tbl_MTG_Set[[#This Row],[Collector Booster Box Cost]] + v_Item_Shipping_Cost_In) / tbl_MTG_Set[[#This Row],[Collector Booster Box Size]]</f>
        <v/>
      </c>
      <c r="AY517" s="10">
        <f t="array" ref="AY5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7" s="10" t="n"/>
      <c r="BA5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7" s="17">
        <f>tbl_MTG_Set[[#This Row],[Collector Booster CardMarket Profit]]/tbl_MTG_Set[[#This Row],[Collector Booster Cost]]</f>
        <v/>
      </c>
      <c r="BC517" s="10" t="n"/>
      <c r="BF517" s="10">
        <f>tbl_MTG_Set[[#This Row],[Play Booster Sell Price CardMarket]]*tbl_MTG_Set[[#This Row],[Play Booster Expected Market Value]]/tbl_MTG_Set[[#This Row],[Play Boost Sealed Market Value]]</f>
        <v/>
      </c>
      <c r="BG5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7" s="10">
        <f>tbl_MTG_Set[[#This Row],[Play Singles CardMarket Profit]]/tbl_MTG_Set[[#This Row],[Play Booster Cost]]</f>
        <v/>
      </c>
      <c r="BI517" s="10">
        <f>tbl_MTG_Set[[#This Row],[Play Singles CardMarket Profit]]&gt;0</f>
        <v/>
      </c>
      <c r="BJ517" s="10" t="n"/>
      <c r="BK517" s="10" t="n"/>
      <c r="BL517" s="10">
        <f>tbl_MTG_Set[[#This Row],[Collector Booster Sell Price CardMarket]]*tbl_MTG_Set[[#This Row],[Collector Booster Expected Market Value]]/tbl_MTG_Set[[#This Row],[Collector Boost Sealed Market Value]]</f>
        <v/>
      </c>
      <c r="BM5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7" s="10">
        <f>tbl_MTG_Set[[#This Row],[Collector Singles CardMarket Profit]]/tbl_MTG_Set[[#This Row],[Collector Booster Cost]]</f>
        <v/>
      </c>
      <c r="BO517" s="10">
        <f>tbl_MTG_Set[[#This Row],[Collector Singles CardMarket Profit]]&gt;0</f>
        <v/>
      </c>
      <c r="BP5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8">
      <c r="A518" t="n">
        <v>516</v>
      </c>
      <c r="B518" t="inlineStr">
        <is>
          <t>XLN Treasure Chest PXTC</t>
        </is>
      </c>
      <c r="C518" t="n">
        <v>10</v>
      </c>
      <c r="D518" s="3" t="n">
        <v>43063</v>
      </c>
      <c r="F518" t="inlineStr">
        <is>
          <t>en es fr de it pt ja ko ru 汉语 漢語</t>
        </is>
      </c>
      <c r="G518" t="n">
        <v>978</v>
      </c>
      <c r="H518">
        <f>MONTH(NOW())+12*YEAR(NOW())-MONTH(tbl_MTG_Set[[#This Row],[Released On]])-12*YEAR(tbl_MTG_Set[[#This Row],[Released On]])</f>
        <v/>
      </c>
      <c r="I518">
        <f>_xlfn.XLOOKUP(tbl_MTG_Set[[#This Row],[Type Name]], tbl_MTG_Set_Type[Set Type], tbl_MTG_Set_Type[Index], "(Set Type not found)")</f>
        <v/>
      </c>
      <c r="J518">
        <f>_xlfn.XLOOKUP(tbl_MTG_Set[[#This Row],[Type Name]], tbl_MTG_Set_Type[Set Type], tbl_MTG_Set_Type[Buy Window Month Start], "(Set Type not found)")</f>
        <v/>
      </c>
      <c r="K518" s="3">
        <f>tbl_MTG_Set[[#This Row],[Released On]]+tbl_MTG_Set[[#This Row],[Buy Window Month Start]]*365.25/12</f>
        <v/>
      </c>
      <c r="L518">
        <f>_xlfn.XLOOKUP(tbl_MTG_Set[[#This Row],[Type Name]], tbl_MTG_Set_Type[Set Type], tbl_MTG_Set_Type[Buy Window Month End], "(Set Type not found)", 0, 1)</f>
        <v/>
      </c>
      <c r="M518" s="3">
        <f>tbl_MTG_Set[[#This Row],[Released On]]+tbl_MTG_Set[[#This Row],[Buy Window Month End]]*365.25/12</f>
        <v/>
      </c>
      <c r="N518" s="3">
        <f>AND(NOW()&gt;=tbl_MTG_Set[[#This Row],[Buy Window Start]], NOW()&lt;=tbl_MTG_Set[[#This Row],[Buy Window End]])</f>
        <v/>
      </c>
      <c r="O518">
        <f>_xlfn.XLOOKUP(tbl_MTG_Set[[#This Row],[Type Name]], tbl_MTG_Set_Type[Set Type], tbl_MTG_Set_Type[Heavy Printing Window Month Start], "(Set Type not found)", 0, 1)</f>
        <v/>
      </c>
      <c r="P518" s="3">
        <f>tbl_MTG_Set[[#This Row],[Released On]]+tbl_MTG_Set[[#This Row],[Heavy Printing Window Month Start]]*365.25/12</f>
        <v/>
      </c>
      <c r="Q518">
        <f>_xlfn.XLOOKUP(tbl_MTG_Set[[#This Row],[Type Name]], tbl_MTG_Set_Type[Set Type], tbl_MTG_Set_Type[Heavy Printing Window Month End], "(Set Type not found)", 0, 1)</f>
        <v/>
      </c>
      <c r="R518" s="3">
        <f>tbl_MTG_Set[[#This Row],[Released On]]+tbl_MTG_Set[[#This Row],[Heavy Printing Window Month End]]*365.25/12</f>
        <v/>
      </c>
      <c r="S518" s="3">
        <f>AND(NOW()&gt;=tbl_MTG_Set[[#This Row],[Heavy Printing Window Start]], NOW()&lt;=tbl_MTG_Set[[#This Row],[Heavy Printing Window End]])</f>
        <v/>
      </c>
      <c r="T518">
        <f>_xlfn.XLOOKUP(tbl_MTG_Set[[#This Row],[Type Name]], tbl_MTG_Set_Type[Set Type], tbl_MTG_Set_Type[Sell Window Month Start], "(Set Type not found)", 0, 1)</f>
        <v/>
      </c>
      <c r="U518" s="3">
        <f>tbl_MTG_Set[[#This Row],[Released On]]+tbl_MTG_Set[[#This Row],[Sell Window Month Start]]*365.25/12</f>
        <v/>
      </c>
      <c r="V518">
        <f>_xlfn.XLOOKUP(tbl_MTG_Set[[#This Row],[Type Name]], tbl_MTG_Set_Type[Set Type], tbl_MTG_Set_Type[Sell Window Month End], "(Set Type not found)", 0, 1)</f>
        <v/>
      </c>
      <c r="W518" s="3">
        <f>tbl_MTG_Set[[#This Row],[Released On]]+tbl_MTG_Set[[#This Row],[Sell Window Month End]]*365.25/12</f>
        <v/>
      </c>
      <c r="X518" s="3">
        <f>AND(NOW()&gt;=tbl_MTG_Set[[#This Row],[Sell Window Start]], NOW()&lt;=tbl_MTG_Set[[#This Row],[Sell Window End]])</f>
        <v/>
      </c>
      <c r="AG518" s="10" t="n"/>
      <c r="AH518" s="10" t="n"/>
      <c r="AM518" s="10">
        <f t="array" ref="AM5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8" s="10">
        <f t="array" ref="AN5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8" s="4">
        <f>_xlfn.XLOOKUP(tbl_MTG_Set[[#This Row],[Play Booster Box Product Id]], tbl_Product[Product Id], tbl_Product[Pack Size])</f>
        <v/>
      </c>
      <c r="AP518" s="10">
        <f>(tbl_MTG_Set[[#This Row],[Play Booster Box Cost]]+v_Item_Shipping_Cost_In)/tbl_MTG_Set[[#This Row],[Play Booster Box Size]]</f>
        <v/>
      </c>
      <c r="AQ518" s="10">
        <f t="array" ref="AQ5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8" s="10" t="n"/>
      <c r="AS518" s="10" t="n"/>
      <c r="AT518" s="17">
        <f>tbl_MTG_Set[[#This Row],[Play Booster CardMarket Profit]]/tbl_MTG_Set[[#This Row],[Play Booster Cost]]</f>
        <v/>
      </c>
      <c r="AU518" s="10">
        <f>_xlfn.XLOOKUP(tbl_MTG_Set[[#This Row],[Collector Booster Box Product Id]], tbl_Product[Product Id], tbl_Product[Min Cost])</f>
        <v/>
      </c>
      <c r="AV518" s="10">
        <f>_xlfn.XLOOKUP(tbl_MTG_Set[[#This Row],[Collector Booster Box Product Id]], tbl_Product[Product Id], tbl_Product[Best Source])</f>
        <v/>
      </c>
      <c r="AW518" s="4">
        <f>_xlfn.XLOOKUP(tbl_MTG_Set[[#This Row],[Collector Booster Box Product Id]], tbl_Product[Product Id], tbl_Product[Pack Size])</f>
        <v/>
      </c>
      <c r="AX518" s="10">
        <f>(tbl_MTG_Set[[#This Row],[Collector Booster Box Cost]] + v_Item_Shipping_Cost_In) / tbl_MTG_Set[[#This Row],[Collector Booster Box Size]]</f>
        <v/>
      </c>
      <c r="AY518" s="10">
        <f t="array" ref="AY5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8" s="10" t="n"/>
      <c r="BA5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8" s="17">
        <f>tbl_MTG_Set[[#This Row],[Collector Booster CardMarket Profit]]/tbl_MTG_Set[[#This Row],[Collector Booster Cost]]</f>
        <v/>
      </c>
      <c r="BC518" s="10" t="n"/>
      <c r="BF518" s="10">
        <f>tbl_MTG_Set[[#This Row],[Play Booster Sell Price CardMarket]]*tbl_MTG_Set[[#This Row],[Play Booster Expected Market Value]]/tbl_MTG_Set[[#This Row],[Play Boost Sealed Market Value]]</f>
        <v/>
      </c>
      <c r="BG5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8" s="10">
        <f>tbl_MTG_Set[[#This Row],[Play Singles CardMarket Profit]]/tbl_MTG_Set[[#This Row],[Play Booster Cost]]</f>
        <v/>
      </c>
      <c r="BI518" s="10">
        <f>tbl_MTG_Set[[#This Row],[Play Singles CardMarket Profit]]&gt;0</f>
        <v/>
      </c>
      <c r="BJ518" s="10" t="n"/>
      <c r="BK518" s="10" t="n"/>
      <c r="BL518" s="10">
        <f>tbl_MTG_Set[[#This Row],[Collector Booster Sell Price CardMarket]]*tbl_MTG_Set[[#This Row],[Collector Booster Expected Market Value]]/tbl_MTG_Set[[#This Row],[Collector Boost Sealed Market Value]]</f>
        <v/>
      </c>
      <c r="BM5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8" s="10">
        <f>tbl_MTG_Set[[#This Row],[Collector Singles CardMarket Profit]]/tbl_MTG_Set[[#This Row],[Collector Booster Cost]]</f>
        <v/>
      </c>
      <c r="BO518" s="10">
        <f>tbl_MTG_Set[[#This Row],[Collector Singles CardMarket Profit]]&gt;0</f>
        <v/>
      </c>
      <c r="BP5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9">
      <c r="A519" t="n">
        <v>517</v>
      </c>
      <c r="B519" t="inlineStr">
        <is>
          <t>XLN Standard Showdown PSS2</t>
        </is>
      </c>
      <c r="C519" t="n">
        <v>5</v>
      </c>
      <c r="D519" s="3" t="n">
        <v>43007</v>
      </c>
      <c r="F519" t="inlineStr">
        <is>
          <t>en es fr de it pt ja ko ru 汉语 漢語</t>
        </is>
      </c>
      <c r="G519" t="n">
        <v>980</v>
      </c>
      <c r="H519">
        <f>MONTH(NOW())+12*YEAR(NOW())-MONTH(tbl_MTG_Set[[#This Row],[Released On]])-12*YEAR(tbl_MTG_Set[[#This Row],[Released On]])</f>
        <v/>
      </c>
      <c r="I519">
        <f>_xlfn.XLOOKUP(tbl_MTG_Set[[#This Row],[Type Name]], tbl_MTG_Set_Type[Set Type], tbl_MTG_Set_Type[Index], "(Set Type not found)")</f>
        <v/>
      </c>
      <c r="J519">
        <f>_xlfn.XLOOKUP(tbl_MTG_Set[[#This Row],[Type Name]], tbl_MTG_Set_Type[Set Type], tbl_MTG_Set_Type[Buy Window Month Start], "(Set Type not found)")</f>
        <v/>
      </c>
      <c r="K519" s="3">
        <f>tbl_MTG_Set[[#This Row],[Released On]]+tbl_MTG_Set[[#This Row],[Buy Window Month Start]]*365.25/12</f>
        <v/>
      </c>
      <c r="L519">
        <f>_xlfn.XLOOKUP(tbl_MTG_Set[[#This Row],[Type Name]], tbl_MTG_Set_Type[Set Type], tbl_MTG_Set_Type[Buy Window Month End], "(Set Type not found)", 0, 1)</f>
        <v/>
      </c>
      <c r="M519" s="3">
        <f>tbl_MTG_Set[[#This Row],[Released On]]+tbl_MTG_Set[[#This Row],[Buy Window Month End]]*365.25/12</f>
        <v/>
      </c>
      <c r="N519" s="3">
        <f>AND(NOW()&gt;=tbl_MTG_Set[[#This Row],[Buy Window Start]], NOW()&lt;=tbl_MTG_Set[[#This Row],[Buy Window End]])</f>
        <v/>
      </c>
      <c r="O519">
        <f>_xlfn.XLOOKUP(tbl_MTG_Set[[#This Row],[Type Name]], tbl_MTG_Set_Type[Set Type], tbl_MTG_Set_Type[Heavy Printing Window Month Start], "(Set Type not found)", 0, 1)</f>
        <v/>
      </c>
      <c r="P519" s="3">
        <f>tbl_MTG_Set[[#This Row],[Released On]]+tbl_MTG_Set[[#This Row],[Heavy Printing Window Month Start]]*365.25/12</f>
        <v/>
      </c>
      <c r="Q519">
        <f>_xlfn.XLOOKUP(tbl_MTG_Set[[#This Row],[Type Name]], tbl_MTG_Set_Type[Set Type], tbl_MTG_Set_Type[Heavy Printing Window Month End], "(Set Type not found)", 0, 1)</f>
        <v/>
      </c>
      <c r="R519" s="3">
        <f>tbl_MTG_Set[[#This Row],[Released On]]+tbl_MTG_Set[[#This Row],[Heavy Printing Window Month End]]*365.25/12</f>
        <v/>
      </c>
      <c r="S519" s="3">
        <f>AND(NOW()&gt;=tbl_MTG_Set[[#This Row],[Heavy Printing Window Start]], NOW()&lt;=tbl_MTG_Set[[#This Row],[Heavy Printing Window End]])</f>
        <v/>
      </c>
      <c r="T519">
        <f>_xlfn.XLOOKUP(tbl_MTG_Set[[#This Row],[Type Name]], tbl_MTG_Set_Type[Set Type], tbl_MTG_Set_Type[Sell Window Month Start], "(Set Type not found)", 0, 1)</f>
        <v/>
      </c>
      <c r="U519" s="3">
        <f>tbl_MTG_Set[[#This Row],[Released On]]+tbl_MTG_Set[[#This Row],[Sell Window Month Start]]*365.25/12</f>
        <v/>
      </c>
      <c r="V519">
        <f>_xlfn.XLOOKUP(tbl_MTG_Set[[#This Row],[Type Name]], tbl_MTG_Set_Type[Set Type], tbl_MTG_Set_Type[Sell Window Month End], "(Set Type not found)", 0, 1)</f>
        <v/>
      </c>
      <c r="W519" s="3">
        <f>tbl_MTG_Set[[#This Row],[Released On]]+tbl_MTG_Set[[#This Row],[Sell Window Month End]]*365.25/12</f>
        <v/>
      </c>
      <c r="X519" s="3">
        <f>AND(NOW()&gt;=tbl_MTG_Set[[#This Row],[Sell Window Start]], NOW()&lt;=tbl_MTG_Set[[#This Row],[Sell Window End]])</f>
        <v/>
      </c>
      <c r="AG519" s="10" t="n"/>
      <c r="AH519" s="10" t="n"/>
      <c r="AM519" s="10">
        <f t="array" ref="AM5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9" s="10">
        <f t="array" ref="AN5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9" s="4">
        <f>_xlfn.XLOOKUP(tbl_MTG_Set[[#This Row],[Play Booster Box Product Id]], tbl_Product[Product Id], tbl_Product[Pack Size])</f>
        <v/>
      </c>
      <c r="AP519" s="10">
        <f>(tbl_MTG_Set[[#This Row],[Play Booster Box Cost]]+v_Item_Shipping_Cost_In)/tbl_MTG_Set[[#This Row],[Play Booster Box Size]]</f>
        <v/>
      </c>
      <c r="AQ519" s="10">
        <f t="array" ref="AQ5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19" s="10" t="n"/>
      <c r="AS519" s="10" t="n"/>
      <c r="AT519" s="17">
        <f>tbl_MTG_Set[[#This Row],[Play Booster CardMarket Profit]]/tbl_MTG_Set[[#This Row],[Play Booster Cost]]</f>
        <v/>
      </c>
      <c r="AU519" s="10">
        <f>_xlfn.XLOOKUP(tbl_MTG_Set[[#This Row],[Collector Booster Box Product Id]], tbl_Product[Product Id], tbl_Product[Min Cost])</f>
        <v/>
      </c>
      <c r="AV519" s="10">
        <f>_xlfn.XLOOKUP(tbl_MTG_Set[[#This Row],[Collector Booster Box Product Id]], tbl_Product[Product Id], tbl_Product[Best Source])</f>
        <v/>
      </c>
      <c r="AW519" s="4">
        <f>_xlfn.XLOOKUP(tbl_MTG_Set[[#This Row],[Collector Booster Box Product Id]], tbl_Product[Product Id], tbl_Product[Pack Size])</f>
        <v/>
      </c>
      <c r="AX519" s="10">
        <f>(tbl_MTG_Set[[#This Row],[Collector Booster Box Cost]] + v_Item_Shipping_Cost_In) / tbl_MTG_Set[[#This Row],[Collector Booster Box Size]]</f>
        <v/>
      </c>
      <c r="AY519" s="10">
        <f t="array" ref="AY5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19" s="10" t="n"/>
      <c r="BA5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9" s="17">
        <f>tbl_MTG_Set[[#This Row],[Collector Booster CardMarket Profit]]/tbl_MTG_Set[[#This Row],[Collector Booster Cost]]</f>
        <v/>
      </c>
      <c r="BC519" s="10" t="n"/>
      <c r="BF519" s="10">
        <f>tbl_MTG_Set[[#This Row],[Play Booster Sell Price CardMarket]]*tbl_MTG_Set[[#This Row],[Play Booster Expected Market Value]]/tbl_MTG_Set[[#This Row],[Play Boost Sealed Market Value]]</f>
        <v/>
      </c>
      <c r="BG5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9" s="10">
        <f>tbl_MTG_Set[[#This Row],[Play Singles CardMarket Profit]]/tbl_MTG_Set[[#This Row],[Play Booster Cost]]</f>
        <v/>
      </c>
      <c r="BI519" s="10">
        <f>tbl_MTG_Set[[#This Row],[Play Singles CardMarket Profit]]&gt;0</f>
        <v/>
      </c>
      <c r="BJ519" s="10" t="n"/>
      <c r="BK519" s="10" t="n"/>
      <c r="BL519" s="10">
        <f>tbl_MTG_Set[[#This Row],[Collector Booster Sell Price CardMarket]]*tbl_MTG_Set[[#This Row],[Collector Booster Expected Market Value]]/tbl_MTG_Set[[#This Row],[Collector Boost Sealed Market Value]]</f>
        <v/>
      </c>
      <c r="BM5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9" s="10">
        <f>tbl_MTG_Set[[#This Row],[Collector Singles CardMarket Profit]]/tbl_MTG_Set[[#This Row],[Collector Booster Cost]]</f>
        <v/>
      </c>
      <c r="BO519" s="10">
        <f>tbl_MTG_Set[[#This Row],[Collector Singles CardMarket Profit]]&gt;0</f>
        <v/>
      </c>
      <c r="BP5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0">
      <c r="A520" t="n">
        <v>518</v>
      </c>
      <c r="B520" t="inlineStr">
        <is>
          <t>HasCon 2017 H17</t>
        </is>
      </c>
      <c r="C520" t="n">
        <v>4</v>
      </c>
      <c r="D520" s="3" t="n">
        <v>42998</v>
      </c>
      <c r="F520" t="inlineStr">
        <is>
          <t>en es fr de it pt ja ko ru 汉语 漢語</t>
        </is>
      </c>
      <c r="G520" t="n">
        <v>982</v>
      </c>
      <c r="H520">
        <f>MONTH(NOW())+12*YEAR(NOW())-MONTH(tbl_MTG_Set[[#This Row],[Released On]])-12*YEAR(tbl_MTG_Set[[#This Row],[Released On]])</f>
        <v/>
      </c>
      <c r="I520">
        <f>_xlfn.XLOOKUP(tbl_MTG_Set[[#This Row],[Type Name]], tbl_MTG_Set_Type[Set Type], tbl_MTG_Set_Type[Index], "(Set Type not found)")</f>
        <v/>
      </c>
      <c r="J520">
        <f>_xlfn.XLOOKUP(tbl_MTG_Set[[#This Row],[Type Name]], tbl_MTG_Set_Type[Set Type], tbl_MTG_Set_Type[Buy Window Month Start], "(Set Type not found)")</f>
        <v/>
      </c>
      <c r="K520" s="3">
        <f>tbl_MTG_Set[[#This Row],[Released On]]+tbl_MTG_Set[[#This Row],[Buy Window Month Start]]*365.25/12</f>
        <v/>
      </c>
      <c r="L520">
        <f>_xlfn.XLOOKUP(tbl_MTG_Set[[#This Row],[Type Name]], tbl_MTG_Set_Type[Set Type], tbl_MTG_Set_Type[Buy Window Month End], "(Set Type not found)", 0, 1)</f>
        <v/>
      </c>
      <c r="M520" s="3">
        <f>tbl_MTG_Set[[#This Row],[Released On]]+tbl_MTG_Set[[#This Row],[Buy Window Month End]]*365.25/12</f>
        <v/>
      </c>
      <c r="N520" s="3">
        <f>AND(NOW()&gt;=tbl_MTG_Set[[#This Row],[Buy Window Start]], NOW()&lt;=tbl_MTG_Set[[#This Row],[Buy Window End]])</f>
        <v/>
      </c>
      <c r="O520">
        <f>_xlfn.XLOOKUP(tbl_MTG_Set[[#This Row],[Type Name]], tbl_MTG_Set_Type[Set Type], tbl_MTG_Set_Type[Heavy Printing Window Month Start], "(Set Type not found)", 0, 1)</f>
        <v/>
      </c>
      <c r="P520" s="3">
        <f>tbl_MTG_Set[[#This Row],[Released On]]+tbl_MTG_Set[[#This Row],[Heavy Printing Window Month Start]]*365.25/12</f>
        <v/>
      </c>
      <c r="Q520">
        <f>_xlfn.XLOOKUP(tbl_MTG_Set[[#This Row],[Type Name]], tbl_MTG_Set_Type[Set Type], tbl_MTG_Set_Type[Heavy Printing Window Month End], "(Set Type not found)", 0, 1)</f>
        <v/>
      </c>
      <c r="R520" s="3">
        <f>tbl_MTG_Set[[#This Row],[Released On]]+tbl_MTG_Set[[#This Row],[Heavy Printing Window Month End]]*365.25/12</f>
        <v/>
      </c>
      <c r="S520" s="3">
        <f>AND(NOW()&gt;=tbl_MTG_Set[[#This Row],[Heavy Printing Window Start]], NOW()&lt;=tbl_MTG_Set[[#This Row],[Heavy Printing Window End]])</f>
        <v/>
      </c>
      <c r="T520">
        <f>_xlfn.XLOOKUP(tbl_MTG_Set[[#This Row],[Type Name]], tbl_MTG_Set_Type[Set Type], tbl_MTG_Set_Type[Sell Window Month Start], "(Set Type not found)", 0, 1)</f>
        <v/>
      </c>
      <c r="U520" s="3">
        <f>tbl_MTG_Set[[#This Row],[Released On]]+tbl_MTG_Set[[#This Row],[Sell Window Month Start]]*365.25/12</f>
        <v/>
      </c>
      <c r="V520">
        <f>_xlfn.XLOOKUP(tbl_MTG_Set[[#This Row],[Type Name]], tbl_MTG_Set_Type[Set Type], tbl_MTG_Set_Type[Sell Window Month End], "(Set Type not found)", 0, 1)</f>
        <v/>
      </c>
      <c r="W520" s="3">
        <f>tbl_MTG_Set[[#This Row],[Released On]]+tbl_MTG_Set[[#This Row],[Sell Window Month End]]*365.25/12</f>
        <v/>
      </c>
      <c r="X520" s="3">
        <f>AND(NOW()&gt;=tbl_MTG_Set[[#This Row],[Sell Window Start]], NOW()&lt;=tbl_MTG_Set[[#This Row],[Sell Window End]])</f>
        <v/>
      </c>
      <c r="AG520" s="10" t="n"/>
      <c r="AH520" s="10" t="n"/>
      <c r="AM520" s="10">
        <f t="array" ref="AM5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0" s="10">
        <f t="array" ref="AN5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0" s="4">
        <f>_xlfn.XLOOKUP(tbl_MTG_Set[[#This Row],[Play Booster Box Product Id]], tbl_Product[Product Id], tbl_Product[Pack Size])</f>
        <v/>
      </c>
      <c r="AP520" s="10">
        <f>(tbl_MTG_Set[[#This Row],[Play Booster Box Cost]]+v_Item_Shipping_Cost_In)/tbl_MTG_Set[[#This Row],[Play Booster Box Size]]</f>
        <v/>
      </c>
      <c r="AQ520" s="10">
        <f t="array" ref="AQ5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0" s="10" t="n"/>
      <c r="AS520" s="10" t="n"/>
      <c r="AT520" s="17">
        <f>tbl_MTG_Set[[#This Row],[Play Booster CardMarket Profit]]/tbl_MTG_Set[[#This Row],[Play Booster Cost]]</f>
        <v/>
      </c>
      <c r="AU520" s="10">
        <f>_xlfn.XLOOKUP(tbl_MTG_Set[[#This Row],[Collector Booster Box Product Id]], tbl_Product[Product Id], tbl_Product[Min Cost])</f>
        <v/>
      </c>
      <c r="AV520" s="10">
        <f>_xlfn.XLOOKUP(tbl_MTG_Set[[#This Row],[Collector Booster Box Product Id]], tbl_Product[Product Id], tbl_Product[Best Source])</f>
        <v/>
      </c>
      <c r="AW520" s="4">
        <f>_xlfn.XLOOKUP(tbl_MTG_Set[[#This Row],[Collector Booster Box Product Id]], tbl_Product[Product Id], tbl_Product[Pack Size])</f>
        <v/>
      </c>
      <c r="AX520" s="10">
        <f>(tbl_MTG_Set[[#This Row],[Collector Booster Box Cost]] + v_Item_Shipping_Cost_In) / tbl_MTG_Set[[#This Row],[Collector Booster Box Size]]</f>
        <v/>
      </c>
      <c r="AY520" s="10">
        <f t="array" ref="AY5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0" s="10" t="n"/>
      <c r="BA5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0" s="17">
        <f>tbl_MTG_Set[[#This Row],[Collector Booster CardMarket Profit]]/tbl_MTG_Set[[#This Row],[Collector Booster Cost]]</f>
        <v/>
      </c>
      <c r="BC520" s="10" t="n"/>
      <c r="BF520" s="10">
        <f>tbl_MTG_Set[[#This Row],[Play Booster Sell Price CardMarket]]*tbl_MTG_Set[[#This Row],[Play Booster Expected Market Value]]/tbl_MTG_Set[[#This Row],[Play Boost Sealed Market Value]]</f>
        <v/>
      </c>
      <c r="BG5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0" s="10">
        <f>tbl_MTG_Set[[#This Row],[Play Singles CardMarket Profit]]/tbl_MTG_Set[[#This Row],[Play Booster Cost]]</f>
        <v/>
      </c>
      <c r="BI520" s="10">
        <f>tbl_MTG_Set[[#This Row],[Play Singles CardMarket Profit]]&gt;0</f>
        <v/>
      </c>
      <c r="BJ520" s="10" t="n"/>
      <c r="BK520" s="10" t="n"/>
      <c r="BL520" s="10">
        <f>tbl_MTG_Set[[#This Row],[Collector Booster Sell Price CardMarket]]*tbl_MTG_Set[[#This Row],[Collector Booster Expected Market Value]]/tbl_MTG_Set[[#This Row],[Collector Boost Sealed Market Value]]</f>
        <v/>
      </c>
      <c r="BM5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0" s="10">
        <f>tbl_MTG_Set[[#This Row],[Collector Singles CardMarket Profit]]/tbl_MTG_Set[[#This Row],[Collector Booster Cost]]</f>
        <v/>
      </c>
      <c r="BO520" s="10">
        <f>tbl_MTG_Set[[#This Row],[Collector Singles CardMarket Profit]]&gt;0</f>
        <v/>
      </c>
      <c r="BP5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1">
      <c r="A521" t="n">
        <v>519</v>
      </c>
      <c r="B521" t="inlineStr">
        <is>
          <t>2016 Heroes of the Realm PHTR</t>
        </is>
      </c>
      <c r="C521" t="n">
        <v>3</v>
      </c>
      <c r="D521" s="3" t="n">
        <v>42998</v>
      </c>
      <c r="F521" t="inlineStr">
        <is>
          <t>en es fr de it pt ja ko ru 汉语 漢語</t>
        </is>
      </c>
      <c r="G521" t="n">
        <v>984</v>
      </c>
      <c r="H521">
        <f>MONTH(NOW())+12*YEAR(NOW())-MONTH(tbl_MTG_Set[[#This Row],[Released On]])-12*YEAR(tbl_MTG_Set[[#This Row],[Released On]])</f>
        <v/>
      </c>
      <c r="I521">
        <f>_xlfn.XLOOKUP(tbl_MTG_Set[[#This Row],[Type Name]], tbl_MTG_Set_Type[Set Type], tbl_MTG_Set_Type[Index], "(Set Type not found)")</f>
        <v/>
      </c>
      <c r="J521">
        <f>_xlfn.XLOOKUP(tbl_MTG_Set[[#This Row],[Type Name]], tbl_MTG_Set_Type[Set Type], tbl_MTG_Set_Type[Buy Window Month Start], "(Set Type not found)")</f>
        <v/>
      </c>
      <c r="K521" s="3">
        <f>tbl_MTG_Set[[#This Row],[Released On]]+tbl_MTG_Set[[#This Row],[Buy Window Month Start]]*365.25/12</f>
        <v/>
      </c>
      <c r="L521">
        <f>_xlfn.XLOOKUP(tbl_MTG_Set[[#This Row],[Type Name]], tbl_MTG_Set_Type[Set Type], tbl_MTG_Set_Type[Buy Window Month End], "(Set Type not found)", 0, 1)</f>
        <v/>
      </c>
      <c r="M521" s="3">
        <f>tbl_MTG_Set[[#This Row],[Released On]]+tbl_MTG_Set[[#This Row],[Buy Window Month End]]*365.25/12</f>
        <v/>
      </c>
      <c r="N521" s="3">
        <f>AND(NOW()&gt;=tbl_MTG_Set[[#This Row],[Buy Window Start]], NOW()&lt;=tbl_MTG_Set[[#This Row],[Buy Window End]])</f>
        <v/>
      </c>
      <c r="O521">
        <f>_xlfn.XLOOKUP(tbl_MTG_Set[[#This Row],[Type Name]], tbl_MTG_Set_Type[Set Type], tbl_MTG_Set_Type[Heavy Printing Window Month Start], "(Set Type not found)", 0, 1)</f>
        <v/>
      </c>
      <c r="P521" s="3">
        <f>tbl_MTG_Set[[#This Row],[Released On]]+tbl_MTG_Set[[#This Row],[Heavy Printing Window Month Start]]*365.25/12</f>
        <v/>
      </c>
      <c r="Q521">
        <f>_xlfn.XLOOKUP(tbl_MTG_Set[[#This Row],[Type Name]], tbl_MTG_Set_Type[Set Type], tbl_MTG_Set_Type[Heavy Printing Window Month End], "(Set Type not found)", 0, 1)</f>
        <v/>
      </c>
      <c r="R521" s="3">
        <f>tbl_MTG_Set[[#This Row],[Released On]]+tbl_MTG_Set[[#This Row],[Heavy Printing Window Month End]]*365.25/12</f>
        <v/>
      </c>
      <c r="S521" s="3">
        <f>AND(NOW()&gt;=tbl_MTG_Set[[#This Row],[Heavy Printing Window Start]], NOW()&lt;=tbl_MTG_Set[[#This Row],[Heavy Printing Window End]])</f>
        <v/>
      </c>
      <c r="T521">
        <f>_xlfn.XLOOKUP(tbl_MTG_Set[[#This Row],[Type Name]], tbl_MTG_Set_Type[Set Type], tbl_MTG_Set_Type[Sell Window Month Start], "(Set Type not found)", 0, 1)</f>
        <v/>
      </c>
      <c r="U521" s="3">
        <f>tbl_MTG_Set[[#This Row],[Released On]]+tbl_MTG_Set[[#This Row],[Sell Window Month Start]]*365.25/12</f>
        <v/>
      </c>
      <c r="V521">
        <f>_xlfn.XLOOKUP(tbl_MTG_Set[[#This Row],[Type Name]], tbl_MTG_Set_Type[Set Type], tbl_MTG_Set_Type[Sell Window Month End], "(Set Type not found)", 0, 1)</f>
        <v/>
      </c>
      <c r="W521" s="3">
        <f>tbl_MTG_Set[[#This Row],[Released On]]+tbl_MTG_Set[[#This Row],[Sell Window Month End]]*365.25/12</f>
        <v/>
      </c>
      <c r="X521" s="3">
        <f>AND(NOW()&gt;=tbl_MTG_Set[[#This Row],[Sell Window Start]], NOW()&lt;=tbl_MTG_Set[[#This Row],[Sell Window End]])</f>
        <v/>
      </c>
      <c r="AG521" s="10" t="n"/>
      <c r="AH521" s="10" t="n"/>
      <c r="AM521" s="10">
        <f t="array" ref="AM5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1" s="10">
        <f t="array" ref="AN5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1" s="4">
        <f>_xlfn.XLOOKUP(tbl_MTG_Set[[#This Row],[Play Booster Box Product Id]], tbl_Product[Product Id], tbl_Product[Pack Size])</f>
        <v/>
      </c>
      <c r="AP521" s="10">
        <f>(tbl_MTG_Set[[#This Row],[Play Booster Box Cost]]+v_Item_Shipping_Cost_In)/tbl_MTG_Set[[#This Row],[Play Booster Box Size]]</f>
        <v/>
      </c>
      <c r="AQ521" s="10">
        <f t="array" ref="AQ5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1" s="10" t="n"/>
      <c r="AS521" s="10" t="n"/>
      <c r="AT521" s="17">
        <f>tbl_MTG_Set[[#This Row],[Play Booster CardMarket Profit]]/tbl_MTG_Set[[#This Row],[Play Booster Cost]]</f>
        <v/>
      </c>
      <c r="AU521" s="10">
        <f>_xlfn.XLOOKUP(tbl_MTG_Set[[#This Row],[Collector Booster Box Product Id]], tbl_Product[Product Id], tbl_Product[Min Cost])</f>
        <v/>
      </c>
      <c r="AV521" s="10">
        <f>_xlfn.XLOOKUP(tbl_MTG_Set[[#This Row],[Collector Booster Box Product Id]], tbl_Product[Product Id], tbl_Product[Best Source])</f>
        <v/>
      </c>
      <c r="AW521" s="4">
        <f>_xlfn.XLOOKUP(tbl_MTG_Set[[#This Row],[Collector Booster Box Product Id]], tbl_Product[Product Id], tbl_Product[Pack Size])</f>
        <v/>
      </c>
      <c r="AX521" s="10">
        <f>(tbl_MTG_Set[[#This Row],[Collector Booster Box Cost]] + v_Item_Shipping_Cost_In) / tbl_MTG_Set[[#This Row],[Collector Booster Box Size]]</f>
        <v/>
      </c>
      <c r="AY521" s="10">
        <f t="array" ref="AY5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1" s="10" t="n"/>
      <c r="BA5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1" s="17">
        <f>tbl_MTG_Set[[#This Row],[Collector Booster CardMarket Profit]]/tbl_MTG_Set[[#This Row],[Collector Booster Cost]]</f>
        <v/>
      </c>
      <c r="BC521" s="10" t="n"/>
      <c r="BF521" s="10">
        <f>tbl_MTG_Set[[#This Row],[Play Booster Sell Price CardMarket]]*tbl_MTG_Set[[#This Row],[Play Booster Expected Market Value]]/tbl_MTG_Set[[#This Row],[Play Boost Sealed Market Value]]</f>
        <v/>
      </c>
      <c r="BG5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1" s="10">
        <f>tbl_MTG_Set[[#This Row],[Play Singles CardMarket Profit]]/tbl_MTG_Set[[#This Row],[Play Booster Cost]]</f>
        <v/>
      </c>
      <c r="BI521" s="10">
        <f>tbl_MTG_Set[[#This Row],[Play Singles CardMarket Profit]]&gt;0</f>
        <v/>
      </c>
      <c r="BJ521" s="10" t="n"/>
      <c r="BK521" s="10" t="n"/>
      <c r="BL521" s="10">
        <f>tbl_MTG_Set[[#This Row],[Collector Booster Sell Price CardMarket]]*tbl_MTG_Set[[#This Row],[Collector Booster Expected Market Value]]/tbl_MTG_Set[[#This Row],[Collector Boost Sealed Market Value]]</f>
        <v/>
      </c>
      <c r="BM5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1" s="10">
        <f>tbl_MTG_Set[[#This Row],[Collector Singles CardMarket Profit]]/tbl_MTG_Set[[#This Row],[Collector Booster Cost]]</f>
        <v/>
      </c>
      <c r="BO521" s="10">
        <f>tbl_MTG_Set[[#This Row],[Collector Singles CardMarket Profit]]&gt;0</f>
        <v/>
      </c>
      <c r="BP5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2">
      <c r="A522" t="n">
        <v>520</v>
      </c>
      <c r="B522" t="inlineStr">
        <is>
          <t>Modern Cube MODERN</t>
        </is>
      </c>
      <c r="C522" t="n">
        <v>540</v>
      </c>
      <c r="D522" s="3" t="n">
        <v>42984</v>
      </c>
      <c r="F522" t="n">
        <v>0</v>
      </c>
      <c r="G522" t="n">
        <v>986</v>
      </c>
      <c r="H522">
        <f>MONTH(NOW())+12*YEAR(NOW())-MONTH(tbl_MTG_Set[[#This Row],[Released On]])-12*YEAR(tbl_MTG_Set[[#This Row],[Released On]])</f>
        <v/>
      </c>
      <c r="I522">
        <f>_xlfn.XLOOKUP(tbl_MTG_Set[[#This Row],[Type Name]], tbl_MTG_Set_Type[Set Type], tbl_MTG_Set_Type[Index], "(Set Type not found)")</f>
        <v/>
      </c>
      <c r="J522">
        <f>_xlfn.XLOOKUP(tbl_MTG_Set[[#This Row],[Type Name]], tbl_MTG_Set_Type[Set Type], tbl_MTG_Set_Type[Buy Window Month Start], "(Set Type not found)")</f>
        <v/>
      </c>
      <c r="K522" s="3">
        <f>tbl_MTG_Set[[#This Row],[Released On]]+tbl_MTG_Set[[#This Row],[Buy Window Month Start]]*365.25/12</f>
        <v/>
      </c>
      <c r="L522">
        <f>_xlfn.XLOOKUP(tbl_MTG_Set[[#This Row],[Type Name]], tbl_MTG_Set_Type[Set Type], tbl_MTG_Set_Type[Buy Window Month End], "(Set Type not found)", 0, 1)</f>
        <v/>
      </c>
      <c r="M522" s="3">
        <f>tbl_MTG_Set[[#This Row],[Released On]]+tbl_MTG_Set[[#This Row],[Buy Window Month End]]*365.25/12</f>
        <v/>
      </c>
      <c r="N522" s="3">
        <f>AND(NOW()&gt;=tbl_MTG_Set[[#This Row],[Buy Window Start]], NOW()&lt;=tbl_MTG_Set[[#This Row],[Buy Window End]])</f>
        <v/>
      </c>
      <c r="O522">
        <f>_xlfn.XLOOKUP(tbl_MTG_Set[[#This Row],[Type Name]], tbl_MTG_Set_Type[Set Type], tbl_MTG_Set_Type[Heavy Printing Window Month Start], "(Set Type not found)", 0, 1)</f>
        <v/>
      </c>
      <c r="P522" s="3">
        <f>tbl_MTG_Set[[#This Row],[Released On]]+tbl_MTG_Set[[#This Row],[Heavy Printing Window Month Start]]*365.25/12</f>
        <v/>
      </c>
      <c r="Q522">
        <f>_xlfn.XLOOKUP(tbl_MTG_Set[[#This Row],[Type Name]], tbl_MTG_Set_Type[Set Type], tbl_MTG_Set_Type[Heavy Printing Window Month End], "(Set Type not found)", 0, 1)</f>
        <v/>
      </c>
      <c r="R522" s="3">
        <f>tbl_MTG_Set[[#This Row],[Released On]]+tbl_MTG_Set[[#This Row],[Heavy Printing Window Month End]]*365.25/12</f>
        <v/>
      </c>
      <c r="S522" s="3">
        <f>AND(NOW()&gt;=tbl_MTG_Set[[#This Row],[Heavy Printing Window Start]], NOW()&lt;=tbl_MTG_Set[[#This Row],[Heavy Printing Window End]])</f>
        <v/>
      </c>
      <c r="T522">
        <f>_xlfn.XLOOKUP(tbl_MTG_Set[[#This Row],[Type Name]], tbl_MTG_Set_Type[Set Type], tbl_MTG_Set_Type[Sell Window Month Start], "(Set Type not found)", 0, 1)</f>
        <v/>
      </c>
      <c r="U522" s="3">
        <f>tbl_MTG_Set[[#This Row],[Released On]]+tbl_MTG_Set[[#This Row],[Sell Window Month Start]]*365.25/12</f>
        <v/>
      </c>
      <c r="V522">
        <f>_xlfn.XLOOKUP(tbl_MTG_Set[[#This Row],[Type Name]], tbl_MTG_Set_Type[Set Type], tbl_MTG_Set_Type[Sell Window Month End], "(Set Type not found)", 0, 1)</f>
        <v/>
      </c>
      <c r="W522" s="3">
        <f>tbl_MTG_Set[[#This Row],[Released On]]+tbl_MTG_Set[[#This Row],[Sell Window Month End]]*365.25/12</f>
        <v/>
      </c>
      <c r="X522" s="3">
        <f>AND(NOW()&gt;=tbl_MTG_Set[[#This Row],[Sell Window Start]], NOW()&lt;=tbl_MTG_Set[[#This Row],[Sell Window End]])</f>
        <v/>
      </c>
      <c r="AG522" s="10" t="n"/>
      <c r="AH522" s="10" t="n"/>
      <c r="AM522" s="10">
        <f t="array" ref="AM5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2" s="10">
        <f t="array" ref="AN5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2" s="4">
        <f>_xlfn.XLOOKUP(tbl_MTG_Set[[#This Row],[Play Booster Box Product Id]], tbl_Product[Product Id], tbl_Product[Pack Size])</f>
        <v/>
      </c>
      <c r="AP522" s="10">
        <f>(tbl_MTG_Set[[#This Row],[Play Booster Box Cost]]+v_Item_Shipping_Cost_In)/tbl_MTG_Set[[#This Row],[Play Booster Box Size]]</f>
        <v/>
      </c>
      <c r="AQ522" s="10">
        <f t="array" ref="AQ5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2" s="10" t="n"/>
      <c r="AS522" s="10" t="n"/>
      <c r="AT522" s="17">
        <f>tbl_MTG_Set[[#This Row],[Play Booster CardMarket Profit]]/tbl_MTG_Set[[#This Row],[Play Booster Cost]]</f>
        <v/>
      </c>
      <c r="AU522" s="10">
        <f>_xlfn.XLOOKUP(tbl_MTG_Set[[#This Row],[Collector Booster Box Product Id]], tbl_Product[Product Id], tbl_Product[Min Cost])</f>
        <v/>
      </c>
      <c r="AV522" s="10">
        <f>_xlfn.XLOOKUP(tbl_MTG_Set[[#This Row],[Collector Booster Box Product Id]], tbl_Product[Product Id], tbl_Product[Best Source])</f>
        <v/>
      </c>
      <c r="AW522" s="4">
        <f>_xlfn.XLOOKUP(tbl_MTG_Set[[#This Row],[Collector Booster Box Product Id]], tbl_Product[Product Id], tbl_Product[Pack Size])</f>
        <v/>
      </c>
      <c r="AX522" s="10">
        <f>(tbl_MTG_Set[[#This Row],[Collector Booster Box Cost]] + v_Item_Shipping_Cost_In) / tbl_MTG_Set[[#This Row],[Collector Booster Box Size]]</f>
        <v/>
      </c>
      <c r="AY522" s="10">
        <f t="array" ref="AY5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2" s="10" t="n"/>
      <c r="BA5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2" s="17">
        <f>tbl_MTG_Set[[#This Row],[Collector Booster CardMarket Profit]]/tbl_MTG_Set[[#This Row],[Collector Booster Cost]]</f>
        <v/>
      </c>
      <c r="BC522" s="10" t="n"/>
      <c r="BF522" s="10">
        <f>tbl_MTG_Set[[#This Row],[Play Booster Sell Price CardMarket]]*tbl_MTG_Set[[#This Row],[Play Booster Expected Market Value]]/tbl_MTG_Set[[#This Row],[Play Boost Sealed Market Value]]</f>
        <v/>
      </c>
      <c r="BG5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2" s="10">
        <f>tbl_MTG_Set[[#This Row],[Play Singles CardMarket Profit]]/tbl_MTG_Set[[#This Row],[Play Booster Cost]]</f>
        <v/>
      </c>
      <c r="BI522" s="10">
        <f>tbl_MTG_Set[[#This Row],[Play Singles CardMarket Profit]]&gt;0</f>
        <v/>
      </c>
      <c r="BJ522" s="10" t="n"/>
      <c r="BK522" s="10" t="n"/>
      <c r="BL522" s="10">
        <f>tbl_MTG_Set[[#This Row],[Collector Booster Sell Price CardMarket]]*tbl_MTG_Set[[#This Row],[Collector Booster Expected Market Value]]/tbl_MTG_Set[[#This Row],[Collector Boost Sealed Market Value]]</f>
        <v/>
      </c>
      <c r="BM5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2" s="10">
        <f>tbl_MTG_Set[[#This Row],[Collector Singles CardMarket Profit]]/tbl_MTG_Set[[#This Row],[Collector Booster Cost]]</f>
        <v/>
      </c>
      <c r="BO522" s="10">
        <f>tbl_MTG_Set[[#This Row],[Collector Singles CardMarket Profit]]&gt;0</f>
        <v/>
      </c>
      <c r="BP5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3">
      <c r="A523" t="n">
        <v>521</v>
      </c>
      <c r="B523" t="inlineStr">
        <is>
          <t>Commander 2017 C17</t>
        </is>
      </c>
      <c r="C523" t="n">
        <v>309</v>
      </c>
      <c r="D523" s="3" t="n">
        <v>42972</v>
      </c>
      <c r="F523" t="inlineStr">
        <is>
          <t>en es fr de it pt ja ko ru 汉语 漢語</t>
        </is>
      </c>
      <c r="G523" t="n">
        <v>988</v>
      </c>
      <c r="H523">
        <f>MONTH(NOW())+12*YEAR(NOW())-MONTH(tbl_MTG_Set[[#This Row],[Released On]])-12*YEAR(tbl_MTG_Set[[#This Row],[Released On]])</f>
        <v/>
      </c>
      <c r="I523">
        <f>_xlfn.XLOOKUP(tbl_MTG_Set[[#This Row],[Type Name]], tbl_MTG_Set_Type[Set Type], tbl_MTG_Set_Type[Index], "(Set Type not found)")</f>
        <v/>
      </c>
      <c r="J523">
        <f>_xlfn.XLOOKUP(tbl_MTG_Set[[#This Row],[Type Name]], tbl_MTG_Set_Type[Set Type], tbl_MTG_Set_Type[Buy Window Month Start], "(Set Type not found)")</f>
        <v/>
      </c>
      <c r="K523" s="3">
        <f>tbl_MTG_Set[[#This Row],[Released On]]+tbl_MTG_Set[[#This Row],[Buy Window Month Start]]*365.25/12</f>
        <v/>
      </c>
      <c r="L523">
        <f>_xlfn.XLOOKUP(tbl_MTG_Set[[#This Row],[Type Name]], tbl_MTG_Set_Type[Set Type], tbl_MTG_Set_Type[Buy Window Month End], "(Set Type not found)", 0, 1)</f>
        <v/>
      </c>
      <c r="M523" s="3">
        <f>tbl_MTG_Set[[#This Row],[Released On]]+tbl_MTG_Set[[#This Row],[Buy Window Month End]]*365.25/12</f>
        <v/>
      </c>
      <c r="N523" s="3">
        <f>AND(NOW()&gt;=tbl_MTG_Set[[#This Row],[Buy Window Start]], NOW()&lt;=tbl_MTG_Set[[#This Row],[Buy Window End]])</f>
        <v/>
      </c>
      <c r="O523">
        <f>_xlfn.XLOOKUP(tbl_MTG_Set[[#This Row],[Type Name]], tbl_MTG_Set_Type[Set Type], tbl_MTG_Set_Type[Heavy Printing Window Month Start], "(Set Type not found)", 0, 1)</f>
        <v/>
      </c>
      <c r="P523" s="3">
        <f>tbl_MTG_Set[[#This Row],[Released On]]+tbl_MTG_Set[[#This Row],[Heavy Printing Window Month Start]]*365.25/12</f>
        <v/>
      </c>
      <c r="Q523">
        <f>_xlfn.XLOOKUP(tbl_MTG_Set[[#This Row],[Type Name]], tbl_MTG_Set_Type[Set Type], tbl_MTG_Set_Type[Heavy Printing Window Month End], "(Set Type not found)", 0, 1)</f>
        <v/>
      </c>
      <c r="R523" s="3">
        <f>tbl_MTG_Set[[#This Row],[Released On]]+tbl_MTG_Set[[#This Row],[Heavy Printing Window Month End]]*365.25/12</f>
        <v/>
      </c>
      <c r="S523" s="3">
        <f>AND(NOW()&gt;=tbl_MTG_Set[[#This Row],[Heavy Printing Window Start]], NOW()&lt;=tbl_MTG_Set[[#This Row],[Heavy Printing Window End]])</f>
        <v/>
      </c>
      <c r="T523">
        <f>_xlfn.XLOOKUP(tbl_MTG_Set[[#This Row],[Type Name]], tbl_MTG_Set_Type[Set Type], tbl_MTG_Set_Type[Sell Window Month Start], "(Set Type not found)", 0, 1)</f>
        <v/>
      </c>
      <c r="U523" s="3">
        <f>tbl_MTG_Set[[#This Row],[Released On]]+tbl_MTG_Set[[#This Row],[Sell Window Month Start]]*365.25/12</f>
        <v/>
      </c>
      <c r="V523">
        <f>_xlfn.XLOOKUP(tbl_MTG_Set[[#This Row],[Type Name]], tbl_MTG_Set_Type[Set Type], tbl_MTG_Set_Type[Sell Window Month End], "(Set Type not found)", 0, 1)</f>
        <v/>
      </c>
      <c r="W523" s="3">
        <f>tbl_MTG_Set[[#This Row],[Released On]]+tbl_MTG_Set[[#This Row],[Sell Window Month End]]*365.25/12</f>
        <v/>
      </c>
      <c r="X523" s="3">
        <f>AND(NOW()&gt;=tbl_MTG_Set[[#This Row],[Sell Window Start]], NOW()&lt;=tbl_MTG_Set[[#This Row],[Sell Window End]])</f>
        <v/>
      </c>
      <c r="AG523" s="10" t="n"/>
      <c r="AH523" s="10" t="n"/>
      <c r="AM523" s="10">
        <f t="array" ref="AM5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3" s="10">
        <f t="array" ref="AN5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3" s="4">
        <f>_xlfn.XLOOKUP(tbl_MTG_Set[[#This Row],[Play Booster Box Product Id]], tbl_Product[Product Id], tbl_Product[Pack Size])</f>
        <v/>
      </c>
      <c r="AP523" s="10">
        <f>(tbl_MTG_Set[[#This Row],[Play Booster Box Cost]]+v_Item_Shipping_Cost_In)/tbl_MTG_Set[[#This Row],[Play Booster Box Size]]</f>
        <v/>
      </c>
      <c r="AQ523" s="10">
        <f t="array" ref="AQ5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3" s="10" t="n"/>
      <c r="AS523" s="10" t="n"/>
      <c r="AT523" s="17">
        <f>tbl_MTG_Set[[#This Row],[Play Booster CardMarket Profit]]/tbl_MTG_Set[[#This Row],[Play Booster Cost]]</f>
        <v/>
      </c>
      <c r="AU523" s="10">
        <f>_xlfn.XLOOKUP(tbl_MTG_Set[[#This Row],[Collector Booster Box Product Id]], tbl_Product[Product Id], tbl_Product[Min Cost])</f>
        <v/>
      </c>
      <c r="AV523" s="10">
        <f>_xlfn.XLOOKUP(tbl_MTG_Set[[#This Row],[Collector Booster Box Product Id]], tbl_Product[Product Id], tbl_Product[Best Source])</f>
        <v/>
      </c>
      <c r="AW523" s="4">
        <f>_xlfn.XLOOKUP(tbl_MTG_Set[[#This Row],[Collector Booster Box Product Id]], tbl_Product[Product Id], tbl_Product[Pack Size])</f>
        <v/>
      </c>
      <c r="AX523" s="10">
        <f>(tbl_MTG_Set[[#This Row],[Collector Booster Box Cost]] + v_Item_Shipping_Cost_In) / tbl_MTG_Set[[#This Row],[Collector Booster Box Size]]</f>
        <v/>
      </c>
      <c r="AY523" s="10">
        <f t="array" ref="AY5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3" s="10" t="n"/>
      <c r="BA5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3" s="17">
        <f>tbl_MTG_Set[[#This Row],[Collector Booster CardMarket Profit]]/tbl_MTG_Set[[#This Row],[Collector Booster Cost]]</f>
        <v/>
      </c>
      <c r="BC523" s="10" t="n"/>
      <c r="BF523" s="10">
        <f>tbl_MTG_Set[[#This Row],[Play Booster Sell Price CardMarket]]*tbl_MTG_Set[[#This Row],[Play Booster Expected Market Value]]/tbl_MTG_Set[[#This Row],[Play Boost Sealed Market Value]]</f>
        <v/>
      </c>
      <c r="BG5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3" s="10">
        <f>tbl_MTG_Set[[#This Row],[Play Singles CardMarket Profit]]/tbl_MTG_Set[[#This Row],[Play Booster Cost]]</f>
        <v/>
      </c>
      <c r="BI523" s="10">
        <f>tbl_MTG_Set[[#This Row],[Play Singles CardMarket Profit]]&gt;0</f>
        <v/>
      </c>
      <c r="BJ523" s="10" t="n"/>
      <c r="BK523" s="10" t="n"/>
      <c r="BL523" s="10">
        <f>tbl_MTG_Set[[#This Row],[Collector Booster Sell Price CardMarket]]*tbl_MTG_Set[[#This Row],[Collector Booster Expected Market Value]]/tbl_MTG_Set[[#This Row],[Collector Boost Sealed Market Value]]</f>
        <v/>
      </c>
      <c r="BM5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3" s="10">
        <f>tbl_MTG_Set[[#This Row],[Collector Singles CardMarket Profit]]/tbl_MTG_Set[[#This Row],[Collector Booster Cost]]</f>
        <v/>
      </c>
      <c r="BO523" s="10">
        <f>tbl_MTG_Set[[#This Row],[Collector Singles CardMarket Profit]]&gt;0</f>
        <v/>
      </c>
      <c r="BP5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4">
      <c r="A524" t="n">
        <v>522</v>
      </c>
      <c r="B524" t="inlineStr">
        <is>
          <t>Commander 2017 Tokens TC17</t>
        </is>
      </c>
      <c r="C524" t="n">
        <v>11</v>
      </c>
      <c r="D524" s="3" t="n">
        <v>42972</v>
      </c>
      <c r="F524" t="inlineStr">
        <is>
          <t>en es fr de it pt ja ko ru 汉语 漢語</t>
        </is>
      </c>
      <c r="G524" t="n">
        <v>990</v>
      </c>
      <c r="H524">
        <f>MONTH(NOW())+12*YEAR(NOW())-MONTH(tbl_MTG_Set[[#This Row],[Released On]])-12*YEAR(tbl_MTG_Set[[#This Row],[Released On]])</f>
        <v/>
      </c>
      <c r="I524">
        <f>_xlfn.XLOOKUP(tbl_MTG_Set[[#This Row],[Type Name]], tbl_MTG_Set_Type[Set Type], tbl_MTG_Set_Type[Index], "(Set Type not found)")</f>
        <v/>
      </c>
      <c r="J524">
        <f>_xlfn.XLOOKUP(tbl_MTG_Set[[#This Row],[Type Name]], tbl_MTG_Set_Type[Set Type], tbl_MTG_Set_Type[Buy Window Month Start], "(Set Type not found)")</f>
        <v/>
      </c>
      <c r="K524" s="3">
        <f>tbl_MTG_Set[[#This Row],[Released On]]+tbl_MTG_Set[[#This Row],[Buy Window Month Start]]*365.25/12</f>
        <v/>
      </c>
      <c r="L524">
        <f>_xlfn.XLOOKUP(tbl_MTG_Set[[#This Row],[Type Name]], tbl_MTG_Set_Type[Set Type], tbl_MTG_Set_Type[Buy Window Month End], "(Set Type not found)", 0, 1)</f>
        <v/>
      </c>
      <c r="M524" s="3">
        <f>tbl_MTG_Set[[#This Row],[Released On]]+tbl_MTG_Set[[#This Row],[Buy Window Month End]]*365.25/12</f>
        <v/>
      </c>
      <c r="N524" s="3">
        <f>AND(NOW()&gt;=tbl_MTG_Set[[#This Row],[Buy Window Start]], NOW()&lt;=tbl_MTG_Set[[#This Row],[Buy Window End]])</f>
        <v/>
      </c>
      <c r="O524">
        <f>_xlfn.XLOOKUP(tbl_MTG_Set[[#This Row],[Type Name]], tbl_MTG_Set_Type[Set Type], tbl_MTG_Set_Type[Heavy Printing Window Month Start], "(Set Type not found)", 0, 1)</f>
        <v/>
      </c>
      <c r="P524" s="3">
        <f>tbl_MTG_Set[[#This Row],[Released On]]+tbl_MTG_Set[[#This Row],[Heavy Printing Window Month Start]]*365.25/12</f>
        <v/>
      </c>
      <c r="Q524">
        <f>_xlfn.XLOOKUP(tbl_MTG_Set[[#This Row],[Type Name]], tbl_MTG_Set_Type[Set Type], tbl_MTG_Set_Type[Heavy Printing Window Month End], "(Set Type not found)", 0, 1)</f>
        <v/>
      </c>
      <c r="R524" s="3">
        <f>tbl_MTG_Set[[#This Row],[Released On]]+tbl_MTG_Set[[#This Row],[Heavy Printing Window Month End]]*365.25/12</f>
        <v/>
      </c>
      <c r="S524" s="3">
        <f>AND(NOW()&gt;=tbl_MTG_Set[[#This Row],[Heavy Printing Window Start]], NOW()&lt;=tbl_MTG_Set[[#This Row],[Heavy Printing Window End]])</f>
        <v/>
      </c>
      <c r="T524">
        <f>_xlfn.XLOOKUP(tbl_MTG_Set[[#This Row],[Type Name]], tbl_MTG_Set_Type[Set Type], tbl_MTG_Set_Type[Sell Window Month Start], "(Set Type not found)", 0, 1)</f>
        <v/>
      </c>
      <c r="U524" s="3">
        <f>tbl_MTG_Set[[#This Row],[Released On]]+tbl_MTG_Set[[#This Row],[Sell Window Month Start]]*365.25/12</f>
        <v/>
      </c>
      <c r="V524">
        <f>_xlfn.XLOOKUP(tbl_MTG_Set[[#This Row],[Type Name]], tbl_MTG_Set_Type[Set Type], tbl_MTG_Set_Type[Sell Window Month End], "(Set Type not found)", 0, 1)</f>
        <v/>
      </c>
      <c r="W524" s="3">
        <f>tbl_MTG_Set[[#This Row],[Released On]]+tbl_MTG_Set[[#This Row],[Sell Window Month End]]*365.25/12</f>
        <v/>
      </c>
      <c r="X524" s="3">
        <f>AND(NOW()&gt;=tbl_MTG_Set[[#This Row],[Sell Window Start]], NOW()&lt;=tbl_MTG_Set[[#This Row],[Sell Window End]])</f>
        <v/>
      </c>
      <c r="AG524" s="10" t="n"/>
      <c r="AH524" s="10" t="n"/>
      <c r="AM524" s="10">
        <f t="array" ref="AM5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4" s="10">
        <f t="array" ref="AN5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4" s="4">
        <f>_xlfn.XLOOKUP(tbl_MTG_Set[[#This Row],[Play Booster Box Product Id]], tbl_Product[Product Id], tbl_Product[Pack Size])</f>
        <v/>
      </c>
      <c r="AP524" s="10">
        <f>(tbl_MTG_Set[[#This Row],[Play Booster Box Cost]]+v_Item_Shipping_Cost_In)/tbl_MTG_Set[[#This Row],[Play Booster Box Size]]</f>
        <v/>
      </c>
      <c r="AQ524" s="10">
        <f t="array" ref="AQ5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4" s="10" t="n"/>
      <c r="AS524" s="10" t="n"/>
      <c r="AT524" s="17">
        <f>tbl_MTG_Set[[#This Row],[Play Booster CardMarket Profit]]/tbl_MTG_Set[[#This Row],[Play Booster Cost]]</f>
        <v/>
      </c>
      <c r="AU524" s="10">
        <f>_xlfn.XLOOKUP(tbl_MTG_Set[[#This Row],[Collector Booster Box Product Id]], tbl_Product[Product Id], tbl_Product[Min Cost])</f>
        <v/>
      </c>
      <c r="AV524" s="10">
        <f>_xlfn.XLOOKUP(tbl_MTG_Set[[#This Row],[Collector Booster Box Product Id]], tbl_Product[Product Id], tbl_Product[Best Source])</f>
        <v/>
      </c>
      <c r="AW524" s="4">
        <f>_xlfn.XLOOKUP(tbl_MTG_Set[[#This Row],[Collector Booster Box Product Id]], tbl_Product[Product Id], tbl_Product[Pack Size])</f>
        <v/>
      </c>
      <c r="AX524" s="10">
        <f>(tbl_MTG_Set[[#This Row],[Collector Booster Box Cost]] + v_Item_Shipping_Cost_In) / tbl_MTG_Set[[#This Row],[Collector Booster Box Size]]</f>
        <v/>
      </c>
      <c r="AY524" s="10">
        <f t="array" ref="AY5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4" s="10" t="n"/>
      <c r="BA5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4" s="17">
        <f>tbl_MTG_Set[[#This Row],[Collector Booster CardMarket Profit]]/tbl_MTG_Set[[#This Row],[Collector Booster Cost]]</f>
        <v/>
      </c>
      <c r="BC524" s="10" t="n"/>
      <c r="BF524" s="10">
        <f>tbl_MTG_Set[[#This Row],[Play Booster Sell Price CardMarket]]*tbl_MTG_Set[[#This Row],[Play Booster Expected Market Value]]/tbl_MTG_Set[[#This Row],[Play Boost Sealed Market Value]]</f>
        <v/>
      </c>
      <c r="BG5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4" s="10">
        <f>tbl_MTG_Set[[#This Row],[Play Singles CardMarket Profit]]/tbl_MTG_Set[[#This Row],[Play Booster Cost]]</f>
        <v/>
      </c>
      <c r="BI524" s="10">
        <f>tbl_MTG_Set[[#This Row],[Play Singles CardMarket Profit]]&gt;0</f>
        <v/>
      </c>
      <c r="BJ524" s="10" t="n"/>
      <c r="BK524" s="10" t="n"/>
      <c r="BL524" s="10">
        <f>tbl_MTG_Set[[#This Row],[Collector Booster Sell Price CardMarket]]*tbl_MTG_Set[[#This Row],[Collector Booster Expected Market Value]]/tbl_MTG_Set[[#This Row],[Collector Boost Sealed Market Value]]</f>
        <v/>
      </c>
      <c r="BM5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4" s="10">
        <f>tbl_MTG_Set[[#This Row],[Collector Singles CardMarket Profit]]/tbl_MTG_Set[[#This Row],[Collector Booster Cost]]</f>
        <v/>
      </c>
      <c r="BO524" s="10">
        <f>tbl_MTG_Set[[#This Row],[Collector Singles CardMarket Profit]]&gt;0</f>
        <v/>
      </c>
      <c r="BP5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5">
      <c r="A525" t="n">
        <v>523</v>
      </c>
      <c r="B525" t="inlineStr">
        <is>
          <t>Commander 2017 Oversized OC17</t>
        </is>
      </c>
      <c r="C525" t="n">
        <v>4</v>
      </c>
      <c r="D525" s="3" t="n">
        <v>42972</v>
      </c>
      <c r="F525" t="inlineStr">
        <is>
          <t>en es fr de it pt ja ko ru 汉语 漢語</t>
        </is>
      </c>
      <c r="G525" t="n">
        <v>992</v>
      </c>
      <c r="H525">
        <f>MONTH(NOW())+12*YEAR(NOW())-MONTH(tbl_MTG_Set[[#This Row],[Released On]])-12*YEAR(tbl_MTG_Set[[#This Row],[Released On]])</f>
        <v/>
      </c>
      <c r="I525">
        <f>_xlfn.XLOOKUP(tbl_MTG_Set[[#This Row],[Type Name]], tbl_MTG_Set_Type[Set Type], tbl_MTG_Set_Type[Index], "(Set Type not found)")</f>
        <v/>
      </c>
      <c r="J525">
        <f>_xlfn.XLOOKUP(tbl_MTG_Set[[#This Row],[Type Name]], tbl_MTG_Set_Type[Set Type], tbl_MTG_Set_Type[Buy Window Month Start], "(Set Type not found)")</f>
        <v/>
      </c>
      <c r="K525" s="3">
        <f>tbl_MTG_Set[[#This Row],[Released On]]+tbl_MTG_Set[[#This Row],[Buy Window Month Start]]*365.25/12</f>
        <v/>
      </c>
      <c r="L525">
        <f>_xlfn.XLOOKUP(tbl_MTG_Set[[#This Row],[Type Name]], tbl_MTG_Set_Type[Set Type], tbl_MTG_Set_Type[Buy Window Month End], "(Set Type not found)", 0, 1)</f>
        <v/>
      </c>
      <c r="M525" s="3">
        <f>tbl_MTG_Set[[#This Row],[Released On]]+tbl_MTG_Set[[#This Row],[Buy Window Month End]]*365.25/12</f>
        <v/>
      </c>
      <c r="N525" s="3">
        <f>AND(NOW()&gt;=tbl_MTG_Set[[#This Row],[Buy Window Start]], NOW()&lt;=tbl_MTG_Set[[#This Row],[Buy Window End]])</f>
        <v/>
      </c>
      <c r="O525">
        <f>_xlfn.XLOOKUP(tbl_MTG_Set[[#This Row],[Type Name]], tbl_MTG_Set_Type[Set Type], tbl_MTG_Set_Type[Heavy Printing Window Month Start], "(Set Type not found)", 0, 1)</f>
        <v/>
      </c>
      <c r="P525" s="3">
        <f>tbl_MTG_Set[[#This Row],[Released On]]+tbl_MTG_Set[[#This Row],[Heavy Printing Window Month Start]]*365.25/12</f>
        <v/>
      </c>
      <c r="Q525">
        <f>_xlfn.XLOOKUP(tbl_MTG_Set[[#This Row],[Type Name]], tbl_MTG_Set_Type[Set Type], tbl_MTG_Set_Type[Heavy Printing Window Month End], "(Set Type not found)", 0, 1)</f>
        <v/>
      </c>
      <c r="R525" s="3">
        <f>tbl_MTG_Set[[#This Row],[Released On]]+tbl_MTG_Set[[#This Row],[Heavy Printing Window Month End]]*365.25/12</f>
        <v/>
      </c>
      <c r="S525" s="3">
        <f>AND(NOW()&gt;=tbl_MTG_Set[[#This Row],[Heavy Printing Window Start]], NOW()&lt;=tbl_MTG_Set[[#This Row],[Heavy Printing Window End]])</f>
        <v/>
      </c>
      <c r="T525">
        <f>_xlfn.XLOOKUP(tbl_MTG_Set[[#This Row],[Type Name]], tbl_MTG_Set_Type[Set Type], tbl_MTG_Set_Type[Sell Window Month Start], "(Set Type not found)", 0, 1)</f>
        <v/>
      </c>
      <c r="U525" s="3">
        <f>tbl_MTG_Set[[#This Row],[Released On]]+tbl_MTG_Set[[#This Row],[Sell Window Month Start]]*365.25/12</f>
        <v/>
      </c>
      <c r="V525">
        <f>_xlfn.XLOOKUP(tbl_MTG_Set[[#This Row],[Type Name]], tbl_MTG_Set_Type[Set Type], tbl_MTG_Set_Type[Sell Window Month End], "(Set Type not found)", 0, 1)</f>
        <v/>
      </c>
      <c r="W525" s="3">
        <f>tbl_MTG_Set[[#This Row],[Released On]]+tbl_MTG_Set[[#This Row],[Sell Window Month End]]*365.25/12</f>
        <v/>
      </c>
      <c r="X525" s="3">
        <f>AND(NOW()&gt;=tbl_MTG_Set[[#This Row],[Sell Window Start]], NOW()&lt;=tbl_MTG_Set[[#This Row],[Sell Window End]])</f>
        <v/>
      </c>
      <c r="AG525" s="10" t="n"/>
      <c r="AH525" s="10" t="n"/>
      <c r="AM525" s="10">
        <f t="array" ref="AM5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5" s="10">
        <f t="array" ref="AN5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5" s="4">
        <f>_xlfn.XLOOKUP(tbl_MTG_Set[[#This Row],[Play Booster Box Product Id]], tbl_Product[Product Id], tbl_Product[Pack Size])</f>
        <v/>
      </c>
      <c r="AP525" s="10">
        <f>(tbl_MTG_Set[[#This Row],[Play Booster Box Cost]]+v_Item_Shipping_Cost_In)/tbl_MTG_Set[[#This Row],[Play Booster Box Size]]</f>
        <v/>
      </c>
      <c r="AQ525" s="10">
        <f t="array" ref="AQ5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5" s="10" t="n"/>
      <c r="AS525" s="10" t="n"/>
      <c r="AT525" s="17">
        <f>tbl_MTG_Set[[#This Row],[Play Booster CardMarket Profit]]/tbl_MTG_Set[[#This Row],[Play Booster Cost]]</f>
        <v/>
      </c>
      <c r="AU525" s="10">
        <f>_xlfn.XLOOKUP(tbl_MTG_Set[[#This Row],[Collector Booster Box Product Id]], tbl_Product[Product Id], tbl_Product[Min Cost])</f>
        <v/>
      </c>
      <c r="AV525" s="10">
        <f>_xlfn.XLOOKUP(tbl_MTG_Set[[#This Row],[Collector Booster Box Product Id]], tbl_Product[Product Id], tbl_Product[Best Source])</f>
        <v/>
      </c>
      <c r="AW525" s="4">
        <f>_xlfn.XLOOKUP(tbl_MTG_Set[[#This Row],[Collector Booster Box Product Id]], tbl_Product[Product Id], tbl_Product[Pack Size])</f>
        <v/>
      </c>
      <c r="AX525" s="10">
        <f>(tbl_MTG_Set[[#This Row],[Collector Booster Box Cost]] + v_Item_Shipping_Cost_In) / tbl_MTG_Set[[#This Row],[Collector Booster Box Size]]</f>
        <v/>
      </c>
      <c r="AY525" s="10">
        <f t="array" ref="AY5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5" s="10" t="n"/>
      <c r="BA5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5" s="17">
        <f>tbl_MTG_Set[[#This Row],[Collector Booster CardMarket Profit]]/tbl_MTG_Set[[#This Row],[Collector Booster Cost]]</f>
        <v/>
      </c>
      <c r="BC525" s="10" t="n"/>
      <c r="BF525" s="10">
        <f>tbl_MTG_Set[[#This Row],[Play Booster Sell Price CardMarket]]*tbl_MTG_Set[[#This Row],[Play Booster Expected Market Value]]/tbl_MTG_Set[[#This Row],[Play Boost Sealed Market Value]]</f>
        <v/>
      </c>
      <c r="BG5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5" s="10">
        <f>tbl_MTG_Set[[#This Row],[Play Singles CardMarket Profit]]/tbl_MTG_Set[[#This Row],[Play Booster Cost]]</f>
        <v/>
      </c>
      <c r="BI525" s="10">
        <f>tbl_MTG_Set[[#This Row],[Play Singles CardMarket Profit]]&gt;0</f>
        <v/>
      </c>
      <c r="BJ525" s="10" t="n"/>
      <c r="BK525" s="10" t="n"/>
      <c r="BL525" s="10">
        <f>tbl_MTG_Set[[#This Row],[Collector Booster Sell Price CardMarket]]*tbl_MTG_Set[[#This Row],[Collector Booster Expected Market Value]]/tbl_MTG_Set[[#This Row],[Collector Boost Sealed Market Value]]</f>
        <v/>
      </c>
      <c r="BM5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5" s="10">
        <f>tbl_MTG_Set[[#This Row],[Collector Singles CardMarket Profit]]/tbl_MTG_Set[[#This Row],[Collector Booster Cost]]</f>
        <v/>
      </c>
      <c r="BO525" s="10">
        <f>tbl_MTG_Set[[#This Row],[Collector Singles CardMarket Profit]]&gt;0</f>
        <v/>
      </c>
      <c r="BP5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6">
      <c r="A526" t="n">
        <v>524</v>
      </c>
      <c r="B526" t="inlineStr">
        <is>
          <t>San Diego Comic-Con 2017 PS17</t>
        </is>
      </c>
      <c r="C526" t="n">
        <v>6</v>
      </c>
      <c r="D526" s="3" t="n">
        <v>42936</v>
      </c>
      <c r="F526" t="inlineStr">
        <is>
          <t>en es fr de it pt ja ko ru 汉语 漢語</t>
        </is>
      </c>
      <c r="G526" t="n">
        <v>994</v>
      </c>
      <c r="H526">
        <f>MONTH(NOW())+12*YEAR(NOW())-MONTH(tbl_MTG_Set[[#This Row],[Released On]])-12*YEAR(tbl_MTG_Set[[#This Row],[Released On]])</f>
        <v/>
      </c>
      <c r="I526">
        <f>_xlfn.XLOOKUP(tbl_MTG_Set[[#This Row],[Type Name]], tbl_MTG_Set_Type[Set Type], tbl_MTG_Set_Type[Index], "(Set Type not found)")</f>
        <v/>
      </c>
      <c r="J526">
        <f>_xlfn.XLOOKUP(tbl_MTG_Set[[#This Row],[Type Name]], tbl_MTG_Set_Type[Set Type], tbl_MTG_Set_Type[Buy Window Month Start], "(Set Type not found)")</f>
        <v/>
      </c>
      <c r="K526" s="3">
        <f>tbl_MTG_Set[[#This Row],[Released On]]+tbl_MTG_Set[[#This Row],[Buy Window Month Start]]*365.25/12</f>
        <v/>
      </c>
      <c r="L526">
        <f>_xlfn.XLOOKUP(tbl_MTG_Set[[#This Row],[Type Name]], tbl_MTG_Set_Type[Set Type], tbl_MTG_Set_Type[Buy Window Month End], "(Set Type not found)", 0, 1)</f>
        <v/>
      </c>
      <c r="M526" s="3">
        <f>tbl_MTG_Set[[#This Row],[Released On]]+tbl_MTG_Set[[#This Row],[Buy Window Month End]]*365.25/12</f>
        <v/>
      </c>
      <c r="N526" s="3">
        <f>AND(NOW()&gt;=tbl_MTG_Set[[#This Row],[Buy Window Start]], NOW()&lt;=tbl_MTG_Set[[#This Row],[Buy Window End]])</f>
        <v/>
      </c>
      <c r="O526">
        <f>_xlfn.XLOOKUP(tbl_MTG_Set[[#This Row],[Type Name]], tbl_MTG_Set_Type[Set Type], tbl_MTG_Set_Type[Heavy Printing Window Month Start], "(Set Type not found)", 0, 1)</f>
        <v/>
      </c>
      <c r="P526" s="3">
        <f>tbl_MTG_Set[[#This Row],[Released On]]+tbl_MTG_Set[[#This Row],[Heavy Printing Window Month Start]]*365.25/12</f>
        <v/>
      </c>
      <c r="Q526">
        <f>_xlfn.XLOOKUP(tbl_MTG_Set[[#This Row],[Type Name]], tbl_MTG_Set_Type[Set Type], tbl_MTG_Set_Type[Heavy Printing Window Month End], "(Set Type not found)", 0, 1)</f>
        <v/>
      </c>
      <c r="R526" s="3">
        <f>tbl_MTG_Set[[#This Row],[Released On]]+tbl_MTG_Set[[#This Row],[Heavy Printing Window Month End]]*365.25/12</f>
        <v/>
      </c>
      <c r="S526" s="3">
        <f>AND(NOW()&gt;=tbl_MTG_Set[[#This Row],[Heavy Printing Window Start]], NOW()&lt;=tbl_MTG_Set[[#This Row],[Heavy Printing Window End]])</f>
        <v/>
      </c>
      <c r="T526">
        <f>_xlfn.XLOOKUP(tbl_MTG_Set[[#This Row],[Type Name]], tbl_MTG_Set_Type[Set Type], tbl_MTG_Set_Type[Sell Window Month Start], "(Set Type not found)", 0, 1)</f>
        <v/>
      </c>
      <c r="U526" s="3">
        <f>tbl_MTG_Set[[#This Row],[Released On]]+tbl_MTG_Set[[#This Row],[Sell Window Month Start]]*365.25/12</f>
        <v/>
      </c>
      <c r="V526">
        <f>_xlfn.XLOOKUP(tbl_MTG_Set[[#This Row],[Type Name]], tbl_MTG_Set_Type[Set Type], tbl_MTG_Set_Type[Sell Window Month End], "(Set Type not found)", 0, 1)</f>
        <v/>
      </c>
      <c r="W526" s="3">
        <f>tbl_MTG_Set[[#This Row],[Released On]]+tbl_MTG_Set[[#This Row],[Sell Window Month End]]*365.25/12</f>
        <v/>
      </c>
      <c r="X526" s="3">
        <f>AND(NOW()&gt;=tbl_MTG_Set[[#This Row],[Sell Window Start]], NOW()&lt;=tbl_MTG_Set[[#This Row],[Sell Window End]])</f>
        <v/>
      </c>
      <c r="AG526" s="10" t="n"/>
      <c r="AH526" s="10" t="n"/>
      <c r="AM526" s="10">
        <f t="array" ref="AM5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6" s="10">
        <f t="array" ref="AN5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6" s="4">
        <f>_xlfn.XLOOKUP(tbl_MTG_Set[[#This Row],[Play Booster Box Product Id]], tbl_Product[Product Id], tbl_Product[Pack Size])</f>
        <v/>
      </c>
      <c r="AP526" s="10">
        <f>(tbl_MTG_Set[[#This Row],[Play Booster Box Cost]]+v_Item_Shipping_Cost_In)/tbl_MTG_Set[[#This Row],[Play Booster Box Size]]</f>
        <v/>
      </c>
      <c r="AQ526" s="10">
        <f t="array" ref="AQ5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6" s="10" t="n"/>
      <c r="AS526" s="10" t="n"/>
      <c r="AT526" s="17">
        <f>tbl_MTG_Set[[#This Row],[Play Booster CardMarket Profit]]/tbl_MTG_Set[[#This Row],[Play Booster Cost]]</f>
        <v/>
      </c>
      <c r="AU526" s="10">
        <f>_xlfn.XLOOKUP(tbl_MTG_Set[[#This Row],[Collector Booster Box Product Id]], tbl_Product[Product Id], tbl_Product[Min Cost])</f>
        <v/>
      </c>
      <c r="AV526" s="10">
        <f>_xlfn.XLOOKUP(tbl_MTG_Set[[#This Row],[Collector Booster Box Product Id]], tbl_Product[Product Id], tbl_Product[Best Source])</f>
        <v/>
      </c>
      <c r="AW526" s="4">
        <f>_xlfn.XLOOKUP(tbl_MTG_Set[[#This Row],[Collector Booster Box Product Id]], tbl_Product[Product Id], tbl_Product[Pack Size])</f>
        <v/>
      </c>
      <c r="AX526" s="10">
        <f>(tbl_MTG_Set[[#This Row],[Collector Booster Box Cost]] + v_Item_Shipping_Cost_In) / tbl_MTG_Set[[#This Row],[Collector Booster Box Size]]</f>
        <v/>
      </c>
      <c r="AY526" s="10">
        <f t="array" ref="AY5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6" s="10" t="n"/>
      <c r="BA5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6" s="17">
        <f>tbl_MTG_Set[[#This Row],[Collector Booster CardMarket Profit]]/tbl_MTG_Set[[#This Row],[Collector Booster Cost]]</f>
        <v/>
      </c>
      <c r="BC526" s="10" t="n"/>
      <c r="BF526" s="10">
        <f>tbl_MTG_Set[[#This Row],[Play Booster Sell Price CardMarket]]*tbl_MTG_Set[[#This Row],[Play Booster Expected Market Value]]/tbl_MTG_Set[[#This Row],[Play Boost Sealed Market Value]]</f>
        <v/>
      </c>
      <c r="BG5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6" s="10">
        <f>tbl_MTG_Set[[#This Row],[Play Singles CardMarket Profit]]/tbl_MTG_Set[[#This Row],[Play Booster Cost]]</f>
        <v/>
      </c>
      <c r="BI526" s="10">
        <f>tbl_MTG_Set[[#This Row],[Play Singles CardMarket Profit]]&gt;0</f>
        <v/>
      </c>
      <c r="BJ526" s="10" t="n"/>
      <c r="BK526" s="10" t="n"/>
      <c r="BL526" s="10">
        <f>tbl_MTG_Set[[#This Row],[Collector Booster Sell Price CardMarket]]*tbl_MTG_Set[[#This Row],[Collector Booster Expected Market Value]]/tbl_MTG_Set[[#This Row],[Collector Boost Sealed Market Value]]</f>
        <v/>
      </c>
      <c r="BM5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6" s="10">
        <f>tbl_MTG_Set[[#This Row],[Collector Singles CardMarket Profit]]/tbl_MTG_Set[[#This Row],[Collector Booster Cost]]</f>
        <v/>
      </c>
      <c r="BO526" s="10">
        <f>tbl_MTG_Set[[#This Row],[Collector Singles CardMarket Profit]]&gt;0</f>
        <v/>
      </c>
      <c r="BP5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7">
      <c r="A527" t="n">
        <v>525</v>
      </c>
      <c r="B527" t="inlineStr">
        <is>
          <t>Hour of Devastation HOU</t>
        </is>
      </c>
      <c r="C527" t="n">
        <v>209</v>
      </c>
      <c r="D527" s="3" t="n">
        <v>42930</v>
      </c>
      <c r="F527" t="inlineStr">
        <is>
          <t>en es fr de it pt ja ko ru 汉语 漢語</t>
        </is>
      </c>
      <c r="G527" t="n">
        <v>996</v>
      </c>
      <c r="H527">
        <f>MONTH(NOW())+12*YEAR(NOW())-MONTH(tbl_MTG_Set[[#This Row],[Released On]])-12*YEAR(tbl_MTG_Set[[#This Row],[Released On]])</f>
        <v/>
      </c>
      <c r="I527">
        <f>_xlfn.XLOOKUP(tbl_MTG_Set[[#This Row],[Type Name]], tbl_MTG_Set_Type[Set Type], tbl_MTG_Set_Type[Index], "(Set Type not found)")</f>
        <v/>
      </c>
      <c r="J527">
        <f>_xlfn.XLOOKUP(tbl_MTG_Set[[#This Row],[Type Name]], tbl_MTG_Set_Type[Set Type], tbl_MTG_Set_Type[Buy Window Month Start], "(Set Type not found)")</f>
        <v/>
      </c>
      <c r="K527" s="3">
        <f>tbl_MTG_Set[[#This Row],[Released On]]+tbl_MTG_Set[[#This Row],[Buy Window Month Start]]*365.25/12</f>
        <v/>
      </c>
      <c r="L527">
        <f>_xlfn.XLOOKUP(tbl_MTG_Set[[#This Row],[Type Name]], tbl_MTG_Set_Type[Set Type], tbl_MTG_Set_Type[Buy Window Month End], "(Set Type not found)", 0, 1)</f>
        <v/>
      </c>
      <c r="M527" s="3">
        <f>tbl_MTG_Set[[#This Row],[Released On]]+tbl_MTG_Set[[#This Row],[Buy Window Month End]]*365.25/12</f>
        <v/>
      </c>
      <c r="N527" s="3">
        <f>AND(NOW()&gt;=tbl_MTG_Set[[#This Row],[Buy Window Start]], NOW()&lt;=tbl_MTG_Set[[#This Row],[Buy Window End]])</f>
        <v/>
      </c>
      <c r="O527">
        <f>_xlfn.XLOOKUP(tbl_MTG_Set[[#This Row],[Type Name]], tbl_MTG_Set_Type[Set Type], tbl_MTG_Set_Type[Heavy Printing Window Month Start], "(Set Type not found)", 0, 1)</f>
        <v/>
      </c>
      <c r="P527" s="3">
        <f>tbl_MTG_Set[[#This Row],[Released On]]+tbl_MTG_Set[[#This Row],[Heavy Printing Window Month Start]]*365.25/12</f>
        <v/>
      </c>
      <c r="Q527">
        <f>_xlfn.XLOOKUP(tbl_MTG_Set[[#This Row],[Type Name]], tbl_MTG_Set_Type[Set Type], tbl_MTG_Set_Type[Heavy Printing Window Month End], "(Set Type not found)", 0, 1)</f>
        <v/>
      </c>
      <c r="R527" s="3">
        <f>tbl_MTG_Set[[#This Row],[Released On]]+tbl_MTG_Set[[#This Row],[Heavy Printing Window Month End]]*365.25/12</f>
        <v/>
      </c>
      <c r="S527" s="3">
        <f>AND(NOW()&gt;=tbl_MTG_Set[[#This Row],[Heavy Printing Window Start]], NOW()&lt;=tbl_MTG_Set[[#This Row],[Heavy Printing Window End]])</f>
        <v/>
      </c>
      <c r="T527">
        <f>_xlfn.XLOOKUP(tbl_MTG_Set[[#This Row],[Type Name]], tbl_MTG_Set_Type[Set Type], tbl_MTG_Set_Type[Sell Window Month Start], "(Set Type not found)", 0, 1)</f>
        <v/>
      </c>
      <c r="U527" s="3">
        <f>tbl_MTG_Set[[#This Row],[Released On]]+tbl_MTG_Set[[#This Row],[Sell Window Month Start]]*365.25/12</f>
        <v/>
      </c>
      <c r="V527">
        <f>_xlfn.XLOOKUP(tbl_MTG_Set[[#This Row],[Type Name]], tbl_MTG_Set_Type[Set Type], tbl_MTG_Set_Type[Sell Window Month End], "(Set Type not found)", 0, 1)</f>
        <v/>
      </c>
      <c r="W527" s="3">
        <f>tbl_MTG_Set[[#This Row],[Released On]]+tbl_MTG_Set[[#This Row],[Sell Window Month End]]*365.25/12</f>
        <v/>
      </c>
      <c r="X527" s="3">
        <f>AND(NOW()&gt;=tbl_MTG_Set[[#This Row],[Sell Window Start]], NOW()&lt;=tbl_MTG_Set[[#This Row],[Sell Window End]])</f>
        <v/>
      </c>
      <c r="AG527" s="10" t="n"/>
      <c r="AH527" s="10" t="n"/>
      <c r="AM527" s="10">
        <f t="array" ref="AM5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7" s="10">
        <f t="array" ref="AN5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7" s="4">
        <f>_xlfn.XLOOKUP(tbl_MTG_Set[[#This Row],[Play Booster Box Product Id]], tbl_Product[Product Id], tbl_Product[Pack Size])</f>
        <v/>
      </c>
      <c r="AP527" s="10">
        <f>(tbl_MTG_Set[[#This Row],[Play Booster Box Cost]]+v_Item_Shipping_Cost_In)/tbl_MTG_Set[[#This Row],[Play Booster Box Size]]</f>
        <v/>
      </c>
      <c r="AQ527" s="10">
        <f t="array" ref="AQ5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7" s="10" t="n"/>
      <c r="AS527" s="10" t="n"/>
      <c r="AT527" s="17">
        <f>tbl_MTG_Set[[#This Row],[Play Booster CardMarket Profit]]/tbl_MTG_Set[[#This Row],[Play Booster Cost]]</f>
        <v/>
      </c>
      <c r="AU527" s="10">
        <f>_xlfn.XLOOKUP(tbl_MTG_Set[[#This Row],[Collector Booster Box Product Id]], tbl_Product[Product Id], tbl_Product[Min Cost])</f>
        <v/>
      </c>
      <c r="AV527" s="10">
        <f>_xlfn.XLOOKUP(tbl_MTG_Set[[#This Row],[Collector Booster Box Product Id]], tbl_Product[Product Id], tbl_Product[Best Source])</f>
        <v/>
      </c>
      <c r="AW527" s="4">
        <f>_xlfn.XLOOKUP(tbl_MTG_Set[[#This Row],[Collector Booster Box Product Id]], tbl_Product[Product Id], tbl_Product[Pack Size])</f>
        <v/>
      </c>
      <c r="AX527" s="10">
        <f>(tbl_MTG_Set[[#This Row],[Collector Booster Box Cost]] + v_Item_Shipping_Cost_In) / tbl_MTG_Set[[#This Row],[Collector Booster Box Size]]</f>
        <v/>
      </c>
      <c r="AY527" s="10">
        <f t="array" ref="AY5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7" s="10" t="n"/>
      <c r="BA5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7" s="17">
        <f>tbl_MTG_Set[[#This Row],[Collector Booster CardMarket Profit]]/tbl_MTG_Set[[#This Row],[Collector Booster Cost]]</f>
        <v/>
      </c>
      <c r="BC527" s="10" t="n"/>
      <c r="BF527" s="10">
        <f>tbl_MTG_Set[[#This Row],[Play Booster Sell Price CardMarket]]*tbl_MTG_Set[[#This Row],[Play Booster Expected Market Value]]/tbl_MTG_Set[[#This Row],[Play Boost Sealed Market Value]]</f>
        <v/>
      </c>
      <c r="BG5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7" s="10">
        <f>tbl_MTG_Set[[#This Row],[Play Singles CardMarket Profit]]/tbl_MTG_Set[[#This Row],[Play Booster Cost]]</f>
        <v/>
      </c>
      <c r="BI527" s="10">
        <f>tbl_MTG_Set[[#This Row],[Play Singles CardMarket Profit]]&gt;0</f>
        <v/>
      </c>
      <c r="BJ527" s="10" t="n"/>
      <c r="BK527" s="10" t="n"/>
      <c r="BL527" s="10">
        <f>tbl_MTG_Set[[#This Row],[Collector Booster Sell Price CardMarket]]*tbl_MTG_Set[[#This Row],[Collector Booster Expected Market Value]]/tbl_MTG_Set[[#This Row],[Collector Boost Sealed Market Value]]</f>
        <v/>
      </c>
      <c r="BM5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7" s="10">
        <f>tbl_MTG_Set[[#This Row],[Collector Singles CardMarket Profit]]/tbl_MTG_Set[[#This Row],[Collector Booster Cost]]</f>
        <v/>
      </c>
      <c r="BO527" s="10">
        <f>tbl_MTG_Set[[#This Row],[Collector Singles CardMarket Profit]]&gt;0</f>
        <v/>
      </c>
      <c r="BP5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8">
      <c r="A528" t="n">
        <v>526</v>
      </c>
      <c r="B528" t="inlineStr">
        <is>
          <t>Hour of Devastation Promos PHOU</t>
        </is>
      </c>
      <c r="C528" t="n">
        <v>62</v>
      </c>
      <c r="D528" s="3" t="n">
        <v>42930</v>
      </c>
      <c r="F528" t="inlineStr">
        <is>
          <t>en es fr de it pt ja ko ru 汉语 漢語</t>
        </is>
      </c>
      <c r="G528" t="n">
        <v>998</v>
      </c>
      <c r="H528">
        <f>MONTH(NOW())+12*YEAR(NOW())-MONTH(tbl_MTG_Set[[#This Row],[Released On]])-12*YEAR(tbl_MTG_Set[[#This Row],[Released On]])</f>
        <v/>
      </c>
      <c r="I528">
        <f>_xlfn.XLOOKUP(tbl_MTG_Set[[#This Row],[Type Name]], tbl_MTG_Set_Type[Set Type], tbl_MTG_Set_Type[Index], "(Set Type not found)")</f>
        <v/>
      </c>
      <c r="J528">
        <f>_xlfn.XLOOKUP(tbl_MTG_Set[[#This Row],[Type Name]], tbl_MTG_Set_Type[Set Type], tbl_MTG_Set_Type[Buy Window Month Start], "(Set Type not found)")</f>
        <v/>
      </c>
      <c r="K528" s="3">
        <f>tbl_MTG_Set[[#This Row],[Released On]]+tbl_MTG_Set[[#This Row],[Buy Window Month Start]]*365.25/12</f>
        <v/>
      </c>
      <c r="L528">
        <f>_xlfn.XLOOKUP(tbl_MTG_Set[[#This Row],[Type Name]], tbl_MTG_Set_Type[Set Type], tbl_MTG_Set_Type[Buy Window Month End], "(Set Type not found)", 0, 1)</f>
        <v/>
      </c>
      <c r="M528" s="3">
        <f>tbl_MTG_Set[[#This Row],[Released On]]+tbl_MTG_Set[[#This Row],[Buy Window Month End]]*365.25/12</f>
        <v/>
      </c>
      <c r="N528" s="3">
        <f>AND(NOW()&gt;=tbl_MTG_Set[[#This Row],[Buy Window Start]], NOW()&lt;=tbl_MTG_Set[[#This Row],[Buy Window End]])</f>
        <v/>
      </c>
      <c r="O528">
        <f>_xlfn.XLOOKUP(tbl_MTG_Set[[#This Row],[Type Name]], tbl_MTG_Set_Type[Set Type], tbl_MTG_Set_Type[Heavy Printing Window Month Start], "(Set Type not found)", 0, 1)</f>
        <v/>
      </c>
      <c r="P528" s="3">
        <f>tbl_MTG_Set[[#This Row],[Released On]]+tbl_MTG_Set[[#This Row],[Heavy Printing Window Month Start]]*365.25/12</f>
        <v/>
      </c>
      <c r="Q528">
        <f>_xlfn.XLOOKUP(tbl_MTG_Set[[#This Row],[Type Name]], tbl_MTG_Set_Type[Set Type], tbl_MTG_Set_Type[Heavy Printing Window Month End], "(Set Type not found)", 0, 1)</f>
        <v/>
      </c>
      <c r="R528" s="3">
        <f>tbl_MTG_Set[[#This Row],[Released On]]+tbl_MTG_Set[[#This Row],[Heavy Printing Window Month End]]*365.25/12</f>
        <v/>
      </c>
      <c r="S528" s="3">
        <f>AND(NOW()&gt;=tbl_MTG_Set[[#This Row],[Heavy Printing Window Start]], NOW()&lt;=tbl_MTG_Set[[#This Row],[Heavy Printing Window End]])</f>
        <v/>
      </c>
      <c r="T528">
        <f>_xlfn.XLOOKUP(tbl_MTG_Set[[#This Row],[Type Name]], tbl_MTG_Set_Type[Set Type], tbl_MTG_Set_Type[Sell Window Month Start], "(Set Type not found)", 0, 1)</f>
        <v/>
      </c>
      <c r="U528" s="3">
        <f>tbl_MTG_Set[[#This Row],[Released On]]+tbl_MTG_Set[[#This Row],[Sell Window Month Start]]*365.25/12</f>
        <v/>
      </c>
      <c r="V528">
        <f>_xlfn.XLOOKUP(tbl_MTG_Set[[#This Row],[Type Name]], tbl_MTG_Set_Type[Set Type], tbl_MTG_Set_Type[Sell Window Month End], "(Set Type not found)", 0, 1)</f>
        <v/>
      </c>
      <c r="W528" s="3">
        <f>tbl_MTG_Set[[#This Row],[Released On]]+tbl_MTG_Set[[#This Row],[Sell Window Month End]]*365.25/12</f>
        <v/>
      </c>
      <c r="X528" s="3">
        <f>AND(NOW()&gt;=tbl_MTG_Set[[#This Row],[Sell Window Start]], NOW()&lt;=tbl_MTG_Set[[#This Row],[Sell Window End]])</f>
        <v/>
      </c>
      <c r="AG528" s="10" t="n"/>
      <c r="AH528" s="10" t="n"/>
      <c r="AM528" s="10">
        <f t="array" ref="AM5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8" s="10">
        <f t="array" ref="AN5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8" s="4">
        <f>_xlfn.XLOOKUP(tbl_MTG_Set[[#This Row],[Play Booster Box Product Id]], tbl_Product[Product Id], tbl_Product[Pack Size])</f>
        <v/>
      </c>
      <c r="AP528" s="10">
        <f>(tbl_MTG_Set[[#This Row],[Play Booster Box Cost]]+v_Item_Shipping_Cost_In)/tbl_MTG_Set[[#This Row],[Play Booster Box Size]]</f>
        <v/>
      </c>
      <c r="AQ528" s="10">
        <f t="array" ref="AQ5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8" s="10" t="n"/>
      <c r="AS528" s="10" t="n"/>
      <c r="AT528" s="17">
        <f>tbl_MTG_Set[[#This Row],[Play Booster CardMarket Profit]]/tbl_MTG_Set[[#This Row],[Play Booster Cost]]</f>
        <v/>
      </c>
      <c r="AU528" s="10">
        <f>_xlfn.XLOOKUP(tbl_MTG_Set[[#This Row],[Collector Booster Box Product Id]], tbl_Product[Product Id], tbl_Product[Min Cost])</f>
        <v/>
      </c>
      <c r="AV528" s="10">
        <f>_xlfn.XLOOKUP(tbl_MTG_Set[[#This Row],[Collector Booster Box Product Id]], tbl_Product[Product Id], tbl_Product[Best Source])</f>
        <v/>
      </c>
      <c r="AW528" s="4">
        <f>_xlfn.XLOOKUP(tbl_MTG_Set[[#This Row],[Collector Booster Box Product Id]], tbl_Product[Product Id], tbl_Product[Pack Size])</f>
        <v/>
      </c>
      <c r="AX528" s="10">
        <f>(tbl_MTG_Set[[#This Row],[Collector Booster Box Cost]] + v_Item_Shipping_Cost_In) / tbl_MTG_Set[[#This Row],[Collector Booster Box Size]]</f>
        <v/>
      </c>
      <c r="AY528" s="10">
        <f t="array" ref="AY5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8" s="10" t="n"/>
      <c r="BA5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8" s="17">
        <f>tbl_MTG_Set[[#This Row],[Collector Booster CardMarket Profit]]/tbl_MTG_Set[[#This Row],[Collector Booster Cost]]</f>
        <v/>
      </c>
      <c r="BC528" s="10" t="n"/>
      <c r="BF528" s="10">
        <f>tbl_MTG_Set[[#This Row],[Play Booster Sell Price CardMarket]]*tbl_MTG_Set[[#This Row],[Play Booster Expected Market Value]]/tbl_MTG_Set[[#This Row],[Play Boost Sealed Market Value]]</f>
        <v/>
      </c>
      <c r="BG5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8" s="10">
        <f>tbl_MTG_Set[[#This Row],[Play Singles CardMarket Profit]]/tbl_MTG_Set[[#This Row],[Play Booster Cost]]</f>
        <v/>
      </c>
      <c r="BI528" s="10">
        <f>tbl_MTG_Set[[#This Row],[Play Singles CardMarket Profit]]&gt;0</f>
        <v/>
      </c>
      <c r="BJ528" s="10" t="n"/>
      <c r="BK528" s="10" t="n"/>
      <c r="BL528" s="10">
        <f>tbl_MTG_Set[[#This Row],[Collector Booster Sell Price CardMarket]]*tbl_MTG_Set[[#This Row],[Collector Booster Expected Market Value]]/tbl_MTG_Set[[#This Row],[Collector Boost Sealed Market Value]]</f>
        <v/>
      </c>
      <c r="BM5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8" s="10">
        <f>tbl_MTG_Set[[#This Row],[Collector Singles CardMarket Profit]]/tbl_MTG_Set[[#This Row],[Collector Booster Cost]]</f>
        <v/>
      </c>
      <c r="BO528" s="10">
        <f>tbl_MTG_Set[[#This Row],[Collector Singles CardMarket Profit]]&gt;0</f>
        <v/>
      </c>
      <c r="BP5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9">
      <c r="A529" t="n">
        <v>527</v>
      </c>
      <c r="B529" t="inlineStr">
        <is>
          <t>Hour of Devastation Tokens THOU</t>
        </is>
      </c>
      <c r="C529" t="n">
        <v>13</v>
      </c>
      <c r="D529" s="3" t="n">
        <v>42930</v>
      </c>
      <c r="F529" t="inlineStr">
        <is>
          <t>en es fr de it pt ja ko ru 汉语 漢語</t>
        </is>
      </c>
      <c r="G529" t="n">
        <v>1000</v>
      </c>
      <c r="H529">
        <f>MONTH(NOW())+12*YEAR(NOW())-MONTH(tbl_MTG_Set[[#This Row],[Released On]])-12*YEAR(tbl_MTG_Set[[#This Row],[Released On]])</f>
        <v/>
      </c>
      <c r="I529">
        <f>_xlfn.XLOOKUP(tbl_MTG_Set[[#This Row],[Type Name]], tbl_MTG_Set_Type[Set Type], tbl_MTG_Set_Type[Index], "(Set Type not found)")</f>
        <v/>
      </c>
      <c r="J529">
        <f>_xlfn.XLOOKUP(tbl_MTG_Set[[#This Row],[Type Name]], tbl_MTG_Set_Type[Set Type], tbl_MTG_Set_Type[Buy Window Month Start], "(Set Type not found)")</f>
        <v/>
      </c>
      <c r="K529" s="3">
        <f>tbl_MTG_Set[[#This Row],[Released On]]+tbl_MTG_Set[[#This Row],[Buy Window Month Start]]*365.25/12</f>
        <v/>
      </c>
      <c r="L529">
        <f>_xlfn.XLOOKUP(tbl_MTG_Set[[#This Row],[Type Name]], tbl_MTG_Set_Type[Set Type], tbl_MTG_Set_Type[Buy Window Month End], "(Set Type not found)", 0, 1)</f>
        <v/>
      </c>
      <c r="M529" s="3">
        <f>tbl_MTG_Set[[#This Row],[Released On]]+tbl_MTG_Set[[#This Row],[Buy Window Month End]]*365.25/12</f>
        <v/>
      </c>
      <c r="N529" s="3">
        <f>AND(NOW()&gt;=tbl_MTG_Set[[#This Row],[Buy Window Start]], NOW()&lt;=tbl_MTG_Set[[#This Row],[Buy Window End]])</f>
        <v/>
      </c>
      <c r="O529">
        <f>_xlfn.XLOOKUP(tbl_MTG_Set[[#This Row],[Type Name]], tbl_MTG_Set_Type[Set Type], tbl_MTG_Set_Type[Heavy Printing Window Month Start], "(Set Type not found)", 0, 1)</f>
        <v/>
      </c>
      <c r="P529" s="3">
        <f>tbl_MTG_Set[[#This Row],[Released On]]+tbl_MTG_Set[[#This Row],[Heavy Printing Window Month Start]]*365.25/12</f>
        <v/>
      </c>
      <c r="Q529">
        <f>_xlfn.XLOOKUP(tbl_MTG_Set[[#This Row],[Type Name]], tbl_MTG_Set_Type[Set Type], tbl_MTG_Set_Type[Heavy Printing Window Month End], "(Set Type not found)", 0, 1)</f>
        <v/>
      </c>
      <c r="R529" s="3">
        <f>tbl_MTG_Set[[#This Row],[Released On]]+tbl_MTG_Set[[#This Row],[Heavy Printing Window Month End]]*365.25/12</f>
        <v/>
      </c>
      <c r="S529" s="3">
        <f>AND(NOW()&gt;=tbl_MTG_Set[[#This Row],[Heavy Printing Window Start]], NOW()&lt;=tbl_MTG_Set[[#This Row],[Heavy Printing Window End]])</f>
        <v/>
      </c>
      <c r="T529">
        <f>_xlfn.XLOOKUP(tbl_MTG_Set[[#This Row],[Type Name]], tbl_MTG_Set_Type[Set Type], tbl_MTG_Set_Type[Sell Window Month Start], "(Set Type not found)", 0, 1)</f>
        <v/>
      </c>
      <c r="U529" s="3">
        <f>tbl_MTG_Set[[#This Row],[Released On]]+tbl_MTG_Set[[#This Row],[Sell Window Month Start]]*365.25/12</f>
        <v/>
      </c>
      <c r="V529">
        <f>_xlfn.XLOOKUP(tbl_MTG_Set[[#This Row],[Type Name]], tbl_MTG_Set_Type[Set Type], tbl_MTG_Set_Type[Sell Window Month End], "(Set Type not found)", 0, 1)</f>
        <v/>
      </c>
      <c r="W529" s="3">
        <f>tbl_MTG_Set[[#This Row],[Released On]]+tbl_MTG_Set[[#This Row],[Sell Window Month End]]*365.25/12</f>
        <v/>
      </c>
      <c r="X529" s="3">
        <f>AND(NOW()&gt;=tbl_MTG_Set[[#This Row],[Sell Window Start]], NOW()&lt;=tbl_MTG_Set[[#This Row],[Sell Window End]])</f>
        <v/>
      </c>
      <c r="AG529" s="10" t="n"/>
      <c r="AH529" s="10" t="n"/>
      <c r="AM529" s="10">
        <f t="array" ref="AM5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9" s="10">
        <f t="array" ref="AN5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9" s="4">
        <f>_xlfn.XLOOKUP(tbl_MTG_Set[[#This Row],[Play Booster Box Product Id]], tbl_Product[Product Id], tbl_Product[Pack Size])</f>
        <v/>
      </c>
      <c r="AP529" s="10">
        <f>(tbl_MTG_Set[[#This Row],[Play Booster Box Cost]]+v_Item_Shipping_Cost_In)/tbl_MTG_Set[[#This Row],[Play Booster Box Size]]</f>
        <v/>
      </c>
      <c r="AQ529" s="10">
        <f t="array" ref="AQ5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29" s="10" t="n"/>
      <c r="AS529" s="10" t="n"/>
      <c r="AT529" s="17">
        <f>tbl_MTG_Set[[#This Row],[Play Booster CardMarket Profit]]/tbl_MTG_Set[[#This Row],[Play Booster Cost]]</f>
        <v/>
      </c>
      <c r="AU529" s="10">
        <f>_xlfn.XLOOKUP(tbl_MTG_Set[[#This Row],[Collector Booster Box Product Id]], tbl_Product[Product Id], tbl_Product[Min Cost])</f>
        <v/>
      </c>
      <c r="AV529" s="10">
        <f>_xlfn.XLOOKUP(tbl_MTG_Set[[#This Row],[Collector Booster Box Product Id]], tbl_Product[Product Id], tbl_Product[Best Source])</f>
        <v/>
      </c>
      <c r="AW529" s="4">
        <f>_xlfn.XLOOKUP(tbl_MTG_Set[[#This Row],[Collector Booster Box Product Id]], tbl_Product[Product Id], tbl_Product[Pack Size])</f>
        <v/>
      </c>
      <c r="AX529" s="10">
        <f>(tbl_MTG_Set[[#This Row],[Collector Booster Box Cost]] + v_Item_Shipping_Cost_In) / tbl_MTG_Set[[#This Row],[Collector Booster Box Size]]</f>
        <v/>
      </c>
      <c r="AY529" s="10">
        <f t="array" ref="AY5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29" s="10" t="n"/>
      <c r="BA5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9" s="17">
        <f>tbl_MTG_Set[[#This Row],[Collector Booster CardMarket Profit]]/tbl_MTG_Set[[#This Row],[Collector Booster Cost]]</f>
        <v/>
      </c>
      <c r="BC529" s="10" t="n"/>
      <c r="BF529" s="10">
        <f>tbl_MTG_Set[[#This Row],[Play Booster Sell Price CardMarket]]*tbl_MTG_Set[[#This Row],[Play Booster Expected Market Value]]/tbl_MTG_Set[[#This Row],[Play Boost Sealed Market Value]]</f>
        <v/>
      </c>
      <c r="BG5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9" s="10">
        <f>tbl_MTG_Set[[#This Row],[Play Singles CardMarket Profit]]/tbl_MTG_Set[[#This Row],[Play Booster Cost]]</f>
        <v/>
      </c>
      <c r="BI529" s="10">
        <f>tbl_MTG_Set[[#This Row],[Play Singles CardMarket Profit]]&gt;0</f>
        <v/>
      </c>
      <c r="BJ529" s="10" t="n"/>
      <c r="BK529" s="10" t="n"/>
      <c r="BL529" s="10">
        <f>tbl_MTG_Set[[#This Row],[Collector Booster Sell Price CardMarket]]*tbl_MTG_Set[[#This Row],[Collector Booster Expected Market Value]]/tbl_MTG_Set[[#This Row],[Collector Boost Sealed Market Value]]</f>
        <v/>
      </c>
      <c r="BM5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9" s="10">
        <f>tbl_MTG_Set[[#This Row],[Collector Singles CardMarket Profit]]/tbl_MTG_Set[[#This Row],[Collector Booster Cost]]</f>
        <v/>
      </c>
      <c r="BO529" s="10">
        <f>tbl_MTG_Set[[#This Row],[Collector Singles CardMarket Profit]]&gt;0</f>
        <v/>
      </c>
      <c r="BP5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0">
      <c r="A530" t="n">
        <v>528</v>
      </c>
      <c r="B530" t="inlineStr">
        <is>
          <t>Archenemy: Nicol Bolas E01</t>
        </is>
      </c>
      <c r="C530" t="n">
        <v>106</v>
      </c>
      <c r="D530" s="3" t="n">
        <v>42902</v>
      </c>
      <c r="F530" t="inlineStr">
        <is>
          <t>en es fr de it pt ja ko ru 汉语 漢語</t>
        </is>
      </c>
      <c r="G530" t="n">
        <v>1002</v>
      </c>
      <c r="H530">
        <f>MONTH(NOW())+12*YEAR(NOW())-MONTH(tbl_MTG_Set[[#This Row],[Released On]])-12*YEAR(tbl_MTG_Set[[#This Row],[Released On]])</f>
        <v/>
      </c>
      <c r="I530">
        <f>_xlfn.XLOOKUP(tbl_MTG_Set[[#This Row],[Type Name]], tbl_MTG_Set_Type[Set Type], tbl_MTG_Set_Type[Index], "(Set Type not found)")</f>
        <v/>
      </c>
      <c r="J530">
        <f>_xlfn.XLOOKUP(tbl_MTG_Set[[#This Row],[Type Name]], tbl_MTG_Set_Type[Set Type], tbl_MTG_Set_Type[Buy Window Month Start], "(Set Type not found)")</f>
        <v/>
      </c>
      <c r="K530" s="3">
        <f>tbl_MTG_Set[[#This Row],[Released On]]+tbl_MTG_Set[[#This Row],[Buy Window Month Start]]*365.25/12</f>
        <v/>
      </c>
      <c r="L530">
        <f>_xlfn.XLOOKUP(tbl_MTG_Set[[#This Row],[Type Name]], tbl_MTG_Set_Type[Set Type], tbl_MTG_Set_Type[Buy Window Month End], "(Set Type not found)", 0, 1)</f>
        <v/>
      </c>
      <c r="M530" s="3">
        <f>tbl_MTG_Set[[#This Row],[Released On]]+tbl_MTG_Set[[#This Row],[Buy Window Month End]]*365.25/12</f>
        <v/>
      </c>
      <c r="N530" s="3">
        <f>AND(NOW()&gt;=tbl_MTG_Set[[#This Row],[Buy Window Start]], NOW()&lt;=tbl_MTG_Set[[#This Row],[Buy Window End]])</f>
        <v/>
      </c>
      <c r="O530">
        <f>_xlfn.XLOOKUP(tbl_MTG_Set[[#This Row],[Type Name]], tbl_MTG_Set_Type[Set Type], tbl_MTG_Set_Type[Heavy Printing Window Month Start], "(Set Type not found)", 0, 1)</f>
        <v/>
      </c>
      <c r="P530" s="3">
        <f>tbl_MTG_Set[[#This Row],[Released On]]+tbl_MTG_Set[[#This Row],[Heavy Printing Window Month Start]]*365.25/12</f>
        <v/>
      </c>
      <c r="Q530">
        <f>_xlfn.XLOOKUP(tbl_MTG_Set[[#This Row],[Type Name]], tbl_MTG_Set_Type[Set Type], tbl_MTG_Set_Type[Heavy Printing Window Month End], "(Set Type not found)", 0, 1)</f>
        <v/>
      </c>
      <c r="R530" s="3">
        <f>tbl_MTG_Set[[#This Row],[Released On]]+tbl_MTG_Set[[#This Row],[Heavy Printing Window Month End]]*365.25/12</f>
        <v/>
      </c>
      <c r="S530" s="3">
        <f>AND(NOW()&gt;=tbl_MTG_Set[[#This Row],[Heavy Printing Window Start]], NOW()&lt;=tbl_MTG_Set[[#This Row],[Heavy Printing Window End]])</f>
        <v/>
      </c>
      <c r="T530">
        <f>_xlfn.XLOOKUP(tbl_MTG_Set[[#This Row],[Type Name]], tbl_MTG_Set_Type[Set Type], tbl_MTG_Set_Type[Sell Window Month Start], "(Set Type not found)", 0, 1)</f>
        <v/>
      </c>
      <c r="U530" s="3">
        <f>tbl_MTG_Set[[#This Row],[Released On]]+tbl_MTG_Set[[#This Row],[Sell Window Month Start]]*365.25/12</f>
        <v/>
      </c>
      <c r="V530">
        <f>_xlfn.XLOOKUP(tbl_MTG_Set[[#This Row],[Type Name]], tbl_MTG_Set_Type[Set Type], tbl_MTG_Set_Type[Sell Window Month End], "(Set Type not found)", 0, 1)</f>
        <v/>
      </c>
      <c r="W530" s="3">
        <f>tbl_MTG_Set[[#This Row],[Released On]]+tbl_MTG_Set[[#This Row],[Sell Window Month End]]*365.25/12</f>
        <v/>
      </c>
      <c r="X530" s="3">
        <f>AND(NOW()&gt;=tbl_MTG_Set[[#This Row],[Sell Window Start]], NOW()&lt;=tbl_MTG_Set[[#This Row],[Sell Window End]])</f>
        <v/>
      </c>
      <c r="AG530" s="10" t="n"/>
      <c r="AH530" s="10" t="n"/>
      <c r="AM530" s="10">
        <f t="array" ref="AM5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0" s="10">
        <f t="array" ref="AN5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0" s="4">
        <f>_xlfn.XLOOKUP(tbl_MTG_Set[[#This Row],[Play Booster Box Product Id]], tbl_Product[Product Id], tbl_Product[Pack Size])</f>
        <v/>
      </c>
      <c r="AP530" s="10">
        <f>(tbl_MTG_Set[[#This Row],[Play Booster Box Cost]]+v_Item_Shipping_Cost_In)/tbl_MTG_Set[[#This Row],[Play Booster Box Size]]</f>
        <v/>
      </c>
      <c r="AQ530" s="10">
        <f t="array" ref="AQ5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0" s="10" t="n"/>
      <c r="AS530" s="10" t="n"/>
      <c r="AT530" s="17">
        <f>tbl_MTG_Set[[#This Row],[Play Booster CardMarket Profit]]/tbl_MTG_Set[[#This Row],[Play Booster Cost]]</f>
        <v/>
      </c>
      <c r="AU530" s="10">
        <f>_xlfn.XLOOKUP(tbl_MTG_Set[[#This Row],[Collector Booster Box Product Id]], tbl_Product[Product Id], tbl_Product[Min Cost])</f>
        <v/>
      </c>
      <c r="AV530" s="10">
        <f>_xlfn.XLOOKUP(tbl_MTG_Set[[#This Row],[Collector Booster Box Product Id]], tbl_Product[Product Id], tbl_Product[Best Source])</f>
        <v/>
      </c>
      <c r="AW530" s="4">
        <f>_xlfn.XLOOKUP(tbl_MTG_Set[[#This Row],[Collector Booster Box Product Id]], tbl_Product[Product Id], tbl_Product[Pack Size])</f>
        <v/>
      </c>
      <c r="AX530" s="10">
        <f>(tbl_MTG_Set[[#This Row],[Collector Booster Box Cost]] + v_Item_Shipping_Cost_In) / tbl_MTG_Set[[#This Row],[Collector Booster Box Size]]</f>
        <v/>
      </c>
      <c r="AY530" s="10">
        <f t="array" ref="AY5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0" s="10" t="n"/>
      <c r="BA5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0" s="17">
        <f>tbl_MTG_Set[[#This Row],[Collector Booster CardMarket Profit]]/tbl_MTG_Set[[#This Row],[Collector Booster Cost]]</f>
        <v/>
      </c>
      <c r="BC530" s="10" t="n"/>
      <c r="BF530" s="10">
        <f>tbl_MTG_Set[[#This Row],[Play Booster Sell Price CardMarket]]*tbl_MTG_Set[[#This Row],[Play Booster Expected Market Value]]/tbl_MTG_Set[[#This Row],[Play Boost Sealed Market Value]]</f>
        <v/>
      </c>
      <c r="BG5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0" s="10">
        <f>tbl_MTG_Set[[#This Row],[Play Singles CardMarket Profit]]/tbl_MTG_Set[[#This Row],[Play Booster Cost]]</f>
        <v/>
      </c>
      <c r="BI530" s="10">
        <f>tbl_MTG_Set[[#This Row],[Play Singles CardMarket Profit]]&gt;0</f>
        <v/>
      </c>
      <c r="BJ530" s="10" t="n"/>
      <c r="BK530" s="10" t="n"/>
      <c r="BL530" s="10">
        <f>tbl_MTG_Set[[#This Row],[Collector Booster Sell Price CardMarket]]*tbl_MTG_Set[[#This Row],[Collector Booster Expected Market Value]]/tbl_MTG_Set[[#This Row],[Collector Boost Sealed Market Value]]</f>
        <v/>
      </c>
      <c r="BM5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0" s="10">
        <f>tbl_MTG_Set[[#This Row],[Collector Singles CardMarket Profit]]/tbl_MTG_Set[[#This Row],[Collector Booster Cost]]</f>
        <v/>
      </c>
      <c r="BO530" s="10">
        <f>tbl_MTG_Set[[#This Row],[Collector Singles CardMarket Profit]]&gt;0</f>
        <v/>
      </c>
      <c r="BP5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1">
      <c r="A531" t="n">
        <v>529</v>
      </c>
      <c r="B531" t="inlineStr">
        <is>
          <t>Archenemy: Nicol Bolas Tokens TE01</t>
        </is>
      </c>
      <c r="C531" t="n">
        <v>5</v>
      </c>
      <c r="D531" s="3" t="n">
        <v>42986</v>
      </c>
      <c r="F531" t="inlineStr">
        <is>
          <t>en es fr de it pt ja ko ru 汉语 漢語</t>
        </is>
      </c>
      <c r="G531" t="n">
        <v>1004</v>
      </c>
      <c r="H531">
        <f>MONTH(NOW())+12*YEAR(NOW())-MONTH(tbl_MTG_Set[[#This Row],[Released On]])-12*YEAR(tbl_MTG_Set[[#This Row],[Released On]])</f>
        <v/>
      </c>
      <c r="I531">
        <f>_xlfn.XLOOKUP(tbl_MTG_Set[[#This Row],[Type Name]], tbl_MTG_Set_Type[Set Type], tbl_MTG_Set_Type[Index], "(Set Type not found)")</f>
        <v/>
      </c>
      <c r="J531">
        <f>_xlfn.XLOOKUP(tbl_MTG_Set[[#This Row],[Type Name]], tbl_MTG_Set_Type[Set Type], tbl_MTG_Set_Type[Buy Window Month Start], "(Set Type not found)")</f>
        <v/>
      </c>
      <c r="K531" s="3">
        <f>tbl_MTG_Set[[#This Row],[Released On]]+tbl_MTG_Set[[#This Row],[Buy Window Month Start]]*365.25/12</f>
        <v/>
      </c>
      <c r="L531">
        <f>_xlfn.XLOOKUP(tbl_MTG_Set[[#This Row],[Type Name]], tbl_MTG_Set_Type[Set Type], tbl_MTG_Set_Type[Buy Window Month End], "(Set Type not found)", 0, 1)</f>
        <v/>
      </c>
      <c r="M531" s="3">
        <f>tbl_MTG_Set[[#This Row],[Released On]]+tbl_MTG_Set[[#This Row],[Buy Window Month End]]*365.25/12</f>
        <v/>
      </c>
      <c r="N531" s="3">
        <f>AND(NOW()&gt;=tbl_MTG_Set[[#This Row],[Buy Window Start]], NOW()&lt;=tbl_MTG_Set[[#This Row],[Buy Window End]])</f>
        <v/>
      </c>
      <c r="O531">
        <f>_xlfn.XLOOKUP(tbl_MTG_Set[[#This Row],[Type Name]], tbl_MTG_Set_Type[Set Type], tbl_MTG_Set_Type[Heavy Printing Window Month Start], "(Set Type not found)", 0, 1)</f>
        <v/>
      </c>
      <c r="P531" s="3">
        <f>tbl_MTG_Set[[#This Row],[Released On]]+tbl_MTG_Set[[#This Row],[Heavy Printing Window Month Start]]*365.25/12</f>
        <v/>
      </c>
      <c r="Q531">
        <f>_xlfn.XLOOKUP(tbl_MTG_Set[[#This Row],[Type Name]], tbl_MTG_Set_Type[Set Type], tbl_MTG_Set_Type[Heavy Printing Window Month End], "(Set Type not found)", 0, 1)</f>
        <v/>
      </c>
      <c r="R531" s="3">
        <f>tbl_MTG_Set[[#This Row],[Released On]]+tbl_MTG_Set[[#This Row],[Heavy Printing Window Month End]]*365.25/12</f>
        <v/>
      </c>
      <c r="S531" s="3">
        <f>AND(NOW()&gt;=tbl_MTG_Set[[#This Row],[Heavy Printing Window Start]], NOW()&lt;=tbl_MTG_Set[[#This Row],[Heavy Printing Window End]])</f>
        <v/>
      </c>
      <c r="T531">
        <f>_xlfn.XLOOKUP(tbl_MTG_Set[[#This Row],[Type Name]], tbl_MTG_Set_Type[Set Type], tbl_MTG_Set_Type[Sell Window Month Start], "(Set Type not found)", 0, 1)</f>
        <v/>
      </c>
      <c r="U531" s="3">
        <f>tbl_MTG_Set[[#This Row],[Released On]]+tbl_MTG_Set[[#This Row],[Sell Window Month Start]]*365.25/12</f>
        <v/>
      </c>
      <c r="V531">
        <f>_xlfn.XLOOKUP(tbl_MTG_Set[[#This Row],[Type Name]], tbl_MTG_Set_Type[Set Type], tbl_MTG_Set_Type[Sell Window Month End], "(Set Type not found)", 0, 1)</f>
        <v/>
      </c>
      <c r="W531" s="3">
        <f>tbl_MTG_Set[[#This Row],[Released On]]+tbl_MTG_Set[[#This Row],[Sell Window Month End]]*365.25/12</f>
        <v/>
      </c>
      <c r="X531" s="3">
        <f>AND(NOW()&gt;=tbl_MTG_Set[[#This Row],[Sell Window Start]], NOW()&lt;=tbl_MTG_Set[[#This Row],[Sell Window End]])</f>
        <v/>
      </c>
      <c r="AG531" s="10" t="n"/>
      <c r="AH531" s="10" t="n"/>
      <c r="AM531" s="10">
        <f t="array" ref="AM5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1" s="10">
        <f t="array" ref="AN5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1" s="4">
        <f>_xlfn.XLOOKUP(tbl_MTG_Set[[#This Row],[Play Booster Box Product Id]], tbl_Product[Product Id], tbl_Product[Pack Size])</f>
        <v/>
      </c>
      <c r="AP531" s="10">
        <f>(tbl_MTG_Set[[#This Row],[Play Booster Box Cost]]+v_Item_Shipping_Cost_In)/tbl_MTG_Set[[#This Row],[Play Booster Box Size]]</f>
        <v/>
      </c>
      <c r="AQ531" s="10">
        <f t="array" ref="AQ5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1" s="10" t="n"/>
      <c r="AS531" s="10" t="n"/>
      <c r="AT531" s="17">
        <f>tbl_MTG_Set[[#This Row],[Play Booster CardMarket Profit]]/tbl_MTG_Set[[#This Row],[Play Booster Cost]]</f>
        <v/>
      </c>
      <c r="AU531" s="10">
        <f>_xlfn.XLOOKUP(tbl_MTG_Set[[#This Row],[Collector Booster Box Product Id]], tbl_Product[Product Id], tbl_Product[Min Cost])</f>
        <v/>
      </c>
      <c r="AV531" s="10">
        <f>_xlfn.XLOOKUP(tbl_MTG_Set[[#This Row],[Collector Booster Box Product Id]], tbl_Product[Product Id], tbl_Product[Best Source])</f>
        <v/>
      </c>
      <c r="AW531" s="4">
        <f>_xlfn.XLOOKUP(tbl_MTG_Set[[#This Row],[Collector Booster Box Product Id]], tbl_Product[Product Id], tbl_Product[Pack Size])</f>
        <v/>
      </c>
      <c r="AX531" s="10">
        <f>(tbl_MTG_Set[[#This Row],[Collector Booster Box Cost]] + v_Item_Shipping_Cost_In) / tbl_MTG_Set[[#This Row],[Collector Booster Box Size]]</f>
        <v/>
      </c>
      <c r="AY531" s="10">
        <f t="array" ref="AY5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1" s="10" t="n"/>
      <c r="BA5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1" s="17">
        <f>tbl_MTG_Set[[#This Row],[Collector Booster CardMarket Profit]]/tbl_MTG_Set[[#This Row],[Collector Booster Cost]]</f>
        <v/>
      </c>
      <c r="BC531" s="10" t="n"/>
      <c r="BF531" s="10">
        <f>tbl_MTG_Set[[#This Row],[Play Booster Sell Price CardMarket]]*tbl_MTG_Set[[#This Row],[Play Booster Expected Market Value]]/tbl_MTG_Set[[#This Row],[Play Boost Sealed Market Value]]</f>
        <v/>
      </c>
      <c r="BG5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1" s="10">
        <f>tbl_MTG_Set[[#This Row],[Play Singles CardMarket Profit]]/tbl_MTG_Set[[#This Row],[Play Booster Cost]]</f>
        <v/>
      </c>
      <c r="BI531" s="10">
        <f>tbl_MTG_Set[[#This Row],[Play Singles CardMarket Profit]]&gt;0</f>
        <v/>
      </c>
      <c r="BJ531" s="10" t="n"/>
      <c r="BK531" s="10" t="n"/>
      <c r="BL531" s="10">
        <f>tbl_MTG_Set[[#This Row],[Collector Booster Sell Price CardMarket]]*tbl_MTG_Set[[#This Row],[Collector Booster Expected Market Value]]/tbl_MTG_Set[[#This Row],[Collector Boost Sealed Market Value]]</f>
        <v/>
      </c>
      <c r="BM5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1" s="10">
        <f>tbl_MTG_Set[[#This Row],[Collector Singles CardMarket Profit]]/tbl_MTG_Set[[#This Row],[Collector Booster Cost]]</f>
        <v/>
      </c>
      <c r="BO531" s="10">
        <f>tbl_MTG_Set[[#This Row],[Collector Singles CardMarket Profit]]&gt;0</f>
        <v/>
      </c>
      <c r="BP5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2">
      <c r="A532" t="n">
        <v>530</v>
      </c>
      <c r="B532" t="inlineStr">
        <is>
          <t>Archenemy: Nicol Bolas Schemes OE01</t>
        </is>
      </c>
      <c r="C532" t="n">
        <v>20</v>
      </c>
      <c r="D532" s="3" t="n">
        <v>42902</v>
      </c>
      <c r="F532" t="inlineStr">
        <is>
          <t>en es fr de it pt ja ko ru 汉语 漢語</t>
        </is>
      </c>
      <c r="G532" t="n">
        <v>1006</v>
      </c>
      <c r="H532">
        <f>MONTH(NOW())+12*YEAR(NOW())-MONTH(tbl_MTG_Set[[#This Row],[Released On]])-12*YEAR(tbl_MTG_Set[[#This Row],[Released On]])</f>
        <v/>
      </c>
      <c r="I532">
        <f>_xlfn.XLOOKUP(tbl_MTG_Set[[#This Row],[Type Name]], tbl_MTG_Set_Type[Set Type], tbl_MTG_Set_Type[Index], "(Set Type not found)")</f>
        <v/>
      </c>
      <c r="J532">
        <f>_xlfn.XLOOKUP(tbl_MTG_Set[[#This Row],[Type Name]], tbl_MTG_Set_Type[Set Type], tbl_MTG_Set_Type[Buy Window Month Start], "(Set Type not found)")</f>
        <v/>
      </c>
      <c r="K532" s="3">
        <f>tbl_MTG_Set[[#This Row],[Released On]]+tbl_MTG_Set[[#This Row],[Buy Window Month Start]]*365.25/12</f>
        <v/>
      </c>
      <c r="L532">
        <f>_xlfn.XLOOKUP(tbl_MTG_Set[[#This Row],[Type Name]], tbl_MTG_Set_Type[Set Type], tbl_MTG_Set_Type[Buy Window Month End], "(Set Type not found)", 0, 1)</f>
        <v/>
      </c>
      <c r="M532" s="3">
        <f>tbl_MTG_Set[[#This Row],[Released On]]+tbl_MTG_Set[[#This Row],[Buy Window Month End]]*365.25/12</f>
        <v/>
      </c>
      <c r="N532" s="3">
        <f>AND(NOW()&gt;=tbl_MTG_Set[[#This Row],[Buy Window Start]], NOW()&lt;=tbl_MTG_Set[[#This Row],[Buy Window End]])</f>
        <v/>
      </c>
      <c r="O532">
        <f>_xlfn.XLOOKUP(tbl_MTG_Set[[#This Row],[Type Name]], tbl_MTG_Set_Type[Set Type], tbl_MTG_Set_Type[Heavy Printing Window Month Start], "(Set Type not found)", 0, 1)</f>
        <v/>
      </c>
      <c r="P532" s="3">
        <f>tbl_MTG_Set[[#This Row],[Released On]]+tbl_MTG_Set[[#This Row],[Heavy Printing Window Month Start]]*365.25/12</f>
        <v/>
      </c>
      <c r="Q532">
        <f>_xlfn.XLOOKUP(tbl_MTG_Set[[#This Row],[Type Name]], tbl_MTG_Set_Type[Set Type], tbl_MTG_Set_Type[Heavy Printing Window Month End], "(Set Type not found)", 0, 1)</f>
        <v/>
      </c>
      <c r="R532" s="3">
        <f>tbl_MTG_Set[[#This Row],[Released On]]+tbl_MTG_Set[[#This Row],[Heavy Printing Window Month End]]*365.25/12</f>
        <v/>
      </c>
      <c r="S532" s="3">
        <f>AND(NOW()&gt;=tbl_MTG_Set[[#This Row],[Heavy Printing Window Start]], NOW()&lt;=tbl_MTG_Set[[#This Row],[Heavy Printing Window End]])</f>
        <v/>
      </c>
      <c r="T532">
        <f>_xlfn.XLOOKUP(tbl_MTG_Set[[#This Row],[Type Name]], tbl_MTG_Set_Type[Set Type], tbl_MTG_Set_Type[Sell Window Month Start], "(Set Type not found)", 0, 1)</f>
        <v/>
      </c>
      <c r="U532" s="3">
        <f>tbl_MTG_Set[[#This Row],[Released On]]+tbl_MTG_Set[[#This Row],[Sell Window Month Start]]*365.25/12</f>
        <v/>
      </c>
      <c r="V532">
        <f>_xlfn.XLOOKUP(tbl_MTG_Set[[#This Row],[Type Name]], tbl_MTG_Set_Type[Set Type], tbl_MTG_Set_Type[Sell Window Month End], "(Set Type not found)", 0, 1)</f>
        <v/>
      </c>
      <c r="W532" s="3">
        <f>tbl_MTG_Set[[#This Row],[Released On]]+tbl_MTG_Set[[#This Row],[Sell Window Month End]]*365.25/12</f>
        <v/>
      </c>
      <c r="X532" s="3">
        <f>AND(NOW()&gt;=tbl_MTG_Set[[#This Row],[Sell Window Start]], NOW()&lt;=tbl_MTG_Set[[#This Row],[Sell Window End]])</f>
        <v/>
      </c>
      <c r="AG532" s="10" t="n"/>
      <c r="AH532" s="10" t="n"/>
      <c r="AM532" s="10">
        <f t="array" ref="AM5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2" s="10">
        <f t="array" ref="AN5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2" s="4">
        <f>_xlfn.XLOOKUP(tbl_MTG_Set[[#This Row],[Play Booster Box Product Id]], tbl_Product[Product Id], tbl_Product[Pack Size])</f>
        <v/>
      </c>
      <c r="AP532" s="10">
        <f>(tbl_MTG_Set[[#This Row],[Play Booster Box Cost]]+v_Item_Shipping_Cost_In)/tbl_MTG_Set[[#This Row],[Play Booster Box Size]]</f>
        <v/>
      </c>
      <c r="AQ532" s="10">
        <f t="array" ref="AQ5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2" s="10" t="n"/>
      <c r="AS532" s="10" t="n"/>
      <c r="AT532" s="17">
        <f>tbl_MTG_Set[[#This Row],[Play Booster CardMarket Profit]]/tbl_MTG_Set[[#This Row],[Play Booster Cost]]</f>
        <v/>
      </c>
      <c r="AU532" s="10">
        <f>_xlfn.XLOOKUP(tbl_MTG_Set[[#This Row],[Collector Booster Box Product Id]], tbl_Product[Product Id], tbl_Product[Min Cost])</f>
        <v/>
      </c>
      <c r="AV532" s="10">
        <f>_xlfn.XLOOKUP(tbl_MTG_Set[[#This Row],[Collector Booster Box Product Id]], tbl_Product[Product Id], tbl_Product[Best Source])</f>
        <v/>
      </c>
      <c r="AW532" s="4">
        <f>_xlfn.XLOOKUP(tbl_MTG_Set[[#This Row],[Collector Booster Box Product Id]], tbl_Product[Product Id], tbl_Product[Pack Size])</f>
        <v/>
      </c>
      <c r="AX532" s="10">
        <f>(tbl_MTG_Set[[#This Row],[Collector Booster Box Cost]] + v_Item_Shipping_Cost_In) / tbl_MTG_Set[[#This Row],[Collector Booster Box Size]]</f>
        <v/>
      </c>
      <c r="AY532" s="10">
        <f t="array" ref="AY5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2" s="10" t="n"/>
      <c r="BA5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2" s="17">
        <f>tbl_MTG_Set[[#This Row],[Collector Booster CardMarket Profit]]/tbl_MTG_Set[[#This Row],[Collector Booster Cost]]</f>
        <v/>
      </c>
      <c r="BC532" s="10" t="n"/>
      <c r="BF532" s="10">
        <f>tbl_MTG_Set[[#This Row],[Play Booster Sell Price CardMarket]]*tbl_MTG_Set[[#This Row],[Play Booster Expected Market Value]]/tbl_MTG_Set[[#This Row],[Play Boost Sealed Market Value]]</f>
        <v/>
      </c>
      <c r="BG5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2" s="10">
        <f>tbl_MTG_Set[[#This Row],[Play Singles CardMarket Profit]]/tbl_MTG_Set[[#This Row],[Play Booster Cost]]</f>
        <v/>
      </c>
      <c r="BI532" s="10">
        <f>tbl_MTG_Set[[#This Row],[Play Singles CardMarket Profit]]&gt;0</f>
        <v/>
      </c>
      <c r="BJ532" s="10" t="n"/>
      <c r="BK532" s="10" t="n"/>
      <c r="BL532" s="10">
        <f>tbl_MTG_Set[[#This Row],[Collector Booster Sell Price CardMarket]]*tbl_MTG_Set[[#This Row],[Collector Booster Expected Market Value]]/tbl_MTG_Set[[#This Row],[Collector Boost Sealed Market Value]]</f>
        <v/>
      </c>
      <c r="BM5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2" s="10">
        <f>tbl_MTG_Set[[#This Row],[Collector Singles CardMarket Profit]]/tbl_MTG_Set[[#This Row],[Collector Booster Cost]]</f>
        <v/>
      </c>
      <c r="BO532" s="10">
        <f>tbl_MTG_Set[[#This Row],[Collector Singles CardMarket Profit]]&gt;0</f>
        <v/>
      </c>
      <c r="BP5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3">
      <c r="A533" t="n">
        <v>531</v>
      </c>
      <c r="B533" t="inlineStr">
        <is>
          <t>Commander Anthology CMA</t>
        </is>
      </c>
      <c r="C533" t="n">
        <v>320</v>
      </c>
      <c r="D533" s="3" t="n">
        <v>42895</v>
      </c>
      <c r="F533" t="inlineStr">
        <is>
          <t>en es fr de it pt ja ko ru 汉语 漢語</t>
        </is>
      </c>
      <c r="G533" t="n">
        <v>1008</v>
      </c>
      <c r="H533">
        <f>MONTH(NOW())+12*YEAR(NOW())-MONTH(tbl_MTG_Set[[#This Row],[Released On]])-12*YEAR(tbl_MTG_Set[[#This Row],[Released On]])</f>
        <v/>
      </c>
      <c r="I533">
        <f>_xlfn.XLOOKUP(tbl_MTG_Set[[#This Row],[Type Name]], tbl_MTG_Set_Type[Set Type], tbl_MTG_Set_Type[Index], "(Set Type not found)")</f>
        <v/>
      </c>
      <c r="J533">
        <f>_xlfn.XLOOKUP(tbl_MTG_Set[[#This Row],[Type Name]], tbl_MTG_Set_Type[Set Type], tbl_MTG_Set_Type[Buy Window Month Start], "(Set Type not found)")</f>
        <v/>
      </c>
      <c r="K533" s="3">
        <f>tbl_MTG_Set[[#This Row],[Released On]]+tbl_MTG_Set[[#This Row],[Buy Window Month Start]]*365.25/12</f>
        <v/>
      </c>
      <c r="L533">
        <f>_xlfn.XLOOKUP(tbl_MTG_Set[[#This Row],[Type Name]], tbl_MTG_Set_Type[Set Type], tbl_MTG_Set_Type[Buy Window Month End], "(Set Type not found)", 0, 1)</f>
        <v/>
      </c>
      <c r="M533" s="3">
        <f>tbl_MTG_Set[[#This Row],[Released On]]+tbl_MTG_Set[[#This Row],[Buy Window Month End]]*365.25/12</f>
        <v/>
      </c>
      <c r="N533" s="3">
        <f>AND(NOW()&gt;=tbl_MTG_Set[[#This Row],[Buy Window Start]], NOW()&lt;=tbl_MTG_Set[[#This Row],[Buy Window End]])</f>
        <v/>
      </c>
      <c r="O533">
        <f>_xlfn.XLOOKUP(tbl_MTG_Set[[#This Row],[Type Name]], tbl_MTG_Set_Type[Set Type], tbl_MTG_Set_Type[Heavy Printing Window Month Start], "(Set Type not found)", 0, 1)</f>
        <v/>
      </c>
      <c r="P533" s="3">
        <f>tbl_MTG_Set[[#This Row],[Released On]]+tbl_MTG_Set[[#This Row],[Heavy Printing Window Month Start]]*365.25/12</f>
        <v/>
      </c>
      <c r="Q533">
        <f>_xlfn.XLOOKUP(tbl_MTG_Set[[#This Row],[Type Name]], tbl_MTG_Set_Type[Set Type], tbl_MTG_Set_Type[Heavy Printing Window Month End], "(Set Type not found)", 0, 1)</f>
        <v/>
      </c>
      <c r="R533" s="3">
        <f>tbl_MTG_Set[[#This Row],[Released On]]+tbl_MTG_Set[[#This Row],[Heavy Printing Window Month End]]*365.25/12</f>
        <v/>
      </c>
      <c r="S533" s="3">
        <f>AND(NOW()&gt;=tbl_MTG_Set[[#This Row],[Heavy Printing Window Start]], NOW()&lt;=tbl_MTG_Set[[#This Row],[Heavy Printing Window End]])</f>
        <v/>
      </c>
      <c r="T533">
        <f>_xlfn.XLOOKUP(tbl_MTG_Set[[#This Row],[Type Name]], tbl_MTG_Set_Type[Set Type], tbl_MTG_Set_Type[Sell Window Month Start], "(Set Type not found)", 0, 1)</f>
        <v/>
      </c>
      <c r="U533" s="3">
        <f>tbl_MTG_Set[[#This Row],[Released On]]+tbl_MTG_Set[[#This Row],[Sell Window Month Start]]*365.25/12</f>
        <v/>
      </c>
      <c r="V533">
        <f>_xlfn.XLOOKUP(tbl_MTG_Set[[#This Row],[Type Name]], tbl_MTG_Set_Type[Set Type], tbl_MTG_Set_Type[Sell Window Month End], "(Set Type not found)", 0, 1)</f>
        <v/>
      </c>
      <c r="W533" s="3">
        <f>tbl_MTG_Set[[#This Row],[Released On]]+tbl_MTG_Set[[#This Row],[Sell Window Month End]]*365.25/12</f>
        <v/>
      </c>
      <c r="X533" s="3">
        <f>AND(NOW()&gt;=tbl_MTG_Set[[#This Row],[Sell Window Start]], NOW()&lt;=tbl_MTG_Set[[#This Row],[Sell Window End]])</f>
        <v/>
      </c>
      <c r="AG533" s="10" t="n"/>
      <c r="AH533" s="10" t="n"/>
      <c r="AM533" s="10">
        <f t="array" ref="AM5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3" s="10">
        <f t="array" ref="AN5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3" s="4">
        <f>_xlfn.XLOOKUP(tbl_MTG_Set[[#This Row],[Play Booster Box Product Id]], tbl_Product[Product Id], tbl_Product[Pack Size])</f>
        <v/>
      </c>
      <c r="AP533" s="10">
        <f>(tbl_MTG_Set[[#This Row],[Play Booster Box Cost]]+v_Item_Shipping_Cost_In)/tbl_MTG_Set[[#This Row],[Play Booster Box Size]]</f>
        <v/>
      </c>
      <c r="AQ533" s="10">
        <f t="array" ref="AQ5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3" s="10" t="n"/>
      <c r="AS533" s="10" t="n"/>
      <c r="AT533" s="17">
        <f>tbl_MTG_Set[[#This Row],[Play Booster CardMarket Profit]]/tbl_MTG_Set[[#This Row],[Play Booster Cost]]</f>
        <v/>
      </c>
      <c r="AU533" s="10">
        <f>_xlfn.XLOOKUP(tbl_MTG_Set[[#This Row],[Collector Booster Box Product Id]], tbl_Product[Product Id], tbl_Product[Min Cost])</f>
        <v/>
      </c>
      <c r="AV533" s="10">
        <f>_xlfn.XLOOKUP(tbl_MTG_Set[[#This Row],[Collector Booster Box Product Id]], tbl_Product[Product Id], tbl_Product[Best Source])</f>
        <v/>
      </c>
      <c r="AW533" s="4">
        <f>_xlfn.XLOOKUP(tbl_MTG_Set[[#This Row],[Collector Booster Box Product Id]], tbl_Product[Product Id], tbl_Product[Pack Size])</f>
        <v/>
      </c>
      <c r="AX533" s="10">
        <f>(tbl_MTG_Set[[#This Row],[Collector Booster Box Cost]] + v_Item_Shipping_Cost_In) / tbl_MTG_Set[[#This Row],[Collector Booster Box Size]]</f>
        <v/>
      </c>
      <c r="AY533" s="10">
        <f t="array" ref="AY5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3" s="10" t="n"/>
      <c r="BA5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3" s="17">
        <f>tbl_MTG_Set[[#This Row],[Collector Booster CardMarket Profit]]/tbl_MTG_Set[[#This Row],[Collector Booster Cost]]</f>
        <v/>
      </c>
      <c r="BC533" s="10" t="n"/>
      <c r="BF533" s="10">
        <f>tbl_MTG_Set[[#This Row],[Play Booster Sell Price CardMarket]]*tbl_MTG_Set[[#This Row],[Play Booster Expected Market Value]]/tbl_MTG_Set[[#This Row],[Play Boost Sealed Market Value]]</f>
        <v/>
      </c>
      <c r="BG5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3" s="10">
        <f>tbl_MTG_Set[[#This Row],[Play Singles CardMarket Profit]]/tbl_MTG_Set[[#This Row],[Play Booster Cost]]</f>
        <v/>
      </c>
      <c r="BI533" s="10">
        <f>tbl_MTG_Set[[#This Row],[Play Singles CardMarket Profit]]&gt;0</f>
        <v/>
      </c>
      <c r="BJ533" s="10" t="n"/>
      <c r="BK533" s="10" t="n"/>
      <c r="BL533" s="10">
        <f>tbl_MTG_Set[[#This Row],[Collector Booster Sell Price CardMarket]]*tbl_MTG_Set[[#This Row],[Collector Booster Expected Market Value]]/tbl_MTG_Set[[#This Row],[Collector Boost Sealed Market Value]]</f>
        <v/>
      </c>
      <c r="BM5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3" s="10">
        <f>tbl_MTG_Set[[#This Row],[Collector Singles CardMarket Profit]]/tbl_MTG_Set[[#This Row],[Collector Booster Cost]]</f>
        <v/>
      </c>
      <c r="BO533" s="10">
        <f>tbl_MTG_Set[[#This Row],[Collector Singles CardMarket Profit]]&gt;0</f>
        <v/>
      </c>
      <c r="BP5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4">
      <c r="A534" t="n">
        <v>532</v>
      </c>
      <c r="B534" t="inlineStr">
        <is>
          <t>Commander Anthology Tokens TCMA</t>
        </is>
      </c>
      <c r="C534" t="n">
        <v>20</v>
      </c>
      <c r="D534" s="3" t="n">
        <v>42895</v>
      </c>
      <c r="F534" t="inlineStr">
        <is>
          <t>en es fr de it pt ja ko ru 汉语 漢語</t>
        </is>
      </c>
      <c r="G534" t="n">
        <v>1010</v>
      </c>
      <c r="H534">
        <f>MONTH(NOW())+12*YEAR(NOW())-MONTH(tbl_MTG_Set[[#This Row],[Released On]])-12*YEAR(tbl_MTG_Set[[#This Row],[Released On]])</f>
        <v/>
      </c>
      <c r="I534">
        <f>_xlfn.XLOOKUP(tbl_MTG_Set[[#This Row],[Type Name]], tbl_MTG_Set_Type[Set Type], tbl_MTG_Set_Type[Index], "(Set Type not found)")</f>
        <v/>
      </c>
      <c r="J534">
        <f>_xlfn.XLOOKUP(tbl_MTG_Set[[#This Row],[Type Name]], tbl_MTG_Set_Type[Set Type], tbl_MTG_Set_Type[Buy Window Month Start], "(Set Type not found)")</f>
        <v/>
      </c>
      <c r="K534" s="3">
        <f>tbl_MTG_Set[[#This Row],[Released On]]+tbl_MTG_Set[[#This Row],[Buy Window Month Start]]*365.25/12</f>
        <v/>
      </c>
      <c r="L534">
        <f>_xlfn.XLOOKUP(tbl_MTG_Set[[#This Row],[Type Name]], tbl_MTG_Set_Type[Set Type], tbl_MTG_Set_Type[Buy Window Month End], "(Set Type not found)", 0, 1)</f>
        <v/>
      </c>
      <c r="M534" s="3">
        <f>tbl_MTG_Set[[#This Row],[Released On]]+tbl_MTG_Set[[#This Row],[Buy Window Month End]]*365.25/12</f>
        <v/>
      </c>
      <c r="N534" s="3">
        <f>AND(NOW()&gt;=tbl_MTG_Set[[#This Row],[Buy Window Start]], NOW()&lt;=tbl_MTG_Set[[#This Row],[Buy Window End]])</f>
        <v/>
      </c>
      <c r="O534">
        <f>_xlfn.XLOOKUP(tbl_MTG_Set[[#This Row],[Type Name]], tbl_MTG_Set_Type[Set Type], tbl_MTG_Set_Type[Heavy Printing Window Month Start], "(Set Type not found)", 0, 1)</f>
        <v/>
      </c>
      <c r="P534" s="3">
        <f>tbl_MTG_Set[[#This Row],[Released On]]+tbl_MTG_Set[[#This Row],[Heavy Printing Window Month Start]]*365.25/12</f>
        <v/>
      </c>
      <c r="Q534">
        <f>_xlfn.XLOOKUP(tbl_MTG_Set[[#This Row],[Type Name]], tbl_MTG_Set_Type[Set Type], tbl_MTG_Set_Type[Heavy Printing Window Month End], "(Set Type not found)", 0, 1)</f>
        <v/>
      </c>
      <c r="R534" s="3">
        <f>tbl_MTG_Set[[#This Row],[Released On]]+tbl_MTG_Set[[#This Row],[Heavy Printing Window Month End]]*365.25/12</f>
        <v/>
      </c>
      <c r="S534" s="3">
        <f>AND(NOW()&gt;=tbl_MTG_Set[[#This Row],[Heavy Printing Window Start]], NOW()&lt;=tbl_MTG_Set[[#This Row],[Heavy Printing Window End]])</f>
        <v/>
      </c>
      <c r="T534">
        <f>_xlfn.XLOOKUP(tbl_MTG_Set[[#This Row],[Type Name]], tbl_MTG_Set_Type[Set Type], tbl_MTG_Set_Type[Sell Window Month Start], "(Set Type not found)", 0, 1)</f>
        <v/>
      </c>
      <c r="U534" s="3">
        <f>tbl_MTG_Set[[#This Row],[Released On]]+tbl_MTG_Set[[#This Row],[Sell Window Month Start]]*365.25/12</f>
        <v/>
      </c>
      <c r="V534">
        <f>_xlfn.XLOOKUP(tbl_MTG_Set[[#This Row],[Type Name]], tbl_MTG_Set_Type[Set Type], tbl_MTG_Set_Type[Sell Window Month End], "(Set Type not found)", 0, 1)</f>
        <v/>
      </c>
      <c r="W534" s="3">
        <f>tbl_MTG_Set[[#This Row],[Released On]]+tbl_MTG_Set[[#This Row],[Sell Window Month End]]*365.25/12</f>
        <v/>
      </c>
      <c r="X534" s="3">
        <f>AND(NOW()&gt;=tbl_MTG_Set[[#This Row],[Sell Window Start]], NOW()&lt;=tbl_MTG_Set[[#This Row],[Sell Window End]])</f>
        <v/>
      </c>
      <c r="AG534" s="10" t="n"/>
      <c r="AH534" s="10" t="n"/>
      <c r="AM534" s="10">
        <f t="array" ref="AM5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4" s="10">
        <f t="array" ref="AN5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4" s="4">
        <f>_xlfn.XLOOKUP(tbl_MTG_Set[[#This Row],[Play Booster Box Product Id]], tbl_Product[Product Id], tbl_Product[Pack Size])</f>
        <v/>
      </c>
      <c r="AP534" s="10">
        <f>(tbl_MTG_Set[[#This Row],[Play Booster Box Cost]]+v_Item_Shipping_Cost_In)/tbl_MTG_Set[[#This Row],[Play Booster Box Size]]</f>
        <v/>
      </c>
      <c r="AQ534" s="10">
        <f t="array" ref="AQ5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4" s="10" t="n"/>
      <c r="AS534" s="10" t="n"/>
      <c r="AT534" s="17">
        <f>tbl_MTG_Set[[#This Row],[Play Booster CardMarket Profit]]/tbl_MTG_Set[[#This Row],[Play Booster Cost]]</f>
        <v/>
      </c>
      <c r="AU534" s="10">
        <f>_xlfn.XLOOKUP(tbl_MTG_Set[[#This Row],[Collector Booster Box Product Id]], tbl_Product[Product Id], tbl_Product[Min Cost])</f>
        <v/>
      </c>
      <c r="AV534" s="10">
        <f>_xlfn.XLOOKUP(tbl_MTG_Set[[#This Row],[Collector Booster Box Product Id]], tbl_Product[Product Id], tbl_Product[Best Source])</f>
        <v/>
      </c>
      <c r="AW534" s="4">
        <f>_xlfn.XLOOKUP(tbl_MTG_Set[[#This Row],[Collector Booster Box Product Id]], tbl_Product[Product Id], tbl_Product[Pack Size])</f>
        <v/>
      </c>
      <c r="AX534" s="10">
        <f>(tbl_MTG_Set[[#This Row],[Collector Booster Box Cost]] + v_Item_Shipping_Cost_In) / tbl_MTG_Set[[#This Row],[Collector Booster Box Size]]</f>
        <v/>
      </c>
      <c r="AY534" s="10">
        <f t="array" ref="AY5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4" s="10" t="n"/>
      <c r="BA5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4" s="17">
        <f>tbl_MTG_Set[[#This Row],[Collector Booster CardMarket Profit]]/tbl_MTG_Set[[#This Row],[Collector Booster Cost]]</f>
        <v/>
      </c>
      <c r="BC534" s="10" t="n"/>
      <c r="BF534" s="10">
        <f>tbl_MTG_Set[[#This Row],[Play Booster Sell Price CardMarket]]*tbl_MTG_Set[[#This Row],[Play Booster Expected Market Value]]/tbl_MTG_Set[[#This Row],[Play Boost Sealed Market Value]]</f>
        <v/>
      </c>
      <c r="BG5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4" s="10">
        <f>tbl_MTG_Set[[#This Row],[Play Singles CardMarket Profit]]/tbl_MTG_Set[[#This Row],[Play Booster Cost]]</f>
        <v/>
      </c>
      <c r="BI534" s="10">
        <f>tbl_MTG_Set[[#This Row],[Play Singles CardMarket Profit]]&gt;0</f>
        <v/>
      </c>
      <c r="BJ534" s="10" t="n"/>
      <c r="BK534" s="10" t="n"/>
      <c r="BL534" s="10">
        <f>tbl_MTG_Set[[#This Row],[Collector Booster Sell Price CardMarket]]*tbl_MTG_Set[[#This Row],[Collector Booster Expected Market Value]]/tbl_MTG_Set[[#This Row],[Collector Boost Sealed Market Value]]</f>
        <v/>
      </c>
      <c r="BM5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4" s="10">
        <f>tbl_MTG_Set[[#This Row],[Collector Singles CardMarket Profit]]/tbl_MTG_Set[[#This Row],[Collector Booster Cost]]</f>
        <v/>
      </c>
      <c r="BO534" s="10">
        <f>tbl_MTG_Set[[#This Row],[Collector Singles CardMarket Profit]]&gt;0</f>
        <v/>
      </c>
      <c r="BP5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5">
      <c r="A535" t="n">
        <v>533</v>
      </c>
      <c r="B535" t="inlineStr">
        <is>
          <t>Amonkhet AKH</t>
        </is>
      </c>
      <c r="C535" t="n">
        <v>287</v>
      </c>
      <c r="D535" s="3" t="n">
        <v>42853</v>
      </c>
      <c r="F535" t="inlineStr">
        <is>
          <t>en es fr de it pt ja ko ru 汉语 漢語</t>
        </is>
      </c>
      <c r="G535" t="n">
        <v>1012</v>
      </c>
      <c r="H535">
        <f>MONTH(NOW())+12*YEAR(NOW())-MONTH(tbl_MTG_Set[[#This Row],[Released On]])-12*YEAR(tbl_MTG_Set[[#This Row],[Released On]])</f>
        <v/>
      </c>
      <c r="I535">
        <f>_xlfn.XLOOKUP(tbl_MTG_Set[[#This Row],[Type Name]], tbl_MTG_Set_Type[Set Type], tbl_MTG_Set_Type[Index], "(Set Type not found)")</f>
        <v/>
      </c>
      <c r="J535">
        <f>_xlfn.XLOOKUP(tbl_MTG_Set[[#This Row],[Type Name]], tbl_MTG_Set_Type[Set Type], tbl_MTG_Set_Type[Buy Window Month Start], "(Set Type not found)")</f>
        <v/>
      </c>
      <c r="K535" s="3">
        <f>tbl_MTG_Set[[#This Row],[Released On]]+tbl_MTG_Set[[#This Row],[Buy Window Month Start]]*365.25/12</f>
        <v/>
      </c>
      <c r="L535">
        <f>_xlfn.XLOOKUP(tbl_MTG_Set[[#This Row],[Type Name]], tbl_MTG_Set_Type[Set Type], tbl_MTG_Set_Type[Buy Window Month End], "(Set Type not found)", 0, 1)</f>
        <v/>
      </c>
      <c r="M535" s="3">
        <f>tbl_MTG_Set[[#This Row],[Released On]]+tbl_MTG_Set[[#This Row],[Buy Window Month End]]*365.25/12</f>
        <v/>
      </c>
      <c r="N535" s="3">
        <f>AND(NOW()&gt;=tbl_MTG_Set[[#This Row],[Buy Window Start]], NOW()&lt;=tbl_MTG_Set[[#This Row],[Buy Window End]])</f>
        <v/>
      </c>
      <c r="O535">
        <f>_xlfn.XLOOKUP(tbl_MTG_Set[[#This Row],[Type Name]], tbl_MTG_Set_Type[Set Type], tbl_MTG_Set_Type[Heavy Printing Window Month Start], "(Set Type not found)", 0, 1)</f>
        <v/>
      </c>
      <c r="P535" s="3">
        <f>tbl_MTG_Set[[#This Row],[Released On]]+tbl_MTG_Set[[#This Row],[Heavy Printing Window Month Start]]*365.25/12</f>
        <v/>
      </c>
      <c r="Q535">
        <f>_xlfn.XLOOKUP(tbl_MTG_Set[[#This Row],[Type Name]], tbl_MTG_Set_Type[Set Type], tbl_MTG_Set_Type[Heavy Printing Window Month End], "(Set Type not found)", 0, 1)</f>
        <v/>
      </c>
      <c r="R535" s="3">
        <f>tbl_MTG_Set[[#This Row],[Released On]]+tbl_MTG_Set[[#This Row],[Heavy Printing Window Month End]]*365.25/12</f>
        <v/>
      </c>
      <c r="S535" s="3">
        <f>AND(NOW()&gt;=tbl_MTG_Set[[#This Row],[Heavy Printing Window Start]], NOW()&lt;=tbl_MTG_Set[[#This Row],[Heavy Printing Window End]])</f>
        <v/>
      </c>
      <c r="T535">
        <f>_xlfn.XLOOKUP(tbl_MTG_Set[[#This Row],[Type Name]], tbl_MTG_Set_Type[Set Type], tbl_MTG_Set_Type[Sell Window Month Start], "(Set Type not found)", 0, 1)</f>
        <v/>
      </c>
      <c r="U535" s="3">
        <f>tbl_MTG_Set[[#This Row],[Released On]]+tbl_MTG_Set[[#This Row],[Sell Window Month Start]]*365.25/12</f>
        <v/>
      </c>
      <c r="V535">
        <f>_xlfn.XLOOKUP(tbl_MTG_Set[[#This Row],[Type Name]], tbl_MTG_Set_Type[Set Type], tbl_MTG_Set_Type[Sell Window Month End], "(Set Type not found)", 0, 1)</f>
        <v/>
      </c>
      <c r="W535" s="3">
        <f>tbl_MTG_Set[[#This Row],[Released On]]+tbl_MTG_Set[[#This Row],[Sell Window Month End]]*365.25/12</f>
        <v/>
      </c>
      <c r="X535" s="3">
        <f>AND(NOW()&gt;=tbl_MTG_Set[[#This Row],[Sell Window Start]], NOW()&lt;=tbl_MTG_Set[[#This Row],[Sell Window End]])</f>
        <v/>
      </c>
      <c r="AG535" s="10" t="n"/>
      <c r="AH535" s="10" t="n"/>
      <c r="AM535" s="10">
        <f t="array" ref="AM5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5" s="10">
        <f t="array" ref="AN5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5" s="4">
        <f>_xlfn.XLOOKUP(tbl_MTG_Set[[#This Row],[Play Booster Box Product Id]], tbl_Product[Product Id], tbl_Product[Pack Size])</f>
        <v/>
      </c>
      <c r="AP535" s="10">
        <f>(tbl_MTG_Set[[#This Row],[Play Booster Box Cost]]+v_Item_Shipping_Cost_In)/tbl_MTG_Set[[#This Row],[Play Booster Box Size]]</f>
        <v/>
      </c>
      <c r="AQ535" s="10">
        <f t="array" ref="AQ5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5" s="10" t="n"/>
      <c r="AS535" s="10" t="n"/>
      <c r="AT535" s="17">
        <f>tbl_MTG_Set[[#This Row],[Play Booster CardMarket Profit]]/tbl_MTG_Set[[#This Row],[Play Booster Cost]]</f>
        <v/>
      </c>
      <c r="AU535" s="10">
        <f>_xlfn.XLOOKUP(tbl_MTG_Set[[#This Row],[Collector Booster Box Product Id]], tbl_Product[Product Id], tbl_Product[Min Cost])</f>
        <v/>
      </c>
      <c r="AV535" s="10">
        <f>_xlfn.XLOOKUP(tbl_MTG_Set[[#This Row],[Collector Booster Box Product Id]], tbl_Product[Product Id], tbl_Product[Best Source])</f>
        <v/>
      </c>
      <c r="AW535" s="4">
        <f>_xlfn.XLOOKUP(tbl_MTG_Set[[#This Row],[Collector Booster Box Product Id]], tbl_Product[Product Id], tbl_Product[Pack Size])</f>
        <v/>
      </c>
      <c r="AX535" s="10">
        <f>(tbl_MTG_Set[[#This Row],[Collector Booster Box Cost]] + v_Item_Shipping_Cost_In) / tbl_MTG_Set[[#This Row],[Collector Booster Box Size]]</f>
        <v/>
      </c>
      <c r="AY535" s="10">
        <f t="array" ref="AY5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5" s="10" t="n"/>
      <c r="BA5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5" s="17">
        <f>tbl_MTG_Set[[#This Row],[Collector Booster CardMarket Profit]]/tbl_MTG_Set[[#This Row],[Collector Booster Cost]]</f>
        <v/>
      </c>
      <c r="BC535" s="10" t="n"/>
      <c r="BF535" s="10">
        <f>tbl_MTG_Set[[#This Row],[Play Booster Sell Price CardMarket]]*tbl_MTG_Set[[#This Row],[Play Booster Expected Market Value]]/tbl_MTG_Set[[#This Row],[Play Boost Sealed Market Value]]</f>
        <v/>
      </c>
      <c r="BG5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5" s="10">
        <f>tbl_MTG_Set[[#This Row],[Play Singles CardMarket Profit]]/tbl_MTG_Set[[#This Row],[Play Booster Cost]]</f>
        <v/>
      </c>
      <c r="BI535" s="10">
        <f>tbl_MTG_Set[[#This Row],[Play Singles CardMarket Profit]]&gt;0</f>
        <v/>
      </c>
      <c r="BJ535" s="10" t="n"/>
      <c r="BK535" s="10" t="n"/>
      <c r="BL535" s="10">
        <f>tbl_MTG_Set[[#This Row],[Collector Booster Sell Price CardMarket]]*tbl_MTG_Set[[#This Row],[Collector Booster Expected Market Value]]/tbl_MTG_Set[[#This Row],[Collector Boost Sealed Market Value]]</f>
        <v/>
      </c>
      <c r="BM5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5" s="10">
        <f>tbl_MTG_Set[[#This Row],[Collector Singles CardMarket Profit]]/tbl_MTG_Set[[#This Row],[Collector Booster Cost]]</f>
        <v/>
      </c>
      <c r="BO535" s="10">
        <f>tbl_MTG_Set[[#This Row],[Collector Singles CardMarket Profit]]&gt;0</f>
        <v/>
      </c>
      <c r="BP5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6">
      <c r="A536" t="n">
        <v>534</v>
      </c>
      <c r="B536" t="inlineStr">
        <is>
          <t>Amonkhet Invocations MP2</t>
        </is>
      </c>
      <c r="C536" t="n">
        <v>54</v>
      </c>
      <c r="D536" s="3" t="n">
        <v>42853</v>
      </c>
      <c r="F536" t="inlineStr">
        <is>
          <t>en es fr de it pt ja ko ru 汉语 漢語</t>
        </is>
      </c>
      <c r="G536" t="n">
        <v>1014</v>
      </c>
      <c r="H536">
        <f>MONTH(NOW())+12*YEAR(NOW())-MONTH(tbl_MTG_Set[[#This Row],[Released On]])-12*YEAR(tbl_MTG_Set[[#This Row],[Released On]])</f>
        <v/>
      </c>
      <c r="I536">
        <f>_xlfn.XLOOKUP(tbl_MTG_Set[[#This Row],[Type Name]], tbl_MTG_Set_Type[Set Type], tbl_MTG_Set_Type[Index], "(Set Type not found)")</f>
        <v/>
      </c>
      <c r="J536">
        <f>_xlfn.XLOOKUP(tbl_MTG_Set[[#This Row],[Type Name]], tbl_MTG_Set_Type[Set Type], tbl_MTG_Set_Type[Buy Window Month Start], "(Set Type not found)")</f>
        <v/>
      </c>
      <c r="K536" s="3">
        <f>tbl_MTG_Set[[#This Row],[Released On]]+tbl_MTG_Set[[#This Row],[Buy Window Month Start]]*365.25/12</f>
        <v/>
      </c>
      <c r="L536">
        <f>_xlfn.XLOOKUP(tbl_MTG_Set[[#This Row],[Type Name]], tbl_MTG_Set_Type[Set Type], tbl_MTG_Set_Type[Buy Window Month End], "(Set Type not found)", 0, 1)</f>
        <v/>
      </c>
      <c r="M536" s="3">
        <f>tbl_MTG_Set[[#This Row],[Released On]]+tbl_MTG_Set[[#This Row],[Buy Window Month End]]*365.25/12</f>
        <v/>
      </c>
      <c r="N536" s="3">
        <f>AND(NOW()&gt;=tbl_MTG_Set[[#This Row],[Buy Window Start]], NOW()&lt;=tbl_MTG_Set[[#This Row],[Buy Window End]])</f>
        <v/>
      </c>
      <c r="O536">
        <f>_xlfn.XLOOKUP(tbl_MTG_Set[[#This Row],[Type Name]], tbl_MTG_Set_Type[Set Type], tbl_MTG_Set_Type[Heavy Printing Window Month Start], "(Set Type not found)", 0, 1)</f>
        <v/>
      </c>
      <c r="P536" s="3">
        <f>tbl_MTG_Set[[#This Row],[Released On]]+tbl_MTG_Set[[#This Row],[Heavy Printing Window Month Start]]*365.25/12</f>
        <v/>
      </c>
      <c r="Q536">
        <f>_xlfn.XLOOKUP(tbl_MTG_Set[[#This Row],[Type Name]], tbl_MTG_Set_Type[Set Type], tbl_MTG_Set_Type[Heavy Printing Window Month End], "(Set Type not found)", 0, 1)</f>
        <v/>
      </c>
      <c r="R536" s="3">
        <f>tbl_MTG_Set[[#This Row],[Released On]]+tbl_MTG_Set[[#This Row],[Heavy Printing Window Month End]]*365.25/12</f>
        <v/>
      </c>
      <c r="S536" s="3">
        <f>AND(NOW()&gt;=tbl_MTG_Set[[#This Row],[Heavy Printing Window Start]], NOW()&lt;=tbl_MTG_Set[[#This Row],[Heavy Printing Window End]])</f>
        <v/>
      </c>
      <c r="T536">
        <f>_xlfn.XLOOKUP(tbl_MTG_Set[[#This Row],[Type Name]], tbl_MTG_Set_Type[Set Type], tbl_MTG_Set_Type[Sell Window Month Start], "(Set Type not found)", 0, 1)</f>
        <v/>
      </c>
      <c r="U536" s="3">
        <f>tbl_MTG_Set[[#This Row],[Released On]]+tbl_MTG_Set[[#This Row],[Sell Window Month Start]]*365.25/12</f>
        <v/>
      </c>
      <c r="V536">
        <f>_xlfn.XLOOKUP(tbl_MTG_Set[[#This Row],[Type Name]], tbl_MTG_Set_Type[Set Type], tbl_MTG_Set_Type[Sell Window Month End], "(Set Type not found)", 0, 1)</f>
        <v/>
      </c>
      <c r="W536" s="3">
        <f>tbl_MTG_Set[[#This Row],[Released On]]+tbl_MTG_Set[[#This Row],[Sell Window Month End]]*365.25/12</f>
        <v/>
      </c>
      <c r="X536" s="3">
        <f>AND(NOW()&gt;=tbl_MTG_Set[[#This Row],[Sell Window Start]], NOW()&lt;=tbl_MTG_Set[[#This Row],[Sell Window End]])</f>
        <v/>
      </c>
      <c r="AG536" s="10" t="n"/>
      <c r="AH536" s="10" t="n"/>
      <c r="AM536" s="10">
        <f t="array" ref="AM5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6" s="10">
        <f t="array" ref="AN5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6" s="4">
        <f>_xlfn.XLOOKUP(tbl_MTG_Set[[#This Row],[Play Booster Box Product Id]], tbl_Product[Product Id], tbl_Product[Pack Size])</f>
        <v/>
      </c>
      <c r="AP536" s="10">
        <f>(tbl_MTG_Set[[#This Row],[Play Booster Box Cost]]+v_Item_Shipping_Cost_In)/tbl_MTG_Set[[#This Row],[Play Booster Box Size]]</f>
        <v/>
      </c>
      <c r="AQ536" s="10">
        <f t="array" ref="AQ5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6" s="10" t="n"/>
      <c r="AS536" s="10" t="n"/>
      <c r="AT536" s="17">
        <f>tbl_MTG_Set[[#This Row],[Play Booster CardMarket Profit]]/tbl_MTG_Set[[#This Row],[Play Booster Cost]]</f>
        <v/>
      </c>
      <c r="AU536" s="10">
        <f>_xlfn.XLOOKUP(tbl_MTG_Set[[#This Row],[Collector Booster Box Product Id]], tbl_Product[Product Id], tbl_Product[Min Cost])</f>
        <v/>
      </c>
      <c r="AV536" s="10">
        <f>_xlfn.XLOOKUP(tbl_MTG_Set[[#This Row],[Collector Booster Box Product Id]], tbl_Product[Product Id], tbl_Product[Best Source])</f>
        <v/>
      </c>
      <c r="AW536" s="4">
        <f>_xlfn.XLOOKUP(tbl_MTG_Set[[#This Row],[Collector Booster Box Product Id]], tbl_Product[Product Id], tbl_Product[Pack Size])</f>
        <v/>
      </c>
      <c r="AX536" s="10">
        <f>(tbl_MTG_Set[[#This Row],[Collector Booster Box Cost]] + v_Item_Shipping_Cost_In) / tbl_MTG_Set[[#This Row],[Collector Booster Box Size]]</f>
        <v/>
      </c>
      <c r="AY536" s="10">
        <f t="array" ref="AY5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6" s="10" t="n"/>
      <c r="BA5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6" s="17">
        <f>tbl_MTG_Set[[#This Row],[Collector Booster CardMarket Profit]]/tbl_MTG_Set[[#This Row],[Collector Booster Cost]]</f>
        <v/>
      </c>
      <c r="BC536" s="10" t="n"/>
      <c r="BF536" s="10">
        <f>tbl_MTG_Set[[#This Row],[Play Booster Sell Price CardMarket]]*tbl_MTG_Set[[#This Row],[Play Booster Expected Market Value]]/tbl_MTG_Set[[#This Row],[Play Boost Sealed Market Value]]</f>
        <v/>
      </c>
      <c r="BG5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6" s="10">
        <f>tbl_MTG_Set[[#This Row],[Play Singles CardMarket Profit]]/tbl_MTG_Set[[#This Row],[Play Booster Cost]]</f>
        <v/>
      </c>
      <c r="BI536" s="10">
        <f>tbl_MTG_Set[[#This Row],[Play Singles CardMarket Profit]]&gt;0</f>
        <v/>
      </c>
      <c r="BJ536" s="10" t="n"/>
      <c r="BK536" s="10" t="n"/>
      <c r="BL536" s="10">
        <f>tbl_MTG_Set[[#This Row],[Collector Booster Sell Price CardMarket]]*tbl_MTG_Set[[#This Row],[Collector Booster Expected Market Value]]/tbl_MTG_Set[[#This Row],[Collector Boost Sealed Market Value]]</f>
        <v/>
      </c>
      <c r="BM5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6" s="10">
        <f>tbl_MTG_Set[[#This Row],[Collector Singles CardMarket Profit]]/tbl_MTG_Set[[#This Row],[Collector Booster Cost]]</f>
        <v/>
      </c>
      <c r="BO536" s="10">
        <f>tbl_MTG_Set[[#This Row],[Collector Singles CardMarket Profit]]&gt;0</f>
        <v/>
      </c>
      <c r="BP5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7">
      <c r="A537" t="n">
        <v>535</v>
      </c>
      <c r="B537" t="inlineStr">
        <is>
          <t>Amonkhet Promos PAKH</t>
        </is>
      </c>
      <c r="C537" t="n">
        <v>77</v>
      </c>
      <c r="D537" s="3" t="n">
        <v>42853</v>
      </c>
      <c r="F537" t="inlineStr">
        <is>
          <t>en es fr de it pt ja ko ru 汉语 漢語</t>
        </is>
      </c>
      <c r="G537" t="n">
        <v>1016</v>
      </c>
      <c r="H537">
        <f>MONTH(NOW())+12*YEAR(NOW())-MONTH(tbl_MTG_Set[[#This Row],[Released On]])-12*YEAR(tbl_MTG_Set[[#This Row],[Released On]])</f>
        <v/>
      </c>
      <c r="I537">
        <f>_xlfn.XLOOKUP(tbl_MTG_Set[[#This Row],[Type Name]], tbl_MTG_Set_Type[Set Type], tbl_MTG_Set_Type[Index], "(Set Type not found)")</f>
        <v/>
      </c>
      <c r="J537">
        <f>_xlfn.XLOOKUP(tbl_MTG_Set[[#This Row],[Type Name]], tbl_MTG_Set_Type[Set Type], tbl_MTG_Set_Type[Buy Window Month Start], "(Set Type not found)")</f>
        <v/>
      </c>
      <c r="K537" s="3">
        <f>tbl_MTG_Set[[#This Row],[Released On]]+tbl_MTG_Set[[#This Row],[Buy Window Month Start]]*365.25/12</f>
        <v/>
      </c>
      <c r="L537">
        <f>_xlfn.XLOOKUP(tbl_MTG_Set[[#This Row],[Type Name]], tbl_MTG_Set_Type[Set Type], tbl_MTG_Set_Type[Buy Window Month End], "(Set Type not found)", 0, 1)</f>
        <v/>
      </c>
      <c r="M537" s="3">
        <f>tbl_MTG_Set[[#This Row],[Released On]]+tbl_MTG_Set[[#This Row],[Buy Window Month End]]*365.25/12</f>
        <v/>
      </c>
      <c r="N537" s="3">
        <f>AND(NOW()&gt;=tbl_MTG_Set[[#This Row],[Buy Window Start]], NOW()&lt;=tbl_MTG_Set[[#This Row],[Buy Window End]])</f>
        <v/>
      </c>
      <c r="O537">
        <f>_xlfn.XLOOKUP(tbl_MTG_Set[[#This Row],[Type Name]], tbl_MTG_Set_Type[Set Type], tbl_MTG_Set_Type[Heavy Printing Window Month Start], "(Set Type not found)", 0, 1)</f>
        <v/>
      </c>
      <c r="P537" s="3">
        <f>tbl_MTG_Set[[#This Row],[Released On]]+tbl_MTG_Set[[#This Row],[Heavy Printing Window Month Start]]*365.25/12</f>
        <v/>
      </c>
      <c r="Q537">
        <f>_xlfn.XLOOKUP(tbl_MTG_Set[[#This Row],[Type Name]], tbl_MTG_Set_Type[Set Type], tbl_MTG_Set_Type[Heavy Printing Window Month End], "(Set Type not found)", 0, 1)</f>
        <v/>
      </c>
      <c r="R537" s="3">
        <f>tbl_MTG_Set[[#This Row],[Released On]]+tbl_MTG_Set[[#This Row],[Heavy Printing Window Month End]]*365.25/12</f>
        <v/>
      </c>
      <c r="S537" s="3">
        <f>AND(NOW()&gt;=tbl_MTG_Set[[#This Row],[Heavy Printing Window Start]], NOW()&lt;=tbl_MTG_Set[[#This Row],[Heavy Printing Window End]])</f>
        <v/>
      </c>
      <c r="T537">
        <f>_xlfn.XLOOKUP(tbl_MTG_Set[[#This Row],[Type Name]], tbl_MTG_Set_Type[Set Type], tbl_MTG_Set_Type[Sell Window Month Start], "(Set Type not found)", 0, 1)</f>
        <v/>
      </c>
      <c r="U537" s="3">
        <f>tbl_MTG_Set[[#This Row],[Released On]]+tbl_MTG_Set[[#This Row],[Sell Window Month Start]]*365.25/12</f>
        <v/>
      </c>
      <c r="V537">
        <f>_xlfn.XLOOKUP(tbl_MTG_Set[[#This Row],[Type Name]], tbl_MTG_Set_Type[Set Type], tbl_MTG_Set_Type[Sell Window Month End], "(Set Type not found)", 0, 1)</f>
        <v/>
      </c>
      <c r="W537" s="3">
        <f>tbl_MTG_Set[[#This Row],[Released On]]+tbl_MTG_Set[[#This Row],[Sell Window Month End]]*365.25/12</f>
        <v/>
      </c>
      <c r="X537" s="3">
        <f>AND(NOW()&gt;=tbl_MTG_Set[[#This Row],[Sell Window Start]], NOW()&lt;=tbl_MTG_Set[[#This Row],[Sell Window End]])</f>
        <v/>
      </c>
      <c r="AG537" s="10" t="n"/>
      <c r="AH537" s="10" t="n"/>
      <c r="AM537" s="10">
        <f t="array" ref="AM5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7" s="10">
        <f t="array" ref="AN5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7" s="4">
        <f>_xlfn.XLOOKUP(tbl_MTG_Set[[#This Row],[Play Booster Box Product Id]], tbl_Product[Product Id], tbl_Product[Pack Size])</f>
        <v/>
      </c>
      <c r="AP537" s="10">
        <f>(tbl_MTG_Set[[#This Row],[Play Booster Box Cost]]+v_Item_Shipping_Cost_In)/tbl_MTG_Set[[#This Row],[Play Booster Box Size]]</f>
        <v/>
      </c>
      <c r="AQ537" s="10">
        <f t="array" ref="AQ5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7" s="10" t="n"/>
      <c r="AS537" s="10" t="n"/>
      <c r="AT537" s="17">
        <f>tbl_MTG_Set[[#This Row],[Play Booster CardMarket Profit]]/tbl_MTG_Set[[#This Row],[Play Booster Cost]]</f>
        <v/>
      </c>
      <c r="AU537" s="10">
        <f>_xlfn.XLOOKUP(tbl_MTG_Set[[#This Row],[Collector Booster Box Product Id]], tbl_Product[Product Id], tbl_Product[Min Cost])</f>
        <v/>
      </c>
      <c r="AV537" s="10">
        <f>_xlfn.XLOOKUP(tbl_MTG_Set[[#This Row],[Collector Booster Box Product Id]], tbl_Product[Product Id], tbl_Product[Best Source])</f>
        <v/>
      </c>
      <c r="AW537" s="4">
        <f>_xlfn.XLOOKUP(tbl_MTG_Set[[#This Row],[Collector Booster Box Product Id]], tbl_Product[Product Id], tbl_Product[Pack Size])</f>
        <v/>
      </c>
      <c r="AX537" s="10">
        <f>(tbl_MTG_Set[[#This Row],[Collector Booster Box Cost]] + v_Item_Shipping_Cost_In) / tbl_MTG_Set[[#This Row],[Collector Booster Box Size]]</f>
        <v/>
      </c>
      <c r="AY537" s="10">
        <f t="array" ref="AY5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7" s="10" t="n"/>
      <c r="BA5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7" s="17">
        <f>tbl_MTG_Set[[#This Row],[Collector Booster CardMarket Profit]]/tbl_MTG_Set[[#This Row],[Collector Booster Cost]]</f>
        <v/>
      </c>
      <c r="BC537" s="10" t="n"/>
      <c r="BF537" s="10">
        <f>tbl_MTG_Set[[#This Row],[Play Booster Sell Price CardMarket]]*tbl_MTG_Set[[#This Row],[Play Booster Expected Market Value]]/tbl_MTG_Set[[#This Row],[Play Boost Sealed Market Value]]</f>
        <v/>
      </c>
      <c r="BG5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7" s="10">
        <f>tbl_MTG_Set[[#This Row],[Play Singles CardMarket Profit]]/tbl_MTG_Set[[#This Row],[Play Booster Cost]]</f>
        <v/>
      </c>
      <c r="BI537" s="10">
        <f>tbl_MTG_Set[[#This Row],[Play Singles CardMarket Profit]]&gt;0</f>
        <v/>
      </c>
      <c r="BJ537" s="10" t="n"/>
      <c r="BK537" s="10" t="n"/>
      <c r="BL537" s="10">
        <f>tbl_MTG_Set[[#This Row],[Collector Booster Sell Price CardMarket]]*tbl_MTG_Set[[#This Row],[Collector Booster Expected Market Value]]/tbl_MTG_Set[[#This Row],[Collector Boost Sealed Market Value]]</f>
        <v/>
      </c>
      <c r="BM5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7" s="10">
        <f>tbl_MTG_Set[[#This Row],[Collector Singles CardMarket Profit]]/tbl_MTG_Set[[#This Row],[Collector Booster Cost]]</f>
        <v/>
      </c>
      <c r="BO537" s="10">
        <f>tbl_MTG_Set[[#This Row],[Collector Singles CardMarket Profit]]&gt;0</f>
        <v/>
      </c>
      <c r="BP5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8">
      <c r="A538" t="n">
        <v>536</v>
      </c>
      <c r="B538" t="inlineStr">
        <is>
          <t>Amonkhet Tokens TAKH</t>
        </is>
      </c>
      <c r="C538" t="n">
        <v>26</v>
      </c>
      <c r="D538" s="3" t="n">
        <v>42853</v>
      </c>
      <c r="F538" t="inlineStr">
        <is>
          <t>en es fr de it pt ja ko ru 汉语 漢語</t>
        </is>
      </c>
      <c r="G538" t="n">
        <v>1018</v>
      </c>
      <c r="H538">
        <f>MONTH(NOW())+12*YEAR(NOW())-MONTH(tbl_MTG_Set[[#This Row],[Released On]])-12*YEAR(tbl_MTG_Set[[#This Row],[Released On]])</f>
        <v/>
      </c>
      <c r="I538">
        <f>_xlfn.XLOOKUP(tbl_MTG_Set[[#This Row],[Type Name]], tbl_MTG_Set_Type[Set Type], tbl_MTG_Set_Type[Index], "(Set Type not found)")</f>
        <v/>
      </c>
      <c r="J538">
        <f>_xlfn.XLOOKUP(tbl_MTG_Set[[#This Row],[Type Name]], tbl_MTG_Set_Type[Set Type], tbl_MTG_Set_Type[Buy Window Month Start], "(Set Type not found)")</f>
        <v/>
      </c>
      <c r="K538" s="3">
        <f>tbl_MTG_Set[[#This Row],[Released On]]+tbl_MTG_Set[[#This Row],[Buy Window Month Start]]*365.25/12</f>
        <v/>
      </c>
      <c r="L538">
        <f>_xlfn.XLOOKUP(tbl_MTG_Set[[#This Row],[Type Name]], tbl_MTG_Set_Type[Set Type], tbl_MTG_Set_Type[Buy Window Month End], "(Set Type not found)", 0, 1)</f>
        <v/>
      </c>
      <c r="M538" s="3">
        <f>tbl_MTG_Set[[#This Row],[Released On]]+tbl_MTG_Set[[#This Row],[Buy Window Month End]]*365.25/12</f>
        <v/>
      </c>
      <c r="N538" s="3">
        <f>AND(NOW()&gt;=tbl_MTG_Set[[#This Row],[Buy Window Start]], NOW()&lt;=tbl_MTG_Set[[#This Row],[Buy Window End]])</f>
        <v/>
      </c>
      <c r="O538">
        <f>_xlfn.XLOOKUP(tbl_MTG_Set[[#This Row],[Type Name]], tbl_MTG_Set_Type[Set Type], tbl_MTG_Set_Type[Heavy Printing Window Month Start], "(Set Type not found)", 0, 1)</f>
        <v/>
      </c>
      <c r="P538" s="3">
        <f>tbl_MTG_Set[[#This Row],[Released On]]+tbl_MTG_Set[[#This Row],[Heavy Printing Window Month Start]]*365.25/12</f>
        <v/>
      </c>
      <c r="Q538">
        <f>_xlfn.XLOOKUP(tbl_MTG_Set[[#This Row],[Type Name]], tbl_MTG_Set_Type[Set Type], tbl_MTG_Set_Type[Heavy Printing Window Month End], "(Set Type not found)", 0, 1)</f>
        <v/>
      </c>
      <c r="R538" s="3">
        <f>tbl_MTG_Set[[#This Row],[Released On]]+tbl_MTG_Set[[#This Row],[Heavy Printing Window Month End]]*365.25/12</f>
        <v/>
      </c>
      <c r="S538" s="3">
        <f>AND(NOW()&gt;=tbl_MTG_Set[[#This Row],[Heavy Printing Window Start]], NOW()&lt;=tbl_MTG_Set[[#This Row],[Heavy Printing Window End]])</f>
        <v/>
      </c>
      <c r="T538">
        <f>_xlfn.XLOOKUP(tbl_MTG_Set[[#This Row],[Type Name]], tbl_MTG_Set_Type[Set Type], tbl_MTG_Set_Type[Sell Window Month Start], "(Set Type not found)", 0, 1)</f>
        <v/>
      </c>
      <c r="U538" s="3">
        <f>tbl_MTG_Set[[#This Row],[Released On]]+tbl_MTG_Set[[#This Row],[Sell Window Month Start]]*365.25/12</f>
        <v/>
      </c>
      <c r="V538">
        <f>_xlfn.XLOOKUP(tbl_MTG_Set[[#This Row],[Type Name]], tbl_MTG_Set_Type[Set Type], tbl_MTG_Set_Type[Sell Window Month End], "(Set Type not found)", 0, 1)</f>
        <v/>
      </c>
      <c r="W538" s="3">
        <f>tbl_MTG_Set[[#This Row],[Released On]]+tbl_MTG_Set[[#This Row],[Sell Window Month End]]*365.25/12</f>
        <v/>
      </c>
      <c r="X538" s="3">
        <f>AND(NOW()&gt;=tbl_MTG_Set[[#This Row],[Sell Window Start]], NOW()&lt;=tbl_MTG_Set[[#This Row],[Sell Window End]])</f>
        <v/>
      </c>
      <c r="AG538" s="10" t="n"/>
      <c r="AH538" s="10" t="n"/>
      <c r="AM538" s="10">
        <f t="array" ref="AM5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8" s="10">
        <f t="array" ref="AN5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8" s="4">
        <f>_xlfn.XLOOKUP(tbl_MTG_Set[[#This Row],[Play Booster Box Product Id]], tbl_Product[Product Id], tbl_Product[Pack Size])</f>
        <v/>
      </c>
      <c r="AP538" s="10">
        <f>(tbl_MTG_Set[[#This Row],[Play Booster Box Cost]]+v_Item_Shipping_Cost_In)/tbl_MTG_Set[[#This Row],[Play Booster Box Size]]</f>
        <v/>
      </c>
      <c r="AQ538" s="10">
        <f t="array" ref="AQ5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8" s="10" t="n"/>
      <c r="AS538" s="10" t="n"/>
      <c r="AT538" s="17">
        <f>tbl_MTG_Set[[#This Row],[Play Booster CardMarket Profit]]/tbl_MTG_Set[[#This Row],[Play Booster Cost]]</f>
        <v/>
      </c>
      <c r="AU538" s="10">
        <f>_xlfn.XLOOKUP(tbl_MTG_Set[[#This Row],[Collector Booster Box Product Id]], tbl_Product[Product Id], tbl_Product[Min Cost])</f>
        <v/>
      </c>
      <c r="AV538" s="10">
        <f>_xlfn.XLOOKUP(tbl_MTG_Set[[#This Row],[Collector Booster Box Product Id]], tbl_Product[Product Id], tbl_Product[Best Source])</f>
        <v/>
      </c>
      <c r="AW538" s="4">
        <f>_xlfn.XLOOKUP(tbl_MTG_Set[[#This Row],[Collector Booster Box Product Id]], tbl_Product[Product Id], tbl_Product[Pack Size])</f>
        <v/>
      </c>
      <c r="AX538" s="10">
        <f>(tbl_MTG_Set[[#This Row],[Collector Booster Box Cost]] + v_Item_Shipping_Cost_In) / tbl_MTG_Set[[#This Row],[Collector Booster Box Size]]</f>
        <v/>
      </c>
      <c r="AY538" s="10">
        <f t="array" ref="AY5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8" s="10" t="n"/>
      <c r="BA5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8" s="17">
        <f>tbl_MTG_Set[[#This Row],[Collector Booster CardMarket Profit]]/tbl_MTG_Set[[#This Row],[Collector Booster Cost]]</f>
        <v/>
      </c>
      <c r="BC538" s="10" t="n"/>
      <c r="BF538" s="10">
        <f>tbl_MTG_Set[[#This Row],[Play Booster Sell Price CardMarket]]*tbl_MTG_Set[[#This Row],[Play Booster Expected Market Value]]/tbl_MTG_Set[[#This Row],[Play Boost Sealed Market Value]]</f>
        <v/>
      </c>
      <c r="BG5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8" s="10">
        <f>tbl_MTG_Set[[#This Row],[Play Singles CardMarket Profit]]/tbl_MTG_Set[[#This Row],[Play Booster Cost]]</f>
        <v/>
      </c>
      <c r="BI538" s="10">
        <f>tbl_MTG_Set[[#This Row],[Play Singles CardMarket Profit]]&gt;0</f>
        <v/>
      </c>
      <c r="BJ538" s="10" t="n"/>
      <c r="BK538" s="10" t="n"/>
      <c r="BL538" s="10">
        <f>tbl_MTG_Set[[#This Row],[Collector Booster Sell Price CardMarket]]*tbl_MTG_Set[[#This Row],[Collector Booster Expected Market Value]]/tbl_MTG_Set[[#This Row],[Collector Boost Sealed Market Value]]</f>
        <v/>
      </c>
      <c r="BM5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8" s="10">
        <f>tbl_MTG_Set[[#This Row],[Collector Singles CardMarket Profit]]/tbl_MTG_Set[[#This Row],[Collector Booster Cost]]</f>
        <v/>
      </c>
      <c r="BO538" s="10">
        <f>tbl_MTG_Set[[#This Row],[Collector Singles CardMarket Profit]]&gt;0</f>
        <v/>
      </c>
      <c r="BP5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9">
      <c r="A539" t="n">
        <v>537</v>
      </c>
      <c r="B539" t="inlineStr">
        <is>
          <t>Welcome Deck 2017 W17</t>
        </is>
      </c>
      <c r="C539" t="n">
        <v>30</v>
      </c>
      <c r="D539" s="3" t="n">
        <v>42840</v>
      </c>
      <c r="F539" t="inlineStr">
        <is>
          <t>en es fr de it pt ja ko ru 汉语 漢語</t>
        </is>
      </c>
      <c r="G539" t="n">
        <v>1020</v>
      </c>
      <c r="H539">
        <f>MONTH(NOW())+12*YEAR(NOW())-MONTH(tbl_MTG_Set[[#This Row],[Released On]])-12*YEAR(tbl_MTG_Set[[#This Row],[Released On]])</f>
        <v/>
      </c>
      <c r="I539">
        <f>_xlfn.XLOOKUP(tbl_MTG_Set[[#This Row],[Type Name]], tbl_MTG_Set_Type[Set Type], tbl_MTG_Set_Type[Index], "(Set Type not found)")</f>
        <v/>
      </c>
      <c r="J539">
        <f>_xlfn.XLOOKUP(tbl_MTG_Set[[#This Row],[Type Name]], tbl_MTG_Set_Type[Set Type], tbl_MTG_Set_Type[Buy Window Month Start], "(Set Type not found)")</f>
        <v/>
      </c>
      <c r="K539" s="3">
        <f>tbl_MTG_Set[[#This Row],[Released On]]+tbl_MTG_Set[[#This Row],[Buy Window Month Start]]*365.25/12</f>
        <v/>
      </c>
      <c r="L539">
        <f>_xlfn.XLOOKUP(tbl_MTG_Set[[#This Row],[Type Name]], tbl_MTG_Set_Type[Set Type], tbl_MTG_Set_Type[Buy Window Month End], "(Set Type not found)", 0, 1)</f>
        <v/>
      </c>
      <c r="M539" s="3">
        <f>tbl_MTG_Set[[#This Row],[Released On]]+tbl_MTG_Set[[#This Row],[Buy Window Month End]]*365.25/12</f>
        <v/>
      </c>
      <c r="N539" s="3">
        <f>AND(NOW()&gt;=tbl_MTG_Set[[#This Row],[Buy Window Start]], NOW()&lt;=tbl_MTG_Set[[#This Row],[Buy Window End]])</f>
        <v/>
      </c>
      <c r="O539">
        <f>_xlfn.XLOOKUP(tbl_MTG_Set[[#This Row],[Type Name]], tbl_MTG_Set_Type[Set Type], tbl_MTG_Set_Type[Heavy Printing Window Month Start], "(Set Type not found)", 0, 1)</f>
        <v/>
      </c>
      <c r="P539" s="3">
        <f>tbl_MTG_Set[[#This Row],[Released On]]+tbl_MTG_Set[[#This Row],[Heavy Printing Window Month Start]]*365.25/12</f>
        <v/>
      </c>
      <c r="Q539">
        <f>_xlfn.XLOOKUP(tbl_MTG_Set[[#This Row],[Type Name]], tbl_MTG_Set_Type[Set Type], tbl_MTG_Set_Type[Heavy Printing Window Month End], "(Set Type not found)", 0, 1)</f>
        <v/>
      </c>
      <c r="R539" s="3">
        <f>tbl_MTG_Set[[#This Row],[Released On]]+tbl_MTG_Set[[#This Row],[Heavy Printing Window Month End]]*365.25/12</f>
        <v/>
      </c>
      <c r="S539" s="3">
        <f>AND(NOW()&gt;=tbl_MTG_Set[[#This Row],[Heavy Printing Window Start]], NOW()&lt;=tbl_MTG_Set[[#This Row],[Heavy Printing Window End]])</f>
        <v/>
      </c>
      <c r="T539">
        <f>_xlfn.XLOOKUP(tbl_MTG_Set[[#This Row],[Type Name]], tbl_MTG_Set_Type[Set Type], tbl_MTG_Set_Type[Sell Window Month Start], "(Set Type not found)", 0, 1)</f>
        <v/>
      </c>
      <c r="U539" s="3">
        <f>tbl_MTG_Set[[#This Row],[Released On]]+tbl_MTG_Set[[#This Row],[Sell Window Month Start]]*365.25/12</f>
        <v/>
      </c>
      <c r="V539">
        <f>_xlfn.XLOOKUP(tbl_MTG_Set[[#This Row],[Type Name]], tbl_MTG_Set_Type[Set Type], tbl_MTG_Set_Type[Sell Window Month End], "(Set Type not found)", 0, 1)</f>
        <v/>
      </c>
      <c r="W539" s="3">
        <f>tbl_MTG_Set[[#This Row],[Released On]]+tbl_MTG_Set[[#This Row],[Sell Window Month End]]*365.25/12</f>
        <v/>
      </c>
      <c r="X539" s="3">
        <f>AND(NOW()&gt;=tbl_MTG_Set[[#This Row],[Sell Window Start]], NOW()&lt;=tbl_MTG_Set[[#This Row],[Sell Window End]])</f>
        <v/>
      </c>
      <c r="AG539" s="10" t="n"/>
      <c r="AH539" s="10" t="n"/>
      <c r="AM539" s="10">
        <f t="array" ref="AM5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9" s="10">
        <f t="array" ref="AN5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9" s="4">
        <f>_xlfn.XLOOKUP(tbl_MTG_Set[[#This Row],[Play Booster Box Product Id]], tbl_Product[Product Id], tbl_Product[Pack Size])</f>
        <v/>
      </c>
      <c r="AP539" s="10">
        <f>(tbl_MTG_Set[[#This Row],[Play Booster Box Cost]]+v_Item_Shipping_Cost_In)/tbl_MTG_Set[[#This Row],[Play Booster Box Size]]</f>
        <v/>
      </c>
      <c r="AQ539" s="10">
        <f t="array" ref="AQ5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39" s="10" t="n"/>
      <c r="AS539" s="10" t="n"/>
      <c r="AT539" s="17">
        <f>tbl_MTG_Set[[#This Row],[Play Booster CardMarket Profit]]/tbl_MTG_Set[[#This Row],[Play Booster Cost]]</f>
        <v/>
      </c>
      <c r="AU539" s="10">
        <f>_xlfn.XLOOKUP(tbl_MTG_Set[[#This Row],[Collector Booster Box Product Id]], tbl_Product[Product Id], tbl_Product[Min Cost])</f>
        <v/>
      </c>
      <c r="AV539" s="10">
        <f>_xlfn.XLOOKUP(tbl_MTG_Set[[#This Row],[Collector Booster Box Product Id]], tbl_Product[Product Id], tbl_Product[Best Source])</f>
        <v/>
      </c>
      <c r="AW539" s="4">
        <f>_xlfn.XLOOKUP(tbl_MTG_Set[[#This Row],[Collector Booster Box Product Id]], tbl_Product[Product Id], tbl_Product[Pack Size])</f>
        <v/>
      </c>
      <c r="AX539" s="10">
        <f>(tbl_MTG_Set[[#This Row],[Collector Booster Box Cost]] + v_Item_Shipping_Cost_In) / tbl_MTG_Set[[#This Row],[Collector Booster Box Size]]</f>
        <v/>
      </c>
      <c r="AY539" s="10">
        <f t="array" ref="AY5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39" s="10" t="n"/>
      <c r="BA5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9" s="17">
        <f>tbl_MTG_Set[[#This Row],[Collector Booster CardMarket Profit]]/tbl_MTG_Set[[#This Row],[Collector Booster Cost]]</f>
        <v/>
      </c>
      <c r="BC539" s="10" t="n"/>
      <c r="BF539" s="10">
        <f>tbl_MTG_Set[[#This Row],[Play Booster Sell Price CardMarket]]*tbl_MTG_Set[[#This Row],[Play Booster Expected Market Value]]/tbl_MTG_Set[[#This Row],[Play Boost Sealed Market Value]]</f>
        <v/>
      </c>
      <c r="BG5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9" s="10">
        <f>tbl_MTG_Set[[#This Row],[Play Singles CardMarket Profit]]/tbl_MTG_Set[[#This Row],[Play Booster Cost]]</f>
        <v/>
      </c>
      <c r="BI539" s="10">
        <f>tbl_MTG_Set[[#This Row],[Play Singles CardMarket Profit]]&gt;0</f>
        <v/>
      </c>
      <c r="BJ539" s="10" t="n"/>
      <c r="BK539" s="10" t="n"/>
      <c r="BL539" s="10">
        <f>tbl_MTG_Set[[#This Row],[Collector Booster Sell Price CardMarket]]*tbl_MTG_Set[[#This Row],[Collector Booster Expected Market Value]]/tbl_MTG_Set[[#This Row],[Collector Boost Sealed Market Value]]</f>
        <v/>
      </c>
      <c r="BM5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9" s="10">
        <f>tbl_MTG_Set[[#This Row],[Collector Singles CardMarket Profit]]/tbl_MTG_Set[[#This Row],[Collector Booster Cost]]</f>
        <v/>
      </c>
      <c r="BO539" s="10">
        <f>tbl_MTG_Set[[#This Row],[Collector Singles CardMarket Profit]]&gt;0</f>
        <v/>
      </c>
      <c r="BP5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0">
      <c r="A540" t="n">
        <v>538</v>
      </c>
      <c r="B540" t="inlineStr">
        <is>
          <t>Legacy Cube LEGACY</t>
        </is>
      </c>
      <c r="C540" t="n">
        <v>600</v>
      </c>
      <c r="D540" s="3" t="n">
        <v>42830</v>
      </c>
      <c r="F540" t="n">
        <v>0</v>
      </c>
      <c r="G540" t="n">
        <v>1022</v>
      </c>
      <c r="H540">
        <f>MONTH(NOW())+12*YEAR(NOW())-MONTH(tbl_MTG_Set[[#This Row],[Released On]])-12*YEAR(tbl_MTG_Set[[#This Row],[Released On]])</f>
        <v/>
      </c>
      <c r="I540">
        <f>_xlfn.XLOOKUP(tbl_MTG_Set[[#This Row],[Type Name]], tbl_MTG_Set_Type[Set Type], tbl_MTG_Set_Type[Index], "(Set Type not found)")</f>
        <v/>
      </c>
      <c r="J540">
        <f>_xlfn.XLOOKUP(tbl_MTG_Set[[#This Row],[Type Name]], tbl_MTG_Set_Type[Set Type], tbl_MTG_Set_Type[Buy Window Month Start], "(Set Type not found)")</f>
        <v/>
      </c>
      <c r="K540" s="3">
        <f>tbl_MTG_Set[[#This Row],[Released On]]+tbl_MTG_Set[[#This Row],[Buy Window Month Start]]*365.25/12</f>
        <v/>
      </c>
      <c r="L540">
        <f>_xlfn.XLOOKUP(tbl_MTG_Set[[#This Row],[Type Name]], tbl_MTG_Set_Type[Set Type], tbl_MTG_Set_Type[Buy Window Month End], "(Set Type not found)", 0, 1)</f>
        <v/>
      </c>
      <c r="M540" s="3">
        <f>tbl_MTG_Set[[#This Row],[Released On]]+tbl_MTG_Set[[#This Row],[Buy Window Month End]]*365.25/12</f>
        <v/>
      </c>
      <c r="N540" s="3">
        <f>AND(NOW()&gt;=tbl_MTG_Set[[#This Row],[Buy Window Start]], NOW()&lt;=tbl_MTG_Set[[#This Row],[Buy Window End]])</f>
        <v/>
      </c>
      <c r="O540">
        <f>_xlfn.XLOOKUP(tbl_MTG_Set[[#This Row],[Type Name]], tbl_MTG_Set_Type[Set Type], tbl_MTG_Set_Type[Heavy Printing Window Month Start], "(Set Type not found)", 0, 1)</f>
        <v/>
      </c>
      <c r="P540" s="3">
        <f>tbl_MTG_Set[[#This Row],[Released On]]+tbl_MTG_Set[[#This Row],[Heavy Printing Window Month Start]]*365.25/12</f>
        <v/>
      </c>
      <c r="Q540">
        <f>_xlfn.XLOOKUP(tbl_MTG_Set[[#This Row],[Type Name]], tbl_MTG_Set_Type[Set Type], tbl_MTG_Set_Type[Heavy Printing Window Month End], "(Set Type not found)", 0, 1)</f>
        <v/>
      </c>
      <c r="R540" s="3">
        <f>tbl_MTG_Set[[#This Row],[Released On]]+tbl_MTG_Set[[#This Row],[Heavy Printing Window Month End]]*365.25/12</f>
        <v/>
      </c>
      <c r="S540" s="3">
        <f>AND(NOW()&gt;=tbl_MTG_Set[[#This Row],[Heavy Printing Window Start]], NOW()&lt;=tbl_MTG_Set[[#This Row],[Heavy Printing Window End]])</f>
        <v/>
      </c>
      <c r="T540">
        <f>_xlfn.XLOOKUP(tbl_MTG_Set[[#This Row],[Type Name]], tbl_MTG_Set_Type[Set Type], tbl_MTG_Set_Type[Sell Window Month Start], "(Set Type not found)", 0, 1)</f>
        <v/>
      </c>
      <c r="U540" s="3">
        <f>tbl_MTG_Set[[#This Row],[Released On]]+tbl_MTG_Set[[#This Row],[Sell Window Month Start]]*365.25/12</f>
        <v/>
      </c>
      <c r="V540">
        <f>_xlfn.XLOOKUP(tbl_MTG_Set[[#This Row],[Type Name]], tbl_MTG_Set_Type[Set Type], tbl_MTG_Set_Type[Sell Window Month End], "(Set Type not found)", 0, 1)</f>
        <v/>
      </c>
      <c r="W540" s="3">
        <f>tbl_MTG_Set[[#This Row],[Released On]]+tbl_MTG_Set[[#This Row],[Sell Window Month End]]*365.25/12</f>
        <v/>
      </c>
      <c r="X540" s="3">
        <f>AND(NOW()&gt;=tbl_MTG_Set[[#This Row],[Sell Window Start]], NOW()&lt;=tbl_MTG_Set[[#This Row],[Sell Window End]])</f>
        <v/>
      </c>
      <c r="AG540" s="10" t="n"/>
      <c r="AH540" s="10" t="n"/>
      <c r="AM540" s="10">
        <f t="array" ref="AM5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0" s="10">
        <f t="array" ref="AN5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0" s="4">
        <f>_xlfn.XLOOKUP(tbl_MTG_Set[[#This Row],[Play Booster Box Product Id]], tbl_Product[Product Id], tbl_Product[Pack Size])</f>
        <v/>
      </c>
      <c r="AP540" s="10">
        <f>(tbl_MTG_Set[[#This Row],[Play Booster Box Cost]]+v_Item_Shipping_Cost_In)/tbl_MTG_Set[[#This Row],[Play Booster Box Size]]</f>
        <v/>
      </c>
      <c r="AQ540" s="10">
        <f t="array" ref="AQ5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0" s="10" t="n"/>
      <c r="AS540" s="10" t="n"/>
      <c r="AT540" s="17">
        <f>tbl_MTG_Set[[#This Row],[Play Booster CardMarket Profit]]/tbl_MTG_Set[[#This Row],[Play Booster Cost]]</f>
        <v/>
      </c>
      <c r="AU540" s="10">
        <f>_xlfn.XLOOKUP(tbl_MTG_Set[[#This Row],[Collector Booster Box Product Id]], tbl_Product[Product Id], tbl_Product[Min Cost])</f>
        <v/>
      </c>
      <c r="AV540" s="10">
        <f>_xlfn.XLOOKUP(tbl_MTG_Set[[#This Row],[Collector Booster Box Product Id]], tbl_Product[Product Id], tbl_Product[Best Source])</f>
        <v/>
      </c>
      <c r="AW540" s="4">
        <f>_xlfn.XLOOKUP(tbl_MTG_Set[[#This Row],[Collector Booster Box Product Id]], tbl_Product[Product Id], tbl_Product[Pack Size])</f>
        <v/>
      </c>
      <c r="AX540" s="10">
        <f>(tbl_MTG_Set[[#This Row],[Collector Booster Box Cost]] + v_Item_Shipping_Cost_In) / tbl_MTG_Set[[#This Row],[Collector Booster Box Size]]</f>
        <v/>
      </c>
      <c r="AY540" s="10">
        <f t="array" ref="AY5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0" s="10" t="n"/>
      <c r="BA5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0" s="17">
        <f>tbl_MTG_Set[[#This Row],[Collector Booster CardMarket Profit]]/tbl_MTG_Set[[#This Row],[Collector Booster Cost]]</f>
        <v/>
      </c>
      <c r="BC540" s="10" t="n"/>
      <c r="BF540" s="10">
        <f>tbl_MTG_Set[[#This Row],[Play Booster Sell Price CardMarket]]*tbl_MTG_Set[[#This Row],[Play Booster Expected Market Value]]/tbl_MTG_Set[[#This Row],[Play Boost Sealed Market Value]]</f>
        <v/>
      </c>
      <c r="BG5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0" s="10">
        <f>tbl_MTG_Set[[#This Row],[Play Singles CardMarket Profit]]/tbl_MTG_Set[[#This Row],[Play Booster Cost]]</f>
        <v/>
      </c>
      <c r="BI540" s="10">
        <f>tbl_MTG_Set[[#This Row],[Play Singles CardMarket Profit]]&gt;0</f>
        <v/>
      </c>
      <c r="BJ540" s="10" t="n"/>
      <c r="BK540" s="10" t="n"/>
      <c r="BL540" s="10">
        <f>tbl_MTG_Set[[#This Row],[Collector Booster Sell Price CardMarket]]*tbl_MTG_Set[[#This Row],[Collector Booster Expected Market Value]]/tbl_MTG_Set[[#This Row],[Collector Boost Sealed Market Value]]</f>
        <v/>
      </c>
      <c r="BM5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0" s="10">
        <f>tbl_MTG_Set[[#This Row],[Collector Singles CardMarket Profit]]/tbl_MTG_Set[[#This Row],[Collector Booster Cost]]</f>
        <v/>
      </c>
      <c r="BO540" s="10">
        <f>tbl_MTG_Set[[#This Row],[Collector Singles CardMarket Profit]]&gt;0</f>
        <v/>
      </c>
      <c r="BP5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1">
      <c r="A541" t="n">
        <v>539</v>
      </c>
      <c r="B541" t="inlineStr">
        <is>
          <t>Duel Decks: Mind vs. Might DDS</t>
        </is>
      </c>
      <c r="C541" t="n">
        <v>65</v>
      </c>
      <c r="D541" s="3" t="n">
        <v>42825</v>
      </c>
      <c r="F541" t="inlineStr">
        <is>
          <t>en es fr de it pt ja ko ru 汉语 漢語</t>
        </is>
      </c>
      <c r="G541" t="n">
        <v>1024</v>
      </c>
      <c r="H541">
        <f>MONTH(NOW())+12*YEAR(NOW())-MONTH(tbl_MTG_Set[[#This Row],[Released On]])-12*YEAR(tbl_MTG_Set[[#This Row],[Released On]])</f>
        <v/>
      </c>
      <c r="I541">
        <f>_xlfn.XLOOKUP(tbl_MTG_Set[[#This Row],[Type Name]], tbl_MTG_Set_Type[Set Type], tbl_MTG_Set_Type[Index], "(Set Type not found)")</f>
        <v/>
      </c>
      <c r="J541">
        <f>_xlfn.XLOOKUP(tbl_MTG_Set[[#This Row],[Type Name]], tbl_MTG_Set_Type[Set Type], tbl_MTG_Set_Type[Buy Window Month Start], "(Set Type not found)")</f>
        <v/>
      </c>
      <c r="K541" s="3">
        <f>tbl_MTG_Set[[#This Row],[Released On]]+tbl_MTG_Set[[#This Row],[Buy Window Month Start]]*365.25/12</f>
        <v/>
      </c>
      <c r="L541">
        <f>_xlfn.XLOOKUP(tbl_MTG_Set[[#This Row],[Type Name]], tbl_MTG_Set_Type[Set Type], tbl_MTG_Set_Type[Buy Window Month End], "(Set Type not found)", 0, 1)</f>
        <v/>
      </c>
      <c r="M541" s="3">
        <f>tbl_MTG_Set[[#This Row],[Released On]]+tbl_MTG_Set[[#This Row],[Buy Window Month End]]*365.25/12</f>
        <v/>
      </c>
      <c r="N541" s="3">
        <f>AND(NOW()&gt;=tbl_MTG_Set[[#This Row],[Buy Window Start]], NOW()&lt;=tbl_MTG_Set[[#This Row],[Buy Window End]])</f>
        <v/>
      </c>
      <c r="O541">
        <f>_xlfn.XLOOKUP(tbl_MTG_Set[[#This Row],[Type Name]], tbl_MTG_Set_Type[Set Type], tbl_MTG_Set_Type[Heavy Printing Window Month Start], "(Set Type not found)", 0, 1)</f>
        <v/>
      </c>
      <c r="P541" s="3">
        <f>tbl_MTG_Set[[#This Row],[Released On]]+tbl_MTG_Set[[#This Row],[Heavy Printing Window Month Start]]*365.25/12</f>
        <v/>
      </c>
      <c r="Q541">
        <f>_xlfn.XLOOKUP(tbl_MTG_Set[[#This Row],[Type Name]], tbl_MTG_Set_Type[Set Type], tbl_MTG_Set_Type[Heavy Printing Window Month End], "(Set Type not found)", 0, 1)</f>
        <v/>
      </c>
      <c r="R541" s="3">
        <f>tbl_MTG_Set[[#This Row],[Released On]]+tbl_MTG_Set[[#This Row],[Heavy Printing Window Month End]]*365.25/12</f>
        <v/>
      </c>
      <c r="S541" s="3">
        <f>AND(NOW()&gt;=tbl_MTG_Set[[#This Row],[Heavy Printing Window Start]], NOW()&lt;=tbl_MTG_Set[[#This Row],[Heavy Printing Window End]])</f>
        <v/>
      </c>
      <c r="T541">
        <f>_xlfn.XLOOKUP(tbl_MTG_Set[[#This Row],[Type Name]], tbl_MTG_Set_Type[Set Type], tbl_MTG_Set_Type[Sell Window Month Start], "(Set Type not found)", 0, 1)</f>
        <v/>
      </c>
      <c r="U541" s="3">
        <f>tbl_MTG_Set[[#This Row],[Released On]]+tbl_MTG_Set[[#This Row],[Sell Window Month Start]]*365.25/12</f>
        <v/>
      </c>
      <c r="V541">
        <f>_xlfn.XLOOKUP(tbl_MTG_Set[[#This Row],[Type Name]], tbl_MTG_Set_Type[Set Type], tbl_MTG_Set_Type[Sell Window Month End], "(Set Type not found)", 0, 1)</f>
        <v/>
      </c>
      <c r="W541" s="3">
        <f>tbl_MTG_Set[[#This Row],[Released On]]+tbl_MTG_Set[[#This Row],[Sell Window Month End]]*365.25/12</f>
        <v/>
      </c>
      <c r="X541" s="3">
        <f>AND(NOW()&gt;=tbl_MTG_Set[[#This Row],[Sell Window Start]], NOW()&lt;=tbl_MTG_Set[[#This Row],[Sell Window End]])</f>
        <v/>
      </c>
      <c r="AG541" s="10" t="n"/>
      <c r="AH541" s="10" t="n"/>
      <c r="AM541" s="10">
        <f t="array" ref="AM5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1" s="10">
        <f t="array" ref="AN5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1" s="4">
        <f>_xlfn.XLOOKUP(tbl_MTG_Set[[#This Row],[Play Booster Box Product Id]], tbl_Product[Product Id], tbl_Product[Pack Size])</f>
        <v/>
      </c>
      <c r="AP541" s="10">
        <f>(tbl_MTG_Set[[#This Row],[Play Booster Box Cost]]+v_Item_Shipping_Cost_In)/tbl_MTG_Set[[#This Row],[Play Booster Box Size]]</f>
        <v/>
      </c>
      <c r="AQ541" s="10">
        <f t="array" ref="AQ5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1" s="10" t="n"/>
      <c r="AS541" s="10" t="n"/>
      <c r="AT541" s="17">
        <f>tbl_MTG_Set[[#This Row],[Play Booster CardMarket Profit]]/tbl_MTG_Set[[#This Row],[Play Booster Cost]]</f>
        <v/>
      </c>
      <c r="AU541" s="10">
        <f>_xlfn.XLOOKUP(tbl_MTG_Set[[#This Row],[Collector Booster Box Product Id]], tbl_Product[Product Id], tbl_Product[Min Cost])</f>
        <v/>
      </c>
      <c r="AV541" s="10">
        <f>_xlfn.XLOOKUP(tbl_MTG_Set[[#This Row],[Collector Booster Box Product Id]], tbl_Product[Product Id], tbl_Product[Best Source])</f>
        <v/>
      </c>
      <c r="AW541" s="4">
        <f>_xlfn.XLOOKUP(tbl_MTG_Set[[#This Row],[Collector Booster Box Product Id]], tbl_Product[Product Id], tbl_Product[Pack Size])</f>
        <v/>
      </c>
      <c r="AX541" s="10">
        <f>(tbl_MTG_Set[[#This Row],[Collector Booster Box Cost]] + v_Item_Shipping_Cost_In) / tbl_MTG_Set[[#This Row],[Collector Booster Box Size]]</f>
        <v/>
      </c>
      <c r="AY541" s="10">
        <f t="array" ref="AY5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1" s="10" t="n"/>
      <c r="BA5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1" s="17">
        <f>tbl_MTG_Set[[#This Row],[Collector Booster CardMarket Profit]]/tbl_MTG_Set[[#This Row],[Collector Booster Cost]]</f>
        <v/>
      </c>
      <c r="BC541" s="10" t="n"/>
      <c r="BF541" s="10">
        <f>tbl_MTG_Set[[#This Row],[Play Booster Sell Price CardMarket]]*tbl_MTG_Set[[#This Row],[Play Booster Expected Market Value]]/tbl_MTG_Set[[#This Row],[Play Boost Sealed Market Value]]</f>
        <v/>
      </c>
      <c r="BG5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1" s="10">
        <f>tbl_MTG_Set[[#This Row],[Play Singles CardMarket Profit]]/tbl_MTG_Set[[#This Row],[Play Booster Cost]]</f>
        <v/>
      </c>
      <c r="BI541" s="10">
        <f>tbl_MTG_Set[[#This Row],[Play Singles CardMarket Profit]]&gt;0</f>
        <v/>
      </c>
      <c r="BJ541" s="10" t="n"/>
      <c r="BK541" s="10" t="n"/>
      <c r="BL541" s="10">
        <f>tbl_MTG_Set[[#This Row],[Collector Booster Sell Price CardMarket]]*tbl_MTG_Set[[#This Row],[Collector Booster Expected Market Value]]/tbl_MTG_Set[[#This Row],[Collector Boost Sealed Market Value]]</f>
        <v/>
      </c>
      <c r="BM5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1" s="10">
        <f>tbl_MTG_Set[[#This Row],[Collector Singles CardMarket Profit]]/tbl_MTG_Set[[#This Row],[Collector Booster Cost]]</f>
        <v/>
      </c>
      <c r="BO541" s="10">
        <f>tbl_MTG_Set[[#This Row],[Collector Singles CardMarket Profit]]&gt;0</f>
        <v/>
      </c>
      <c r="BP5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2">
      <c r="A542" t="n">
        <v>540</v>
      </c>
      <c r="B542" t="inlineStr">
        <is>
          <t>Duel Decks: Mind vs. Might Tokens TDDS</t>
        </is>
      </c>
      <c r="C542" t="n">
        <v>7</v>
      </c>
      <c r="D542" s="3" t="n">
        <v>42825</v>
      </c>
      <c r="F542" t="inlineStr">
        <is>
          <t>en es fr de it pt ja ko ru 汉语 漢語</t>
        </is>
      </c>
      <c r="G542" t="n">
        <v>1026</v>
      </c>
      <c r="H542">
        <f>MONTH(NOW())+12*YEAR(NOW())-MONTH(tbl_MTG_Set[[#This Row],[Released On]])-12*YEAR(tbl_MTG_Set[[#This Row],[Released On]])</f>
        <v/>
      </c>
      <c r="I542">
        <f>_xlfn.XLOOKUP(tbl_MTG_Set[[#This Row],[Type Name]], tbl_MTG_Set_Type[Set Type], tbl_MTG_Set_Type[Index], "(Set Type not found)")</f>
        <v/>
      </c>
      <c r="J542">
        <f>_xlfn.XLOOKUP(tbl_MTG_Set[[#This Row],[Type Name]], tbl_MTG_Set_Type[Set Type], tbl_MTG_Set_Type[Buy Window Month Start], "(Set Type not found)")</f>
        <v/>
      </c>
      <c r="K542" s="3">
        <f>tbl_MTG_Set[[#This Row],[Released On]]+tbl_MTG_Set[[#This Row],[Buy Window Month Start]]*365.25/12</f>
        <v/>
      </c>
      <c r="L542">
        <f>_xlfn.XLOOKUP(tbl_MTG_Set[[#This Row],[Type Name]], tbl_MTG_Set_Type[Set Type], tbl_MTG_Set_Type[Buy Window Month End], "(Set Type not found)", 0, 1)</f>
        <v/>
      </c>
      <c r="M542" s="3">
        <f>tbl_MTG_Set[[#This Row],[Released On]]+tbl_MTG_Set[[#This Row],[Buy Window Month End]]*365.25/12</f>
        <v/>
      </c>
      <c r="N542" s="3">
        <f>AND(NOW()&gt;=tbl_MTG_Set[[#This Row],[Buy Window Start]], NOW()&lt;=tbl_MTG_Set[[#This Row],[Buy Window End]])</f>
        <v/>
      </c>
      <c r="O542">
        <f>_xlfn.XLOOKUP(tbl_MTG_Set[[#This Row],[Type Name]], tbl_MTG_Set_Type[Set Type], tbl_MTG_Set_Type[Heavy Printing Window Month Start], "(Set Type not found)", 0, 1)</f>
        <v/>
      </c>
      <c r="P542" s="3">
        <f>tbl_MTG_Set[[#This Row],[Released On]]+tbl_MTG_Set[[#This Row],[Heavy Printing Window Month Start]]*365.25/12</f>
        <v/>
      </c>
      <c r="Q542">
        <f>_xlfn.XLOOKUP(tbl_MTG_Set[[#This Row],[Type Name]], tbl_MTG_Set_Type[Set Type], tbl_MTG_Set_Type[Heavy Printing Window Month End], "(Set Type not found)", 0, 1)</f>
        <v/>
      </c>
      <c r="R542" s="3">
        <f>tbl_MTG_Set[[#This Row],[Released On]]+tbl_MTG_Set[[#This Row],[Heavy Printing Window Month End]]*365.25/12</f>
        <v/>
      </c>
      <c r="S542" s="3">
        <f>AND(NOW()&gt;=tbl_MTG_Set[[#This Row],[Heavy Printing Window Start]], NOW()&lt;=tbl_MTG_Set[[#This Row],[Heavy Printing Window End]])</f>
        <v/>
      </c>
      <c r="T542">
        <f>_xlfn.XLOOKUP(tbl_MTG_Set[[#This Row],[Type Name]], tbl_MTG_Set_Type[Set Type], tbl_MTG_Set_Type[Sell Window Month Start], "(Set Type not found)", 0, 1)</f>
        <v/>
      </c>
      <c r="U542" s="3">
        <f>tbl_MTG_Set[[#This Row],[Released On]]+tbl_MTG_Set[[#This Row],[Sell Window Month Start]]*365.25/12</f>
        <v/>
      </c>
      <c r="V542">
        <f>_xlfn.XLOOKUP(tbl_MTG_Set[[#This Row],[Type Name]], tbl_MTG_Set_Type[Set Type], tbl_MTG_Set_Type[Sell Window Month End], "(Set Type not found)", 0, 1)</f>
        <v/>
      </c>
      <c r="W542" s="3">
        <f>tbl_MTG_Set[[#This Row],[Released On]]+tbl_MTG_Set[[#This Row],[Sell Window Month End]]*365.25/12</f>
        <v/>
      </c>
      <c r="X542" s="3">
        <f>AND(NOW()&gt;=tbl_MTG_Set[[#This Row],[Sell Window Start]], NOW()&lt;=tbl_MTG_Set[[#This Row],[Sell Window End]])</f>
        <v/>
      </c>
      <c r="AG542" s="10" t="n"/>
      <c r="AH542" s="10" t="n"/>
      <c r="AM542" s="10">
        <f t="array" ref="AM5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2" s="10">
        <f t="array" ref="AN5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2" s="4">
        <f>_xlfn.XLOOKUP(tbl_MTG_Set[[#This Row],[Play Booster Box Product Id]], tbl_Product[Product Id], tbl_Product[Pack Size])</f>
        <v/>
      </c>
      <c r="AP542" s="10">
        <f>(tbl_MTG_Set[[#This Row],[Play Booster Box Cost]]+v_Item_Shipping_Cost_In)/tbl_MTG_Set[[#This Row],[Play Booster Box Size]]</f>
        <v/>
      </c>
      <c r="AQ542" s="10">
        <f t="array" ref="AQ5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2" s="10" t="n"/>
      <c r="AS542" s="10" t="n"/>
      <c r="AT542" s="17">
        <f>tbl_MTG_Set[[#This Row],[Play Booster CardMarket Profit]]/tbl_MTG_Set[[#This Row],[Play Booster Cost]]</f>
        <v/>
      </c>
      <c r="AU542" s="10">
        <f>_xlfn.XLOOKUP(tbl_MTG_Set[[#This Row],[Collector Booster Box Product Id]], tbl_Product[Product Id], tbl_Product[Min Cost])</f>
        <v/>
      </c>
      <c r="AV542" s="10">
        <f>_xlfn.XLOOKUP(tbl_MTG_Set[[#This Row],[Collector Booster Box Product Id]], tbl_Product[Product Id], tbl_Product[Best Source])</f>
        <v/>
      </c>
      <c r="AW542" s="4">
        <f>_xlfn.XLOOKUP(tbl_MTG_Set[[#This Row],[Collector Booster Box Product Id]], tbl_Product[Product Id], tbl_Product[Pack Size])</f>
        <v/>
      </c>
      <c r="AX542" s="10">
        <f>(tbl_MTG_Set[[#This Row],[Collector Booster Box Cost]] + v_Item_Shipping_Cost_In) / tbl_MTG_Set[[#This Row],[Collector Booster Box Size]]</f>
        <v/>
      </c>
      <c r="AY542" s="10">
        <f t="array" ref="AY5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2" s="10" t="n"/>
      <c r="BA5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2" s="17">
        <f>tbl_MTG_Set[[#This Row],[Collector Booster CardMarket Profit]]/tbl_MTG_Set[[#This Row],[Collector Booster Cost]]</f>
        <v/>
      </c>
      <c r="BC542" s="10" t="n"/>
      <c r="BF542" s="10">
        <f>tbl_MTG_Set[[#This Row],[Play Booster Sell Price CardMarket]]*tbl_MTG_Set[[#This Row],[Play Booster Expected Market Value]]/tbl_MTG_Set[[#This Row],[Play Boost Sealed Market Value]]</f>
        <v/>
      </c>
      <c r="BG5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2" s="10">
        <f>tbl_MTG_Set[[#This Row],[Play Singles CardMarket Profit]]/tbl_MTG_Set[[#This Row],[Play Booster Cost]]</f>
        <v/>
      </c>
      <c r="BI542" s="10">
        <f>tbl_MTG_Set[[#This Row],[Play Singles CardMarket Profit]]&gt;0</f>
        <v/>
      </c>
      <c r="BJ542" s="10" t="n"/>
      <c r="BK542" s="10" t="n"/>
      <c r="BL542" s="10">
        <f>tbl_MTG_Set[[#This Row],[Collector Booster Sell Price CardMarket]]*tbl_MTG_Set[[#This Row],[Collector Booster Expected Market Value]]/tbl_MTG_Set[[#This Row],[Collector Boost Sealed Market Value]]</f>
        <v/>
      </c>
      <c r="BM5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2" s="10">
        <f>tbl_MTG_Set[[#This Row],[Collector Singles CardMarket Profit]]/tbl_MTG_Set[[#This Row],[Collector Booster Cost]]</f>
        <v/>
      </c>
      <c r="BO542" s="10">
        <f>tbl_MTG_Set[[#This Row],[Collector Singles CardMarket Profit]]&gt;0</f>
        <v/>
      </c>
      <c r="BP5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3">
      <c r="A543" t="n">
        <v>541</v>
      </c>
      <c r="B543" t="inlineStr">
        <is>
          <t>Modern Masters 2017 MM3</t>
        </is>
      </c>
      <c r="C543" t="n">
        <v>249</v>
      </c>
      <c r="D543" s="3" t="n">
        <v>42811</v>
      </c>
      <c r="F543" t="inlineStr">
        <is>
          <t>en es fr de it pt ja ko ru 汉语 漢語</t>
        </is>
      </c>
      <c r="G543" t="n">
        <v>1028</v>
      </c>
      <c r="H543">
        <f>MONTH(NOW())+12*YEAR(NOW())-MONTH(tbl_MTG_Set[[#This Row],[Released On]])-12*YEAR(tbl_MTG_Set[[#This Row],[Released On]])</f>
        <v/>
      </c>
      <c r="I543">
        <f>_xlfn.XLOOKUP(tbl_MTG_Set[[#This Row],[Type Name]], tbl_MTG_Set_Type[Set Type], tbl_MTG_Set_Type[Index], "(Set Type not found)")</f>
        <v/>
      </c>
      <c r="J543">
        <f>_xlfn.XLOOKUP(tbl_MTG_Set[[#This Row],[Type Name]], tbl_MTG_Set_Type[Set Type], tbl_MTG_Set_Type[Buy Window Month Start], "(Set Type not found)")</f>
        <v/>
      </c>
      <c r="K543" s="3">
        <f>tbl_MTG_Set[[#This Row],[Released On]]+tbl_MTG_Set[[#This Row],[Buy Window Month Start]]*365.25/12</f>
        <v/>
      </c>
      <c r="L543">
        <f>_xlfn.XLOOKUP(tbl_MTG_Set[[#This Row],[Type Name]], tbl_MTG_Set_Type[Set Type], tbl_MTG_Set_Type[Buy Window Month End], "(Set Type not found)", 0, 1)</f>
        <v/>
      </c>
      <c r="M543" s="3">
        <f>tbl_MTG_Set[[#This Row],[Released On]]+tbl_MTG_Set[[#This Row],[Buy Window Month End]]*365.25/12</f>
        <v/>
      </c>
      <c r="N543" s="3">
        <f>AND(NOW()&gt;=tbl_MTG_Set[[#This Row],[Buy Window Start]], NOW()&lt;=tbl_MTG_Set[[#This Row],[Buy Window End]])</f>
        <v/>
      </c>
      <c r="O543">
        <f>_xlfn.XLOOKUP(tbl_MTG_Set[[#This Row],[Type Name]], tbl_MTG_Set_Type[Set Type], tbl_MTG_Set_Type[Heavy Printing Window Month Start], "(Set Type not found)", 0, 1)</f>
        <v/>
      </c>
      <c r="P543" s="3">
        <f>tbl_MTG_Set[[#This Row],[Released On]]+tbl_MTG_Set[[#This Row],[Heavy Printing Window Month Start]]*365.25/12</f>
        <v/>
      </c>
      <c r="Q543">
        <f>_xlfn.XLOOKUP(tbl_MTG_Set[[#This Row],[Type Name]], tbl_MTG_Set_Type[Set Type], tbl_MTG_Set_Type[Heavy Printing Window Month End], "(Set Type not found)", 0, 1)</f>
        <v/>
      </c>
      <c r="R543" s="3">
        <f>tbl_MTG_Set[[#This Row],[Released On]]+tbl_MTG_Set[[#This Row],[Heavy Printing Window Month End]]*365.25/12</f>
        <v/>
      </c>
      <c r="S543" s="3">
        <f>AND(NOW()&gt;=tbl_MTG_Set[[#This Row],[Heavy Printing Window Start]], NOW()&lt;=tbl_MTG_Set[[#This Row],[Heavy Printing Window End]])</f>
        <v/>
      </c>
      <c r="T543">
        <f>_xlfn.XLOOKUP(tbl_MTG_Set[[#This Row],[Type Name]], tbl_MTG_Set_Type[Set Type], tbl_MTG_Set_Type[Sell Window Month Start], "(Set Type not found)", 0, 1)</f>
        <v/>
      </c>
      <c r="U543" s="3">
        <f>tbl_MTG_Set[[#This Row],[Released On]]+tbl_MTG_Set[[#This Row],[Sell Window Month Start]]*365.25/12</f>
        <v/>
      </c>
      <c r="V543">
        <f>_xlfn.XLOOKUP(tbl_MTG_Set[[#This Row],[Type Name]], tbl_MTG_Set_Type[Set Type], tbl_MTG_Set_Type[Sell Window Month End], "(Set Type not found)", 0, 1)</f>
        <v/>
      </c>
      <c r="W543" s="3">
        <f>tbl_MTG_Set[[#This Row],[Released On]]+tbl_MTG_Set[[#This Row],[Sell Window Month End]]*365.25/12</f>
        <v/>
      </c>
      <c r="X543" s="3">
        <f>AND(NOW()&gt;=tbl_MTG_Set[[#This Row],[Sell Window Start]], NOW()&lt;=tbl_MTG_Set[[#This Row],[Sell Window End]])</f>
        <v/>
      </c>
      <c r="AG543" s="10" t="n"/>
      <c r="AH543" s="10" t="n"/>
      <c r="AM543" s="10">
        <f t="array" ref="AM5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3" s="10">
        <f t="array" ref="AN5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3" s="4">
        <f>_xlfn.XLOOKUP(tbl_MTG_Set[[#This Row],[Play Booster Box Product Id]], tbl_Product[Product Id], tbl_Product[Pack Size])</f>
        <v/>
      </c>
      <c r="AP543" s="10">
        <f>(tbl_MTG_Set[[#This Row],[Play Booster Box Cost]]+v_Item_Shipping_Cost_In)/tbl_MTG_Set[[#This Row],[Play Booster Box Size]]</f>
        <v/>
      </c>
      <c r="AQ543" s="10">
        <f t="array" ref="AQ5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3" s="10" t="n"/>
      <c r="AS543" s="10" t="n"/>
      <c r="AT543" s="17">
        <f>tbl_MTG_Set[[#This Row],[Play Booster CardMarket Profit]]/tbl_MTG_Set[[#This Row],[Play Booster Cost]]</f>
        <v/>
      </c>
      <c r="AU543" s="10">
        <f>_xlfn.XLOOKUP(tbl_MTG_Set[[#This Row],[Collector Booster Box Product Id]], tbl_Product[Product Id], tbl_Product[Min Cost])</f>
        <v/>
      </c>
      <c r="AV543" s="10">
        <f>_xlfn.XLOOKUP(tbl_MTG_Set[[#This Row],[Collector Booster Box Product Id]], tbl_Product[Product Id], tbl_Product[Best Source])</f>
        <v/>
      </c>
      <c r="AW543" s="4">
        <f>_xlfn.XLOOKUP(tbl_MTG_Set[[#This Row],[Collector Booster Box Product Id]], tbl_Product[Product Id], tbl_Product[Pack Size])</f>
        <v/>
      </c>
      <c r="AX543" s="10">
        <f>(tbl_MTG_Set[[#This Row],[Collector Booster Box Cost]] + v_Item_Shipping_Cost_In) / tbl_MTG_Set[[#This Row],[Collector Booster Box Size]]</f>
        <v/>
      </c>
      <c r="AY543" s="10">
        <f t="array" ref="AY5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3" s="10" t="n"/>
      <c r="BA5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3" s="17">
        <f>tbl_MTG_Set[[#This Row],[Collector Booster CardMarket Profit]]/tbl_MTG_Set[[#This Row],[Collector Booster Cost]]</f>
        <v/>
      </c>
      <c r="BC543" s="10" t="n"/>
      <c r="BF543" s="10">
        <f>tbl_MTG_Set[[#This Row],[Play Booster Sell Price CardMarket]]*tbl_MTG_Set[[#This Row],[Play Booster Expected Market Value]]/tbl_MTG_Set[[#This Row],[Play Boost Sealed Market Value]]</f>
        <v/>
      </c>
      <c r="BG5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3" s="10">
        <f>tbl_MTG_Set[[#This Row],[Play Singles CardMarket Profit]]/tbl_MTG_Set[[#This Row],[Play Booster Cost]]</f>
        <v/>
      </c>
      <c r="BI543" s="10">
        <f>tbl_MTG_Set[[#This Row],[Play Singles CardMarket Profit]]&gt;0</f>
        <v/>
      </c>
      <c r="BJ543" s="10" t="n"/>
      <c r="BK543" s="10" t="n"/>
      <c r="BL543" s="10">
        <f>tbl_MTG_Set[[#This Row],[Collector Booster Sell Price CardMarket]]*tbl_MTG_Set[[#This Row],[Collector Booster Expected Market Value]]/tbl_MTG_Set[[#This Row],[Collector Boost Sealed Market Value]]</f>
        <v/>
      </c>
      <c r="BM5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3" s="10">
        <f>tbl_MTG_Set[[#This Row],[Collector Singles CardMarket Profit]]/tbl_MTG_Set[[#This Row],[Collector Booster Cost]]</f>
        <v/>
      </c>
      <c r="BO543" s="10">
        <f>tbl_MTG_Set[[#This Row],[Collector Singles CardMarket Profit]]&gt;0</f>
        <v/>
      </c>
      <c r="BP5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4">
      <c r="A544" t="n">
        <v>542</v>
      </c>
      <c r="B544" t="inlineStr">
        <is>
          <t>Modern Masters 2017 Tokens TMM3</t>
        </is>
      </c>
      <c r="C544" t="n">
        <v>21</v>
      </c>
      <c r="D544" s="3" t="n">
        <v>42811</v>
      </c>
      <c r="F544" t="inlineStr">
        <is>
          <t>en es fr de it pt ja ko ru 汉语 漢語</t>
        </is>
      </c>
      <c r="G544" t="n">
        <v>1030</v>
      </c>
      <c r="H544">
        <f>MONTH(NOW())+12*YEAR(NOW())-MONTH(tbl_MTG_Set[[#This Row],[Released On]])-12*YEAR(tbl_MTG_Set[[#This Row],[Released On]])</f>
        <v/>
      </c>
      <c r="I544">
        <f>_xlfn.XLOOKUP(tbl_MTG_Set[[#This Row],[Type Name]], tbl_MTG_Set_Type[Set Type], tbl_MTG_Set_Type[Index], "(Set Type not found)")</f>
        <v/>
      </c>
      <c r="J544">
        <f>_xlfn.XLOOKUP(tbl_MTG_Set[[#This Row],[Type Name]], tbl_MTG_Set_Type[Set Type], tbl_MTG_Set_Type[Buy Window Month Start], "(Set Type not found)")</f>
        <v/>
      </c>
      <c r="K544" s="3">
        <f>tbl_MTG_Set[[#This Row],[Released On]]+tbl_MTG_Set[[#This Row],[Buy Window Month Start]]*365.25/12</f>
        <v/>
      </c>
      <c r="L544">
        <f>_xlfn.XLOOKUP(tbl_MTG_Set[[#This Row],[Type Name]], tbl_MTG_Set_Type[Set Type], tbl_MTG_Set_Type[Buy Window Month End], "(Set Type not found)", 0, 1)</f>
        <v/>
      </c>
      <c r="M544" s="3">
        <f>tbl_MTG_Set[[#This Row],[Released On]]+tbl_MTG_Set[[#This Row],[Buy Window Month End]]*365.25/12</f>
        <v/>
      </c>
      <c r="N544" s="3">
        <f>AND(NOW()&gt;=tbl_MTG_Set[[#This Row],[Buy Window Start]], NOW()&lt;=tbl_MTG_Set[[#This Row],[Buy Window End]])</f>
        <v/>
      </c>
      <c r="O544">
        <f>_xlfn.XLOOKUP(tbl_MTG_Set[[#This Row],[Type Name]], tbl_MTG_Set_Type[Set Type], tbl_MTG_Set_Type[Heavy Printing Window Month Start], "(Set Type not found)", 0, 1)</f>
        <v/>
      </c>
      <c r="P544" s="3">
        <f>tbl_MTG_Set[[#This Row],[Released On]]+tbl_MTG_Set[[#This Row],[Heavy Printing Window Month Start]]*365.25/12</f>
        <v/>
      </c>
      <c r="Q544">
        <f>_xlfn.XLOOKUP(tbl_MTG_Set[[#This Row],[Type Name]], tbl_MTG_Set_Type[Set Type], tbl_MTG_Set_Type[Heavy Printing Window Month End], "(Set Type not found)", 0, 1)</f>
        <v/>
      </c>
      <c r="R544" s="3">
        <f>tbl_MTG_Set[[#This Row],[Released On]]+tbl_MTG_Set[[#This Row],[Heavy Printing Window Month End]]*365.25/12</f>
        <v/>
      </c>
      <c r="S544" s="3">
        <f>AND(NOW()&gt;=tbl_MTG_Set[[#This Row],[Heavy Printing Window Start]], NOW()&lt;=tbl_MTG_Set[[#This Row],[Heavy Printing Window End]])</f>
        <v/>
      </c>
      <c r="T544">
        <f>_xlfn.XLOOKUP(tbl_MTG_Set[[#This Row],[Type Name]], tbl_MTG_Set_Type[Set Type], tbl_MTG_Set_Type[Sell Window Month Start], "(Set Type not found)", 0, 1)</f>
        <v/>
      </c>
      <c r="U544" s="3">
        <f>tbl_MTG_Set[[#This Row],[Released On]]+tbl_MTG_Set[[#This Row],[Sell Window Month Start]]*365.25/12</f>
        <v/>
      </c>
      <c r="V544">
        <f>_xlfn.XLOOKUP(tbl_MTG_Set[[#This Row],[Type Name]], tbl_MTG_Set_Type[Set Type], tbl_MTG_Set_Type[Sell Window Month End], "(Set Type not found)", 0, 1)</f>
        <v/>
      </c>
      <c r="W544" s="3">
        <f>tbl_MTG_Set[[#This Row],[Released On]]+tbl_MTG_Set[[#This Row],[Sell Window Month End]]*365.25/12</f>
        <v/>
      </c>
      <c r="X544" s="3">
        <f>AND(NOW()&gt;=tbl_MTG_Set[[#This Row],[Sell Window Start]], NOW()&lt;=tbl_MTG_Set[[#This Row],[Sell Window End]])</f>
        <v/>
      </c>
      <c r="AG544" s="10" t="n"/>
      <c r="AH544" s="10" t="n"/>
      <c r="AM544" s="10">
        <f t="array" ref="AM5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4" s="10">
        <f t="array" ref="AN5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4" s="4">
        <f>_xlfn.XLOOKUP(tbl_MTG_Set[[#This Row],[Play Booster Box Product Id]], tbl_Product[Product Id], tbl_Product[Pack Size])</f>
        <v/>
      </c>
      <c r="AP544" s="10">
        <f>(tbl_MTG_Set[[#This Row],[Play Booster Box Cost]]+v_Item_Shipping_Cost_In)/tbl_MTG_Set[[#This Row],[Play Booster Box Size]]</f>
        <v/>
      </c>
      <c r="AQ544" s="10">
        <f t="array" ref="AQ5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4" s="10" t="n"/>
      <c r="AS544" s="10" t="n"/>
      <c r="AT544" s="17">
        <f>tbl_MTG_Set[[#This Row],[Play Booster CardMarket Profit]]/tbl_MTG_Set[[#This Row],[Play Booster Cost]]</f>
        <v/>
      </c>
      <c r="AU544" s="10">
        <f>_xlfn.XLOOKUP(tbl_MTG_Set[[#This Row],[Collector Booster Box Product Id]], tbl_Product[Product Id], tbl_Product[Min Cost])</f>
        <v/>
      </c>
      <c r="AV544" s="10">
        <f>_xlfn.XLOOKUP(tbl_MTG_Set[[#This Row],[Collector Booster Box Product Id]], tbl_Product[Product Id], tbl_Product[Best Source])</f>
        <v/>
      </c>
      <c r="AW544" s="4">
        <f>_xlfn.XLOOKUP(tbl_MTG_Set[[#This Row],[Collector Booster Box Product Id]], tbl_Product[Product Id], tbl_Product[Pack Size])</f>
        <v/>
      </c>
      <c r="AX544" s="10">
        <f>(tbl_MTG_Set[[#This Row],[Collector Booster Box Cost]] + v_Item_Shipping_Cost_In) / tbl_MTG_Set[[#This Row],[Collector Booster Box Size]]</f>
        <v/>
      </c>
      <c r="AY544" s="10">
        <f t="array" ref="AY5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4" s="10" t="n"/>
      <c r="BA5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4" s="17">
        <f>tbl_MTG_Set[[#This Row],[Collector Booster CardMarket Profit]]/tbl_MTG_Set[[#This Row],[Collector Booster Cost]]</f>
        <v/>
      </c>
      <c r="BC544" s="10" t="n"/>
      <c r="BF544" s="10">
        <f>tbl_MTG_Set[[#This Row],[Play Booster Sell Price CardMarket]]*tbl_MTG_Set[[#This Row],[Play Booster Expected Market Value]]/tbl_MTG_Set[[#This Row],[Play Boost Sealed Market Value]]</f>
        <v/>
      </c>
      <c r="BG5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4" s="10">
        <f>tbl_MTG_Set[[#This Row],[Play Singles CardMarket Profit]]/tbl_MTG_Set[[#This Row],[Play Booster Cost]]</f>
        <v/>
      </c>
      <c r="BI544" s="10">
        <f>tbl_MTG_Set[[#This Row],[Play Singles CardMarket Profit]]&gt;0</f>
        <v/>
      </c>
      <c r="BJ544" s="10" t="n"/>
      <c r="BK544" s="10" t="n"/>
      <c r="BL544" s="10">
        <f>tbl_MTG_Set[[#This Row],[Collector Booster Sell Price CardMarket]]*tbl_MTG_Set[[#This Row],[Collector Booster Expected Market Value]]/tbl_MTG_Set[[#This Row],[Collector Boost Sealed Market Value]]</f>
        <v/>
      </c>
      <c r="BM5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4" s="10">
        <f>tbl_MTG_Set[[#This Row],[Collector Singles CardMarket Profit]]/tbl_MTG_Set[[#This Row],[Collector Booster Cost]]</f>
        <v/>
      </c>
      <c r="BO544" s="10">
        <f>tbl_MTG_Set[[#This Row],[Collector Singles CardMarket Profit]]&gt;0</f>
        <v/>
      </c>
      <c r="BP5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5">
      <c r="A545" t="n">
        <v>543</v>
      </c>
      <c r="B545" t="inlineStr">
        <is>
          <t>Aether Revolt AER</t>
        </is>
      </c>
      <c r="C545" t="n">
        <v>197</v>
      </c>
      <c r="D545" s="3" t="n">
        <v>42755</v>
      </c>
      <c r="F545" t="inlineStr">
        <is>
          <t>en es fr de it pt ja ko ru 汉语 漢語</t>
        </is>
      </c>
      <c r="G545" t="n">
        <v>1032</v>
      </c>
      <c r="H545">
        <f>MONTH(NOW())+12*YEAR(NOW())-MONTH(tbl_MTG_Set[[#This Row],[Released On]])-12*YEAR(tbl_MTG_Set[[#This Row],[Released On]])</f>
        <v/>
      </c>
      <c r="I545">
        <f>_xlfn.XLOOKUP(tbl_MTG_Set[[#This Row],[Type Name]], tbl_MTG_Set_Type[Set Type], tbl_MTG_Set_Type[Index], "(Set Type not found)")</f>
        <v/>
      </c>
      <c r="J545">
        <f>_xlfn.XLOOKUP(tbl_MTG_Set[[#This Row],[Type Name]], tbl_MTG_Set_Type[Set Type], tbl_MTG_Set_Type[Buy Window Month Start], "(Set Type not found)")</f>
        <v/>
      </c>
      <c r="K545" s="3">
        <f>tbl_MTG_Set[[#This Row],[Released On]]+tbl_MTG_Set[[#This Row],[Buy Window Month Start]]*365.25/12</f>
        <v/>
      </c>
      <c r="L545">
        <f>_xlfn.XLOOKUP(tbl_MTG_Set[[#This Row],[Type Name]], tbl_MTG_Set_Type[Set Type], tbl_MTG_Set_Type[Buy Window Month End], "(Set Type not found)", 0, 1)</f>
        <v/>
      </c>
      <c r="M545" s="3">
        <f>tbl_MTG_Set[[#This Row],[Released On]]+tbl_MTG_Set[[#This Row],[Buy Window Month End]]*365.25/12</f>
        <v/>
      </c>
      <c r="N545" s="3">
        <f>AND(NOW()&gt;=tbl_MTG_Set[[#This Row],[Buy Window Start]], NOW()&lt;=tbl_MTG_Set[[#This Row],[Buy Window End]])</f>
        <v/>
      </c>
      <c r="O545">
        <f>_xlfn.XLOOKUP(tbl_MTG_Set[[#This Row],[Type Name]], tbl_MTG_Set_Type[Set Type], tbl_MTG_Set_Type[Heavy Printing Window Month Start], "(Set Type not found)", 0, 1)</f>
        <v/>
      </c>
      <c r="P545" s="3">
        <f>tbl_MTG_Set[[#This Row],[Released On]]+tbl_MTG_Set[[#This Row],[Heavy Printing Window Month Start]]*365.25/12</f>
        <v/>
      </c>
      <c r="Q545">
        <f>_xlfn.XLOOKUP(tbl_MTG_Set[[#This Row],[Type Name]], tbl_MTG_Set_Type[Set Type], tbl_MTG_Set_Type[Heavy Printing Window Month End], "(Set Type not found)", 0, 1)</f>
        <v/>
      </c>
      <c r="R545" s="3">
        <f>tbl_MTG_Set[[#This Row],[Released On]]+tbl_MTG_Set[[#This Row],[Heavy Printing Window Month End]]*365.25/12</f>
        <v/>
      </c>
      <c r="S545" s="3">
        <f>AND(NOW()&gt;=tbl_MTG_Set[[#This Row],[Heavy Printing Window Start]], NOW()&lt;=tbl_MTG_Set[[#This Row],[Heavy Printing Window End]])</f>
        <v/>
      </c>
      <c r="T545">
        <f>_xlfn.XLOOKUP(tbl_MTG_Set[[#This Row],[Type Name]], tbl_MTG_Set_Type[Set Type], tbl_MTG_Set_Type[Sell Window Month Start], "(Set Type not found)", 0, 1)</f>
        <v/>
      </c>
      <c r="U545" s="3">
        <f>tbl_MTG_Set[[#This Row],[Released On]]+tbl_MTG_Set[[#This Row],[Sell Window Month Start]]*365.25/12</f>
        <v/>
      </c>
      <c r="V545">
        <f>_xlfn.XLOOKUP(tbl_MTG_Set[[#This Row],[Type Name]], tbl_MTG_Set_Type[Set Type], tbl_MTG_Set_Type[Sell Window Month End], "(Set Type not found)", 0, 1)</f>
        <v/>
      </c>
      <c r="W545" s="3">
        <f>tbl_MTG_Set[[#This Row],[Released On]]+tbl_MTG_Set[[#This Row],[Sell Window Month End]]*365.25/12</f>
        <v/>
      </c>
      <c r="X545" s="3">
        <f>AND(NOW()&gt;=tbl_MTG_Set[[#This Row],[Sell Window Start]], NOW()&lt;=tbl_MTG_Set[[#This Row],[Sell Window End]])</f>
        <v/>
      </c>
      <c r="AG545" s="10" t="n"/>
      <c r="AH545" s="10" t="n"/>
      <c r="AM545" s="10">
        <f t="array" ref="AM5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5" s="10">
        <f t="array" ref="AN5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5" s="4">
        <f>_xlfn.XLOOKUP(tbl_MTG_Set[[#This Row],[Play Booster Box Product Id]], tbl_Product[Product Id], tbl_Product[Pack Size])</f>
        <v/>
      </c>
      <c r="AP545" s="10">
        <f>(tbl_MTG_Set[[#This Row],[Play Booster Box Cost]]+v_Item_Shipping_Cost_In)/tbl_MTG_Set[[#This Row],[Play Booster Box Size]]</f>
        <v/>
      </c>
      <c r="AQ545" s="10">
        <f t="array" ref="AQ5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5" s="10" t="n"/>
      <c r="AS545" s="10" t="n"/>
      <c r="AT545" s="17">
        <f>tbl_MTG_Set[[#This Row],[Play Booster CardMarket Profit]]/tbl_MTG_Set[[#This Row],[Play Booster Cost]]</f>
        <v/>
      </c>
      <c r="AU545" s="10">
        <f>_xlfn.XLOOKUP(tbl_MTG_Set[[#This Row],[Collector Booster Box Product Id]], tbl_Product[Product Id], tbl_Product[Min Cost])</f>
        <v/>
      </c>
      <c r="AV545" s="10">
        <f>_xlfn.XLOOKUP(tbl_MTG_Set[[#This Row],[Collector Booster Box Product Id]], tbl_Product[Product Id], tbl_Product[Best Source])</f>
        <v/>
      </c>
      <c r="AW545" s="4">
        <f>_xlfn.XLOOKUP(tbl_MTG_Set[[#This Row],[Collector Booster Box Product Id]], tbl_Product[Product Id], tbl_Product[Pack Size])</f>
        <v/>
      </c>
      <c r="AX545" s="10">
        <f>(tbl_MTG_Set[[#This Row],[Collector Booster Box Cost]] + v_Item_Shipping_Cost_In) / tbl_MTG_Set[[#This Row],[Collector Booster Box Size]]</f>
        <v/>
      </c>
      <c r="AY545" s="10">
        <f t="array" ref="AY5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5" s="10" t="n"/>
      <c r="BA5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5" s="17">
        <f>tbl_MTG_Set[[#This Row],[Collector Booster CardMarket Profit]]/tbl_MTG_Set[[#This Row],[Collector Booster Cost]]</f>
        <v/>
      </c>
      <c r="BC545" s="10" t="n"/>
      <c r="BF545" s="10">
        <f>tbl_MTG_Set[[#This Row],[Play Booster Sell Price CardMarket]]*tbl_MTG_Set[[#This Row],[Play Booster Expected Market Value]]/tbl_MTG_Set[[#This Row],[Play Boost Sealed Market Value]]</f>
        <v/>
      </c>
      <c r="BG5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5" s="10">
        <f>tbl_MTG_Set[[#This Row],[Play Singles CardMarket Profit]]/tbl_MTG_Set[[#This Row],[Play Booster Cost]]</f>
        <v/>
      </c>
      <c r="BI545" s="10">
        <f>tbl_MTG_Set[[#This Row],[Play Singles CardMarket Profit]]&gt;0</f>
        <v/>
      </c>
      <c r="BJ545" s="10" t="n"/>
      <c r="BK545" s="10" t="n"/>
      <c r="BL545" s="10">
        <f>tbl_MTG_Set[[#This Row],[Collector Booster Sell Price CardMarket]]*tbl_MTG_Set[[#This Row],[Collector Booster Expected Market Value]]/tbl_MTG_Set[[#This Row],[Collector Boost Sealed Market Value]]</f>
        <v/>
      </c>
      <c r="BM5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5" s="10">
        <f>tbl_MTG_Set[[#This Row],[Collector Singles CardMarket Profit]]/tbl_MTG_Set[[#This Row],[Collector Booster Cost]]</f>
        <v/>
      </c>
      <c r="BO545" s="10">
        <f>tbl_MTG_Set[[#This Row],[Collector Singles CardMarket Profit]]&gt;0</f>
        <v/>
      </c>
      <c r="BP5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6">
      <c r="A546" t="n">
        <v>544</v>
      </c>
      <c r="B546" t="inlineStr">
        <is>
          <t>Aether Revolt Promos PAER</t>
        </is>
      </c>
      <c r="C546" t="n">
        <v>65</v>
      </c>
      <c r="D546" s="3" t="n">
        <v>42755</v>
      </c>
      <c r="F546" t="inlineStr">
        <is>
          <t>en es fr de it pt ja ko ru 汉语 漢語</t>
        </is>
      </c>
      <c r="G546" t="n">
        <v>1034</v>
      </c>
      <c r="H546">
        <f>MONTH(NOW())+12*YEAR(NOW())-MONTH(tbl_MTG_Set[[#This Row],[Released On]])-12*YEAR(tbl_MTG_Set[[#This Row],[Released On]])</f>
        <v/>
      </c>
      <c r="I546">
        <f>_xlfn.XLOOKUP(tbl_MTG_Set[[#This Row],[Type Name]], tbl_MTG_Set_Type[Set Type], tbl_MTG_Set_Type[Index], "(Set Type not found)")</f>
        <v/>
      </c>
      <c r="J546">
        <f>_xlfn.XLOOKUP(tbl_MTG_Set[[#This Row],[Type Name]], tbl_MTG_Set_Type[Set Type], tbl_MTG_Set_Type[Buy Window Month Start], "(Set Type not found)")</f>
        <v/>
      </c>
      <c r="K546" s="3">
        <f>tbl_MTG_Set[[#This Row],[Released On]]+tbl_MTG_Set[[#This Row],[Buy Window Month Start]]*365.25/12</f>
        <v/>
      </c>
      <c r="L546">
        <f>_xlfn.XLOOKUP(tbl_MTG_Set[[#This Row],[Type Name]], tbl_MTG_Set_Type[Set Type], tbl_MTG_Set_Type[Buy Window Month End], "(Set Type not found)", 0, 1)</f>
        <v/>
      </c>
      <c r="M546" s="3">
        <f>tbl_MTG_Set[[#This Row],[Released On]]+tbl_MTG_Set[[#This Row],[Buy Window Month End]]*365.25/12</f>
        <v/>
      </c>
      <c r="N546" s="3">
        <f>AND(NOW()&gt;=tbl_MTG_Set[[#This Row],[Buy Window Start]], NOW()&lt;=tbl_MTG_Set[[#This Row],[Buy Window End]])</f>
        <v/>
      </c>
      <c r="O546">
        <f>_xlfn.XLOOKUP(tbl_MTG_Set[[#This Row],[Type Name]], tbl_MTG_Set_Type[Set Type], tbl_MTG_Set_Type[Heavy Printing Window Month Start], "(Set Type not found)", 0, 1)</f>
        <v/>
      </c>
      <c r="P546" s="3">
        <f>tbl_MTG_Set[[#This Row],[Released On]]+tbl_MTG_Set[[#This Row],[Heavy Printing Window Month Start]]*365.25/12</f>
        <v/>
      </c>
      <c r="Q546">
        <f>_xlfn.XLOOKUP(tbl_MTG_Set[[#This Row],[Type Name]], tbl_MTG_Set_Type[Set Type], tbl_MTG_Set_Type[Heavy Printing Window Month End], "(Set Type not found)", 0, 1)</f>
        <v/>
      </c>
      <c r="R546" s="3">
        <f>tbl_MTG_Set[[#This Row],[Released On]]+tbl_MTG_Set[[#This Row],[Heavy Printing Window Month End]]*365.25/12</f>
        <v/>
      </c>
      <c r="S546" s="3">
        <f>AND(NOW()&gt;=tbl_MTG_Set[[#This Row],[Heavy Printing Window Start]], NOW()&lt;=tbl_MTG_Set[[#This Row],[Heavy Printing Window End]])</f>
        <v/>
      </c>
      <c r="T546">
        <f>_xlfn.XLOOKUP(tbl_MTG_Set[[#This Row],[Type Name]], tbl_MTG_Set_Type[Set Type], tbl_MTG_Set_Type[Sell Window Month Start], "(Set Type not found)", 0, 1)</f>
        <v/>
      </c>
      <c r="U546" s="3">
        <f>tbl_MTG_Set[[#This Row],[Released On]]+tbl_MTG_Set[[#This Row],[Sell Window Month Start]]*365.25/12</f>
        <v/>
      </c>
      <c r="V546">
        <f>_xlfn.XLOOKUP(tbl_MTG_Set[[#This Row],[Type Name]], tbl_MTG_Set_Type[Set Type], tbl_MTG_Set_Type[Sell Window Month End], "(Set Type not found)", 0, 1)</f>
        <v/>
      </c>
      <c r="W546" s="3">
        <f>tbl_MTG_Set[[#This Row],[Released On]]+tbl_MTG_Set[[#This Row],[Sell Window Month End]]*365.25/12</f>
        <v/>
      </c>
      <c r="X546" s="3">
        <f>AND(NOW()&gt;=tbl_MTG_Set[[#This Row],[Sell Window Start]], NOW()&lt;=tbl_MTG_Set[[#This Row],[Sell Window End]])</f>
        <v/>
      </c>
      <c r="AG546" s="10" t="n"/>
      <c r="AH546" s="10" t="n"/>
      <c r="AM546" s="10">
        <f t="array" ref="AM5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6" s="10">
        <f t="array" ref="AN5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6" s="4">
        <f>_xlfn.XLOOKUP(tbl_MTG_Set[[#This Row],[Play Booster Box Product Id]], tbl_Product[Product Id], tbl_Product[Pack Size])</f>
        <v/>
      </c>
      <c r="AP546" s="10">
        <f>(tbl_MTG_Set[[#This Row],[Play Booster Box Cost]]+v_Item_Shipping_Cost_In)/tbl_MTG_Set[[#This Row],[Play Booster Box Size]]</f>
        <v/>
      </c>
      <c r="AQ546" s="10">
        <f t="array" ref="AQ5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6" s="10" t="n"/>
      <c r="AS546" s="10" t="n"/>
      <c r="AT546" s="17">
        <f>tbl_MTG_Set[[#This Row],[Play Booster CardMarket Profit]]/tbl_MTG_Set[[#This Row],[Play Booster Cost]]</f>
        <v/>
      </c>
      <c r="AU546" s="10">
        <f>_xlfn.XLOOKUP(tbl_MTG_Set[[#This Row],[Collector Booster Box Product Id]], tbl_Product[Product Id], tbl_Product[Min Cost])</f>
        <v/>
      </c>
      <c r="AV546" s="10">
        <f>_xlfn.XLOOKUP(tbl_MTG_Set[[#This Row],[Collector Booster Box Product Id]], tbl_Product[Product Id], tbl_Product[Best Source])</f>
        <v/>
      </c>
      <c r="AW546" s="4">
        <f>_xlfn.XLOOKUP(tbl_MTG_Set[[#This Row],[Collector Booster Box Product Id]], tbl_Product[Product Id], tbl_Product[Pack Size])</f>
        <v/>
      </c>
      <c r="AX546" s="10">
        <f>(tbl_MTG_Set[[#This Row],[Collector Booster Box Cost]] + v_Item_Shipping_Cost_In) / tbl_MTG_Set[[#This Row],[Collector Booster Box Size]]</f>
        <v/>
      </c>
      <c r="AY546" s="10">
        <f t="array" ref="AY5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6" s="10" t="n"/>
      <c r="BA5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6" s="17">
        <f>tbl_MTG_Set[[#This Row],[Collector Booster CardMarket Profit]]/tbl_MTG_Set[[#This Row],[Collector Booster Cost]]</f>
        <v/>
      </c>
      <c r="BC546" s="10" t="n"/>
      <c r="BF546" s="10">
        <f>tbl_MTG_Set[[#This Row],[Play Booster Sell Price CardMarket]]*tbl_MTG_Set[[#This Row],[Play Booster Expected Market Value]]/tbl_MTG_Set[[#This Row],[Play Boost Sealed Market Value]]</f>
        <v/>
      </c>
      <c r="BG5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6" s="10">
        <f>tbl_MTG_Set[[#This Row],[Play Singles CardMarket Profit]]/tbl_MTG_Set[[#This Row],[Play Booster Cost]]</f>
        <v/>
      </c>
      <c r="BI546" s="10">
        <f>tbl_MTG_Set[[#This Row],[Play Singles CardMarket Profit]]&gt;0</f>
        <v/>
      </c>
      <c r="BJ546" s="10" t="n"/>
      <c r="BK546" s="10" t="n"/>
      <c r="BL546" s="10">
        <f>tbl_MTG_Set[[#This Row],[Collector Booster Sell Price CardMarket]]*tbl_MTG_Set[[#This Row],[Collector Booster Expected Market Value]]/tbl_MTG_Set[[#This Row],[Collector Boost Sealed Market Value]]</f>
        <v/>
      </c>
      <c r="BM5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6" s="10">
        <f>tbl_MTG_Set[[#This Row],[Collector Singles CardMarket Profit]]/tbl_MTG_Set[[#This Row],[Collector Booster Cost]]</f>
        <v/>
      </c>
      <c r="BO546" s="10">
        <f>tbl_MTG_Set[[#This Row],[Collector Singles CardMarket Profit]]&gt;0</f>
        <v/>
      </c>
      <c r="BP5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7">
      <c r="A547" t="n">
        <v>545</v>
      </c>
      <c r="B547" t="inlineStr">
        <is>
          <t>Aether Revolt Tokens TAER</t>
        </is>
      </c>
      <c r="C547" t="n">
        <v>4</v>
      </c>
      <c r="D547" s="3" t="n">
        <v>42755</v>
      </c>
      <c r="F547" t="inlineStr">
        <is>
          <t>en es fr de it pt ja ko ru 汉语 漢語</t>
        </is>
      </c>
      <c r="G547" t="n">
        <v>1036</v>
      </c>
      <c r="H547">
        <f>MONTH(NOW())+12*YEAR(NOW())-MONTH(tbl_MTG_Set[[#This Row],[Released On]])-12*YEAR(tbl_MTG_Set[[#This Row],[Released On]])</f>
        <v/>
      </c>
      <c r="I547">
        <f>_xlfn.XLOOKUP(tbl_MTG_Set[[#This Row],[Type Name]], tbl_MTG_Set_Type[Set Type], tbl_MTG_Set_Type[Index], "(Set Type not found)")</f>
        <v/>
      </c>
      <c r="J547">
        <f>_xlfn.XLOOKUP(tbl_MTG_Set[[#This Row],[Type Name]], tbl_MTG_Set_Type[Set Type], tbl_MTG_Set_Type[Buy Window Month Start], "(Set Type not found)")</f>
        <v/>
      </c>
      <c r="K547" s="3">
        <f>tbl_MTG_Set[[#This Row],[Released On]]+tbl_MTG_Set[[#This Row],[Buy Window Month Start]]*365.25/12</f>
        <v/>
      </c>
      <c r="L547">
        <f>_xlfn.XLOOKUP(tbl_MTG_Set[[#This Row],[Type Name]], tbl_MTG_Set_Type[Set Type], tbl_MTG_Set_Type[Buy Window Month End], "(Set Type not found)", 0, 1)</f>
        <v/>
      </c>
      <c r="M547" s="3">
        <f>tbl_MTG_Set[[#This Row],[Released On]]+tbl_MTG_Set[[#This Row],[Buy Window Month End]]*365.25/12</f>
        <v/>
      </c>
      <c r="N547" s="3">
        <f>AND(NOW()&gt;=tbl_MTG_Set[[#This Row],[Buy Window Start]], NOW()&lt;=tbl_MTG_Set[[#This Row],[Buy Window End]])</f>
        <v/>
      </c>
      <c r="O547">
        <f>_xlfn.XLOOKUP(tbl_MTG_Set[[#This Row],[Type Name]], tbl_MTG_Set_Type[Set Type], tbl_MTG_Set_Type[Heavy Printing Window Month Start], "(Set Type not found)", 0, 1)</f>
        <v/>
      </c>
      <c r="P547" s="3">
        <f>tbl_MTG_Set[[#This Row],[Released On]]+tbl_MTG_Set[[#This Row],[Heavy Printing Window Month Start]]*365.25/12</f>
        <v/>
      </c>
      <c r="Q547">
        <f>_xlfn.XLOOKUP(tbl_MTG_Set[[#This Row],[Type Name]], tbl_MTG_Set_Type[Set Type], tbl_MTG_Set_Type[Heavy Printing Window Month End], "(Set Type not found)", 0, 1)</f>
        <v/>
      </c>
      <c r="R547" s="3">
        <f>tbl_MTG_Set[[#This Row],[Released On]]+tbl_MTG_Set[[#This Row],[Heavy Printing Window Month End]]*365.25/12</f>
        <v/>
      </c>
      <c r="S547" s="3">
        <f>AND(NOW()&gt;=tbl_MTG_Set[[#This Row],[Heavy Printing Window Start]], NOW()&lt;=tbl_MTG_Set[[#This Row],[Heavy Printing Window End]])</f>
        <v/>
      </c>
      <c r="T547">
        <f>_xlfn.XLOOKUP(tbl_MTG_Set[[#This Row],[Type Name]], tbl_MTG_Set_Type[Set Type], tbl_MTG_Set_Type[Sell Window Month Start], "(Set Type not found)", 0, 1)</f>
        <v/>
      </c>
      <c r="U547" s="3">
        <f>tbl_MTG_Set[[#This Row],[Released On]]+tbl_MTG_Set[[#This Row],[Sell Window Month Start]]*365.25/12</f>
        <v/>
      </c>
      <c r="V547">
        <f>_xlfn.XLOOKUP(tbl_MTG_Set[[#This Row],[Type Name]], tbl_MTG_Set_Type[Set Type], tbl_MTG_Set_Type[Sell Window Month End], "(Set Type not found)", 0, 1)</f>
        <v/>
      </c>
      <c r="W547" s="3">
        <f>tbl_MTG_Set[[#This Row],[Released On]]+tbl_MTG_Set[[#This Row],[Sell Window Month End]]*365.25/12</f>
        <v/>
      </c>
      <c r="X547" s="3">
        <f>AND(NOW()&gt;=tbl_MTG_Set[[#This Row],[Sell Window Start]], NOW()&lt;=tbl_MTG_Set[[#This Row],[Sell Window End]])</f>
        <v/>
      </c>
      <c r="AG547" s="10" t="n"/>
      <c r="AH547" s="10" t="n"/>
      <c r="AM547" s="10">
        <f t="array" ref="AM5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7" s="10">
        <f t="array" ref="AN5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7" s="4">
        <f>_xlfn.XLOOKUP(tbl_MTG_Set[[#This Row],[Play Booster Box Product Id]], tbl_Product[Product Id], tbl_Product[Pack Size])</f>
        <v/>
      </c>
      <c r="AP547" s="10">
        <f>(tbl_MTG_Set[[#This Row],[Play Booster Box Cost]]+v_Item_Shipping_Cost_In)/tbl_MTG_Set[[#This Row],[Play Booster Box Size]]</f>
        <v/>
      </c>
      <c r="AQ547" s="10">
        <f t="array" ref="AQ5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7" s="10" t="n"/>
      <c r="AS547" s="10" t="n"/>
      <c r="AT547" s="17">
        <f>tbl_MTG_Set[[#This Row],[Play Booster CardMarket Profit]]/tbl_MTG_Set[[#This Row],[Play Booster Cost]]</f>
        <v/>
      </c>
      <c r="AU547" s="10">
        <f>_xlfn.XLOOKUP(tbl_MTG_Set[[#This Row],[Collector Booster Box Product Id]], tbl_Product[Product Id], tbl_Product[Min Cost])</f>
        <v/>
      </c>
      <c r="AV547" s="10">
        <f>_xlfn.XLOOKUP(tbl_MTG_Set[[#This Row],[Collector Booster Box Product Id]], tbl_Product[Product Id], tbl_Product[Best Source])</f>
        <v/>
      </c>
      <c r="AW547" s="4">
        <f>_xlfn.XLOOKUP(tbl_MTG_Set[[#This Row],[Collector Booster Box Product Id]], tbl_Product[Product Id], tbl_Product[Pack Size])</f>
        <v/>
      </c>
      <c r="AX547" s="10">
        <f>(tbl_MTG_Set[[#This Row],[Collector Booster Box Cost]] + v_Item_Shipping_Cost_In) / tbl_MTG_Set[[#This Row],[Collector Booster Box Size]]</f>
        <v/>
      </c>
      <c r="AY547" s="10">
        <f t="array" ref="AY5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7" s="10" t="n"/>
      <c r="BA5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7" s="17">
        <f>tbl_MTG_Set[[#This Row],[Collector Booster CardMarket Profit]]/tbl_MTG_Set[[#This Row],[Collector Booster Cost]]</f>
        <v/>
      </c>
      <c r="BC547" s="10" t="n"/>
      <c r="BF547" s="10">
        <f>tbl_MTG_Set[[#This Row],[Play Booster Sell Price CardMarket]]*tbl_MTG_Set[[#This Row],[Play Booster Expected Market Value]]/tbl_MTG_Set[[#This Row],[Play Boost Sealed Market Value]]</f>
        <v/>
      </c>
      <c r="BG5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7" s="10">
        <f>tbl_MTG_Set[[#This Row],[Play Singles CardMarket Profit]]/tbl_MTG_Set[[#This Row],[Play Booster Cost]]</f>
        <v/>
      </c>
      <c r="BI547" s="10">
        <f>tbl_MTG_Set[[#This Row],[Play Singles CardMarket Profit]]&gt;0</f>
        <v/>
      </c>
      <c r="BJ547" s="10" t="n"/>
      <c r="BK547" s="10" t="n"/>
      <c r="BL547" s="10">
        <f>tbl_MTG_Set[[#This Row],[Collector Booster Sell Price CardMarket]]*tbl_MTG_Set[[#This Row],[Collector Booster Expected Market Value]]/tbl_MTG_Set[[#This Row],[Collector Boost Sealed Market Value]]</f>
        <v/>
      </c>
      <c r="BM5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7" s="10">
        <f>tbl_MTG_Set[[#This Row],[Collector Singles CardMarket Profit]]/tbl_MTG_Set[[#This Row],[Collector Booster Cost]]</f>
        <v/>
      </c>
      <c r="BO547" s="10">
        <f>tbl_MTG_Set[[#This Row],[Collector Singles CardMarket Profit]]&gt;0</f>
        <v/>
      </c>
      <c r="BP5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8">
      <c r="A548" t="n">
        <v>546</v>
      </c>
      <c r="B548" t="inlineStr">
        <is>
          <t>League Tokens 2017 L17</t>
        </is>
      </c>
      <c r="C548" t="n">
        <v>1</v>
      </c>
      <c r="D548" s="3" t="n">
        <v>42736</v>
      </c>
      <c r="F548" t="inlineStr">
        <is>
          <t>en es fr de it pt ja ko ru 汉语 漢語</t>
        </is>
      </c>
      <c r="G548" t="n">
        <v>1038</v>
      </c>
      <c r="H548">
        <f>MONTH(NOW())+12*YEAR(NOW())-MONTH(tbl_MTG_Set[[#This Row],[Released On]])-12*YEAR(tbl_MTG_Set[[#This Row],[Released On]])</f>
        <v/>
      </c>
      <c r="I548">
        <f>_xlfn.XLOOKUP(tbl_MTG_Set[[#This Row],[Type Name]], tbl_MTG_Set_Type[Set Type], tbl_MTG_Set_Type[Index], "(Set Type not found)")</f>
        <v/>
      </c>
      <c r="J548">
        <f>_xlfn.XLOOKUP(tbl_MTG_Set[[#This Row],[Type Name]], tbl_MTG_Set_Type[Set Type], tbl_MTG_Set_Type[Buy Window Month Start], "(Set Type not found)")</f>
        <v/>
      </c>
      <c r="K548" s="3">
        <f>tbl_MTG_Set[[#This Row],[Released On]]+tbl_MTG_Set[[#This Row],[Buy Window Month Start]]*365.25/12</f>
        <v/>
      </c>
      <c r="L548">
        <f>_xlfn.XLOOKUP(tbl_MTG_Set[[#This Row],[Type Name]], tbl_MTG_Set_Type[Set Type], tbl_MTG_Set_Type[Buy Window Month End], "(Set Type not found)", 0, 1)</f>
        <v/>
      </c>
      <c r="M548" s="3">
        <f>tbl_MTG_Set[[#This Row],[Released On]]+tbl_MTG_Set[[#This Row],[Buy Window Month End]]*365.25/12</f>
        <v/>
      </c>
      <c r="N548" s="3">
        <f>AND(NOW()&gt;=tbl_MTG_Set[[#This Row],[Buy Window Start]], NOW()&lt;=tbl_MTG_Set[[#This Row],[Buy Window End]])</f>
        <v/>
      </c>
      <c r="O548">
        <f>_xlfn.XLOOKUP(tbl_MTG_Set[[#This Row],[Type Name]], tbl_MTG_Set_Type[Set Type], tbl_MTG_Set_Type[Heavy Printing Window Month Start], "(Set Type not found)", 0, 1)</f>
        <v/>
      </c>
      <c r="P548" s="3">
        <f>tbl_MTG_Set[[#This Row],[Released On]]+tbl_MTG_Set[[#This Row],[Heavy Printing Window Month Start]]*365.25/12</f>
        <v/>
      </c>
      <c r="Q548">
        <f>_xlfn.XLOOKUP(tbl_MTG_Set[[#This Row],[Type Name]], tbl_MTG_Set_Type[Set Type], tbl_MTG_Set_Type[Heavy Printing Window Month End], "(Set Type not found)", 0, 1)</f>
        <v/>
      </c>
      <c r="R548" s="3">
        <f>tbl_MTG_Set[[#This Row],[Released On]]+tbl_MTG_Set[[#This Row],[Heavy Printing Window Month End]]*365.25/12</f>
        <v/>
      </c>
      <c r="S548" s="3">
        <f>AND(NOW()&gt;=tbl_MTG_Set[[#This Row],[Heavy Printing Window Start]], NOW()&lt;=tbl_MTG_Set[[#This Row],[Heavy Printing Window End]])</f>
        <v/>
      </c>
      <c r="T548">
        <f>_xlfn.XLOOKUP(tbl_MTG_Set[[#This Row],[Type Name]], tbl_MTG_Set_Type[Set Type], tbl_MTG_Set_Type[Sell Window Month Start], "(Set Type not found)", 0, 1)</f>
        <v/>
      </c>
      <c r="U548" s="3">
        <f>tbl_MTG_Set[[#This Row],[Released On]]+tbl_MTG_Set[[#This Row],[Sell Window Month Start]]*365.25/12</f>
        <v/>
      </c>
      <c r="V548">
        <f>_xlfn.XLOOKUP(tbl_MTG_Set[[#This Row],[Type Name]], tbl_MTG_Set_Type[Set Type], tbl_MTG_Set_Type[Sell Window Month End], "(Set Type not found)", 0, 1)</f>
        <v/>
      </c>
      <c r="W548" s="3">
        <f>tbl_MTG_Set[[#This Row],[Released On]]+tbl_MTG_Set[[#This Row],[Sell Window Month End]]*365.25/12</f>
        <v/>
      </c>
      <c r="X548" s="3">
        <f>AND(NOW()&gt;=tbl_MTG_Set[[#This Row],[Sell Window Start]], NOW()&lt;=tbl_MTG_Set[[#This Row],[Sell Window End]])</f>
        <v/>
      </c>
      <c r="AG548" s="10" t="n"/>
      <c r="AH548" s="10" t="n"/>
      <c r="AM548" s="10">
        <f t="array" ref="AM5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8" s="10">
        <f t="array" ref="AN5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8" s="4">
        <f>_xlfn.XLOOKUP(tbl_MTG_Set[[#This Row],[Play Booster Box Product Id]], tbl_Product[Product Id], tbl_Product[Pack Size])</f>
        <v/>
      </c>
      <c r="AP548" s="10">
        <f>(tbl_MTG_Set[[#This Row],[Play Booster Box Cost]]+v_Item_Shipping_Cost_In)/tbl_MTG_Set[[#This Row],[Play Booster Box Size]]</f>
        <v/>
      </c>
      <c r="AQ548" s="10">
        <f t="array" ref="AQ5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8" s="10" t="n"/>
      <c r="AS548" s="10" t="n"/>
      <c r="AT548" s="17">
        <f>tbl_MTG_Set[[#This Row],[Play Booster CardMarket Profit]]/tbl_MTG_Set[[#This Row],[Play Booster Cost]]</f>
        <v/>
      </c>
      <c r="AU548" s="10">
        <f>_xlfn.XLOOKUP(tbl_MTG_Set[[#This Row],[Collector Booster Box Product Id]], tbl_Product[Product Id], tbl_Product[Min Cost])</f>
        <v/>
      </c>
      <c r="AV548" s="10">
        <f>_xlfn.XLOOKUP(tbl_MTG_Set[[#This Row],[Collector Booster Box Product Id]], tbl_Product[Product Id], tbl_Product[Best Source])</f>
        <v/>
      </c>
      <c r="AW548" s="4">
        <f>_xlfn.XLOOKUP(tbl_MTG_Set[[#This Row],[Collector Booster Box Product Id]], tbl_Product[Product Id], tbl_Product[Pack Size])</f>
        <v/>
      </c>
      <c r="AX548" s="10">
        <f>(tbl_MTG_Set[[#This Row],[Collector Booster Box Cost]] + v_Item_Shipping_Cost_In) / tbl_MTG_Set[[#This Row],[Collector Booster Box Size]]</f>
        <v/>
      </c>
      <c r="AY548" s="10">
        <f t="array" ref="AY5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8" s="10" t="n"/>
      <c r="BA5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8" s="17">
        <f>tbl_MTG_Set[[#This Row],[Collector Booster CardMarket Profit]]/tbl_MTG_Set[[#This Row],[Collector Booster Cost]]</f>
        <v/>
      </c>
      <c r="BC548" s="10" t="n"/>
      <c r="BF548" s="10">
        <f>tbl_MTG_Set[[#This Row],[Play Booster Sell Price CardMarket]]*tbl_MTG_Set[[#This Row],[Play Booster Expected Market Value]]/tbl_MTG_Set[[#This Row],[Play Boost Sealed Market Value]]</f>
        <v/>
      </c>
      <c r="BG5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8" s="10">
        <f>tbl_MTG_Set[[#This Row],[Play Singles CardMarket Profit]]/tbl_MTG_Set[[#This Row],[Play Booster Cost]]</f>
        <v/>
      </c>
      <c r="BI548" s="10">
        <f>tbl_MTG_Set[[#This Row],[Play Singles CardMarket Profit]]&gt;0</f>
        <v/>
      </c>
      <c r="BJ548" s="10" t="n"/>
      <c r="BK548" s="10" t="n"/>
      <c r="BL548" s="10">
        <f>tbl_MTG_Set[[#This Row],[Collector Booster Sell Price CardMarket]]*tbl_MTG_Set[[#This Row],[Collector Booster Expected Market Value]]/tbl_MTG_Set[[#This Row],[Collector Boost Sealed Market Value]]</f>
        <v/>
      </c>
      <c r="BM5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8" s="10">
        <f>tbl_MTG_Set[[#This Row],[Collector Singles CardMarket Profit]]/tbl_MTG_Set[[#This Row],[Collector Booster Cost]]</f>
        <v/>
      </c>
      <c r="BO548" s="10">
        <f>tbl_MTG_Set[[#This Row],[Collector Singles CardMarket Profit]]&gt;0</f>
        <v/>
      </c>
      <c r="BP5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9">
      <c r="A549" t="n">
        <v>547</v>
      </c>
      <c r="B549" t="inlineStr">
        <is>
          <t>Friday Night Magic 2017 F17</t>
        </is>
      </c>
      <c r="C549" t="n">
        <v>12</v>
      </c>
      <c r="D549" s="3" t="n">
        <v>42736</v>
      </c>
      <c r="F549" t="inlineStr">
        <is>
          <t>en es fr de it pt ja ko ru 汉语 漢語</t>
        </is>
      </c>
      <c r="G549" t="n">
        <v>1040</v>
      </c>
      <c r="H549">
        <f>MONTH(NOW())+12*YEAR(NOW())-MONTH(tbl_MTG_Set[[#This Row],[Released On]])-12*YEAR(tbl_MTG_Set[[#This Row],[Released On]])</f>
        <v/>
      </c>
      <c r="I549">
        <f>_xlfn.XLOOKUP(tbl_MTG_Set[[#This Row],[Type Name]], tbl_MTG_Set_Type[Set Type], tbl_MTG_Set_Type[Index], "(Set Type not found)")</f>
        <v/>
      </c>
      <c r="J549">
        <f>_xlfn.XLOOKUP(tbl_MTG_Set[[#This Row],[Type Name]], tbl_MTG_Set_Type[Set Type], tbl_MTG_Set_Type[Buy Window Month Start], "(Set Type not found)")</f>
        <v/>
      </c>
      <c r="K549" s="3">
        <f>tbl_MTG_Set[[#This Row],[Released On]]+tbl_MTG_Set[[#This Row],[Buy Window Month Start]]*365.25/12</f>
        <v/>
      </c>
      <c r="L549">
        <f>_xlfn.XLOOKUP(tbl_MTG_Set[[#This Row],[Type Name]], tbl_MTG_Set_Type[Set Type], tbl_MTG_Set_Type[Buy Window Month End], "(Set Type not found)", 0, 1)</f>
        <v/>
      </c>
      <c r="M549" s="3">
        <f>tbl_MTG_Set[[#This Row],[Released On]]+tbl_MTG_Set[[#This Row],[Buy Window Month End]]*365.25/12</f>
        <v/>
      </c>
      <c r="N549" s="3">
        <f>AND(NOW()&gt;=tbl_MTG_Set[[#This Row],[Buy Window Start]], NOW()&lt;=tbl_MTG_Set[[#This Row],[Buy Window End]])</f>
        <v/>
      </c>
      <c r="O549">
        <f>_xlfn.XLOOKUP(tbl_MTG_Set[[#This Row],[Type Name]], tbl_MTG_Set_Type[Set Type], tbl_MTG_Set_Type[Heavy Printing Window Month Start], "(Set Type not found)", 0, 1)</f>
        <v/>
      </c>
      <c r="P549" s="3">
        <f>tbl_MTG_Set[[#This Row],[Released On]]+tbl_MTG_Set[[#This Row],[Heavy Printing Window Month Start]]*365.25/12</f>
        <v/>
      </c>
      <c r="Q549">
        <f>_xlfn.XLOOKUP(tbl_MTG_Set[[#This Row],[Type Name]], tbl_MTG_Set_Type[Set Type], tbl_MTG_Set_Type[Heavy Printing Window Month End], "(Set Type not found)", 0, 1)</f>
        <v/>
      </c>
      <c r="R549" s="3">
        <f>tbl_MTG_Set[[#This Row],[Released On]]+tbl_MTG_Set[[#This Row],[Heavy Printing Window Month End]]*365.25/12</f>
        <v/>
      </c>
      <c r="S549" s="3">
        <f>AND(NOW()&gt;=tbl_MTG_Set[[#This Row],[Heavy Printing Window Start]], NOW()&lt;=tbl_MTG_Set[[#This Row],[Heavy Printing Window End]])</f>
        <v/>
      </c>
      <c r="T549">
        <f>_xlfn.XLOOKUP(tbl_MTG_Set[[#This Row],[Type Name]], tbl_MTG_Set_Type[Set Type], tbl_MTG_Set_Type[Sell Window Month Start], "(Set Type not found)", 0, 1)</f>
        <v/>
      </c>
      <c r="U549" s="3">
        <f>tbl_MTG_Set[[#This Row],[Released On]]+tbl_MTG_Set[[#This Row],[Sell Window Month Start]]*365.25/12</f>
        <v/>
      </c>
      <c r="V549">
        <f>_xlfn.XLOOKUP(tbl_MTG_Set[[#This Row],[Type Name]], tbl_MTG_Set_Type[Set Type], tbl_MTG_Set_Type[Sell Window Month End], "(Set Type not found)", 0, 1)</f>
        <v/>
      </c>
      <c r="W549" s="3">
        <f>tbl_MTG_Set[[#This Row],[Released On]]+tbl_MTG_Set[[#This Row],[Sell Window Month End]]*365.25/12</f>
        <v/>
      </c>
      <c r="X549" s="3">
        <f>AND(NOW()&gt;=tbl_MTG_Set[[#This Row],[Sell Window Start]], NOW()&lt;=tbl_MTG_Set[[#This Row],[Sell Window End]])</f>
        <v/>
      </c>
      <c r="AG549" s="10" t="n"/>
      <c r="AH549" s="10" t="n"/>
      <c r="AM549" s="10">
        <f t="array" ref="AM5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9" s="10">
        <f t="array" ref="AN5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9" s="4">
        <f>_xlfn.XLOOKUP(tbl_MTG_Set[[#This Row],[Play Booster Box Product Id]], tbl_Product[Product Id], tbl_Product[Pack Size])</f>
        <v/>
      </c>
      <c r="AP549" s="10">
        <f>(tbl_MTG_Set[[#This Row],[Play Booster Box Cost]]+v_Item_Shipping_Cost_In)/tbl_MTG_Set[[#This Row],[Play Booster Box Size]]</f>
        <v/>
      </c>
      <c r="AQ549" s="10">
        <f t="array" ref="AQ5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49" s="10" t="n"/>
      <c r="AS549" s="10" t="n"/>
      <c r="AT549" s="17">
        <f>tbl_MTG_Set[[#This Row],[Play Booster CardMarket Profit]]/tbl_MTG_Set[[#This Row],[Play Booster Cost]]</f>
        <v/>
      </c>
      <c r="AU549" s="10">
        <f>_xlfn.XLOOKUP(tbl_MTG_Set[[#This Row],[Collector Booster Box Product Id]], tbl_Product[Product Id], tbl_Product[Min Cost])</f>
        <v/>
      </c>
      <c r="AV549" s="10">
        <f>_xlfn.XLOOKUP(tbl_MTG_Set[[#This Row],[Collector Booster Box Product Id]], tbl_Product[Product Id], tbl_Product[Best Source])</f>
        <v/>
      </c>
      <c r="AW549" s="4">
        <f>_xlfn.XLOOKUP(tbl_MTG_Set[[#This Row],[Collector Booster Box Product Id]], tbl_Product[Product Id], tbl_Product[Pack Size])</f>
        <v/>
      </c>
      <c r="AX549" s="10">
        <f>(tbl_MTG_Set[[#This Row],[Collector Booster Box Cost]] + v_Item_Shipping_Cost_In) / tbl_MTG_Set[[#This Row],[Collector Booster Box Size]]</f>
        <v/>
      </c>
      <c r="AY549" s="10">
        <f t="array" ref="AY5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49" s="10" t="n"/>
      <c r="BA5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9" s="17">
        <f>tbl_MTG_Set[[#This Row],[Collector Booster CardMarket Profit]]/tbl_MTG_Set[[#This Row],[Collector Booster Cost]]</f>
        <v/>
      </c>
      <c r="BC549" s="10" t="n"/>
      <c r="BF549" s="10">
        <f>tbl_MTG_Set[[#This Row],[Play Booster Sell Price CardMarket]]*tbl_MTG_Set[[#This Row],[Play Booster Expected Market Value]]/tbl_MTG_Set[[#This Row],[Play Boost Sealed Market Value]]</f>
        <v/>
      </c>
      <c r="BG5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9" s="10">
        <f>tbl_MTG_Set[[#This Row],[Play Singles CardMarket Profit]]/tbl_MTG_Set[[#This Row],[Play Booster Cost]]</f>
        <v/>
      </c>
      <c r="BI549" s="10">
        <f>tbl_MTG_Set[[#This Row],[Play Singles CardMarket Profit]]&gt;0</f>
        <v/>
      </c>
      <c r="BJ549" s="10" t="n"/>
      <c r="BK549" s="10" t="n"/>
      <c r="BL549" s="10">
        <f>tbl_MTG_Set[[#This Row],[Collector Booster Sell Price CardMarket]]*tbl_MTG_Set[[#This Row],[Collector Booster Expected Market Value]]/tbl_MTG_Set[[#This Row],[Collector Boost Sealed Market Value]]</f>
        <v/>
      </c>
      <c r="BM5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9" s="10">
        <f>tbl_MTG_Set[[#This Row],[Collector Singles CardMarket Profit]]/tbl_MTG_Set[[#This Row],[Collector Booster Cost]]</f>
        <v/>
      </c>
      <c r="BO549" s="10">
        <f>tbl_MTG_Set[[#This Row],[Collector Singles CardMarket Profit]]&gt;0</f>
        <v/>
      </c>
      <c r="BP5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0">
      <c r="A550" t="n">
        <v>548</v>
      </c>
      <c r="B550" t="inlineStr">
        <is>
          <t>Judge Gift Cards 2017 J17</t>
        </is>
      </c>
      <c r="C550" t="n">
        <v>9</v>
      </c>
      <c r="D550" s="3" t="n">
        <v>42736</v>
      </c>
      <c r="F550" t="inlineStr">
        <is>
          <t>en es fr de it pt ja ko ru 汉语 漢語</t>
        </is>
      </c>
      <c r="G550" t="n">
        <v>1042</v>
      </c>
      <c r="H550">
        <f>MONTH(NOW())+12*YEAR(NOW())-MONTH(tbl_MTG_Set[[#This Row],[Released On]])-12*YEAR(tbl_MTG_Set[[#This Row],[Released On]])</f>
        <v/>
      </c>
      <c r="I550">
        <f>_xlfn.XLOOKUP(tbl_MTG_Set[[#This Row],[Type Name]], tbl_MTG_Set_Type[Set Type], tbl_MTG_Set_Type[Index], "(Set Type not found)")</f>
        <v/>
      </c>
      <c r="J550">
        <f>_xlfn.XLOOKUP(tbl_MTG_Set[[#This Row],[Type Name]], tbl_MTG_Set_Type[Set Type], tbl_MTG_Set_Type[Buy Window Month Start], "(Set Type not found)")</f>
        <v/>
      </c>
      <c r="K550" s="3">
        <f>tbl_MTG_Set[[#This Row],[Released On]]+tbl_MTG_Set[[#This Row],[Buy Window Month Start]]*365.25/12</f>
        <v/>
      </c>
      <c r="L550">
        <f>_xlfn.XLOOKUP(tbl_MTG_Set[[#This Row],[Type Name]], tbl_MTG_Set_Type[Set Type], tbl_MTG_Set_Type[Buy Window Month End], "(Set Type not found)", 0, 1)</f>
        <v/>
      </c>
      <c r="M550" s="3">
        <f>tbl_MTG_Set[[#This Row],[Released On]]+tbl_MTG_Set[[#This Row],[Buy Window Month End]]*365.25/12</f>
        <v/>
      </c>
      <c r="N550" s="3">
        <f>AND(NOW()&gt;=tbl_MTG_Set[[#This Row],[Buy Window Start]], NOW()&lt;=tbl_MTG_Set[[#This Row],[Buy Window End]])</f>
        <v/>
      </c>
      <c r="O550">
        <f>_xlfn.XLOOKUP(tbl_MTG_Set[[#This Row],[Type Name]], tbl_MTG_Set_Type[Set Type], tbl_MTG_Set_Type[Heavy Printing Window Month Start], "(Set Type not found)", 0, 1)</f>
        <v/>
      </c>
      <c r="P550" s="3">
        <f>tbl_MTG_Set[[#This Row],[Released On]]+tbl_MTG_Set[[#This Row],[Heavy Printing Window Month Start]]*365.25/12</f>
        <v/>
      </c>
      <c r="Q550">
        <f>_xlfn.XLOOKUP(tbl_MTG_Set[[#This Row],[Type Name]], tbl_MTG_Set_Type[Set Type], tbl_MTG_Set_Type[Heavy Printing Window Month End], "(Set Type not found)", 0, 1)</f>
        <v/>
      </c>
      <c r="R550" s="3">
        <f>tbl_MTG_Set[[#This Row],[Released On]]+tbl_MTG_Set[[#This Row],[Heavy Printing Window Month End]]*365.25/12</f>
        <v/>
      </c>
      <c r="S550" s="3">
        <f>AND(NOW()&gt;=tbl_MTG_Set[[#This Row],[Heavy Printing Window Start]], NOW()&lt;=tbl_MTG_Set[[#This Row],[Heavy Printing Window End]])</f>
        <v/>
      </c>
      <c r="T550">
        <f>_xlfn.XLOOKUP(tbl_MTG_Set[[#This Row],[Type Name]], tbl_MTG_Set_Type[Set Type], tbl_MTG_Set_Type[Sell Window Month Start], "(Set Type not found)", 0, 1)</f>
        <v/>
      </c>
      <c r="U550" s="3">
        <f>tbl_MTG_Set[[#This Row],[Released On]]+tbl_MTG_Set[[#This Row],[Sell Window Month Start]]*365.25/12</f>
        <v/>
      </c>
      <c r="V550">
        <f>_xlfn.XLOOKUP(tbl_MTG_Set[[#This Row],[Type Name]], tbl_MTG_Set_Type[Set Type], tbl_MTG_Set_Type[Sell Window Month End], "(Set Type not found)", 0, 1)</f>
        <v/>
      </c>
      <c r="W550" s="3">
        <f>tbl_MTG_Set[[#This Row],[Released On]]+tbl_MTG_Set[[#This Row],[Sell Window Month End]]*365.25/12</f>
        <v/>
      </c>
      <c r="X550" s="3">
        <f>AND(NOW()&gt;=tbl_MTG_Set[[#This Row],[Sell Window Start]], NOW()&lt;=tbl_MTG_Set[[#This Row],[Sell Window End]])</f>
        <v/>
      </c>
      <c r="AG550" s="10" t="n"/>
      <c r="AH550" s="10" t="n"/>
      <c r="AM550" s="10">
        <f t="array" ref="AM5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0" s="10">
        <f t="array" ref="AN5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0" s="4">
        <f>_xlfn.XLOOKUP(tbl_MTG_Set[[#This Row],[Play Booster Box Product Id]], tbl_Product[Product Id], tbl_Product[Pack Size])</f>
        <v/>
      </c>
      <c r="AP550" s="10">
        <f>(tbl_MTG_Set[[#This Row],[Play Booster Box Cost]]+v_Item_Shipping_Cost_In)/tbl_MTG_Set[[#This Row],[Play Booster Box Size]]</f>
        <v/>
      </c>
      <c r="AQ550" s="10">
        <f t="array" ref="AQ5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0" s="10" t="n"/>
      <c r="AS550" s="10" t="n"/>
      <c r="AT550" s="17">
        <f>tbl_MTG_Set[[#This Row],[Play Booster CardMarket Profit]]/tbl_MTG_Set[[#This Row],[Play Booster Cost]]</f>
        <v/>
      </c>
      <c r="AU550" s="10">
        <f>_xlfn.XLOOKUP(tbl_MTG_Set[[#This Row],[Collector Booster Box Product Id]], tbl_Product[Product Id], tbl_Product[Min Cost])</f>
        <v/>
      </c>
      <c r="AV550" s="10">
        <f>_xlfn.XLOOKUP(tbl_MTG_Set[[#This Row],[Collector Booster Box Product Id]], tbl_Product[Product Id], tbl_Product[Best Source])</f>
        <v/>
      </c>
      <c r="AW550" s="4">
        <f>_xlfn.XLOOKUP(tbl_MTG_Set[[#This Row],[Collector Booster Box Product Id]], tbl_Product[Product Id], tbl_Product[Pack Size])</f>
        <v/>
      </c>
      <c r="AX550" s="10">
        <f>(tbl_MTG_Set[[#This Row],[Collector Booster Box Cost]] + v_Item_Shipping_Cost_In) / tbl_MTG_Set[[#This Row],[Collector Booster Box Size]]</f>
        <v/>
      </c>
      <c r="AY550" s="10">
        <f t="array" ref="AY5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0" s="10" t="n"/>
      <c r="BA5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0" s="17">
        <f>tbl_MTG_Set[[#This Row],[Collector Booster CardMarket Profit]]/tbl_MTG_Set[[#This Row],[Collector Booster Cost]]</f>
        <v/>
      </c>
      <c r="BC550" s="10" t="n"/>
      <c r="BF550" s="10">
        <f>tbl_MTG_Set[[#This Row],[Play Booster Sell Price CardMarket]]*tbl_MTG_Set[[#This Row],[Play Booster Expected Market Value]]/tbl_MTG_Set[[#This Row],[Play Boost Sealed Market Value]]</f>
        <v/>
      </c>
      <c r="BG5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0" s="10">
        <f>tbl_MTG_Set[[#This Row],[Play Singles CardMarket Profit]]/tbl_MTG_Set[[#This Row],[Play Booster Cost]]</f>
        <v/>
      </c>
      <c r="BI550" s="10">
        <f>tbl_MTG_Set[[#This Row],[Play Singles CardMarket Profit]]&gt;0</f>
        <v/>
      </c>
      <c r="BJ550" s="10" t="n"/>
      <c r="BK550" s="10" t="n"/>
      <c r="BL550" s="10">
        <f>tbl_MTG_Set[[#This Row],[Collector Booster Sell Price CardMarket]]*tbl_MTG_Set[[#This Row],[Collector Booster Expected Market Value]]/tbl_MTG_Set[[#This Row],[Collector Boost Sealed Market Value]]</f>
        <v/>
      </c>
      <c r="BM5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0" s="10">
        <f>tbl_MTG_Set[[#This Row],[Collector Singles CardMarket Profit]]/tbl_MTG_Set[[#This Row],[Collector Booster Cost]]</f>
        <v/>
      </c>
      <c r="BO550" s="10">
        <f>tbl_MTG_Set[[#This Row],[Collector Singles CardMarket Profit]]&gt;0</f>
        <v/>
      </c>
      <c r="BP5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1">
      <c r="A551" t="n">
        <v>549</v>
      </c>
      <c r="B551" t="inlineStr">
        <is>
          <t>Planechase Anthology PCA</t>
        </is>
      </c>
      <c r="C551" t="n">
        <v>156</v>
      </c>
      <c r="D551" s="3" t="n">
        <v>42699</v>
      </c>
      <c r="F551" t="inlineStr">
        <is>
          <t>en es fr de it pt ja ko ru 汉语 漢語</t>
        </is>
      </c>
      <c r="G551" t="n">
        <v>1044</v>
      </c>
      <c r="H551">
        <f>MONTH(NOW())+12*YEAR(NOW())-MONTH(tbl_MTG_Set[[#This Row],[Released On]])-12*YEAR(tbl_MTG_Set[[#This Row],[Released On]])</f>
        <v/>
      </c>
      <c r="I551">
        <f>_xlfn.XLOOKUP(tbl_MTG_Set[[#This Row],[Type Name]], tbl_MTG_Set_Type[Set Type], tbl_MTG_Set_Type[Index], "(Set Type not found)")</f>
        <v/>
      </c>
      <c r="J551">
        <f>_xlfn.XLOOKUP(tbl_MTG_Set[[#This Row],[Type Name]], tbl_MTG_Set_Type[Set Type], tbl_MTG_Set_Type[Buy Window Month Start], "(Set Type not found)")</f>
        <v/>
      </c>
      <c r="K551" s="3">
        <f>tbl_MTG_Set[[#This Row],[Released On]]+tbl_MTG_Set[[#This Row],[Buy Window Month Start]]*365.25/12</f>
        <v/>
      </c>
      <c r="L551">
        <f>_xlfn.XLOOKUP(tbl_MTG_Set[[#This Row],[Type Name]], tbl_MTG_Set_Type[Set Type], tbl_MTG_Set_Type[Buy Window Month End], "(Set Type not found)", 0, 1)</f>
        <v/>
      </c>
      <c r="M551" s="3">
        <f>tbl_MTG_Set[[#This Row],[Released On]]+tbl_MTG_Set[[#This Row],[Buy Window Month End]]*365.25/12</f>
        <v/>
      </c>
      <c r="N551" s="3">
        <f>AND(NOW()&gt;=tbl_MTG_Set[[#This Row],[Buy Window Start]], NOW()&lt;=tbl_MTG_Set[[#This Row],[Buy Window End]])</f>
        <v/>
      </c>
      <c r="O551">
        <f>_xlfn.XLOOKUP(tbl_MTG_Set[[#This Row],[Type Name]], tbl_MTG_Set_Type[Set Type], tbl_MTG_Set_Type[Heavy Printing Window Month Start], "(Set Type not found)", 0, 1)</f>
        <v/>
      </c>
      <c r="P551" s="3">
        <f>tbl_MTG_Set[[#This Row],[Released On]]+tbl_MTG_Set[[#This Row],[Heavy Printing Window Month Start]]*365.25/12</f>
        <v/>
      </c>
      <c r="Q551">
        <f>_xlfn.XLOOKUP(tbl_MTG_Set[[#This Row],[Type Name]], tbl_MTG_Set_Type[Set Type], tbl_MTG_Set_Type[Heavy Printing Window Month End], "(Set Type not found)", 0, 1)</f>
        <v/>
      </c>
      <c r="R551" s="3">
        <f>tbl_MTG_Set[[#This Row],[Released On]]+tbl_MTG_Set[[#This Row],[Heavy Printing Window Month End]]*365.25/12</f>
        <v/>
      </c>
      <c r="S551" s="3">
        <f>AND(NOW()&gt;=tbl_MTG_Set[[#This Row],[Heavy Printing Window Start]], NOW()&lt;=tbl_MTG_Set[[#This Row],[Heavy Printing Window End]])</f>
        <v/>
      </c>
      <c r="T551">
        <f>_xlfn.XLOOKUP(tbl_MTG_Set[[#This Row],[Type Name]], tbl_MTG_Set_Type[Set Type], tbl_MTG_Set_Type[Sell Window Month Start], "(Set Type not found)", 0, 1)</f>
        <v/>
      </c>
      <c r="U551" s="3">
        <f>tbl_MTG_Set[[#This Row],[Released On]]+tbl_MTG_Set[[#This Row],[Sell Window Month Start]]*365.25/12</f>
        <v/>
      </c>
      <c r="V551">
        <f>_xlfn.XLOOKUP(tbl_MTG_Set[[#This Row],[Type Name]], tbl_MTG_Set_Type[Set Type], tbl_MTG_Set_Type[Sell Window Month End], "(Set Type not found)", 0, 1)</f>
        <v/>
      </c>
      <c r="W551" s="3">
        <f>tbl_MTG_Set[[#This Row],[Released On]]+tbl_MTG_Set[[#This Row],[Sell Window Month End]]*365.25/12</f>
        <v/>
      </c>
      <c r="X551" s="3">
        <f>AND(NOW()&gt;=tbl_MTG_Set[[#This Row],[Sell Window Start]], NOW()&lt;=tbl_MTG_Set[[#This Row],[Sell Window End]])</f>
        <v/>
      </c>
      <c r="AG551" s="10" t="n"/>
      <c r="AH551" s="10" t="n"/>
      <c r="AM551" s="10">
        <f t="array" ref="AM5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1" s="10">
        <f t="array" ref="AN5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1" s="4">
        <f>_xlfn.XLOOKUP(tbl_MTG_Set[[#This Row],[Play Booster Box Product Id]], tbl_Product[Product Id], tbl_Product[Pack Size])</f>
        <v/>
      </c>
      <c r="AP551" s="10">
        <f>(tbl_MTG_Set[[#This Row],[Play Booster Box Cost]]+v_Item_Shipping_Cost_In)/tbl_MTG_Set[[#This Row],[Play Booster Box Size]]</f>
        <v/>
      </c>
      <c r="AQ551" s="10">
        <f t="array" ref="AQ5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1" s="10" t="n"/>
      <c r="AS551" s="10" t="n"/>
      <c r="AT551" s="17">
        <f>tbl_MTG_Set[[#This Row],[Play Booster CardMarket Profit]]/tbl_MTG_Set[[#This Row],[Play Booster Cost]]</f>
        <v/>
      </c>
      <c r="AU551" s="10">
        <f>_xlfn.XLOOKUP(tbl_MTG_Set[[#This Row],[Collector Booster Box Product Id]], tbl_Product[Product Id], tbl_Product[Min Cost])</f>
        <v/>
      </c>
      <c r="AV551" s="10">
        <f>_xlfn.XLOOKUP(tbl_MTG_Set[[#This Row],[Collector Booster Box Product Id]], tbl_Product[Product Id], tbl_Product[Best Source])</f>
        <v/>
      </c>
      <c r="AW551" s="4">
        <f>_xlfn.XLOOKUP(tbl_MTG_Set[[#This Row],[Collector Booster Box Product Id]], tbl_Product[Product Id], tbl_Product[Pack Size])</f>
        <v/>
      </c>
      <c r="AX551" s="10">
        <f>(tbl_MTG_Set[[#This Row],[Collector Booster Box Cost]] + v_Item_Shipping_Cost_In) / tbl_MTG_Set[[#This Row],[Collector Booster Box Size]]</f>
        <v/>
      </c>
      <c r="AY551" s="10">
        <f t="array" ref="AY5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1" s="10" t="n"/>
      <c r="BA5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1" s="17">
        <f>tbl_MTG_Set[[#This Row],[Collector Booster CardMarket Profit]]/tbl_MTG_Set[[#This Row],[Collector Booster Cost]]</f>
        <v/>
      </c>
      <c r="BC551" s="10" t="n"/>
      <c r="BF551" s="10">
        <f>tbl_MTG_Set[[#This Row],[Play Booster Sell Price CardMarket]]*tbl_MTG_Set[[#This Row],[Play Booster Expected Market Value]]/tbl_MTG_Set[[#This Row],[Play Boost Sealed Market Value]]</f>
        <v/>
      </c>
      <c r="BG5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1" s="10">
        <f>tbl_MTG_Set[[#This Row],[Play Singles CardMarket Profit]]/tbl_MTG_Set[[#This Row],[Play Booster Cost]]</f>
        <v/>
      </c>
      <c r="BI551" s="10">
        <f>tbl_MTG_Set[[#This Row],[Play Singles CardMarket Profit]]&gt;0</f>
        <v/>
      </c>
      <c r="BJ551" s="10" t="n"/>
      <c r="BK551" s="10" t="n"/>
      <c r="BL551" s="10">
        <f>tbl_MTG_Set[[#This Row],[Collector Booster Sell Price CardMarket]]*tbl_MTG_Set[[#This Row],[Collector Booster Expected Market Value]]/tbl_MTG_Set[[#This Row],[Collector Boost Sealed Market Value]]</f>
        <v/>
      </c>
      <c r="BM5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1" s="10">
        <f>tbl_MTG_Set[[#This Row],[Collector Singles CardMarket Profit]]/tbl_MTG_Set[[#This Row],[Collector Booster Cost]]</f>
        <v/>
      </c>
      <c r="BO551" s="10">
        <f>tbl_MTG_Set[[#This Row],[Collector Singles CardMarket Profit]]&gt;0</f>
        <v/>
      </c>
      <c r="BP5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2">
      <c r="A552" t="n">
        <v>550</v>
      </c>
      <c r="B552" t="inlineStr">
        <is>
          <t>Planechase Anthology Tokens TPCA</t>
        </is>
      </c>
      <c r="C552" t="n">
        <v>19</v>
      </c>
      <c r="D552" s="3" t="n">
        <v>42699</v>
      </c>
      <c r="F552" t="inlineStr">
        <is>
          <t>en es fr de it pt ja ko ru 汉语 漢語</t>
        </is>
      </c>
      <c r="G552" t="n">
        <v>1046</v>
      </c>
      <c r="H552">
        <f>MONTH(NOW())+12*YEAR(NOW())-MONTH(tbl_MTG_Set[[#This Row],[Released On]])-12*YEAR(tbl_MTG_Set[[#This Row],[Released On]])</f>
        <v/>
      </c>
      <c r="I552">
        <f>_xlfn.XLOOKUP(tbl_MTG_Set[[#This Row],[Type Name]], tbl_MTG_Set_Type[Set Type], tbl_MTG_Set_Type[Index], "(Set Type not found)")</f>
        <v/>
      </c>
      <c r="J552">
        <f>_xlfn.XLOOKUP(tbl_MTG_Set[[#This Row],[Type Name]], tbl_MTG_Set_Type[Set Type], tbl_MTG_Set_Type[Buy Window Month Start], "(Set Type not found)")</f>
        <v/>
      </c>
      <c r="K552" s="3">
        <f>tbl_MTG_Set[[#This Row],[Released On]]+tbl_MTG_Set[[#This Row],[Buy Window Month Start]]*365.25/12</f>
        <v/>
      </c>
      <c r="L552">
        <f>_xlfn.XLOOKUP(tbl_MTG_Set[[#This Row],[Type Name]], tbl_MTG_Set_Type[Set Type], tbl_MTG_Set_Type[Buy Window Month End], "(Set Type not found)", 0, 1)</f>
        <v/>
      </c>
      <c r="M552" s="3">
        <f>tbl_MTG_Set[[#This Row],[Released On]]+tbl_MTG_Set[[#This Row],[Buy Window Month End]]*365.25/12</f>
        <v/>
      </c>
      <c r="N552" s="3">
        <f>AND(NOW()&gt;=tbl_MTG_Set[[#This Row],[Buy Window Start]], NOW()&lt;=tbl_MTG_Set[[#This Row],[Buy Window End]])</f>
        <v/>
      </c>
      <c r="O552">
        <f>_xlfn.XLOOKUP(tbl_MTG_Set[[#This Row],[Type Name]], tbl_MTG_Set_Type[Set Type], tbl_MTG_Set_Type[Heavy Printing Window Month Start], "(Set Type not found)", 0, 1)</f>
        <v/>
      </c>
      <c r="P552" s="3">
        <f>tbl_MTG_Set[[#This Row],[Released On]]+tbl_MTG_Set[[#This Row],[Heavy Printing Window Month Start]]*365.25/12</f>
        <v/>
      </c>
      <c r="Q552">
        <f>_xlfn.XLOOKUP(tbl_MTG_Set[[#This Row],[Type Name]], tbl_MTG_Set_Type[Set Type], tbl_MTG_Set_Type[Heavy Printing Window Month End], "(Set Type not found)", 0, 1)</f>
        <v/>
      </c>
      <c r="R552" s="3">
        <f>tbl_MTG_Set[[#This Row],[Released On]]+tbl_MTG_Set[[#This Row],[Heavy Printing Window Month End]]*365.25/12</f>
        <v/>
      </c>
      <c r="S552" s="3">
        <f>AND(NOW()&gt;=tbl_MTG_Set[[#This Row],[Heavy Printing Window Start]], NOW()&lt;=tbl_MTG_Set[[#This Row],[Heavy Printing Window End]])</f>
        <v/>
      </c>
      <c r="T552">
        <f>_xlfn.XLOOKUP(tbl_MTG_Set[[#This Row],[Type Name]], tbl_MTG_Set_Type[Set Type], tbl_MTG_Set_Type[Sell Window Month Start], "(Set Type not found)", 0, 1)</f>
        <v/>
      </c>
      <c r="U552" s="3">
        <f>tbl_MTG_Set[[#This Row],[Released On]]+tbl_MTG_Set[[#This Row],[Sell Window Month Start]]*365.25/12</f>
        <v/>
      </c>
      <c r="V552">
        <f>_xlfn.XLOOKUP(tbl_MTG_Set[[#This Row],[Type Name]], tbl_MTG_Set_Type[Set Type], tbl_MTG_Set_Type[Sell Window Month End], "(Set Type not found)", 0, 1)</f>
        <v/>
      </c>
      <c r="W552" s="3">
        <f>tbl_MTG_Set[[#This Row],[Released On]]+tbl_MTG_Set[[#This Row],[Sell Window Month End]]*365.25/12</f>
        <v/>
      </c>
      <c r="X552" s="3">
        <f>AND(NOW()&gt;=tbl_MTG_Set[[#This Row],[Sell Window Start]], NOW()&lt;=tbl_MTG_Set[[#This Row],[Sell Window End]])</f>
        <v/>
      </c>
      <c r="AG552" s="10" t="n"/>
      <c r="AH552" s="10" t="n"/>
      <c r="AM552" s="10">
        <f t="array" ref="AM5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2" s="10">
        <f t="array" ref="AN5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2" s="4">
        <f>_xlfn.XLOOKUP(tbl_MTG_Set[[#This Row],[Play Booster Box Product Id]], tbl_Product[Product Id], tbl_Product[Pack Size])</f>
        <v/>
      </c>
      <c r="AP552" s="10">
        <f>(tbl_MTG_Set[[#This Row],[Play Booster Box Cost]]+v_Item_Shipping_Cost_In)/tbl_MTG_Set[[#This Row],[Play Booster Box Size]]</f>
        <v/>
      </c>
      <c r="AQ552" s="10">
        <f t="array" ref="AQ5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2" s="10" t="n"/>
      <c r="AS552" s="10" t="n"/>
      <c r="AT552" s="17">
        <f>tbl_MTG_Set[[#This Row],[Play Booster CardMarket Profit]]/tbl_MTG_Set[[#This Row],[Play Booster Cost]]</f>
        <v/>
      </c>
      <c r="AU552" s="10">
        <f>_xlfn.XLOOKUP(tbl_MTG_Set[[#This Row],[Collector Booster Box Product Id]], tbl_Product[Product Id], tbl_Product[Min Cost])</f>
        <v/>
      </c>
      <c r="AV552" s="10">
        <f>_xlfn.XLOOKUP(tbl_MTG_Set[[#This Row],[Collector Booster Box Product Id]], tbl_Product[Product Id], tbl_Product[Best Source])</f>
        <v/>
      </c>
      <c r="AW552" s="4">
        <f>_xlfn.XLOOKUP(tbl_MTG_Set[[#This Row],[Collector Booster Box Product Id]], tbl_Product[Product Id], tbl_Product[Pack Size])</f>
        <v/>
      </c>
      <c r="AX552" s="10">
        <f>(tbl_MTG_Set[[#This Row],[Collector Booster Box Cost]] + v_Item_Shipping_Cost_In) / tbl_MTG_Set[[#This Row],[Collector Booster Box Size]]</f>
        <v/>
      </c>
      <c r="AY552" s="10">
        <f t="array" ref="AY5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2" s="10" t="n"/>
      <c r="BA5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2" s="17">
        <f>tbl_MTG_Set[[#This Row],[Collector Booster CardMarket Profit]]/tbl_MTG_Set[[#This Row],[Collector Booster Cost]]</f>
        <v/>
      </c>
      <c r="BC552" s="10" t="n"/>
      <c r="BF552" s="10">
        <f>tbl_MTG_Set[[#This Row],[Play Booster Sell Price CardMarket]]*tbl_MTG_Set[[#This Row],[Play Booster Expected Market Value]]/tbl_MTG_Set[[#This Row],[Play Boost Sealed Market Value]]</f>
        <v/>
      </c>
      <c r="BG5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2" s="10">
        <f>tbl_MTG_Set[[#This Row],[Play Singles CardMarket Profit]]/tbl_MTG_Set[[#This Row],[Play Booster Cost]]</f>
        <v/>
      </c>
      <c r="BI552" s="10">
        <f>tbl_MTG_Set[[#This Row],[Play Singles CardMarket Profit]]&gt;0</f>
        <v/>
      </c>
      <c r="BJ552" s="10" t="n"/>
      <c r="BK552" s="10" t="n"/>
      <c r="BL552" s="10">
        <f>tbl_MTG_Set[[#This Row],[Collector Booster Sell Price CardMarket]]*tbl_MTG_Set[[#This Row],[Collector Booster Expected Market Value]]/tbl_MTG_Set[[#This Row],[Collector Boost Sealed Market Value]]</f>
        <v/>
      </c>
      <c r="BM5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2" s="10">
        <f>tbl_MTG_Set[[#This Row],[Collector Singles CardMarket Profit]]/tbl_MTG_Set[[#This Row],[Collector Booster Cost]]</f>
        <v/>
      </c>
      <c r="BO552" s="10">
        <f>tbl_MTG_Set[[#This Row],[Collector Singles CardMarket Profit]]&gt;0</f>
        <v/>
      </c>
      <c r="BP5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3">
      <c r="A553" t="n">
        <v>551</v>
      </c>
      <c r="B553" t="inlineStr">
        <is>
          <t>Planechase Anthology Planes OPCA</t>
        </is>
      </c>
      <c r="C553" t="n">
        <v>86</v>
      </c>
      <c r="D553" s="3" t="n">
        <v>42699</v>
      </c>
      <c r="F553" t="inlineStr">
        <is>
          <t>en es fr de it pt ja ko ru 汉语 漢語</t>
        </is>
      </c>
      <c r="G553" t="n">
        <v>1048</v>
      </c>
      <c r="H553">
        <f>MONTH(NOW())+12*YEAR(NOW())-MONTH(tbl_MTG_Set[[#This Row],[Released On]])-12*YEAR(tbl_MTG_Set[[#This Row],[Released On]])</f>
        <v/>
      </c>
      <c r="I553">
        <f>_xlfn.XLOOKUP(tbl_MTG_Set[[#This Row],[Type Name]], tbl_MTG_Set_Type[Set Type], tbl_MTG_Set_Type[Index], "(Set Type not found)")</f>
        <v/>
      </c>
      <c r="J553">
        <f>_xlfn.XLOOKUP(tbl_MTG_Set[[#This Row],[Type Name]], tbl_MTG_Set_Type[Set Type], tbl_MTG_Set_Type[Buy Window Month Start], "(Set Type not found)")</f>
        <v/>
      </c>
      <c r="K553" s="3">
        <f>tbl_MTG_Set[[#This Row],[Released On]]+tbl_MTG_Set[[#This Row],[Buy Window Month Start]]*365.25/12</f>
        <v/>
      </c>
      <c r="L553">
        <f>_xlfn.XLOOKUP(tbl_MTG_Set[[#This Row],[Type Name]], tbl_MTG_Set_Type[Set Type], tbl_MTG_Set_Type[Buy Window Month End], "(Set Type not found)", 0, 1)</f>
        <v/>
      </c>
      <c r="M553" s="3">
        <f>tbl_MTG_Set[[#This Row],[Released On]]+tbl_MTG_Set[[#This Row],[Buy Window Month End]]*365.25/12</f>
        <v/>
      </c>
      <c r="N553" s="3">
        <f>AND(NOW()&gt;=tbl_MTG_Set[[#This Row],[Buy Window Start]], NOW()&lt;=tbl_MTG_Set[[#This Row],[Buy Window End]])</f>
        <v/>
      </c>
      <c r="O553">
        <f>_xlfn.XLOOKUP(tbl_MTG_Set[[#This Row],[Type Name]], tbl_MTG_Set_Type[Set Type], tbl_MTG_Set_Type[Heavy Printing Window Month Start], "(Set Type not found)", 0, 1)</f>
        <v/>
      </c>
      <c r="P553" s="3">
        <f>tbl_MTG_Set[[#This Row],[Released On]]+tbl_MTG_Set[[#This Row],[Heavy Printing Window Month Start]]*365.25/12</f>
        <v/>
      </c>
      <c r="Q553">
        <f>_xlfn.XLOOKUP(tbl_MTG_Set[[#This Row],[Type Name]], tbl_MTG_Set_Type[Set Type], tbl_MTG_Set_Type[Heavy Printing Window Month End], "(Set Type not found)", 0, 1)</f>
        <v/>
      </c>
      <c r="R553" s="3">
        <f>tbl_MTG_Set[[#This Row],[Released On]]+tbl_MTG_Set[[#This Row],[Heavy Printing Window Month End]]*365.25/12</f>
        <v/>
      </c>
      <c r="S553" s="3">
        <f>AND(NOW()&gt;=tbl_MTG_Set[[#This Row],[Heavy Printing Window Start]], NOW()&lt;=tbl_MTG_Set[[#This Row],[Heavy Printing Window End]])</f>
        <v/>
      </c>
      <c r="T553">
        <f>_xlfn.XLOOKUP(tbl_MTG_Set[[#This Row],[Type Name]], tbl_MTG_Set_Type[Set Type], tbl_MTG_Set_Type[Sell Window Month Start], "(Set Type not found)", 0, 1)</f>
        <v/>
      </c>
      <c r="U553" s="3">
        <f>tbl_MTG_Set[[#This Row],[Released On]]+tbl_MTG_Set[[#This Row],[Sell Window Month Start]]*365.25/12</f>
        <v/>
      </c>
      <c r="V553">
        <f>_xlfn.XLOOKUP(tbl_MTG_Set[[#This Row],[Type Name]], tbl_MTG_Set_Type[Set Type], tbl_MTG_Set_Type[Sell Window Month End], "(Set Type not found)", 0, 1)</f>
        <v/>
      </c>
      <c r="W553" s="3">
        <f>tbl_MTG_Set[[#This Row],[Released On]]+tbl_MTG_Set[[#This Row],[Sell Window Month End]]*365.25/12</f>
        <v/>
      </c>
      <c r="X553" s="3">
        <f>AND(NOW()&gt;=tbl_MTG_Set[[#This Row],[Sell Window Start]], NOW()&lt;=tbl_MTG_Set[[#This Row],[Sell Window End]])</f>
        <v/>
      </c>
      <c r="AG553" s="10" t="n"/>
      <c r="AH553" s="10" t="n"/>
      <c r="AM553" s="10">
        <f t="array" ref="AM5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3" s="10">
        <f t="array" ref="AN5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3" s="4">
        <f>_xlfn.XLOOKUP(tbl_MTG_Set[[#This Row],[Play Booster Box Product Id]], tbl_Product[Product Id], tbl_Product[Pack Size])</f>
        <v/>
      </c>
      <c r="AP553" s="10">
        <f>(tbl_MTG_Set[[#This Row],[Play Booster Box Cost]]+v_Item_Shipping_Cost_In)/tbl_MTG_Set[[#This Row],[Play Booster Box Size]]</f>
        <v/>
      </c>
      <c r="AQ553" s="10">
        <f t="array" ref="AQ5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3" s="10" t="n"/>
      <c r="AS553" s="10" t="n"/>
      <c r="AT553" s="17">
        <f>tbl_MTG_Set[[#This Row],[Play Booster CardMarket Profit]]/tbl_MTG_Set[[#This Row],[Play Booster Cost]]</f>
        <v/>
      </c>
      <c r="AU553" s="10">
        <f>_xlfn.XLOOKUP(tbl_MTG_Set[[#This Row],[Collector Booster Box Product Id]], tbl_Product[Product Id], tbl_Product[Min Cost])</f>
        <v/>
      </c>
      <c r="AV553" s="10">
        <f>_xlfn.XLOOKUP(tbl_MTG_Set[[#This Row],[Collector Booster Box Product Id]], tbl_Product[Product Id], tbl_Product[Best Source])</f>
        <v/>
      </c>
      <c r="AW553" s="4">
        <f>_xlfn.XLOOKUP(tbl_MTG_Set[[#This Row],[Collector Booster Box Product Id]], tbl_Product[Product Id], tbl_Product[Pack Size])</f>
        <v/>
      </c>
      <c r="AX553" s="10">
        <f>(tbl_MTG_Set[[#This Row],[Collector Booster Box Cost]] + v_Item_Shipping_Cost_In) / tbl_MTG_Set[[#This Row],[Collector Booster Box Size]]</f>
        <v/>
      </c>
      <c r="AY553" s="10">
        <f t="array" ref="AY5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3" s="10" t="n"/>
      <c r="BA5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3" s="17">
        <f>tbl_MTG_Set[[#This Row],[Collector Booster CardMarket Profit]]/tbl_MTG_Set[[#This Row],[Collector Booster Cost]]</f>
        <v/>
      </c>
      <c r="BC553" s="10" t="n"/>
      <c r="BF553" s="10">
        <f>tbl_MTG_Set[[#This Row],[Play Booster Sell Price CardMarket]]*tbl_MTG_Set[[#This Row],[Play Booster Expected Market Value]]/tbl_MTG_Set[[#This Row],[Play Boost Sealed Market Value]]</f>
        <v/>
      </c>
      <c r="BG5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3" s="10">
        <f>tbl_MTG_Set[[#This Row],[Play Singles CardMarket Profit]]/tbl_MTG_Set[[#This Row],[Play Booster Cost]]</f>
        <v/>
      </c>
      <c r="BI553" s="10">
        <f>tbl_MTG_Set[[#This Row],[Play Singles CardMarket Profit]]&gt;0</f>
        <v/>
      </c>
      <c r="BJ553" s="10" t="n"/>
      <c r="BK553" s="10" t="n"/>
      <c r="BL553" s="10">
        <f>tbl_MTG_Set[[#This Row],[Collector Booster Sell Price CardMarket]]*tbl_MTG_Set[[#This Row],[Collector Booster Expected Market Value]]/tbl_MTG_Set[[#This Row],[Collector Boost Sealed Market Value]]</f>
        <v/>
      </c>
      <c r="BM5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3" s="10">
        <f>tbl_MTG_Set[[#This Row],[Collector Singles CardMarket Profit]]/tbl_MTG_Set[[#This Row],[Collector Booster Cost]]</f>
        <v/>
      </c>
      <c r="BO553" s="10">
        <f>tbl_MTG_Set[[#This Row],[Collector Singles CardMarket Profit]]&gt;0</f>
        <v/>
      </c>
      <c r="BP5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4">
      <c r="A554" t="n">
        <v>552</v>
      </c>
      <c r="B554" t="inlineStr">
        <is>
          <t>Treasure Chest PZ2</t>
        </is>
      </c>
      <c r="C554" t="n">
        <v>282</v>
      </c>
      <c r="D554" s="3" t="n">
        <v>42690</v>
      </c>
      <c r="F554" t="inlineStr">
        <is>
          <t>en es fr de it pt ja ko ru 汉语 漢語</t>
        </is>
      </c>
      <c r="G554" t="n">
        <v>1050</v>
      </c>
      <c r="H554">
        <f>MONTH(NOW())+12*YEAR(NOW())-MONTH(tbl_MTG_Set[[#This Row],[Released On]])-12*YEAR(tbl_MTG_Set[[#This Row],[Released On]])</f>
        <v/>
      </c>
      <c r="I554">
        <f>_xlfn.XLOOKUP(tbl_MTG_Set[[#This Row],[Type Name]], tbl_MTG_Set_Type[Set Type], tbl_MTG_Set_Type[Index], "(Set Type not found)")</f>
        <v/>
      </c>
      <c r="J554">
        <f>_xlfn.XLOOKUP(tbl_MTG_Set[[#This Row],[Type Name]], tbl_MTG_Set_Type[Set Type], tbl_MTG_Set_Type[Buy Window Month Start], "(Set Type not found)")</f>
        <v/>
      </c>
      <c r="K554" s="3">
        <f>tbl_MTG_Set[[#This Row],[Released On]]+tbl_MTG_Set[[#This Row],[Buy Window Month Start]]*365.25/12</f>
        <v/>
      </c>
      <c r="L554">
        <f>_xlfn.XLOOKUP(tbl_MTG_Set[[#This Row],[Type Name]], tbl_MTG_Set_Type[Set Type], tbl_MTG_Set_Type[Buy Window Month End], "(Set Type not found)", 0, 1)</f>
        <v/>
      </c>
      <c r="M554" s="3">
        <f>tbl_MTG_Set[[#This Row],[Released On]]+tbl_MTG_Set[[#This Row],[Buy Window Month End]]*365.25/12</f>
        <v/>
      </c>
      <c r="N554" s="3">
        <f>AND(NOW()&gt;=tbl_MTG_Set[[#This Row],[Buy Window Start]], NOW()&lt;=tbl_MTG_Set[[#This Row],[Buy Window End]])</f>
        <v/>
      </c>
      <c r="O554">
        <f>_xlfn.XLOOKUP(tbl_MTG_Set[[#This Row],[Type Name]], tbl_MTG_Set_Type[Set Type], tbl_MTG_Set_Type[Heavy Printing Window Month Start], "(Set Type not found)", 0, 1)</f>
        <v/>
      </c>
      <c r="P554" s="3">
        <f>tbl_MTG_Set[[#This Row],[Released On]]+tbl_MTG_Set[[#This Row],[Heavy Printing Window Month Start]]*365.25/12</f>
        <v/>
      </c>
      <c r="Q554">
        <f>_xlfn.XLOOKUP(tbl_MTG_Set[[#This Row],[Type Name]], tbl_MTG_Set_Type[Set Type], tbl_MTG_Set_Type[Heavy Printing Window Month End], "(Set Type not found)", 0, 1)</f>
        <v/>
      </c>
      <c r="R554" s="3">
        <f>tbl_MTG_Set[[#This Row],[Released On]]+tbl_MTG_Set[[#This Row],[Heavy Printing Window Month End]]*365.25/12</f>
        <v/>
      </c>
      <c r="S554" s="3">
        <f>AND(NOW()&gt;=tbl_MTG_Set[[#This Row],[Heavy Printing Window Start]], NOW()&lt;=tbl_MTG_Set[[#This Row],[Heavy Printing Window End]])</f>
        <v/>
      </c>
      <c r="T554">
        <f>_xlfn.XLOOKUP(tbl_MTG_Set[[#This Row],[Type Name]], tbl_MTG_Set_Type[Set Type], tbl_MTG_Set_Type[Sell Window Month Start], "(Set Type not found)", 0, 1)</f>
        <v/>
      </c>
      <c r="U554" s="3">
        <f>tbl_MTG_Set[[#This Row],[Released On]]+tbl_MTG_Set[[#This Row],[Sell Window Month Start]]*365.25/12</f>
        <v/>
      </c>
      <c r="V554">
        <f>_xlfn.XLOOKUP(tbl_MTG_Set[[#This Row],[Type Name]], tbl_MTG_Set_Type[Set Type], tbl_MTG_Set_Type[Sell Window Month End], "(Set Type not found)", 0, 1)</f>
        <v/>
      </c>
      <c r="W554" s="3">
        <f>tbl_MTG_Set[[#This Row],[Released On]]+tbl_MTG_Set[[#This Row],[Sell Window Month End]]*365.25/12</f>
        <v/>
      </c>
      <c r="X554" s="3">
        <f>AND(NOW()&gt;=tbl_MTG_Set[[#This Row],[Sell Window Start]], NOW()&lt;=tbl_MTG_Set[[#This Row],[Sell Window End]])</f>
        <v/>
      </c>
      <c r="AG554" s="10" t="n"/>
      <c r="AH554" s="10" t="n"/>
      <c r="AM554" s="10">
        <f t="array" ref="AM5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4" s="10">
        <f t="array" ref="AN5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4" s="4">
        <f>_xlfn.XLOOKUP(tbl_MTG_Set[[#This Row],[Play Booster Box Product Id]], tbl_Product[Product Id], tbl_Product[Pack Size])</f>
        <v/>
      </c>
      <c r="AP554" s="10">
        <f>(tbl_MTG_Set[[#This Row],[Play Booster Box Cost]]+v_Item_Shipping_Cost_In)/tbl_MTG_Set[[#This Row],[Play Booster Box Size]]</f>
        <v/>
      </c>
      <c r="AQ554" s="10">
        <f t="array" ref="AQ5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4" s="10" t="n"/>
      <c r="AS554" s="10" t="n"/>
      <c r="AT554" s="17">
        <f>tbl_MTG_Set[[#This Row],[Play Booster CardMarket Profit]]/tbl_MTG_Set[[#This Row],[Play Booster Cost]]</f>
        <v/>
      </c>
      <c r="AU554" s="10">
        <f>_xlfn.XLOOKUP(tbl_MTG_Set[[#This Row],[Collector Booster Box Product Id]], tbl_Product[Product Id], tbl_Product[Min Cost])</f>
        <v/>
      </c>
      <c r="AV554" s="10">
        <f>_xlfn.XLOOKUP(tbl_MTG_Set[[#This Row],[Collector Booster Box Product Id]], tbl_Product[Product Id], tbl_Product[Best Source])</f>
        <v/>
      </c>
      <c r="AW554" s="4">
        <f>_xlfn.XLOOKUP(tbl_MTG_Set[[#This Row],[Collector Booster Box Product Id]], tbl_Product[Product Id], tbl_Product[Pack Size])</f>
        <v/>
      </c>
      <c r="AX554" s="10">
        <f>(tbl_MTG_Set[[#This Row],[Collector Booster Box Cost]] + v_Item_Shipping_Cost_In) / tbl_MTG_Set[[#This Row],[Collector Booster Box Size]]</f>
        <v/>
      </c>
      <c r="AY554" s="10">
        <f t="array" ref="AY5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4" s="10" t="n"/>
      <c r="BA5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4" s="17">
        <f>tbl_MTG_Set[[#This Row],[Collector Booster CardMarket Profit]]/tbl_MTG_Set[[#This Row],[Collector Booster Cost]]</f>
        <v/>
      </c>
      <c r="BC554" s="10" t="n"/>
      <c r="BF554" s="10">
        <f>tbl_MTG_Set[[#This Row],[Play Booster Sell Price CardMarket]]*tbl_MTG_Set[[#This Row],[Play Booster Expected Market Value]]/tbl_MTG_Set[[#This Row],[Play Boost Sealed Market Value]]</f>
        <v/>
      </c>
      <c r="BG5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4" s="10">
        <f>tbl_MTG_Set[[#This Row],[Play Singles CardMarket Profit]]/tbl_MTG_Set[[#This Row],[Play Booster Cost]]</f>
        <v/>
      </c>
      <c r="BI554" s="10">
        <f>tbl_MTG_Set[[#This Row],[Play Singles CardMarket Profit]]&gt;0</f>
        <v/>
      </c>
      <c r="BJ554" s="10" t="n"/>
      <c r="BK554" s="10" t="n"/>
      <c r="BL554" s="10">
        <f>tbl_MTG_Set[[#This Row],[Collector Booster Sell Price CardMarket]]*tbl_MTG_Set[[#This Row],[Collector Booster Expected Market Value]]/tbl_MTG_Set[[#This Row],[Collector Boost Sealed Market Value]]</f>
        <v/>
      </c>
      <c r="BM5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4" s="10">
        <f>tbl_MTG_Set[[#This Row],[Collector Singles CardMarket Profit]]/tbl_MTG_Set[[#This Row],[Collector Booster Cost]]</f>
        <v/>
      </c>
      <c r="BO554" s="10">
        <f>tbl_MTG_Set[[#This Row],[Collector Singles CardMarket Profit]]&gt;0</f>
        <v/>
      </c>
      <c r="BP5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5">
      <c r="A555" t="n">
        <v>553</v>
      </c>
      <c r="B555" t="inlineStr">
        <is>
          <t>Twisted Color Pie TWISTED</t>
        </is>
      </c>
      <c r="C555" t="n">
        <v>538</v>
      </c>
      <c r="D555" s="3" t="n">
        <v>42690</v>
      </c>
      <c r="F555" t="n">
        <v>0</v>
      </c>
      <c r="G555" t="n">
        <v>1052</v>
      </c>
      <c r="H555">
        <f>MONTH(NOW())+12*YEAR(NOW())-MONTH(tbl_MTG_Set[[#This Row],[Released On]])-12*YEAR(tbl_MTG_Set[[#This Row],[Released On]])</f>
        <v/>
      </c>
      <c r="I555">
        <f>_xlfn.XLOOKUP(tbl_MTG_Set[[#This Row],[Type Name]], tbl_MTG_Set_Type[Set Type], tbl_MTG_Set_Type[Index], "(Set Type not found)")</f>
        <v/>
      </c>
      <c r="J555">
        <f>_xlfn.XLOOKUP(tbl_MTG_Set[[#This Row],[Type Name]], tbl_MTG_Set_Type[Set Type], tbl_MTG_Set_Type[Buy Window Month Start], "(Set Type not found)")</f>
        <v/>
      </c>
      <c r="K555" s="3">
        <f>tbl_MTG_Set[[#This Row],[Released On]]+tbl_MTG_Set[[#This Row],[Buy Window Month Start]]*365.25/12</f>
        <v/>
      </c>
      <c r="L555">
        <f>_xlfn.XLOOKUP(tbl_MTG_Set[[#This Row],[Type Name]], tbl_MTG_Set_Type[Set Type], tbl_MTG_Set_Type[Buy Window Month End], "(Set Type not found)", 0, 1)</f>
        <v/>
      </c>
      <c r="M555" s="3">
        <f>tbl_MTG_Set[[#This Row],[Released On]]+tbl_MTG_Set[[#This Row],[Buy Window Month End]]*365.25/12</f>
        <v/>
      </c>
      <c r="N555" s="3">
        <f>AND(NOW()&gt;=tbl_MTG_Set[[#This Row],[Buy Window Start]], NOW()&lt;=tbl_MTG_Set[[#This Row],[Buy Window End]])</f>
        <v/>
      </c>
      <c r="O555">
        <f>_xlfn.XLOOKUP(tbl_MTG_Set[[#This Row],[Type Name]], tbl_MTG_Set_Type[Set Type], tbl_MTG_Set_Type[Heavy Printing Window Month Start], "(Set Type not found)", 0, 1)</f>
        <v/>
      </c>
      <c r="P555" s="3">
        <f>tbl_MTG_Set[[#This Row],[Released On]]+tbl_MTG_Set[[#This Row],[Heavy Printing Window Month Start]]*365.25/12</f>
        <v/>
      </c>
      <c r="Q555">
        <f>_xlfn.XLOOKUP(tbl_MTG_Set[[#This Row],[Type Name]], tbl_MTG_Set_Type[Set Type], tbl_MTG_Set_Type[Heavy Printing Window Month End], "(Set Type not found)", 0, 1)</f>
        <v/>
      </c>
      <c r="R555" s="3">
        <f>tbl_MTG_Set[[#This Row],[Released On]]+tbl_MTG_Set[[#This Row],[Heavy Printing Window Month End]]*365.25/12</f>
        <v/>
      </c>
      <c r="S555" s="3">
        <f>AND(NOW()&gt;=tbl_MTG_Set[[#This Row],[Heavy Printing Window Start]], NOW()&lt;=tbl_MTG_Set[[#This Row],[Heavy Printing Window End]])</f>
        <v/>
      </c>
      <c r="T555">
        <f>_xlfn.XLOOKUP(tbl_MTG_Set[[#This Row],[Type Name]], tbl_MTG_Set_Type[Set Type], tbl_MTG_Set_Type[Sell Window Month Start], "(Set Type not found)", 0, 1)</f>
        <v/>
      </c>
      <c r="U555" s="3">
        <f>tbl_MTG_Set[[#This Row],[Released On]]+tbl_MTG_Set[[#This Row],[Sell Window Month Start]]*365.25/12</f>
        <v/>
      </c>
      <c r="V555">
        <f>_xlfn.XLOOKUP(tbl_MTG_Set[[#This Row],[Type Name]], tbl_MTG_Set_Type[Set Type], tbl_MTG_Set_Type[Sell Window Month End], "(Set Type not found)", 0, 1)</f>
        <v/>
      </c>
      <c r="W555" s="3">
        <f>tbl_MTG_Set[[#This Row],[Released On]]+tbl_MTG_Set[[#This Row],[Sell Window Month End]]*365.25/12</f>
        <v/>
      </c>
      <c r="X555" s="3">
        <f>AND(NOW()&gt;=tbl_MTG_Set[[#This Row],[Sell Window Start]], NOW()&lt;=tbl_MTG_Set[[#This Row],[Sell Window End]])</f>
        <v/>
      </c>
      <c r="AG555" s="10" t="n"/>
      <c r="AH555" s="10" t="n"/>
      <c r="AM555" s="10">
        <f t="array" ref="AM5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5" s="10">
        <f t="array" ref="AN5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5" s="4">
        <f>_xlfn.XLOOKUP(tbl_MTG_Set[[#This Row],[Play Booster Box Product Id]], tbl_Product[Product Id], tbl_Product[Pack Size])</f>
        <v/>
      </c>
      <c r="AP555" s="10">
        <f>(tbl_MTG_Set[[#This Row],[Play Booster Box Cost]]+v_Item_Shipping_Cost_In)/tbl_MTG_Set[[#This Row],[Play Booster Box Size]]</f>
        <v/>
      </c>
      <c r="AQ555" s="10">
        <f t="array" ref="AQ5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5" s="10" t="n"/>
      <c r="AS555" s="10" t="n"/>
      <c r="AT555" s="17">
        <f>tbl_MTG_Set[[#This Row],[Play Booster CardMarket Profit]]/tbl_MTG_Set[[#This Row],[Play Booster Cost]]</f>
        <v/>
      </c>
      <c r="AU555" s="10">
        <f>_xlfn.XLOOKUP(tbl_MTG_Set[[#This Row],[Collector Booster Box Product Id]], tbl_Product[Product Id], tbl_Product[Min Cost])</f>
        <v/>
      </c>
      <c r="AV555" s="10">
        <f>_xlfn.XLOOKUP(tbl_MTG_Set[[#This Row],[Collector Booster Box Product Id]], tbl_Product[Product Id], tbl_Product[Best Source])</f>
        <v/>
      </c>
      <c r="AW555" s="4">
        <f>_xlfn.XLOOKUP(tbl_MTG_Set[[#This Row],[Collector Booster Box Product Id]], tbl_Product[Product Id], tbl_Product[Pack Size])</f>
        <v/>
      </c>
      <c r="AX555" s="10">
        <f>(tbl_MTG_Set[[#This Row],[Collector Booster Box Cost]] + v_Item_Shipping_Cost_In) / tbl_MTG_Set[[#This Row],[Collector Booster Box Size]]</f>
        <v/>
      </c>
      <c r="AY555" s="10">
        <f t="array" ref="AY5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5" s="10" t="n"/>
      <c r="BA5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5" s="17">
        <f>tbl_MTG_Set[[#This Row],[Collector Booster CardMarket Profit]]/tbl_MTG_Set[[#This Row],[Collector Booster Cost]]</f>
        <v/>
      </c>
      <c r="BC555" s="10" t="n"/>
      <c r="BF555" s="10">
        <f>tbl_MTG_Set[[#This Row],[Play Booster Sell Price CardMarket]]*tbl_MTG_Set[[#This Row],[Play Booster Expected Market Value]]/tbl_MTG_Set[[#This Row],[Play Boost Sealed Market Value]]</f>
        <v/>
      </c>
      <c r="BG5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5" s="10">
        <f>tbl_MTG_Set[[#This Row],[Play Singles CardMarket Profit]]/tbl_MTG_Set[[#This Row],[Play Booster Cost]]</f>
        <v/>
      </c>
      <c r="BI555" s="10">
        <f>tbl_MTG_Set[[#This Row],[Play Singles CardMarket Profit]]&gt;0</f>
        <v/>
      </c>
      <c r="BJ555" s="10" t="n"/>
      <c r="BK555" s="10" t="n"/>
      <c r="BL555" s="10">
        <f>tbl_MTG_Set[[#This Row],[Collector Booster Sell Price CardMarket]]*tbl_MTG_Set[[#This Row],[Collector Booster Expected Market Value]]/tbl_MTG_Set[[#This Row],[Collector Boost Sealed Market Value]]</f>
        <v/>
      </c>
      <c r="BM5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5" s="10">
        <f>tbl_MTG_Set[[#This Row],[Collector Singles CardMarket Profit]]/tbl_MTG_Set[[#This Row],[Collector Booster Cost]]</f>
        <v/>
      </c>
      <c r="BO555" s="10">
        <f>tbl_MTG_Set[[#This Row],[Collector Singles CardMarket Profit]]&gt;0</f>
        <v/>
      </c>
      <c r="BP5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6">
      <c r="A556" t="n">
        <v>554</v>
      </c>
      <c r="B556" t="inlineStr">
        <is>
          <t>Commander 2016 C16</t>
        </is>
      </c>
      <c r="C556" t="n">
        <v>351</v>
      </c>
      <c r="D556" s="3" t="n">
        <v>42685</v>
      </c>
      <c r="F556" t="inlineStr">
        <is>
          <t>en es fr de it pt ja ko ru 汉语 漢語</t>
        </is>
      </c>
      <c r="G556" t="n">
        <v>1054</v>
      </c>
      <c r="H556">
        <f>MONTH(NOW())+12*YEAR(NOW())-MONTH(tbl_MTG_Set[[#This Row],[Released On]])-12*YEAR(tbl_MTG_Set[[#This Row],[Released On]])</f>
        <v/>
      </c>
      <c r="I556">
        <f>_xlfn.XLOOKUP(tbl_MTG_Set[[#This Row],[Type Name]], tbl_MTG_Set_Type[Set Type], tbl_MTG_Set_Type[Index], "(Set Type not found)")</f>
        <v/>
      </c>
      <c r="J556">
        <f>_xlfn.XLOOKUP(tbl_MTG_Set[[#This Row],[Type Name]], tbl_MTG_Set_Type[Set Type], tbl_MTG_Set_Type[Buy Window Month Start], "(Set Type not found)")</f>
        <v/>
      </c>
      <c r="K556" s="3">
        <f>tbl_MTG_Set[[#This Row],[Released On]]+tbl_MTG_Set[[#This Row],[Buy Window Month Start]]*365.25/12</f>
        <v/>
      </c>
      <c r="L556">
        <f>_xlfn.XLOOKUP(tbl_MTG_Set[[#This Row],[Type Name]], tbl_MTG_Set_Type[Set Type], tbl_MTG_Set_Type[Buy Window Month End], "(Set Type not found)", 0, 1)</f>
        <v/>
      </c>
      <c r="M556" s="3">
        <f>tbl_MTG_Set[[#This Row],[Released On]]+tbl_MTG_Set[[#This Row],[Buy Window Month End]]*365.25/12</f>
        <v/>
      </c>
      <c r="N556" s="3">
        <f>AND(NOW()&gt;=tbl_MTG_Set[[#This Row],[Buy Window Start]], NOW()&lt;=tbl_MTG_Set[[#This Row],[Buy Window End]])</f>
        <v/>
      </c>
      <c r="O556">
        <f>_xlfn.XLOOKUP(tbl_MTG_Set[[#This Row],[Type Name]], tbl_MTG_Set_Type[Set Type], tbl_MTG_Set_Type[Heavy Printing Window Month Start], "(Set Type not found)", 0, 1)</f>
        <v/>
      </c>
      <c r="P556" s="3">
        <f>tbl_MTG_Set[[#This Row],[Released On]]+tbl_MTG_Set[[#This Row],[Heavy Printing Window Month Start]]*365.25/12</f>
        <v/>
      </c>
      <c r="Q556">
        <f>_xlfn.XLOOKUP(tbl_MTG_Set[[#This Row],[Type Name]], tbl_MTG_Set_Type[Set Type], tbl_MTG_Set_Type[Heavy Printing Window Month End], "(Set Type not found)", 0, 1)</f>
        <v/>
      </c>
      <c r="R556" s="3">
        <f>tbl_MTG_Set[[#This Row],[Released On]]+tbl_MTG_Set[[#This Row],[Heavy Printing Window Month End]]*365.25/12</f>
        <v/>
      </c>
      <c r="S556" s="3">
        <f>AND(NOW()&gt;=tbl_MTG_Set[[#This Row],[Heavy Printing Window Start]], NOW()&lt;=tbl_MTG_Set[[#This Row],[Heavy Printing Window End]])</f>
        <v/>
      </c>
      <c r="T556">
        <f>_xlfn.XLOOKUP(tbl_MTG_Set[[#This Row],[Type Name]], tbl_MTG_Set_Type[Set Type], tbl_MTG_Set_Type[Sell Window Month Start], "(Set Type not found)", 0, 1)</f>
        <v/>
      </c>
      <c r="U556" s="3">
        <f>tbl_MTG_Set[[#This Row],[Released On]]+tbl_MTG_Set[[#This Row],[Sell Window Month Start]]*365.25/12</f>
        <v/>
      </c>
      <c r="V556">
        <f>_xlfn.XLOOKUP(tbl_MTG_Set[[#This Row],[Type Name]], tbl_MTG_Set_Type[Set Type], tbl_MTG_Set_Type[Sell Window Month End], "(Set Type not found)", 0, 1)</f>
        <v/>
      </c>
      <c r="W556" s="3">
        <f>tbl_MTG_Set[[#This Row],[Released On]]+tbl_MTG_Set[[#This Row],[Sell Window Month End]]*365.25/12</f>
        <v/>
      </c>
      <c r="X556" s="3">
        <f>AND(NOW()&gt;=tbl_MTG_Set[[#This Row],[Sell Window Start]], NOW()&lt;=tbl_MTG_Set[[#This Row],[Sell Window End]])</f>
        <v/>
      </c>
      <c r="AG556" s="10" t="n"/>
      <c r="AH556" s="10" t="n"/>
      <c r="AM556" s="10">
        <f t="array" ref="AM5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6" s="10">
        <f t="array" ref="AN5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6" s="4">
        <f>_xlfn.XLOOKUP(tbl_MTG_Set[[#This Row],[Play Booster Box Product Id]], tbl_Product[Product Id], tbl_Product[Pack Size])</f>
        <v/>
      </c>
      <c r="AP556" s="10">
        <f>(tbl_MTG_Set[[#This Row],[Play Booster Box Cost]]+v_Item_Shipping_Cost_In)/tbl_MTG_Set[[#This Row],[Play Booster Box Size]]</f>
        <v/>
      </c>
      <c r="AQ556" s="10">
        <f t="array" ref="AQ5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6" s="10" t="n"/>
      <c r="AS556" s="10" t="n"/>
      <c r="AT556" s="17">
        <f>tbl_MTG_Set[[#This Row],[Play Booster CardMarket Profit]]/tbl_MTG_Set[[#This Row],[Play Booster Cost]]</f>
        <v/>
      </c>
      <c r="AU556" s="10">
        <f>_xlfn.XLOOKUP(tbl_MTG_Set[[#This Row],[Collector Booster Box Product Id]], tbl_Product[Product Id], tbl_Product[Min Cost])</f>
        <v/>
      </c>
      <c r="AV556" s="10">
        <f>_xlfn.XLOOKUP(tbl_MTG_Set[[#This Row],[Collector Booster Box Product Id]], tbl_Product[Product Id], tbl_Product[Best Source])</f>
        <v/>
      </c>
      <c r="AW556" s="4">
        <f>_xlfn.XLOOKUP(tbl_MTG_Set[[#This Row],[Collector Booster Box Product Id]], tbl_Product[Product Id], tbl_Product[Pack Size])</f>
        <v/>
      </c>
      <c r="AX556" s="10">
        <f>(tbl_MTG_Set[[#This Row],[Collector Booster Box Cost]] + v_Item_Shipping_Cost_In) / tbl_MTG_Set[[#This Row],[Collector Booster Box Size]]</f>
        <v/>
      </c>
      <c r="AY556" s="10">
        <f t="array" ref="AY5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6" s="10" t="n"/>
      <c r="BA5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6" s="17">
        <f>tbl_MTG_Set[[#This Row],[Collector Booster CardMarket Profit]]/tbl_MTG_Set[[#This Row],[Collector Booster Cost]]</f>
        <v/>
      </c>
      <c r="BC556" s="10" t="n"/>
      <c r="BF556" s="10">
        <f>tbl_MTG_Set[[#This Row],[Play Booster Sell Price CardMarket]]*tbl_MTG_Set[[#This Row],[Play Booster Expected Market Value]]/tbl_MTG_Set[[#This Row],[Play Boost Sealed Market Value]]</f>
        <v/>
      </c>
      <c r="BG5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6" s="10">
        <f>tbl_MTG_Set[[#This Row],[Play Singles CardMarket Profit]]/tbl_MTG_Set[[#This Row],[Play Booster Cost]]</f>
        <v/>
      </c>
      <c r="BI556" s="10">
        <f>tbl_MTG_Set[[#This Row],[Play Singles CardMarket Profit]]&gt;0</f>
        <v/>
      </c>
      <c r="BJ556" s="10" t="n"/>
      <c r="BK556" s="10" t="n"/>
      <c r="BL556" s="10">
        <f>tbl_MTG_Set[[#This Row],[Collector Booster Sell Price CardMarket]]*tbl_MTG_Set[[#This Row],[Collector Booster Expected Market Value]]/tbl_MTG_Set[[#This Row],[Collector Boost Sealed Market Value]]</f>
        <v/>
      </c>
      <c r="BM5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6" s="10">
        <f>tbl_MTG_Set[[#This Row],[Collector Singles CardMarket Profit]]/tbl_MTG_Set[[#This Row],[Collector Booster Cost]]</f>
        <v/>
      </c>
      <c r="BO556" s="10">
        <f>tbl_MTG_Set[[#This Row],[Collector Singles CardMarket Profit]]&gt;0</f>
        <v/>
      </c>
      <c r="BP5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7">
      <c r="A557" t="n">
        <v>555</v>
      </c>
      <c r="B557" t="inlineStr">
        <is>
          <t>Commander 2016 Tokens TC16</t>
        </is>
      </c>
      <c r="C557" t="n">
        <v>21</v>
      </c>
      <c r="D557" s="3" t="n">
        <v>42685</v>
      </c>
      <c r="F557" t="inlineStr">
        <is>
          <t>en es fr de it pt ja ko ru 汉语 漢語</t>
        </is>
      </c>
      <c r="G557" t="n">
        <v>1056</v>
      </c>
      <c r="H557">
        <f>MONTH(NOW())+12*YEAR(NOW())-MONTH(tbl_MTG_Set[[#This Row],[Released On]])-12*YEAR(tbl_MTG_Set[[#This Row],[Released On]])</f>
        <v/>
      </c>
      <c r="I557">
        <f>_xlfn.XLOOKUP(tbl_MTG_Set[[#This Row],[Type Name]], tbl_MTG_Set_Type[Set Type], tbl_MTG_Set_Type[Index], "(Set Type not found)")</f>
        <v/>
      </c>
      <c r="J557">
        <f>_xlfn.XLOOKUP(tbl_MTG_Set[[#This Row],[Type Name]], tbl_MTG_Set_Type[Set Type], tbl_MTG_Set_Type[Buy Window Month Start], "(Set Type not found)")</f>
        <v/>
      </c>
      <c r="K557" s="3">
        <f>tbl_MTG_Set[[#This Row],[Released On]]+tbl_MTG_Set[[#This Row],[Buy Window Month Start]]*365.25/12</f>
        <v/>
      </c>
      <c r="L557">
        <f>_xlfn.XLOOKUP(tbl_MTG_Set[[#This Row],[Type Name]], tbl_MTG_Set_Type[Set Type], tbl_MTG_Set_Type[Buy Window Month End], "(Set Type not found)", 0, 1)</f>
        <v/>
      </c>
      <c r="M557" s="3">
        <f>tbl_MTG_Set[[#This Row],[Released On]]+tbl_MTG_Set[[#This Row],[Buy Window Month End]]*365.25/12</f>
        <v/>
      </c>
      <c r="N557" s="3">
        <f>AND(NOW()&gt;=tbl_MTG_Set[[#This Row],[Buy Window Start]], NOW()&lt;=tbl_MTG_Set[[#This Row],[Buy Window End]])</f>
        <v/>
      </c>
      <c r="O557">
        <f>_xlfn.XLOOKUP(tbl_MTG_Set[[#This Row],[Type Name]], tbl_MTG_Set_Type[Set Type], tbl_MTG_Set_Type[Heavy Printing Window Month Start], "(Set Type not found)", 0, 1)</f>
        <v/>
      </c>
      <c r="P557" s="3">
        <f>tbl_MTG_Set[[#This Row],[Released On]]+tbl_MTG_Set[[#This Row],[Heavy Printing Window Month Start]]*365.25/12</f>
        <v/>
      </c>
      <c r="Q557">
        <f>_xlfn.XLOOKUP(tbl_MTG_Set[[#This Row],[Type Name]], tbl_MTG_Set_Type[Set Type], tbl_MTG_Set_Type[Heavy Printing Window Month End], "(Set Type not found)", 0, 1)</f>
        <v/>
      </c>
      <c r="R557" s="3">
        <f>tbl_MTG_Set[[#This Row],[Released On]]+tbl_MTG_Set[[#This Row],[Heavy Printing Window Month End]]*365.25/12</f>
        <v/>
      </c>
      <c r="S557" s="3">
        <f>AND(NOW()&gt;=tbl_MTG_Set[[#This Row],[Heavy Printing Window Start]], NOW()&lt;=tbl_MTG_Set[[#This Row],[Heavy Printing Window End]])</f>
        <v/>
      </c>
      <c r="T557">
        <f>_xlfn.XLOOKUP(tbl_MTG_Set[[#This Row],[Type Name]], tbl_MTG_Set_Type[Set Type], tbl_MTG_Set_Type[Sell Window Month Start], "(Set Type not found)", 0, 1)</f>
        <v/>
      </c>
      <c r="U557" s="3">
        <f>tbl_MTG_Set[[#This Row],[Released On]]+tbl_MTG_Set[[#This Row],[Sell Window Month Start]]*365.25/12</f>
        <v/>
      </c>
      <c r="V557">
        <f>_xlfn.XLOOKUP(tbl_MTG_Set[[#This Row],[Type Name]], tbl_MTG_Set_Type[Set Type], tbl_MTG_Set_Type[Sell Window Month End], "(Set Type not found)", 0, 1)</f>
        <v/>
      </c>
      <c r="W557" s="3">
        <f>tbl_MTG_Set[[#This Row],[Released On]]+tbl_MTG_Set[[#This Row],[Sell Window Month End]]*365.25/12</f>
        <v/>
      </c>
      <c r="X557" s="3">
        <f>AND(NOW()&gt;=tbl_MTG_Set[[#This Row],[Sell Window Start]], NOW()&lt;=tbl_MTG_Set[[#This Row],[Sell Window End]])</f>
        <v/>
      </c>
      <c r="AG557" s="10" t="n"/>
      <c r="AH557" s="10" t="n"/>
      <c r="AM557" s="10">
        <f t="array" ref="AM5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7" s="10">
        <f t="array" ref="AN5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7" s="4">
        <f>_xlfn.XLOOKUP(tbl_MTG_Set[[#This Row],[Play Booster Box Product Id]], tbl_Product[Product Id], tbl_Product[Pack Size])</f>
        <v/>
      </c>
      <c r="AP557" s="10">
        <f>(tbl_MTG_Set[[#This Row],[Play Booster Box Cost]]+v_Item_Shipping_Cost_In)/tbl_MTG_Set[[#This Row],[Play Booster Box Size]]</f>
        <v/>
      </c>
      <c r="AQ557" s="10">
        <f t="array" ref="AQ5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7" s="10" t="n"/>
      <c r="AS557" s="10" t="n"/>
      <c r="AT557" s="17">
        <f>tbl_MTG_Set[[#This Row],[Play Booster CardMarket Profit]]/tbl_MTG_Set[[#This Row],[Play Booster Cost]]</f>
        <v/>
      </c>
      <c r="AU557" s="10">
        <f>_xlfn.XLOOKUP(tbl_MTG_Set[[#This Row],[Collector Booster Box Product Id]], tbl_Product[Product Id], tbl_Product[Min Cost])</f>
        <v/>
      </c>
      <c r="AV557" s="10">
        <f>_xlfn.XLOOKUP(tbl_MTG_Set[[#This Row],[Collector Booster Box Product Id]], tbl_Product[Product Id], tbl_Product[Best Source])</f>
        <v/>
      </c>
      <c r="AW557" s="4">
        <f>_xlfn.XLOOKUP(tbl_MTG_Set[[#This Row],[Collector Booster Box Product Id]], tbl_Product[Product Id], tbl_Product[Pack Size])</f>
        <v/>
      </c>
      <c r="AX557" s="10">
        <f>(tbl_MTG_Set[[#This Row],[Collector Booster Box Cost]] + v_Item_Shipping_Cost_In) / tbl_MTG_Set[[#This Row],[Collector Booster Box Size]]</f>
        <v/>
      </c>
      <c r="AY557" s="10">
        <f t="array" ref="AY5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7" s="10" t="n"/>
      <c r="BA5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7" s="17">
        <f>tbl_MTG_Set[[#This Row],[Collector Booster CardMarket Profit]]/tbl_MTG_Set[[#This Row],[Collector Booster Cost]]</f>
        <v/>
      </c>
      <c r="BC557" s="10" t="n"/>
      <c r="BF557" s="10">
        <f>tbl_MTG_Set[[#This Row],[Play Booster Sell Price CardMarket]]*tbl_MTG_Set[[#This Row],[Play Booster Expected Market Value]]/tbl_MTG_Set[[#This Row],[Play Boost Sealed Market Value]]</f>
        <v/>
      </c>
      <c r="BG5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7" s="10">
        <f>tbl_MTG_Set[[#This Row],[Play Singles CardMarket Profit]]/tbl_MTG_Set[[#This Row],[Play Booster Cost]]</f>
        <v/>
      </c>
      <c r="BI557" s="10">
        <f>tbl_MTG_Set[[#This Row],[Play Singles CardMarket Profit]]&gt;0</f>
        <v/>
      </c>
      <c r="BJ557" s="10" t="n"/>
      <c r="BK557" s="10" t="n"/>
      <c r="BL557" s="10">
        <f>tbl_MTG_Set[[#This Row],[Collector Booster Sell Price CardMarket]]*tbl_MTG_Set[[#This Row],[Collector Booster Expected Market Value]]/tbl_MTG_Set[[#This Row],[Collector Boost Sealed Market Value]]</f>
        <v/>
      </c>
      <c r="BM5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7" s="10">
        <f>tbl_MTG_Set[[#This Row],[Collector Singles CardMarket Profit]]/tbl_MTG_Set[[#This Row],[Collector Booster Cost]]</f>
        <v/>
      </c>
      <c r="BO557" s="10">
        <f>tbl_MTG_Set[[#This Row],[Collector Singles CardMarket Profit]]&gt;0</f>
        <v/>
      </c>
      <c r="BP5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8">
      <c r="A558" t="n">
        <v>556</v>
      </c>
      <c r="B558" t="inlineStr">
        <is>
          <t>Commander 2016 Oversized OC16</t>
        </is>
      </c>
      <c r="C558" t="n">
        <v>5</v>
      </c>
      <c r="D558" s="3" t="n">
        <v>42685</v>
      </c>
      <c r="F558" t="inlineStr">
        <is>
          <t>en es fr de it pt ja ko ru 汉语 漢語</t>
        </is>
      </c>
      <c r="G558" t="n">
        <v>1058</v>
      </c>
      <c r="H558">
        <f>MONTH(NOW())+12*YEAR(NOW())-MONTH(tbl_MTG_Set[[#This Row],[Released On]])-12*YEAR(tbl_MTG_Set[[#This Row],[Released On]])</f>
        <v/>
      </c>
      <c r="I558">
        <f>_xlfn.XLOOKUP(tbl_MTG_Set[[#This Row],[Type Name]], tbl_MTG_Set_Type[Set Type], tbl_MTG_Set_Type[Index], "(Set Type not found)")</f>
        <v/>
      </c>
      <c r="J558">
        <f>_xlfn.XLOOKUP(tbl_MTG_Set[[#This Row],[Type Name]], tbl_MTG_Set_Type[Set Type], tbl_MTG_Set_Type[Buy Window Month Start], "(Set Type not found)")</f>
        <v/>
      </c>
      <c r="K558" s="3">
        <f>tbl_MTG_Set[[#This Row],[Released On]]+tbl_MTG_Set[[#This Row],[Buy Window Month Start]]*365.25/12</f>
        <v/>
      </c>
      <c r="L558">
        <f>_xlfn.XLOOKUP(tbl_MTG_Set[[#This Row],[Type Name]], tbl_MTG_Set_Type[Set Type], tbl_MTG_Set_Type[Buy Window Month End], "(Set Type not found)", 0, 1)</f>
        <v/>
      </c>
      <c r="M558" s="3">
        <f>tbl_MTG_Set[[#This Row],[Released On]]+tbl_MTG_Set[[#This Row],[Buy Window Month End]]*365.25/12</f>
        <v/>
      </c>
      <c r="N558" s="3">
        <f>AND(NOW()&gt;=tbl_MTG_Set[[#This Row],[Buy Window Start]], NOW()&lt;=tbl_MTG_Set[[#This Row],[Buy Window End]])</f>
        <v/>
      </c>
      <c r="O558">
        <f>_xlfn.XLOOKUP(tbl_MTG_Set[[#This Row],[Type Name]], tbl_MTG_Set_Type[Set Type], tbl_MTG_Set_Type[Heavy Printing Window Month Start], "(Set Type not found)", 0, 1)</f>
        <v/>
      </c>
      <c r="P558" s="3">
        <f>tbl_MTG_Set[[#This Row],[Released On]]+tbl_MTG_Set[[#This Row],[Heavy Printing Window Month Start]]*365.25/12</f>
        <v/>
      </c>
      <c r="Q558">
        <f>_xlfn.XLOOKUP(tbl_MTG_Set[[#This Row],[Type Name]], tbl_MTG_Set_Type[Set Type], tbl_MTG_Set_Type[Heavy Printing Window Month End], "(Set Type not found)", 0, 1)</f>
        <v/>
      </c>
      <c r="R558" s="3">
        <f>tbl_MTG_Set[[#This Row],[Released On]]+tbl_MTG_Set[[#This Row],[Heavy Printing Window Month End]]*365.25/12</f>
        <v/>
      </c>
      <c r="S558" s="3">
        <f>AND(NOW()&gt;=tbl_MTG_Set[[#This Row],[Heavy Printing Window Start]], NOW()&lt;=tbl_MTG_Set[[#This Row],[Heavy Printing Window End]])</f>
        <v/>
      </c>
      <c r="T558">
        <f>_xlfn.XLOOKUP(tbl_MTG_Set[[#This Row],[Type Name]], tbl_MTG_Set_Type[Set Type], tbl_MTG_Set_Type[Sell Window Month Start], "(Set Type not found)", 0, 1)</f>
        <v/>
      </c>
      <c r="U558" s="3">
        <f>tbl_MTG_Set[[#This Row],[Released On]]+tbl_MTG_Set[[#This Row],[Sell Window Month Start]]*365.25/12</f>
        <v/>
      </c>
      <c r="V558">
        <f>_xlfn.XLOOKUP(tbl_MTG_Set[[#This Row],[Type Name]], tbl_MTG_Set_Type[Set Type], tbl_MTG_Set_Type[Sell Window Month End], "(Set Type not found)", 0, 1)</f>
        <v/>
      </c>
      <c r="W558" s="3">
        <f>tbl_MTG_Set[[#This Row],[Released On]]+tbl_MTG_Set[[#This Row],[Sell Window Month End]]*365.25/12</f>
        <v/>
      </c>
      <c r="X558" s="3">
        <f>AND(NOW()&gt;=tbl_MTG_Set[[#This Row],[Sell Window Start]], NOW()&lt;=tbl_MTG_Set[[#This Row],[Sell Window End]])</f>
        <v/>
      </c>
      <c r="AG558" s="10" t="n"/>
      <c r="AH558" s="10" t="n"/>
      <c r="AM558" s="10">
        <f t="array" ref="AM5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8" s="10">
        <f t="array" ref="AN5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8" s="4">
        <f>_xlfn.XLOOKUP(tbl_MTG_Set[[#This Row],[Play Booster Box Product Id]], tbl_Product[Product Id], tbl_Product[Pack Size])</f>
        <v/>
      </c>
      <c r="AP558" s="10">
        <f>(tbl_MTG_Set[[#This Row],[Play Booster Box Cost]]+v_Item_Shipping_Cost_In)/tbl_MTG_Set[[#This Row],[Play Booster Box Size]]</f>
        <v/>
      </c>
      <c r="AQ558" s="10">
        <f t="array" ref="AQ5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8" s="10" t="n"/>
      <c r="AS558" s="10" t="n"/>
      <c r="AT558" s="17">
        <f>tbl_MTG_Set[[#This Row],[Play Booster CardMarket Profit]]/tbl_MTG_Set[[#This Row],[Play Booster Cost]]</f>
        <v/>
      </c>
      <c r="AU558" s="10">
        <f>_xlfn.XLOOKUP(tbl_MTG_Set[[#This Row],[Collector Booster Box Product Id]], tbl_Product[Product Id], tbl_Product[Min Cost])</f>
        <v/>
      </c>
      <c r="AV558" s="10">
        <f>_xlfn.XLOOKUP(tbl_MTG_Set[[#This Row],[Collector Booster Box Product Id]], tbl_Product[Product Id], tbl_Product[Best Source])</f>
        <v/>
      </c>
      <c r="AW558" s="4">
        <f>_xlfn.XLOOKUP(tbl_MTG_Set[[#This Row],[Collector Booster Box Product Id]], tbl_Product[Product Id], tbl_Product[Pack Size])</f>
        <v/>
      </c>
      <c r="AX558" s="10">
        <f>(tbl_MTG_Set[[#This Row],[Collector Booster Box Cost]] + v_Item_Shipping_Cost_In) / tbl_MTG_Set[[#This Row],[Collector Booster Box Size]]</f>
        <v/>
      </c>
      <c r="AY558" s="10">
        <f t="array" ref="AY5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8" s="10" t="n"/>
      <c r="BA5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8" s="17">
        <f>tbl_MTG_Set[[#This Row],[Collector Booster CardMarket Profit]]/tbl_MTG_Set[[#This Row],[Collector Booster Cost]]</f>
        <v/>
      </c>
      <c r="BC558" s="10" t="n"/>
      <c r="BF558" s="10">
        <f>tbl_MTG_Set[[#This Row],[Play Booster Sell Price CardMarket]]*tbl_MTG_Set[[#This Row],[Play Booster Expected Market Value]]/tbl_MTG_Set[[#This Row],[Play Boost Sealed Market Value]]</f>
        <v/>
      </c>
      <c r="BG5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8" s="10">
        <f>tbl_MTG_Set[[#This Row],[Play Singles CardMarket Profit]]/tbl_MTG_Set[[#This Row],[Play Booster Cost]]</f>
        <v/>
      </c>
      <c r="BI558" s="10">
        <f>tbl_MTG_Set[[#This Row],[Play Singles CardMarket Profit]]&gt;0</f>
        <v/>
      </c>
      <c r="BJ558" s="10" t="n"/>
      <c r="BK558" s="10" t="n"/>
      <c r="BL558" s="10">
        <f>tbl_MTG_Set[[#This Row],[Collector Booster Sell Price CardMarket]]*tbl_MTG_Set[[#This Row],[Collector Booster Expected Market Value]]/tbl_MTG_Set[[#This Row],[Collector Boost Sealed Market Value]]</f>
        <v/>
      </c>
      <c r="BM5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8" s="10">
        <f>tbl_MTG_Set[[#This Row],[Collector Singles CardMarket Profit]]/tbl_MTG_Set[[#This Row],[Collector Booster Cost]]</f>
        <v/>
      </c>
      <c r="BO558" s="10">
        <f>tbl_MTG_Set[[#This Row],[Collector Singles CardMarket Profit]]&gt;0</f>
        <v/>
      </c>
      <c r="BP5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9">
      <c r="A559" t="n">
        <v>557</v>
      </c>
      <c r="B559" t="inlineStr">
        <is>
          <t>San Diego Comic-Con 2016 PS16</t>
        </is>
      </c>
      <c r="C559" t="n">
        <v>5</v>
      </c>
      <c r="D559" s="3" t="n">
        <v>42644</v>
      </c>
      <c r="F559" t="inlineStr">
        <is>
          <t>en es fr de it pt ja ko ru 汉语 漢語</t>
        </is>
      </c>
      <c r="G559" t="n">
        <v>1060</v>
      </c>
      <c r="H559">
        <f>MONTH(NOW())+12*YEAR(NOW())-MONTH(tbl_MTG_Set[[#This Row],[Released On]])-12*YEAR(tbl_MTG_Set[[#This Row],[Released On]])</f>
        <v/>
      </c>
      <c r="I559">
        <f>_xlfn.XLOOKUP(tbl_MTG_Set[[#This Row],[Type Name]], tbl_MTG_Set_Type[Set Type], tbl_MTG_Set_Type[Index], "(Set Type not found)")</f>
        <v/>
      </c>
      <c r="J559">
        <f>_xlfn.XLOOKUP(tbl_MTG_Set[[#This Row],[Type Name]], tbl_MTG_Set_Type[Set Type], tbl_MTG_Set_Type[Buy Window Month Start], "(Set Type not found)")</f>
        <v/>
      </c>
      <c r="K559" s="3">
        <f>tbl_MTG_Set[[#This Row],[Released On]]+tbl_MTG_Set[[#This Row],[Buy Window Month Start]]*365.25/12</f>
        <v/>
      </c>
      <c r="L559">
        <f>_xlfn.XLOOKUP(tbl_MTG_Set[[#This Row],[Type Name]], tbl_MTG_Set_Type[Set Type], tbl_MTG_Set_Type[Buy Window Month End], "(Set Type not found)", 0, 1)</f>
        <v/>
      </c>
      <c r="M559" s="3">
        <f>tbl_MTG_Set[[#This Row],[Released On]]+tbl_MTG_Set[[#This Row],[Buy Window Month End]]*365.25/12</f>
        <v/>
      </c>
      <c r="N559" s="3">
        <f>AND(NOW()&gt;=tbl_MTG_Set[[#This Row],[Buy Window Start]], NOW()&lt;=tbl_MTG_Set[[#This Row],[Buy Window End]])</f>
        <v/>
      </c>
      <c r="O559">
        <f>_xlfn.XLOOKUP(tbl_MTG_Set[[#This Row],[Type Name]], tbl_MTG_Set_Type[Set Type], tbl_MTG_Set_Type[Heavy Printing Window Month Start], "(Set Type not found)", 0, 1)</f>
        <v/>
      </c>
      <c r="P559" s="3">
        <f>tbl_MTG_Set[[#This Row],[Released On]]+tbl_MTG_Set[[#This Row],[Heavy Printing Window Month Start]]*365.25/12</f>
        <v/>
      </c>
      <c r="Q559">
        <f>_xlfn.XLOOKUP(tbl_MTG_Set[[#This Row],[Type Name]], tbl_MTG_Set_Type[Set Type], tbl_MTG_Set_Type[Heavy Printing Window Month End], "(Set Type not found)", 0, 1)</f>
        <v/>
      </c>
      <c r="R559" s="3">
        <f>tbl_MTG_Set[[#This Row],[Released On]]+tbl_MTG_Set[[#This Row],[Heavy Printing Window Month End]]*365.25/12</f>
        <v/>
      </c>
      <c r="S559" s="3">
        <f>AND(NOW()&gt;=tbl_MTG_Set[[#This Row],[Heavy Printing Window Start]], NOW()&lt;=tbl_MTG_Set[[#This Row],[Heavy Printing Window End]])</f>
        <v/>
      </c>
      <c r="T559">
        <f>_xlfn.XLOOKUP(tbl_MTG_Set[[#This Row],[Type Name]], tbl_MTG_Set_Type[Set Type], tbl_MTG_Set_Type[Sell Window Month Start], "(Set Type not found)", 0, 1)</f>
        <v/>
      </c>
      <c r="U559" s="3">
        <f>tbl_MTG_Set[[#This Row],[Released On]]+tbl_MTG_Set[[#This Row],[Sell Window Month Start]]*365.25/12</f>
        <v/>
      </c>
      <c r="V559">
        <f>_xlfn.XLOOKUP(tbl_MTG_Set[[#This Row],[Type Name]], tbl_MTG_Set_Type[Set Type], tbl_MTG_Set_Type[Sell Window Month End], "(Set Type not found)", 0, 1)</f>
        <v/>
      </c>
      <c r="W559" s="3">
        <f>tbl_MTG_Set[[#This Row],[Released On]]+tbl_MTG_Set[[#This Row],[Sell Window Month End]]*365.25/12</f>
        <v/>
      </c>
      <c r="X559" s="3">
        <f>AND(NOW()&gt;=tbl_MTG_Set[[#This Row],[Sell Window Start]], NOW()&lt;=tbl_MTG_Set[[#This Row],[Sell Window End]])</f>
        <v/>
      </c>
      <c r="AG559" s="10" t="n"/>
      <c r="AH559" s="10" t="n"/>
      <c r="AM559" s="10">
        <f t="array" ref="AM5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9" s="10">
        <f t="array" ref="AN5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9" s="4">
        <f>_xlfn.XLOOKUP(tbl_MTG_Set[[#This Row],[Play Booster Box Product Id]], tbl_Product[Product Id], tbl_Product[Pack Size])</f>
        <v/>
      </c>
      <c r="AP559" s="10">
        <f>(tbl_MTG_Set[[#This Row],[Play Booster Box Cost]]+v_Item_Shipping_Cost_In)/tbl_MTG_Set[[#This Row],[Play Booster Box Size]]</f>
        <v/>
      </c>
      <c r="AQ559" s="10">
        <f t="array" ref="AQ5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59" s="10" t="n"/>
      <c r="AS559" s="10" t="n"/>
      <c r="AT559" s="17">
        <f>tbl_MTG_Set[[#This Row],[Play Booster CardMarket Profit]]/tbl_MTG_Set[[#This Row],[Play Booster Cost]]</f>
        <v/>
      </c>
      <c r="AU559" s="10">
        <f>_xlfn.XLOOKUP(tbl_MTG_Set[[#This Row],[Collector Booster Box Product Id]], tbl_Product[Product Id], tbl_Product[Min Cost])</f>
        <v/>
      </c>
      <c r="AV559" s="10">
        <f>_xlfn.XLOOKUP(tbl_MTG_Set[[#This Row],[Collector Booster Box Product Id]], tbl_Product[Product Id], tbl_Product[Best Source])</f>
        <v/>
      </c>
      <c r="AW559" s="4">
        <f>_xlfn.XLOOKUP(tbl_MTG_Set[[#This Row],[Collector Booster Box Product Id]], tbl_Product[Product Id], tbl_Product[Pack Size])</f>
        <v/>
      </c>
      <c r="AX559" s="10">
        <f>(tbl_MTG_Set[[#This Row],[Collector Booster Box Cost]] + v_Item_Shipping_Cost_In) / tbl_MTG_Set[[#This Row],[Collector Booster Box Size]]</f>
        <v/>
      </c>
      <c r="AY559" s="10">
        <f t="array" ref="AY5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59" s="10" t="n"/>
      <c r="BA5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9" s="17">
        <f>tbl_MTG_Set[[#This Row],[Collector Booster CardMarket Profit]]/tbl_MTG_Set[[#This Row],[Collector Booster Cost]]</f>
        <v/>
      </c>
      <c r="BC559" s="10" t="n"/>
      <c r="BF559" s="10">
        <f>tbl_MTG_Set[[#This Row],[Play Booster Sell Price CardMarket]]*tbl_MTG_Set[[#This Row],[Play Booster Expected Market Value]]/tbl_MTG_Set[[#This Row],[Play Boost Sealed Market Value]]</f>
        <v/>
      </c>
      <c r="BG5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9" s="10">
        <f>tbl_MTG_Set[[#This Row],[Play Singles CardMarket Profit]]/tbl_MTG_Set[[#This Row],[Play Booster Cost]]</f>
        <v/>
      </c>
      <c r="BI559" s="10">
        <f>tbl_MTG_Set[[#This Row],[Play Singles CardMarket Profit]]&gt;0</f>
        <v/>
      </c>
      <c r="BJ559" s="10" t="n"/>
      <c r="BK559" s="10" t="n"/>
      <c r="BL559" s="10">
        <f>tbl_MTG_Set[[#This Row],[Collector Booster Sell Price CardMarket]]*tbl_MTG_Set[[#This Row],[Collector Booster Expected Market Value]]/tbl_MTG_Set[[#This Row],[Collector Boost Sealed Market Value]]</f>
        <v/>
      </c>
      <c r="BM5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9" s="10">
        <f>tbl_MTG_Set[[#This Row],[Collector Singles CardMarket Profit]]/tbl_MTG_Set[[#This Row],[Collector Booster Cost]]</f>
        <v/>
      </c>
      <c r="BO559" s="10">
        <f>tbl_MTG_Set[[#This Row],[Collector Singles CardMarket Profit]]&gt;0</f>
        <v/>
      </c>
      <c r="BP5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0">
      <c r="A560" t="n">
        <v>558</v>
      </c>
      <c r="B560" t="inlineStr">
        <is>
          <t>Kaladesh KLD</t>
        </is>
      </c>
      <c r="C560" t="n">
        <v>278</v>
      </c>
      <c r="D560" s="3" t="n">
        <v>42643</v>
      </c>
      <c r="F560" t="inlineStr">
        <is>
          <t>en es fr de it pt ja ko ru 汉语 漢語</t>
        </is>
      </c>
      <c r="G560" t="n">
        <v>1062</v>
      </c>
      <c r="H560">
        <f>MONTH(NOW())+12*YEAR(NOW())-MONTH(tbl_MTG_Set[[#This Row],[Released On]])-12*YEAR(tbl_MTG_Set[[#This Row],[Released On]])</f>
        <v/>
      </c>
      <c r="I560">
        <f>_xlfn.XLOOKUP(tbl_MTG_Set[[#This Row],[Type Name]], tbl_MTG_Set_Type[Set Type], tbl_MTG_Set_Type[Index], "(Set Type not found)")</f>
        <v/>
      </c>
      <c r="J560">
        <f>_xlfn.XLOOKUP(tbl_MTG_Set[[#This Row],[Type Name]], tbl_MTG_Set_Type[Set Type], tbl_MTG_Set_Type[Buy Window Month Start], "(Set Type not found)")</f>
        <v/>
      </c>
      <c r="K560" s="3">
        <f>tbl_MTG_Set[[#This Row],[Released On]]+tbl_MTG_Set[[#This Row],[Buy Window Month Start]]*365.25/12</f>
        <v/>
      </c>
      <c r="L560">
        <f>_xlfn.XLOOKUP(tbl_MTG_Set[[#This Row],[Type Name]], tbl_MTG_Set_Type[Set Type], tbl_MTG_Set_Type[Buy Window Month End], "(Set Type not found)", 0, 1)</f>
        <v/>
      </c>
      <c r="M560" s="3">
        <f>tbl_MTG_Set[[#This Row],[Released On]]+tbl_MTG_Set[[#This Row],[Buy Window Month End]]*365.25/12</f>
        <v/>
      </c>
      <c r="N560" s="3">
        <f>AND(NOW()&gt;=tbl_MTG_Set[[#This Row],[Buy Window Start]], NOW()&lt;=tbl_MTG_Set[[#This Row],[Buy Window End]])</f>
        <v/>
      </c>
      <c r="O560">
        <f>_xlfn.XLOOKUP(tbl_MTG_Set[[#This Row],[Type Name]], tbl_MTG_Set_Type[Set Type], tbl_MTG_Set_Type[Heavy Printing Window Month Start], "(Set Type not found)", 0, 1)</f>
        <v/>
      </c>
      <c r="P560" s="3">
        <f>tbl_MTG_Set[[#This Row],[Released On]]+tbl_MTG_Set[[#This Row],[Heavy Printing Window Month Start]]*365.25/12</f>
        <v/>
      </c>
      <c r="Q560">
        <f>_xlfn.XLOOKUP(tbl_MTG_Set[[#This Row],[Type Name]], tbl_MTG_Set_Type[Set Type], tbl_MTG_Set_Type[Heavy Printing Window Month End], "(Set Type not found)", 0, 1)</f>
        <v/>
      </c>
      <c r="R560" s="3">
        <f>tbl_MTG_Set[[#This Row],[Released On]]+tbl_MTG_Set[[#This Row],[Heavy Printing Window Month End]]*365.25/12</f>
        <v/>
      </c>
      <c r="S560" s="3">
        <f>AND(NOW()&gt;=tbl_MTG_Set[[#This Row],[Heavy Printing Window Start]], NOW()&lt;=tbl_MTG_Set[[#This Row],[Heavy Printing Window End]])</f>
        <v/>
      </c>
      <c r="T560">
        <f>_xlfn.XLOOKUP(tbl_MTG_Set[[#This Row],[Type Name]], tbl_MTG_Set_Type[Set Type], tbl_MTG_Set_Type[Sell Window Month Start], "(Set Type not found)", 0, 1)</f>
        <v/>
      </c>
      <c r="U560" s="3">
        <f>tbl_MTG_Set[[#This Row],[Released On]]+tbl_MTG_Set[[#This Row],[Sell Window Month Start]]*365.25/12</f>
        <v/>
      </c>
      <c r="V560">
        <f>_xlfn.XLOOKUP(tbl_MTG_Set[[#This Row],[Type Name]], tbl_MTG_Set_Type[Set Type], tbl_MTG_Set_Type[Sell Window Month End], "(Set Type not found)", 0, 1)</f>
        <v/>
      </c>
      <c r="W560" s="3">
        <f>tbl_MTG_Set[[#This Row],[Released On]]+tbl_MTG_Set[[#This Row],[Sell Window Month End]]*365.25/12</f>
        <v/>
      </c>
      <c r="X560" s="3">
        <f>AND(NOW()&gt;=tbl_MTG_Set[[#This Row],[Sell Window Start]], NOW()&lt;=tbl_MTG_Set[[#This Row],[Sell Window End]])</f>
        <v/>
      </c>
      <c r="AG560" s="10" t="n"/>
      <c r="AH560" s="10" t="n"/>
      <c r="AM560" s="10">
        <f t="array" ref="AM5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0" s="10">
        <f t="array" ref="AN5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0" s="4">
        <f>_xlfn.XLOOKUP(tbl_MTG_Set[[#This Row],[Play Booster Box Product Id]], tbl_Product[Product Id], tbl_Product[Pack Size])</f>
        <v/>
      </c>
      <c r="AP560" s="10">
        <f>(tbl_MTG_Set[[#This Row],[Play Booster Box Cost]]+v_Item_Shipping_Cost_In)/tbl_MTG_Set[[#This Row],[Play Booster Box Size]]</f>
        <v/>
      </c>
      <c r="AQ560" s="10">
        <f t="array" ref="AQ5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0" s="10" t="n"/>
      <c r="AS560" s="10" t="n"/>
      <c r="AT560" s="17">
        <f>tbl_MTG_Set[[#This Row],[Play Booster CardMarket Profit]]/tbl_MTG_Set[[#This Row],[Play Booster Cost]]</f>
        <v/>
      </c>
      <c r="AU560" s="10">
        <f>_xlfn.XLOOKUP(tbl_MTG_Set[[#This Row],[Collector Booster Box Product Id]], tbl_Product[Product Id], tbl_Product[Min Cost])</f>
        <v/>
      </c>
      <c r="AV560" s="10">
        <f>_xlfn.XLOOKUP(tbl_MTG_Set[[#This Row],[Collector Booster Box Product Id]], tbl_Product[Product Id], tbl_Product[Best Source])</f>
        <v/>
      </c>
      <c r="AW560" s="4">
        <f>_xlfn.XLOOKUP(tbl_MTG_Set[[#This Row],[Collector Booster Box Product Id]], tbl_Product[Product Id], tbl_Product[Pack Size])</f>
        <v/>
      </c>
      <c r="AX560" s="10">
        <f>(tbl_MTG_Set[[#This Row],[Collector Booster Box Cost]] + v_Item_Shipping_Cost_In) / tbl_MTG_Set[[#This Row],[Collector Booster Box Size]]</f>
        <v/>
      </c>
      <c r="AY560" s="10">
        <f t="array" ref="AY5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0" s="10" t="n"/>
      <c r="BA5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0" s="17">
        <f>tbl_MTG_Set[[#This Row],[Collector Booster CardMarket Profit]]/tbl_MTG_Set[[#This Row],[Collector Booster Cost]]</f>
        <v/>
      </c>
      <c r="BC560" s="10" t="n"/>
      <c r="BF560" s="10">
        <f>tbl_MTG_Set[[#This Row],[Play Booster Sell Price CardMarket]]*tbl_MTG_Set[[#This Row],[Play Booster Expected Market Value]]/tbl_MTG_Set[[#This Row],[Play Boost Sealed Market Value]]</f>
        <v/>
      </c>
      <c r="BG5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0" s="10">
        <f>tbl_MTG_Set[[#This Row],[Play Singles CardMarket Profit]]/tbl_MTG_Set[[#This Row],[Play Booster Cost]]</f>
        <v/>
      </c>
      <c r="BI560" s="10">
        <f>tbl_MTG_Set[[#This Row],[Play Singles CardMarket Profit]]&gt;0</f>
        <v/>
      </c>
      <c r="BJ560" s="10" t="n"/>
      <c r="BK560" s="10" t="n"/>
      <c r="BL560" s="10">
        <f>tbl_MTG_Set[[#This Row],[Collector Booster Sell Price CardMarket]]*tbl_MTG_Set[[#This Row],[Collector Booster Expected Market Value]]/tbl_MTG_Set[[#This Row],[Collector Boost Sealed Market Value]]</f>
        <v/>
      </c>
      <c r="BM5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0" s="10">
        <f>tbl_MTG_Set[[#This Row],[Collector Singles CardMarket Profit]]/tbl_MTG_Set[[#This Row],[Collector Booster Cost]]</f>
        <v/>
      </c>
      <c r="BO560" s="10">
        <f>tbl_MTG_Set[[#This Row],[Collector Singles CardMarket Profit]]&gt;0</f>
        <v/>
      </c>
      <c r="BP5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1">
      <c r="A561" t="n">
        <v>559</v>
      </c>
      <c r="B561" t="inlineStr">
        <is>
          <t>Kaladesh Inventions MPS</t>
        </is>
      </c>
      <c r="C561" t="n">
        <v>54</v>
      </c>
      <c r="D561" s="3" t="n">
        <v>42643</v>
      </c>
      <c r="F561" t="inlineStr">
        <is>
          <t>en es fr de it pt ja ko ru 汉语 漢語</t>
        </is>
      </c>
      <c r="G561" t="n">
        <v>1064</v>
      </c>
      <c r="H561">
        <f>MONTH(NOW())+12*YEAR(NOW())-MONTH(tbl_MTG_Set[[#This Row],[Released On]])-12*YEAR(tbl_MTG_Set[[#This Row],[Released On]])</f>
        <v/>
      </c>
      <c r="I561">
        <f>_xlfn.XLOOKUP(tbl_MTG_Set[[#This Row],[Type Name]], tbl_MTG_Set_Type[Set Type], tbl_MTG_Set_Type[Index], "(Set Type not found)")</f>
        <v/>
      </c>
      <c r="J561">
        <f>_xlfn.XLOOKUP(tbl_MTG_Set[[#This Row],[Type Name]], tbl_MTG_Set_Type[Set Type], tbl_MTG_Set_Type[Buy Window Month Start], "(Set Type not found)")</f>
        <v/>
      </c>
      <c r="K561" s="3">
        <f>tbl_MTG_Set[[#This Row],[Released On]]+tbl_MTG_Set[[#This Row],[Buy Window Month Start]]*365.25/12</f>
        <v/>
      </c>
      <c r="L561">
        <f>_xlfn.XLOOKUP(tbl_MTG_Set[[#This Row],[Type Name]], tbl_MTG_Set_Type[Set Type], tbl_MTG_Set_Type[Buy Window Month End], "(Set Type not found)", 0, 1)</f>
        <v/>
      </c>
      <c r="M561" s="3">
        <f>tbl_MTG_Set[[#This Row],[Released On]]+tbl_MTG_Set[[#This Row],[Buy Window Month End]]*365.25/12</f>
        <v/>
      </c>
      <c r="N561" s="3">
        <f>AND(NOW()&gt;=tbl_MTG_Set[[#This Row],[Buy Window Start]], NOW()&lt;=tbl_MTG_Set[[#This Row],[Buy Window End]])</f>
        <v/>
      </c>
      <c r="O561">
        <f>_xlfn.XLOOKUP(tbl_MTG_Set[[#This Row],[Type Name]], tbl_MTG_Set_Type[Set Type], tbl_MTG_Set_Type[Heavy Printing Window Month Start], "(Set Type not found)", 0, 1)</f>
        <v/>
      </c>
      <c r="P561" s="3">
        <f>tbl_MTG_Set[[#This Row],[Released On]]+tbl_MTG_Set[[#This Row],[Heavy Printing Window Month Start]]*365.25/12</f>
        <v/>
      </c>
      <c r="Q561">
        <f>_xlfn.XLOOKUP(tbl_MTG_Set[[#This Row],[Type Name]], tbl_MTG_Set_Type[Set Type], tbl_MTG_Set_Type[Heavy Printing Window Month End], "(Set Type not found)", 0, 1)</f>
        <v/>
      </c>
      <c r="R561" s="3">
        <f>tbl_MTG_Set[[#This Row],[Released On]]+tbl_MTG_Set[[#This Row],[Heavy Printing Window Month End]]*365.25/12</f>
        <v/>
      </c>
      <c r="S561" s="3">
        <f>AND(NOW()&gt;=tbl_MTG_Set[[#This Row],[Heavy Printing Window Start]], NOW()&lt;=tbl_MTG_Set[[#This Row],[Heavy Printing Window End]])</f>
        <v/>
      </c>
      <c r="T561">
        <f>_xlfn.XLOOKUP(tbl_MTG_Set[[#This Row],[Type Name]], tbl_MTG_Set_Type[Set Type], tbl_MTG_Set_Type[Sell Window Month Start], "(Set Type not found)", 0, 1)</f>
        <v/>
      </c>
      <c r="U561" s="3">
        <f>tbl_MTG_Set[[#This Row],[Released On]]+tbl_MTG_Set[[#This Row],[Sell Window Month Start]]*365.25/12</f>
        <v/>
      </c>
      <c r="V561">
        <f>_xlfn.XLOOKUP(tbl_MTG_Set[[#This Row],[Type Name]], tbl_MTG_Set_Type[Set Type], tbl_MTG_Set_Type[Sell Window Month End], "(Set Type not found)", 0, 1)</f>
        <v/>
      </c>
      <c r="W561" s="3">
        <f>tbl_MTG_Set[[#This Row],[Released On]]+tbl_MTG_Set[[#This Row],[Sell Window Month End]]*365.25/12</f>
        <v/>
      </c>
      <c r="X561" s="3">
        <f>AND(NOW()&gt;=tbl_MTG_Set[[#This Row],[Sell Window Start]], NOW()&lt;=tbl_MTG_Set[[#This Row],[Sell Window End]])</f>
        <v/>
      </c>
      <c r="AG561" s="10" t="n"/>
      <c r="AH561" s="10" t="n"/>
      <c r="AM561" s="10">
        <f t="array" ref="AM5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1" s="10">
        <f t="array" ref="AN5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1" s="4">
        <f>_xlfn.XLOOKUP(tbl_MTG_Set[[#This Row],[Play Booster Box Product Id]], tbl_Product[Product Id], tbl_Product[Pack Size])</f>
        <v/>
      </c>
      <c r="AP561" s="10">
        <f>(tbl_MTG_Set[[#This Row],[Play Booster Box Cost]]+v_Item_Shipping_Cost_In)/tbl_MTG_Set[[#This Row],[Play Booster Box Size]]</f>
        <v/>
      </c>
      <c r="AQ561" s="10">
        <f t="array" ref="AQ5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1" s="10" t="n"/>
      <c r="AS561" s="10" t="n"/>
      <c r="AT561" s="17">
        <f>tbl_MTG_Set[[#This Row],[Play Booster CardMarket Profit]]/tbl_MTG_Set[[#This Row],[Play Booster Cost]]</f>
        <v/>
      </c>
      <c r="AU561" s="10">
        <f>_xlfn.XLOOKUP(tbl_MTG_Set[[#This Row],[Collector Booster Box Product Id]], tbl_Product[Product Id], tbl_Product[Min Cost])</f>
        <v/>
      </c>
      <c r="AV561" s="10">
        <f>_xlfn.XLOOKUP(tbl_MTG_Set[[#This Row],[Collector Booster Box Product Id]], tbl_Product[Product Id], tbl_Product[Best Source])</f>
        <v/>
      </c>
      <c r="AW561" s="4">
        <f>_xlfn.XLOOKUP(tbl_MTG_Set[[#This Row],[Collector Booster Box Product Id]], tbl_Product[Product Id], tbl_Product[Pack Size])</f>
        <v/>
      </c>
      <c r="AX561" s="10">
        <f>(tbl_MTG_Set[[#This Row],[Collector Booster Box Cost]] + v_Item_Shipping_Cost_In) / tbl_MTG_Set[[#This Row],[Collector Booster Box Size]]</f>
        <v/>
      </c>
      <c r="AY561" s="10">
        <f t="array" ref="AY5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1" s="10" t="n"/>
      <c r="BA5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1" s="17">
        <f>tbl_MTG_Set[[#This Row],[Collector Booster CardMarket Profit]]/tbl_MTG_Set[[#This Row],[Collector Booster Cost]]</f>
        <v/>
      </c>
      <c r="BC561" s="10" t="n"/>
      <c r="BF561" s="10">
        <f>tbl_MTG_Set[[#This Row],[Play Booster Sell Price CardMarket]]*tbl_MTG_Set[[#This Row],[Play Booster Expected Market Value]]/tbl_MTG_Set[[#This Row],[Play Boost Sealed Market Value]]</f>
        <v/>
      </c>
      <c r="BG5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1" s="10">
        <f>tbl_MTG_Set[[#This Row],[Play Singles CardMarket Profit]]/tbl_MTG_Set[[#This Row],[Play Booster Cost]]</f>
        <v/>
      </c>
      <c r="BI561" s="10">
        <f>tbl_MTG_Set[[#This Row],[Play Singles CardMarket Profit]]&gt;0</f>
        <v/>
      </c>
      <c r="BJ561" s="10" t="n"/>
      <c r="BK561" s="10" t="n"/>
      <c r="BL561" s="10">
        <f>tbl_MTG_Set[[#This Row],[Collector Booster Sell Price CardMarket]]*tbl_MTG_Set[[#This Row],[Collector Booster Expected Market Value]]/tbl_MTG_Set[[#This Row],[Collector Boost Sealed Market Value]]</f>
        <v/>
      </c>
      <c r="BM5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1" s="10">
        <f>tbl_MTG_Set[[#This Row],[Collector Singles CardMarket Profit]]/tbl_MTG_Set[[#This Row],[Collector Booster Cost]]</f>
        <v/>
      </c>
      <c r="BO561" s="10">
        <f>tbl_MTG_Set[[#This Row],[Collector Singles CardMarket Profit]]&gt;0</f>
        <v/>
      </c>
      <c r="BP5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2">
      <c r="A562" t="n">
        <v>560</v>
      </c>
      <c r="B562" t="inlineStr">
        <is>
          <t>Kaladesh Promos PKLD</t>
        </is>
      </c>
      <c r="C562" t="n">
        <v>83</v>
      </c>
      <c r="D562" s="3" t="n">
        <v>42643</v>
      </c>
      <c r="F562" t="inlineStr">
        <is>
          <t>en es fr de it pt ja ko ru 汉语 漢語</t>
        </is>
      </c>
      <c r="G562" t="n">
        <v>1066</v>
      </c>
      <c r="H562">
        <f>MONTH(NOW())+12*YEAR(NOW())-MONTH(tbl_MTG_Set[[#This Row],[Released On]])-12*YEAR(tbl_MTG_Set[[#This Row],[Released On]])</f>
        <v/>
      </c>
      <c r="I562">
        <f>_xlfn.XLOOKUP(tbl_MTG_Set[[#This Row],[Type Name]], tbl_MTG_Set_Type[Set Type], tbl_MTG_Set_Type[Index], "(Set Type not found)")</f>
        <v/>
      </c>
      <c r="J562">
        <f>_xlfn.XLOOKUP(tbl_MTG_Set[[#This Row],[Type Name]], tbl_MTG_Set_Type[Set Type], tbl_MTG_Set_Type[Buy Window Month Start], "(Set Type not found)")</f>
        <v/>
      </c>
      <c r="K562" s="3">
        <f>tbl_MTG_Set[[#This Row],[Released On]]+tbl_MTG_Set[[#This Row],[Buy Window Month Start]]*365.25/12</f>
        <v/>
      </c>
      <c r="L562">
        <f>_xlfn.XLOOKUP(tbl_MTG_Set[[#This Row],[Type Name]], tbl_MTG_Set_Type[Set Type], tbl_MTG_Set_Type[Buy Window Month End], "(Set Type not found)", 0, 1)</f>
        <v/>
      </c>
      <c r="M562" s="3">
        <f>tbl_MTG_Set[[#This Row],[Released On]]+tbl_MTG_Set[[#This Row],[Buy Window Month End]]*365.25/12</f>
        <v/>
      </c>
      <c r="N562" s="3">
        <f>AND(NOW()&gt;=tbl_MTG_Set[[#This Row],[Buy Window Start]], NOW()&lt;=tbl_MTG_Set[[#This Row],[Buy Window End]])</f>
        <v/>
      </c>
      <c r="O562">
        <f>_xlfn.XLOOKUP(tbl_MTG_Set[[#This Row],[Type Name]], tbl_MTG_Set_Type[Set Type], tbl_MTG_Set_Type[Heavy Printing Window Month Start], "(Set Type not found)", 0, 1)</f>
        <v/>
      </c>
      <c r="P562" s="3">
        <f>tbl_MTG_Set[[#This Row],[Released On]]+tbl_MTG_Set[[#This Row],[Heavy Printing Window Month Start]]*365.25/12</f>
        <v/>
      </c>
      <c r="Q562">
        <f>_xlfn.XLOOKUP(tbl_MTG_Set[[#This Row],[Type Name]], tbl_MTG_Set_Type[Set Type], tbl_MTG_Set_Type[Heavy Printing Window Month End], "(Set Type not found)", 0, 1)</f>
        <v/>
      </c>
      <c r="R562" s="3">
        <f>tbl_MTG_Set[[#This Row],[Released On]]+tbl_MTG_Set[[#This Row],[Heavy Printing Window Month End]]*365.25/12</f>
        <v/>
      </c>
      <c r="S562" s="3">
        <f>AND(NOW()&gt;=tbl_MTG_Set[[#This Row],[Heavy Printing Window Start]], NOW()&lt;=tbl_MTG_Set[[#This Row],[Heavy Printing Window End]])</f>
        <v/>
      </c>
      <c r="T562">
        <f>_xlfn.XLOOKUP(tbl_MTG_Set[[#This Row],[Type Name]], tbl_MTG_Set_Type[Set Type], tbl_MTG_Set_Type[Sell Window Month Start], "(Set Type not found)", 0, 1)</f>
        <v/>
      </c>
      <c r="U562" s="3">
        <f>tbl_MTG_Set[[#This Row],[Released On]]+tbl_MTG_Set[[#This Row],[Sell Window Month Start]]*365.25/12</f>
        <v/>
      </c>
      <c r="V562">
        <f>_xlfn.XLOOKUP(tbl_MTG_Set[[#This Row],[Type Name]], tbl_MTG_Set_Type[Set Type], tbl_MTG_Set_Type[Sell Window Month End], "(Set Type not found)", 0, 1)</f>
        <v/>
      </c>
      <c r="W562" s="3">
        <f>tbl_MTG_Set[[#This Row],[Released On]]+tbl_MTG_Set[[#This Row],[Sell Window Month End]]*365.25/12</f>
        <v/>
      </c>
      <c r="X562" s="3">
        <f>AND(NOW()&gt;=tbl_MTG_Set[[#This Row],[Sell Window Start]], NOW()&lt;=tbl_MTG_Set[[#This Row],[Sell Window End]])</f>
        <v/>
      </c>
      <c r="AG562" s="10" t="n"/>
      <c r="AH562" s="10" t="n"/>
      <c r="AM562" s="10">
        <f t="array" ref="AM5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2" s="10">
        <f t="array" ref="AN5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2" s="4">
        <f>_xlfn.XLOOKUP(tbl_MTG_Set[[#This Row],[Play Booster Box Product Id]], tbl_Product[Product Id], tbl_Product[Pack Size])</f>
        <v/>
      </c>
      <c r="AP562" s="10">
        <f>(tbl_MTG_Set[[#This Row],[Play Booster Box Cost]]+v_Item_Shipping_Cost_In)/tbl_MTG_Set[[#This Row],[Play Booster Box Size]]</f>
        <v/>
      </c>
      <c r="AQ562" s="10">
        <f t="array" ref="AQ5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2" s="10" t="n"/>
      <c r="AS562" s="10" t="n"/>
      <c r="AT562" s="17">
        <f>tbl_MTG_Set[[#This Row],[Play Booster CardMarket Profit]]/tbl_MTG_Set[[#This Row],[Play Booster Cost]]</f>
        <v/>
      </c>
      <c r="AU562" s="10">
        <f>_xlfn.XLOOKUP(tbl_MTG_Set[[#This Row],[Collector Booster Box Product Id]], tbl_Product[Product Id], tbl_Product[Min Cost])</f>
        <v/>
      </c>
      <c r="AV562" s="10">
        <f>_xlfn.XLOOKUP(tbl_MTG_Set[[#This Row],[Collector Booster Box Product Id]], tbl_Product[Product Id], tbl_Product[Best Source])</f>
        <v/>
      </c>
      <c r="AW562" s="4">
        <f>_xlfn.XLOOKUP(tbl_MTG_Set[[#This Row],[Collector Booster Box Product Id]], tbl_Product[Product Id], tbl_Product[Pack Size])</f>
        <v/>
      </c>
      <c r="AX562" s="10">
        <f>(tbl_MTG_Set[[#This Row],[Collector Booster Box Cost]] + v_Item_Shipping_Cost_In) / tbl_MTG_Set[[#This Row],[Collector Booster Box Size]]</f>
        <v/>
      </c>
      <c r="AY562" s="10">
        <f t="array" ref="AY5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2" s="10" t="n"/>
      <c r="BA5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2" s="17">
        <f>tbl_MTG_Set[[#This Row],[Collector Booster CardMarket Profit]]/tbl_MTG_Set[[#This Row],[Collector Booster Cost]]</f>
        <v/>
      </c>
      <c r="BC562" s="10" t="n"/>
      <c r="BF562" s="10">
        <f>tbl_MTG_Set[[#This Row],[Play Booster Sell Price CardMarket]]*tbl_MTG_Set[[#This Row],[Play Booster Expected Market Value]]/tbl_MTG_Set[[#This Row],[Play Boost Sealed Market Value]]</f>
        <v/>
      </c>
      <c r="BG5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2" s="10">
        <f>tbl_MTG_Set[[#This Row],[Play Singles CardMarket Profit]]/tbl_MTG_Set[[#This Row],[Play Booster Cost]]</f>
        <v/>
      </c>
      <c r="BI562" s="10">
        <f>tbl_MTG_Set[[#This Row],[Play Singles CardMarket Profit]]&gt;0</f>
        <v/>
      </c>
      <c r="BJ562" s="10" t="n"/>
      <c r="BK562" s="10" t="n"/>
      <c r="BL562" s="10">
        <f>tbl_MTG_Set[[#This Row],[Collector Booster Sell Price CardMarket]]*tbl_MTG_Set[[#This Row],[Collector Booster Expected Market Value]]/tbl_MTG_Set[[#This Row],[Collector Boost Sealed Market Value]]</f>
        <v/>
      </c>
      <c r="BM5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2" s="10">
        <f>tbl_MTG_Set[[#This Row],[Collector Singles CardMarket Profit]]/tbl_MTG_Set[[#This Row],[Collector Booster Cost]]</f>
        <v/>
      </c>
      <c r="BO562" s="10">
        <f>tbl_MTG_Set[[#This Row],[Collector Singles CardMarket Profit]]&gt;0</f>
        <v/>
      </c>
      <c r="BP5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3">
      <c r="A563" t="n">
        <v>561</v>
      </c>
      <c r="B563" t="inlineStr">
        <is>
          <t>Kaladesh Tokens TKLD</t>
        </is>
      </c>
      <c r="C563" t="n">
        <v>13</v>
      </c>
      <c r="D563" s="3" t="n">
        <v>42643</v>
      </c>
      <c r="F563" t="inlineStr">
        <is>
          <t>en es fr de it pt ja ko ru 汉语 漢語</t>
        </is>
      </c>
      <c r="G563" t="n">
        <v>1068</v>
      </c>
      <c r="H563">
        <f>MONTH(NOW())+12*YEAR(NOW())-MONTH(tbl_MTG_Set[[#This Row],[Released On]])-12*YEAR(tbl_MTG_Set[[#This Row],[Released On]])</f>
        <v/>
      </c>
      <c r="I563">
        <f>_xlfn.XLOOKUP(tbl_MTG_Set[[#This Row],[Type Name]], tbl_MTG_Set_Type[Set Type], tbl_MTG_Set_Type[Index], "(Set Type not found)")</f>
        <v/>
      </c>
      <c r="J563">
        <f>_xlfn.XLOOKUP(tbl_MTG_Set[[#This Row],[Type Name]], tbl_MTG_Set_Type[Set Type], tbl_MTG_Set_Type[Buy Window Month Start], "(Set Type not found)")</f>
        <v/>
      </c>
      <c r="K563" s="3">
        <f>tbl_MTG_Set[[#This Row],[Released On]]+tbl_MTG_Set[[#This Row],[Buy Window Month Start]]*365.25/12</f>
        <v/>
      </c>
      <c r="L563">
        <f>_xlfn.XLOOKUP(tbl_MTG_Set[[#This Row],[Type Name]], tbl_MTG_Set_Type[Set Type], tbl_MTG_Set_Type[Buy Window Month End], "(Set Type not found)", 0, 1)</f>
        <v/>
      </c>
      <c r="M563" s="3">
        <f>tbl_MTG_Set[[#This Row],[Released On]]+tbl_MTG_Set[[#This Row],[Buy Window Month End]]*365.25/12</f>
        <v/>
      </c>
      <c r="N563" s="3">
        <f>AND(NOW()&gt;=tbl_MTG_Set[[#This Row],[Buy Window Start]], NOW()&lt;=tbl_MTG_Set[[#This Row],[Buy Window End]])</f>
        <v/>
      </c>
      <c r="O563">
        <f>_xlfn.XLOOKUP(tbl_MTG_Set[[#This Row],[Type Name]], tbl_MTG_Set_Type[Set Type], tbl_MTG_Set_Type[Heavy Printing Window Month Start], "(Set Type not found)", 0, 1)</f>
        <v/>
      </c>
      <c r="P563" s="3">
        <f>tbl_MTG_Set[[#This Row],[Released On]]+tbl_MTG_Set[[#This Row],[Heavy Printing Window Month Start]]*365.25/12</f>
        <v/>
      </c>
      <c r="Q563">
        <f>_xlfn.XLOOKUP(tbl_MTG_Set[[#This Row],[Type Name]], tbl_MTG_Set_Type[Set Type], tbl_MTG_Set_Type[Heavy Printing Window Month End], "(Set Type not found)", 0, 1)</f>
        <v/>
      </c>
      <c r="R563" s="3">
        <f>tbl_MTG_Set[[#This Row],[Released On]]+tbl_MTG_Set[[#This Row],[Heavy Printing Window Month End]]*365.25/12</f>
        <v/>
      </c>
      <c r="S563" s="3">
        <f>AND(NOW()&gt;=tbl_MTG_Set[[#This Row],[Heavy Printing Window Start]], NOW()&lt;=tbl_MTG_Set[[#This Row],[Heavy Printing Window End]])</f>
        <v/>
      </c>
      <c r="T563">
        <f>_xlfn.XLOOKUP(tbl_MTG_Set[[#This Row],[Type Name]], tbl_MTG_Set_Type[Set Type], tbl_MTG_Set_Type[Sell Window Month Start], "(Set Type not found)", 0, 1)</f>
        <v/>
      </c>
      <c r="U563" s="3">
        <f>tbl_MTG_Set[[#This Row],[Released On]]+tbl_MTG_Set[[#This Row],[Sell Window Month Start]]*365.25/12</f>
        <v/>
      </c>
      <c r="V563">
        <f>_xlfn.XLOOKUP(tbl_MTG_Set[[#This Row],[Type Name]], tbl_MTG_Set_Type[Set Type], tbl_MTG_Set_Type[Sell Window Month End], "(Set Type not found)", 0, 1)</f>
        <v/>
      </c>
      <c r="W563" s="3">
        <f>tbl_MTG_Set[[#This Row],[Released On]]+tbl_MTG_Set[[#This Row],[Sell Window Month End]]*365.25/12</f>
        <v/>
      </c>
      <c r="X563" s="3">
        <f>AND(NOW()&gt;=tbl_MTG_Set[[#This Row],[Sell Window Start]], NOW()&lt;=tbl_MTG_Set[[#This Row],[Sell Window End]])</f>
        <v/>
      </c>
      <c r="AG563" s="10" t="n"/>
      <c r="AH563" s="10" t="n"/>
      <c r="AM563" s="10">
        <f t="array" ref="AM5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3" s="10">
        <f t="array" ref="AN5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3" s="4">
        <f>_xlfn.XLOOKUP(tbl_MTG_Set[[#This Row],[Play Booster Box Product Id]], tbl_Product[Product Id], tbl_Product[Pack Size])</f>
        <v/>
      </c>
      <c r="AP563" s="10">
        <f>(tbl_MTG_Set[[#This Row],[Play Booster Box Cost]]+v_Item_Shipping_Cost_In)/tbl_MTG_Set[[#This Row],[Play Booster Box Size]]</f>
        <v/>
      </c>
      <c r="AQ563" s="10">
        <f t="array" ref="AQ5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3" s="10" t="n"/>
      <c r="AS563" s="10" t="n"/>
      <c r="AT563" s="17">
        <f>tbl_MTG_Set[[#This Row],[Play Booster CardMarket Profit]]/tbl_MTG_Set[[#This Row],[Play Booster Cost]]</f>
        <v/>
      </c>
      <c r="AU563" s="10">
        <f>_xlfn.XLOOKUP(tbl_MTG_Set[[#This Row],[Collector Booster Box Product Id]], tbl_Product[Product Id], tbl_Product[Min Cost])</f>
        <v/>
      </c>
      <c r="AV563" s="10">
        <f>_xlfn.XLOOKUP(tbl_MTG_Set[[#This Row],[Collector Booster Box Product Id]], tbl_Product[Product Id], tbl_Product[Best Source])</f>
        <v/>
      </c>
      <c r="AW563" s="4">
        <f>_xlfn.XLOOKUP(tbl_MTG_Set[[#This Row],[Collector Booster Box Product Id]], tbl_Product[Product Id], tbl_Product[Pack Size])</f>
        <v/>
      </c>
      <c r="AX563" s="10">
        <f>(tbl_MTG_Set[[#This Row],[Collector Booster Box Cost]] + v_Item_Shipping_Cost_In) / tbl_MTG_Set[[#This Row],[Collector Booster Box Size]]</f>
        <v/>
      </c>
      <c r="AY563" s="10">
        <f t="array" ref="AY5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3" s="10" t="n"/>
      <c r="BA5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3" s="17">
        <f>tbl_MTG_Set[[#This Row],[Collector Booster CardMarket Profit]]/tbl_MTG_Set[[#This Row],[Collector Booster Cost]]</f>
        <v/>
      </c>
      <c r="BC563" s="10" t="n"/>
      <c r="BF563" s="10">
        <f>tbl_MTG_Set[[#This Row],[Play Booster Sell Price CardMarket]]*tbl_MTG_Set[[#This Row],[Play Booster Expected Market Value]]/tbl_MTG_Set[[#This Row],[Play Boost Sealed Market Value]]</f>
        <v/>
      </c>
      <c r="BG5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3" s="10">
        <f>tbl_MTG_Set[[#This Row],[Play Singles CardMarket Profit]]/tbl_MTG_Set[[#This Row],[Play Booster Cost]]</f>
        <v/>
      </c>
      <c r="BI563" s="10">
        <f>tbl_MTG_Set[[#This Row],[Play Singles CardMarket Profit]]&gt;0</f>
        <v/>
      </c>
      <c r="BJ563" s="10" t="n"/>
      <c r="BK563" s="10" t="n"/>
      <c r="BL563" s="10">
        <f>tbl_MTG_Set[[#This Row],[Collector Booster Sell Price CardMarket]]*tbl_MTG_Set[[#This Row],[Collector Booster Expected Market Value]]/tbl_MTG_Set[[#This Row],[Collector Boost Sealed Market Value]]</f>
        <v/>
      </c>
      <c r="BM5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3" s="10">
        <f>tbl_MTG_Set[[#This Row],[Collector Singles CardMarket Profit]]/tbl_MTG_Set[[#This Row],[Collector Booster Cost]]</f>
        <v/>
      </c>
      <c r="BO563" s="10">
        <f>tbl_MTG_Set[[#This Row],[Collector Singles CardMarket Profit]]&gt;0</f>
        <v/>
      </c>
      <c r="BP5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4">
      <c r="A564" t="n">
        <v>562</v>
      </c>
      <c r="B564" t="inlineStr">
        <is>
          <t>Duel Decks: Nissa vs. Ob Nixilis DDR</t>
        </is>
      </c>
      <c r="C564" t="n">
        <v>76</v>
      </c>
      <c r="D564" s="3" t="n">
        <v>42615</v>
      </c>
      <c r="F564" t="inlineStr">
        <is>
          <t>en es fr de it pt ja ko ru 汉语 漢語</t>
        </is>
      </c>
      <c r="G564" t="n">
        <v>1070</v>
      </c>
      <c r="H564">
        <f>MONTH(NOW())+12*YEAR(NOW())-MONTH(tbl_MTG_Set[[#This Row],[Released On]])-12*YEAR(tbl_MTG_Set[[#This Row],[Released On]])</f>
        <v/>
      </c>
      <c r="I564">
        <f>_xlfn.XLOOKUP(tbl_MTG_Set[[#This Row],[Type Name]], tbl_MTG_Set_Type[Set Type], tbl_MTG_Set_Type[Index], "(Set Type not found)")</f>
        <v/>
      </c>
      <c r="J564">
        <f>_xlfn.XLOOKUP(tbl_MTG_Set[[#This Row],[Type Name]], tbl_MTG_Set_Type[Set Type], tbl_MTG_Set_Type[Buy Window Month Start], "(Set Type not found)")</f>
        <v/>
      </c>
      <c r="K564" s="3">
        <f>tbl_MTG_Set[[#This Row],[Released On]]+tbl_MTG_Set[[#This Row],[Buy Window Month Start]]*365.25/12</f>
        <v/>
      </c>
      <c r="L564">
        <f>_xlfn.XLOOKUP(tbl_MTG_Set[[#This Row],[Type Name]], tbl_MTG_Set_Type[Set Type], tbl_MTG_Set_Type[Buy Window Month End], "(Set Type not found)", 0, 1)</f>
        <v/>
      </c>
      <c r="M564" s="3">
        <f>tbl_MTG_Set[[#This Row],[Released On]]+tbl_MTG_Set[[#This Row],[Buy Window Month End]]*365.25/12</f>
        <v/>
      </c>
      <c r="N564" s="3">
        <f>AND(NOW()&gt;=tbl_MTG_Set[[#This Row],[Buy Window Start]], NOW()&lt;=tbl_MTG_Set[[#This Row],[Buy Window End]])</f>
        <v/>
      </c>
      <c r="O564">
        <f>_xlfn.XLOOKUP(tbl_MTG_Set[[#This Row],[Type Name]], tbl_MTG_Set_Type[Set Type], tbl_MTG_Set_Type[Heavy Printing Window Month Start], "(Set Type not found)", 0, 1)</f>
        <v/>
      </c>
      <c r="P564" s="3">
        <f>tbl_MTG_Set[[#This Row],[Released On]]+tbl_MTG_Set[[#This Row],[Heavy Printing Window Month Start]]*365.25/12</f>
        <v/>
      </c>
      <c r="Q564">
        <f>_xlfn.XLOOKUP(tbl_MTG_Set[[#This Row],[Type Name]], tbl_MTG_Set_Type[Set Type], tbl_MTG_Set_Type[Heavy Printing Window Month End], "(Set Type not found)", 0, 1)</f>
        <v/>
      </c>
      <c r="R564" s="3">
        <f>tbl_MTG_Set[[#This Row],[Released On]]+tbl_MTG_Set[[#This Row],[Heavy Printing Window Month End]]*365.25/12</f>
        <v/>
      </c>
      <c r="S564" s="3">
        <f>AND(NOW()&gt;=tbl_MTG_Set[[#This Row],[Heavy Printing Window Start]], NOW()&lt;=tbl_MTG_Set[[#This Row],[Heavy Printing Window End]])</f>
        <v/>
      </c>
      <c r="T564">
        <f>_xlfn.XLOOKUP(tbl_MTG_Set[[#This Row],[Type Name]], tbl_MTG_Set_Type[Set Type], tbl_MTG_Set_Type[Sell Window Month Start], "(Set Type not found)", 0, 1)</f>
        <v/>
      </c>
      <c r="U564" s="3">
        <f>tbl_MTG_Set[[#This Row],[Released On]]+tbl_MTG_Set[[#This Row],[Sell Window Month Start]]*365.25/12</f>
        <v/>
      </c>
      <c r="V564">
        <f>_xlfn.XLOOKUP(tbl_MTG_Set[[#This Row],[Type Name]], tbl_MTG_Set_Type[Set Type], tbl_MTG_Set_Type[Sell Window Month End], "(Set Type not found)", 0, 1)</f>
        <v/>
      </c>
      <c r="W564" s="3">
        <f>tbl_MTG_Set[[#This Row],[Released On]]+tbl_MTG_Set[[#This Row],[Sell Window Month End]]*365.25/12</f>
        <v/>
      </c>
      <c r="X564" s="3">
        <f>AND(NOW()&gt;=tbl_MTG_Set[[#This Row],[Sell Window Start]], NOW()&lt;=tbl_MTG_Set[[#This Row],[Sell Window End]])</f>
        <v/>
      </c>
      <c r="AG564" s="10" t="n"/>
      <c r="AH564" s="10" t="n"/>
      <c r="AM564" s="10">
        <f t="array" ref="AM5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4" s="10">
        <f t="array" ref="AN5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4" s="4">
        <f>_xlfn.XLOOKUP(tbl_MTG_Set[[#This Row],[Play Booster Box Product Id]], tbl_Product[Product Id], tbl_Product[Pack Size])</f>
        <v/>
      </c>
      <c r="AP564" s="10">
        <f>(tbl_MTG_Set[[#This Row],[Play Booster Box Cost]]+v_Item_Shipping_Cost_In)/tbl_MTG_Set[[#This Row],[Play Booster Box Size]]</f>
        <v/>
      </c>
      <c r="AQ564" s="10">
        <f t="array" ref="AQ5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4" s="10" t="n"/>
      <c r="AS564" s="10" t="n"/>
      <c r="AT564" s="17">
        <f>tbl_MTG_Set[[#This Row],[Play Booster CardMarket Profit]]/tbl_MTG_Set[[#This Row],[Play Booster Cost]]</f>
        <v/>
      </c>
      <c r="AU564" s="10">
        <f>_xlfn.XLOOKUP(tbl_MTG_Set[[#This Row],[Collector Booster Box Product Id]], tbl_Product[Product Id], tbl_Product[Min Cost])</f>
        <v/>
      </c>
      <c r="AV564" s="10">
        <f>_xlfn.XLOOKUP(tbl_MTG_Set[[#This Row],[Collector Booster Box Product Id]], tbl_Product[Product Id], tbl_Product[Best Source])</f>
        <v/>
      </c>
      <c r="AW564" s="4">
        <f>_xlfn.XLOOKUP(tbl_MTG_Set[[#This Row],[Collector Booster Box Product Id]], tbl_Product[Product Id], tbl_Product[Pack Size])</f>
        <v/>
      </c>
      <c r="AX564" s="10">
        <f>(tbl_MTG_Set[[#This Row],[Collector Booster Box Cost]] + v_Item_Shipping_Cost_In) / tbl_MTG_Set[[#This Row],[Collector Booster Box Size]]</f>
        <v/>
      </c>
      <c r="AY564" s="10">
        <f t="array" ref="AY5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4" s="10" t="n"/>
      <c r="BA5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4" s="17">
        <f>tbl_MTG_Set[[#This Row],[Collector Booster CardMarket Profit]]/tbl_MTG_Set[[#This Row],[Collector Booster Cost]]</f>
        <v/>
      </c>
      <c r="BC564" s="10" t="n"/>
      <c r="BF564" s="10">
        <f>tbl_MTG_Set[[#This Row],[Play Booster Sell Price CardMarket]]*tbl_MTG_Set[[#This Row],[Play Booster Expected Market Value]]/tbl_MTG_Set[[#This Row],[Play Boost Sealed Market Value]]</f>
        <v/>
      </c>
      <c r="BG5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4" s="10">
        <f>tbl_MTG_Set[[#This Row],[Play Singles CardMarket Profit]]/tbl_MTG_Set[[#This Row],[Play Booster Cost]]</f>
        <v/>
      </c>
      <c r="BI564" s="10">
        <f>tbl_MTG_Set[[#This Row],[Play Singles CardMarket Profit]]&gt;0</f>
        <v/>
      </c>
      <c r="BJ564" s="10" t="n"/>
      <c r="BK564" s="10" t="n"/>
      <c r="BL564" s="10">
        <f>tbl_MTG_Set[[#This Row],[Collector Booster Sell Price CardMarket]]*tbl_MTG_Set[[#This Row],[Collector Booster Expected Market Value]]/tbl_MTG_Set[[#This Row],[Collector Boost Sealed Market Value]]</f>
        <v/>
      </c>
      <c r="BM5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4" s="10">
        <f>tbl_MTG_Set[[#This Row],[Collector Singles CardMarket Profit]]/tbl_MTG_Set[[#This Row],[Collector Booster Cost]]</f>
        <v/>
      </c>
      <c r="BO564" s="10">
        <f>tbl_MTG_Set[[#This Row],[Collector Singles CardMarket Profit]]&gt;0</f>
        <v/>
      </c>
      <c r="BP5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5">
      <c r="A565" t="n">
        <v>563</v>
      </c>
      <c r="B565" t="inlineStr">
        <is>
          <t>Conspiracy: Take the Crown CN2</t>
        </is>
      </c>
      <c r="C565" t="n">
        <v>222</v>
      </c>
      <c r="D565" s="3" t="n">
        <v>42608</v>
      </c>
      <c r="F565" t="inlineStr">
        <is>
          <t>en es fr de it pt ja ko ru 汉语 漢語</t>
        </is>
      </c>
      <c r="G565" t="n">
        <v>1072</v>
      </c>
      <c r="H565">
        <f>MONTH(NOW())+12*YEAR(NOW())-MONTH(tbl_MTG_Set[[#This Row],[Released On]])-12*YEAR(tbl_MTG_Set[[#This Row],[Released On]])</f>
        <v/>
      </c>
      <c r="I565">
        <f>_xlfn.XLOOKUP(tbl_MTG_Set[[#This Row],[Type Name]], tbl_MTG_Set_Type[Set Type], tbl_MTG_Set_Type[Index], "(Set Type not found)")</f>
        <v/>
      </c>
      <c r="J565">
        <f>_xlfn.XLOOKUP(tbl_MTG_Set[[#This Row],[Type Name]], tbl_MTG_Set_Type[Set Type], tbl_MTG_Set_Type[Buy Window Month Start], "(Set Type not found)")</f>
        <v/>
      </c>
      <c r="K565" s="3">
        <f>tbl_MTG_Set[[#This Row],[Released On]]+tbl_MTG_Set[[#This Row],[Buy Window Month Start]]*365.25/12</f>
        <v/>
      </c>
      <c r="L565">
        <f>_xlfn.XLOOKUP(tbl_MTG_Set[[#This Row],[Type Name]], tbl_MTG_Set_Type[Set Type], tbl_MTG_Set_Type[Buy Window Month End], "(Set Type not found)", 0, 1)</f>
        <v/>
      </c>
      <c r="M565" s="3">
        <f>tbl_MTG_Set[[#This Row],[Released On]]+tbl_MTG_Set[[#This Row],[Buy Window Month End]]*365.25/12</f>
        <v/>
      </c>
      <c r="N565" s="3">
        <f>AND(NOW()&gt;=tbl_MTG_Set[[#This Row],[Buy Window Start]], NOW()&lt;=tbl_MTG_Set[[#This Row],[Buy Window End]])</f>
        <v/>
      </c>
      <c r="O565">
        <f>_xlfn.XLOOKUP(tbl_MTG_Set[[#This Row],[Type Name]], tbl_MTG_Set_Type[Set Type], tbl_MTG_Set_Type[Heavy Printing Window Month Start], "(Set Type not found)", 0, 1)</f>
        <v/>
      </c>
      <c r="P565" s="3">
        <f>tbl_MTG_Set[[#This Row],[Released On]]+tbl_MTG_Set[[#This Row],[Heavy Printing Window Month Start]]*365.25/12</f>
        <v/>
      </c>
      <c r="Q565">
        <f>_xlfn.XLOOKUP(tbl_MTG_Set[[#This Row],[Type Name]], tbl_MTG_Set_Type[Set Type], tbl_MTG_Set_Type[Heavy Printing Window Month End], "(Set Type not found)", 0, 1)</f>
        <v/>
      </c>
      <c r="R565" s="3">
        <f>tbl_MTG_Set[[#This Row],[Released On]]+tbl_MTG_Set[[#This Row],[Heavy Printing Window Month End]]*365.25/12</f>
        <v/>
      </c>
      <c r="S565" s="3">
        <f>AND(NOW()&gt;=tbl_MTG_Set[[#This Row],[Heavy Printing Window Start]], NOW()&lt;=tbl_MTG_Set[[#This Row],[Heavy Printing Window End]])</f>
        <v/>
      </c>
      <c r="T565">
        <f>_xlfn.XLOOKUP(tbl_MTG_Set[[#This Row],[Type Name]], tbl_MTG_Set_Type[Set Type], tbl_MTG_Set_Type[Sell Window Month Start], "(Set Type not found)", 0, 1)</f>
        <v/>
      </c>
      <c r="U565" s="3">
        <f>tbl_MTG_Set[[#This Row],[Released On]]+tbl_MTG_Set[[#This Row],[Sell Window Month Start]]*365.25/12</f>
        <v/>
      </c>
      <c r="V565">
        <f>_xlfn.XLOOKUP(tbl_MTG_Set[[#This Row],[Type Name]], tbl_MTG_Set_Type[Set Type], tbl_MTG_Set_Type[Sell Window Month End], "(Set Type not found)", 0, 1)</f>
        <v/>
      </c>
      <c r="W565" s="3">
        <f>tbl_MTG_Set[[#This Row],[Released On]]+tbl_MTG_Set[[#This Row],[Sell Window Month End]]*365.25/12</f>
        <v/>
      </c>
      <c r="X565" s="3">
        <f>AND(NOW()&gt;=tbl_MTG_Set[[#This Row],[Sell Window Start]], NOW()&lt;=tbl_MTG_Set[[#This Row],[Sell Window End]])</f>
        <v/>
      </c>
      <c r="AG565" s="10" t="n"/>
      <c r="AH565" s="10" t="n"/>
      <c r="AM565" s="10">
        <f t="array" ref="AM5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5" s="10">
        <f t="array" ref="AN5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5" s="4">
        <f>_xlfn.XLOOKUP(tbl_MTG_Set[[#This Row],[Play Booster Box Product Id]], tbl_Product[Product Id], tbl_Product[Pack Size])</f>
        <v/>
      </c>
      <c r="AP565" s="10">
        <f>(tbl_MTG_Set[[#This Row],[Play Booster Box Cost]]+v_Item_Shipping_Cost_In)/tbl_MTG_Set[[#This Row],[Play Booster Box Size]]</f>
        <v/>
      </c>
      <c r="AQ565" s="10">
        <f t="array" ref="AQ5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5" s="10" t="n"/>
      <c r="AS565" s="10" t="n"/>
      <c r="AT565" s="17">
        <f>tbl_MTG_Set[[#This Row],[Play Booster CardMarket Profit]]/tbl_MTG_Set[[#This Row],[Play Booster Cost]]</f>
        <v/>
      </c>
      <c r="AU565" s="10">
        <f>_xlfn.XLOOKUP(tbl_MTG_Set[[#This Row],[Collector Booster Box Product Id]], tbl_Product[Product Id], tbl_Product[Min Cost])</f>
        <v/>
      </c>
      <c r="AV565" s="10">
        <f>_xlfn.XLOOKUP(tbl_MTG_Set[[#This Row],[Collector Booster Box Product Id]], tbl_Product[Product Id], tbl_Product[Best Source])</f>
        <v/>
      </c>
      <c r="AW565" s="4">
        <f>_xlfn.XLOOKUP(tbl_MTG_Set[[#This Row],[Collector Booster Box Product Id]], tbl_Product[Product Id], tbl_Product[Pack Size])</f>
        <v/>
      </c>
      <c r="AX565" s="10">
        <f>(tbl_MTG_Set[[#This Row],[Collector Booster Box Cost]] + v_Item_Shipping_Cost_In) / tbl_MTG_Set[[#This Row],[Collector Booster Box Size]]</f>
        <v/>
      </c>
      <c r="AY565" s="10">
        <f t="array" ref="AY5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5" s="10" t="n"/>
      <c r="BA5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5" s="17">
        <f>tbl_MTG_Set[[#This Row],[Collector Booster CardMarket Profit]]/tbl_MTG_Set[[#This Row],[Collector Booster Cost]]</f>
        <v/>
      </c>
      <c r="BC565" s="10" t="n"/>
      <c r="BF565" s="10">
        <f>tbl_MTG_Set[[#This Row],[Play Booster Sell Price CardMarket]]*tbl_MTG_Set[[#This Row],[Play Booster Expected Market Value]]/tbl_MTG_Set[[#This Row],[Play Boost Sealed Market Value]]</f>
        <v/>
      </c>
      <c r="BG5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5" s="10">
        <f>tbl_MTG_Set[[#This Row],[Play Singles CardMarket Profit]]/tbl_MTG_Set[[#This Row],[Play Booster Cost]]</f>
        <v/>
      </c>
      <c r="BI565" s="10">
        <f>tbl_MTG_Set[[#This Row],[Play Singles CardMarket Profit]]&gt;0</f>
        <v/>
      </c>
      <c r="BJ565" s="10" t="n"/>
      <c r="BK565" s="10" t="n"/>
      <c r="BL565" s="10">
        <f>tbl_MTG_Set[[#This Row],[Collector Booster Sell Price CardMarket]]*tbl_MTG_Set[[#This Row],[Collector Booster Expected Market Value]]/tbl_MTG_Set[[#This Row],[Collector Boost Sealed Market Value]]</f>
        <v/>
      </c>
      <c r="BM5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5" s="10">
        <f>tbl_MTG_Set[[#This Row],[Collector Singles CardMarket Profit]]/tbl_MTG_Set[[#This Row],[Collector Booster Cost]]</f>
        <v/>
      </c>
      <c r="BO565" s="10">
        <f>tbl_MTG_Set[[#This Row],[Collector Singles CardMarket Profit]]&gt;0</f>
        <v/>
      </c>
      <c r="BP5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6">
      <c r="A566" t="n">
        <v>564</v>
      </c>
      <c r="B566" t="inlineStr">
        <is>
          <t>Conspiracy: Take the Crown Tokens TCN2</t>
        </is>
      </c>
      <c r="C566" t="n">
        <v>12</v>
      </c>
      <c r="D566" s="3" t="n">
        <v>42608</v>
      </c>
      <c r="F566" t="inlineStr">
        <is>
          <t>en es fr de it pt ja ko ru 汉语 漢語</t>
        </is>
      </c>
      <c r="G566" t="n">
        <v>1074</v>
      </c>
      <c r="H566">
        <f>MONTH(NOW())+12*YEAR(NOW())-MONTH(tbl_MTG_Set[[#This Row],[Released On]])-12*YEAR(tbl_MTG_Set[[#This Row],[Released On]])</f>
        <v/>
      </c>
      <c r="I566">
        <f>_xlfn.XLOOKUP(tbl_MTG_Set[[#This Row],[Type Name]], tbl_MTG_Set_Type[Set Type], tbl_MTG_Set_Type[Index], "(Set Type not found)")</f>
        <v/>
      </c>
      <c r="J566">
        <f>_xlfn.XLOOKUP(tbl_MTG_Set[[#This Row],[Type Name]], tbl_MTG_Set_Type[Set Type], tbl_MTG_Set_Type[Buy Window Month Start], "(Set Type not found)")</f>
        <v/>
      </c>
      <c r="K566" s="3">
        <f>tbl_MTG_Set[[#This Row],[Released On]]+tbl_MTG_Set[[#This Row],[Buy Window Month Start]]*365.25/12</f>
        <v/>
      </c>
      <c r="L566">
        <f>_xlfn.XLOOKUP(tbl_MTG_Set[[#This Row],[Type Name]], tbl_MTG_Set_Type[Set Type], tbl_MTG_Set_Type[Buy Window Month End], "(Set Type not found)", 0, 1)</f>
        <v/>
      </c>
      <c r="M566" s="3">
        <f>tbl_MTG_Set[[#This Row],[Released On]]+tbl_MTG_Set[[#This Row],[Buy Window Month End]]*365.25/12</f>
        <v/>
      </c>
      <c r="N566" s="3">
        <f>AND(NOW()&gt;=tbl_MTG_Set[[#This Row],[Buy Window Start]], NOW()&lt;=tbl_MTG_Set[[#This Row],[Buy Window End]])</f>
        <v/>
      </c>
      <c r="O566">
        <f>_xlfn.XLOOKUP(tbl_MTG_Set[[#This Row],[Type Name]], tbl_MTG_Set_Type[Set Type], tbl_MTG_Set_Type[Heavy Printing Window Month Start], "(Set Type not found)", 0, 1)</f>
        <v/>
      </c>
      <c r="P566" s="3">
        <f>tbl_MTG_Set[[#This Row],[Released On]]+tbl_MTG_Set[[#This Row],[Heavy Printing Window Month Start]]*365.25/12</f>
        <v/>
      </c>
      <c r="Q566">
        <f>_xlfn.XLOOKUP(tbl_MTG_Set[[#This Row],[Type Name]], tbl_MTG_Set_Type[Set Type], tbl_MTG_Set_Type[Heavy Printing Window Month End], "(Set Type not found)", 0, 1)</f>
        <v/>
      </c>
      <c r="R566" s="3">
        <f>tbl_MTG_Set[[#This Row],[Released On]]+tbl_MTG_Set[[#This Row],[Heavy Printing Window Month End]]*365.25/12</f>
        <v/>
      </c>
      <c r="S566" s="3">
        <f>AND(NOW()&gt;=tbl_MTG_Set[[#This Row],[Heavy Printing Window Start]], NOW()&lt;=tbl_MTG_Set[[#This Row],[Heavy Printing Window End]])</f>
        <v/>
      </c>
      <c r="T566">
        <f>_xlfn.XLOOKUP(tbl_MTG_Set[[#This Row],[Type Name]], tbl_MTG_Set_Type[Set Type], tbl_MTG_Set_Type[Sell Window Month Start], "(Set Type not found)", 0, 1)</f>
        <v/>
      </c>
      <c r="U566" s="3">
        <f>tbl_MTG_Set[[#This Row],[Released On]]+tbl_MTG_Set[[#This Row],[Sell Window Month Start]]*365.25/12</f>
        <v/>
      </c>
      <c r="V566">
        <f>_xlfn.XLOOKUP(tbl_MTG_Set[[#This Row],[Type Name]], tbl_MTG_Set_Type[Set Type], tbl_MTG_Set_Type[Sell Window Month End], "(Set Type not found)", 0, 1)</f>
        <v/>
      </c>
      <c r="W566" s="3">
        <f>tbl_MTG_Set[[#This Row],[Released On]]+tbl_MTG_Set[[#This Row],[Sell Window Month End]]*365.25/12</f>
        <v/>
      </c>
      <c r="X566" s="3">
        <f>AND(NOW()&gt;=tbl_MTG_Set[[#This Row],[Sell Window Start]], NOW()&lt;=tbl_MTG_Set[[#This Row],[Sell Window End]])</f>
        <v/>
      </c>
      <c r="AG566" s="10" t="n"/>
      <c r="AH566" s="10" t="n"/>
      <c r="AM566" s="10">
        <f t="array" ref="AM5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6" s="10">
        <f t="array" ref="AN5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6" s="4">
        <f>_xlfn.XLOOKUP(tbl_MTG_Set[[#This Row],[Play Booster Box Product Id]], tbl_Product[Product Id], tbl_Product[Pack Size])</f>
        <v/>
      </c>
      <c r="AP566" s="10">
        <f>(tbl_MTG_Set[[#This Row],[Play Booster Box Cost]]+v_Item_Shipping_Cost_In)/tbl_MTG_Set[[#This Row],[Play Booster Box Size]]</f>
        <v/>
      </c>
      <c r="AQ566" s="10">
        <f t="array" ref="AQ5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6" s="10" t="n"/>
      <c r="AS566" s="10" t="n"/>
      <c r="AT566" s="17">
        <f>tbl_MTG_Set[[#This Row],[Play Booster CardMarket Profit]]/tbl_MTG_Set[[#This Row],[Play Booster Cost]]</f>
        <v/>
      </c>
      <c r="AU566" s="10">
        <f>_xlfn.XLOOKUP(tbl_MTG_Set[[#This Row],[Collector Booster Box Product Id]], tbl_Product[Product Id], tbl_Product[Min Cost])</f>
        <v/>
      </c>
      <c r="AV566" s="10">
        <f>_xlfn.XLOOKUP(tbl_MTG_Set[[#This Row],[Collector Booster Box Product Id]], tbl_Product[Product Id], tbl_Product[Best Source])</f>
        <v/>
      </c>
      <c r="AW566" s="4">
        <f>_xlfn.XLOOKUP(tbl_MTG_Set[[#This Row],[Collector Booster Box Product Id]], tbl_Product[Product Id], tbl_Product[Pack Size])</f>
        <v/>
      </c>
      <c r="AX566" s="10">
        <f>(tbl_MTG_Set[[#This Row],[Collector Booster Box Cost]] + v_Item_Shipping_Cost_In) / tbl_MTG_Set[[#This Row],[Collector Booster Box Size]]</f>
        <v/>
      </c>
      <c r="AY566" s="10">
        <f t="array" ref="AY5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6" s="10" t="n"/>
      <c r="BA5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6" s="17">
        <f>tbl_MTG_Set[[#This Row],[Collector Booster CardMarket Profit]]/tbl_MTG_Set[[#This Row],[Collector Booster Cost]]</f>
        <v/>
      </c>
      <c r="BC566" s="10" t="n"/>
      <c r="BF566" s="10">
        <f>tbl_MTG_Set[[#This Row],[Play Booster Sell Price CardMarket]]*tbl_MTG_Set[[#This Row],[Play Booster Expected Market Value]]/tbl_MTG_Set[[#This Row],[Play Boost Sealed Market Value]]</f>
        <v/>
      </c>
      <c r="BG5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6" s="10">
        <f>tbl_MTG_Set[[#This Row],[Play Singles CardMarket Profit]]/tbl_MTG_Set[[#This Row],[Play Booster Cost]]</f>
        <v/>
      </c>
      <c r="BI566" s="10">
        <f>tbl_MTG_Set[[#This Row],[Play Singles CardMarket Profit]]&gt;0</f>
        <v/>
      </c>
      <c r="BJ566" s="10" t="n"/>
      <c r="BK566" s="10" t="n"/>
      <c r="BL566" s="10">
        <f>tbl_MTG_Set[[#This Row],[Collector Booster Sell Price CardMarket]]*tbl_MTG_Set[[#This Row],[Collector Booster Expected Market Value]]/tbl_MTG_Set[[#This Row],[Collector Boost Sealed Market Value]]</f>
        <v/>
      </c>
      <c r="BM5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6" s="10">
        <f>tbl_MTG_Set[[#This Row],[Collector Singles CardMarket Profit]]/tbl_MTG_Set[[#This Row],[Collector Booster Cost]]</f>
        <v/>
      </c>
      <c r="BO566" s="10">
        <f>tbl_MTG_Set[[#This Row],[Collector Singles CardMarket Profit]]&gt;0</f>
        <v/>
      </c>
      <c r="BP5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7">
      <c r="A567" t="n">
        <v>565</v>
      </c>
      <c r="B567" t="inlineStr">
        <is>
          <t>From the Vault: Lore V16</t>
        </is>
      </c>
      <c r="C567" t="n">
        <v>16</v>
      </c>
      <c r="D567" s="3" t="n">
        <v>42601</v>
      </c>
      <c r="F567" t="inlineStr">
        <is>
          <t>en es fr de it pt ja ko ru 汉语 漢語</t>
        </is>
      </c>
      <c r="G567" t="n">
        <v>1076</v>
      </c>
      <c r="H567">
        <f>MONTH(NOW())+12*YEAR(NOW())-MONTH(tbl_MTG_Set[[#This Row],[Released On]])-12*YEAR(tbl_MTG_Set[[#This Row],[Released On]])</f>
        <v/>
      </c>
      <c r="I567">
        <f>_xlfn.XLOOKUP(tbl_MTG_Set[[#This Row],[Type Name]], tbl_MTG_Set_Type[Set Type], tbl_MTG_Set_Type[Index], "(Set Type not found)")</f>
        <v/>
      </c>
      <c r="J567">
        <f>_xlfn.XLOOKUP(tbl_MTG_Set[[#This Row],[Type Name]], tbl_MTG_Set_Type[Set Type], tbl_MTG_Set_Type[Buy Window Month Start], "(Set Type not found)")</f>
        <v/>
      </c>
      <c r="K567" s="3">
        <f>tbl_MTG_Set[[#This Row],[Released On]]+tbl_MTG_Set[[#This Row],[Buy Window Month Start]]*365.25/12</f>
        <v/>
      </c>
      <c r="L567">
        <f>_xlfn.XLOOKUP(tbl_MTG_Set[[#This Row],[Type Name]], tbl_MTG_Set_Type[Set Type], tbl_MTG_Set_Type[Buy Window Month End], "(Set Type not found)", 0, 1)</f>
        <v/>
      </c>
      <c r="M567" s="3">
        <f>tbl_MTG_Set[[#This Row],[Released On]]+tbl_MTG_Set[[#This Row],[Buy Window Month End]]*365.25/12</f>
        <v/>
      </c>
      <c r="N567" s="3">
        <f>AND(NOW()&gt;=tbl_MTG_Set[[#This Row],[Buy Window Start]], NOW()&lt;=tbl_MTG_Set[[#This Row],[Buy Window End]])</f>
        <v/>
      </c>
      <c r="O567">
        <f>_xlfn.XLOOKUP(tbl_MTG_Set[[#This Row],[Type Name]], tbl_MTG_Set_Type[Set Type], tbl_MTG_Set_Type[Heavy Printing Window Month Start], "(Set Type not found)", 0, 1)</f>
        <v/>
      </c>
      <c r="P567" s="3">
        <f>tbl_MTG_Set[[#This Row],[Released On]]+tbl_MTG_Set[[#This Row],[Heavy Printing Window Month Start]]*365.25/12</f>
        <v/>
      </c>
      <c r="Q567">
        <f>_xlfn.XLOOKUP(tbl_MTG_Set[[#This Row],[Type Name]], tbl_MTG_Set_Type[Set Type], tbl_MTG_Set_Type[Heavy Printing Window Month End], "(Set Type not found)", 0, 1)</f>
        <v/>
      </c>
      <c r="R567" s="3">
        <f>tbl_MTG_Set[[#This Row],[Released On]]+tbl_MTG_Set[[#This Row],[Heavy Printing Window Month End]]*365.25/12</f>
        <v/>
      </c>
      <c r="S567" s="3">
        <f>AND(NOW()&gt;=tbl_MTG_Set[[#This Row],[Heavy Printing Window Start]], NOW()&lt;=tbl_MTG_Set[[#This Row],[Heavy Printing Window End]])</f>
        <v/>
      </c>
      <c r="T567">
        <f>_xlfn.XLOOKUP(tbl_MTG_Set[[#This Row],[Type Name]], tbl_MTG_Set_Type[Set Type], tbl_MTG_Set_Type[Sell Window Month Start], "(Set Type not found)", 0, 1)</f>
        <v/>
      </c>
      <c r="U567" s="3">
        <f>tbl_MTG_Set[[#This Row],[Released On]]+tbl_MTG_Set[[#This Row],[Sell Window Month Start]]*365.25/12</f>
        <v/>
      </c>
      <c r="V567">
        <f>_xlfn.XLOOKUP(tbl_MTG_Set[[#This Row],[Type Name]], tbl_MTG_Set_Type[Set Type], tbl_MTG_Set_Type[Sell Window Month End], "(Set Type not found)", 0, 1)</f>
        <v/>
      </c>
      <c r="W567" s="3">
        <f>tbl_MTG_Set[[#This Row],[Released On]]+tbl_MTG_Set[[#This Row],[Sell Window Month End]]*365.25/12</f>
        <v/>
      </c>
      <c r="X567" s="3">
        <f>AND(NOW()&gt;=tbl_MTG_Set[[#This Row],[Sell Window Start]], NOW()&lt;=tbl_MTG_Set[[#This Row],[Sell Window End]])</f>
        <v/>
      </c>
      <c r="AG567" s="10" t="n"/>
      <c r="AH567" s="10" t="n"/>
      <c r="AM567" s="10">
        <f t="array" ref="AM5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7" s="10">
        <f t="array" ref="AN5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7" s="4">
        <f>_xlfn.XLOOKUP(tbl_MTG_Set[[#This Row],[Play Booster Box Product Id]], tbl_Product[Product Id], tbl_Product[Pack Size])</f>
        <v/>
      </c>
      <c r="AP567" s="10">
        <f>(tbl_MTG_Set[[#This Row],[Play Booster Box Cost]]+v_Item_Shipping_Cost_In)/tbl_MTG_Set[[#This Row],[Play Booster Box Size]]</f>
        <v/>
      </c>
      <c r="AQ567" s="10">
        <f t="array" ref="AQ5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7" s="10" t="n"/>
      <c r="AS567" s="10" t="n"/>
      <c r="AT567" s="17">
        <f>tbl_MTG_Set[[#This Row],[Play Booster CardMarket Profit]]/tbl_MTG_Set[[#This Row],[Play Booster Cost]]</f>
        <v/>
      </c>
      <c r="AU567" s="10">
        <f>_xlfn.XLOOKUP(tbl_MTG_Set[[#This Row],[Collector Booster Box Product Id]], tbl_Product[Product Id], tbl_Product[Min Cost])</f>
        <v/>
      </c>
      <c r="AV567" s="10">
        <f>_xlfn.XLOOKUP(tbl_MTG_Set[[#This Row],[Collector Booster Box Product Id]], tbl_Product[Product Id], tbl_Product[Best Source])</f>
        <v/>
      </c>
      <c r="AW567" s="4">
        <f>_xlfn.XLOOKUP(tbl_MTG_Set[[#This Row],[Collector Booster Box Product Id]], tbl_Product[Product Id], tbl_Product[Pack Size])</f>
        <v/>
      </c>
      <c r="AX567" s="10">
        <f>(tbl_MTG_Set[[#This Row],[Collector Booster Box Cost]] + v_Item_Shipping_Cost_In) / tbl_MTG_Set[[#This Row],[Collector Booster Box Size]]</f>
        <v/>
      </c>
      <c r="AY567" s="10">
        <f t="array" ref="AY5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7" s="10" t="n"/>
      <c r="BA5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7" s="17">
        <f>tbl_MTG_Set[[#This Row],[Collector Booster CardMarket Profit]]/tbl_MTG_Set[[#This Row],[Collector Booster Cost]]</f>
        <v/>
      </c>
      <c r="BC567" s="10" t="n"/>
      <c r="BF567" s="10">
        <f>tbl_MTG_Set[[#This Row],[Play Booster Sell Price CardMarket]]*tbl_MTG_Set[[#This Row],[Play Booster Expected Market Value]]/tbl_MTG_Set[[#This Row],[Play Boost Sealed Market Value]]</f>
        <v/>
      </c>
      <c r="BG5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7" s="10">
        <f>tbl_MTG_Set[[#This Row],[Play Singles CardMarket Profit]]/tbl_MTG_Set[[#This Row],[Play Booster Cost]]</f>
        <v/>
      </c>
      <c r="BI567" s="10">
        <f>tbl_MTG_Set[[#This Row],[Play Singles CardMarket Profit]]&gt;0</f>
        <v/>
      </c>
      <c r="BJ567" s="10" t="n"/>
      <c r="BK567" s="10" t="n"/>
      <c r="BL567" s="10">
        <f>tbl_MTG_Set[[#This Row],[Collector Booster Sell Price CardMarket]]*tbl_MTG_Set[[#This Row],[Collector Booster Expected Market Value]]/tbl_MTG_Set[[#This Row],[Collector Boost Sealed Market Value]]</f>
        <v/>
      </c>
      <c r="BM5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7" s="10">
        <f>tbl_MTG_Set[[#This Row],[Collector Singles CardMarket Profit]]/tbl_MTG_Set[[#This Row],[Collector Booster Cost]]</f>
        <v/>
      </c>
      <c r="BO567" s="10">
        <f>tbl_MTG_Set[[#This Row],[Collector Singles CardMarket Profit]]&gt;0</f>
        <v/>
      </c>
      <c r="BP5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8">
      <c r="A568" t="n">
        <v>566</v>
      </c>
      <c r="B568" t="inlineStr">
        <is>
          <t>Eldritch Moon EMN</t>
        </is>
      </c>
      <c r="C568" t="n">
        <v>208</v>
      </c>
      <c r="D568" s="3" t="n">
        <v>42573</v>
      </c>
      <c r="F568" t="inlineStr">
        <is>
          <t>en es fr de it pt ja ko ru 汉语 漢語</t>
        </is>
      </c>
      <c r="G568" t="n">
        <v>1078</v>
      </c>
      <c r="H568">
        <f>MONTH(NOW())+12*YEAR(NOW())-MONTH(tbl_MTG_Set[[#This Row],[Released On]])-12*YEAR(tbl_MTG_Set[[#This Row],[Released On]])</f>
        <v/>
      </c>
      <c r="I568">
        <f>_xlfn.XLOOKUP(tbl_MTG_Set[[#This Row],[Type Name]], tbl_MTG_Set_Type[Set Type], tbl_MTG_Set_Type[Index], "(Set Type not found)")</f>
        <v/>
      </c>
      <c r="J568">
        <f>_xlfn.XLOOKUP(tbl_MTG_Set[[#This Row],[Type Name]], tbl_MTG_Set_Type[Set Type], tbl_MTG_Set_Type[Buy Window Month Start], "(Set Type not found)")</f>
        <v/>
      </c>
      <c r="K568" s="3">
        <f>tbl_MTG_Set[[#This Row],[Released On]]+tbl_MTG_Set[[#This Row],[Buy Window Month Start]]*365.25/12</f>
        <v/>
      </c>
      <c r="L568">
        <f>_xlfn.XLOOKUP(tbl_MTG_Set[[#This Row],[Type Name]], tbl_MTG_Set_Type[Set Type], tbl_MTG_Set_Type[Buy Window Month End], "(Set Type not found)", 0, 1)</f>
        <v/>
      </c>
      <c r="M568" s="3">
        <f>tbl_MTG_Set[[#This Row],[Released On]]+tbl_MTG_Set[[#This Row],[Buy Window Month End]]*365.25/12</f>
        <v/>
      </c>
      <c r="N568" s="3">
        <f>AND(NOW()&gt;=tbl_MTG_Set[[#This Row],[Buy Window Start]], NOW()&lt;=tbl_MTG_Set[[#This Row],[Buy Window End]])</f>
        <v/>
      </c>
      <c r="O568">
        <f>_xlfn.XLOOKUP(tbl_MTG_Set[[#This Row],[Type Name]], tbl_MTG_Set_Type[Set Type], tbl_MTG_Set_Type[Heavy Printing Window Month Start], "(Set Type not found)", 0, 1)</f>
        <v/>
      </c>
      <c r="P568" s="3">
        <f>tbl_MTG_Set[[#This Row],[Released On]]+tbl_MTG_Set[[#This Row],[Heavy Printing Window Month Start]]*365.25/12</f>
        <v/>
      </c>
      <c r="Q568">
        <f>_xlfn.XLOOKUP(tbl_MTG_Set[[#This Row],[Type Name]], tbl_MTG_Set_Type[Set Type], tbl_MTG_Set_Type[Heavy Printing Window Month End], "(Set Type not found)", 0, 1)</f>
        <v/>
      </c>
      <c r="R568" s="3">
        <f>tbl_MTG_Set[[#This Row],[Released On]]+tbl_MTG_Set[[#This Row],[Heavy Printing Window Month End]]*365.25/12</f>
        <v/>
      </c>
      <c r="S568" s="3">
        <f>AND(NOW()&gt;=tbl_MTG_Set[[#This Row],[Heavy Printing Window Start]], NOW()&lt;=tbl_MTG_Set[[#This Row],[Heavy Printing Window End]])</f>
        <v/>
      </c>
      <c r="T568">
        <f>_xlfn.XLOOKUP(tbl_MTG_Set[[#This Row],[Type Name]], tbl_MTG_Set_Type[Set Type], tbl_MTG_Set_Type[Sell Window Month Start], "(Set Type not found)", 0, 1)</f>
        <v/>
      </c>
      <c r="U568" s="3">
        <f>tbl_MTG_Set[[#This Row],[Released On]]+tbl_MTG_Set[[#This Row],[Sell Window Month Start]]*365.25/12</f>
        <v/>
      </c>
      <c r="V568">
        <f>_xlfn.XLOOKUP(tbl_MTG_Set[[#This Row],[Type Name]], tbl_MTG_Set_Type[Set Type], tbl_MTG_Set_Type[Sell Window Month End], "(Set Type not found)", 0, 1)</f>
        <v/>
      </c>
      <c r="W568" s="3">
        <f>tbl_MTG_Set[[#This Row],[Released On]]+tbl_MTG_Set[[#This Row],[Sell Window Month End]]*365.25/12</f>
        <v/>
      </c>
      <c r="X568" s="3">
        <f>AND(NOW()&gt;=tbl_MTG_Set[[#This Row],[Sell Window Start]], NOW()&lt;=tbl_MTG_Set[[#This Row],[Sell Window End]])</f>
        <v/>
      </c>
      <c r="AG568" s="10" t="n"/>
      <c r="AH568" s="10" t="n"/>
      <c r="AM568" s="10">
        <f t="array" ref="AM5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8" s="10">
        <f t="array" ref="AN5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8" s="4">
        <f>_xlfn.XLOOKUP(tbl_MTG_Set[[#This Row],[Play Booster Box Product Id]], tbl_Product[Product Id], tbl_Product[Pack Size])</f>
        <v/>
      </c>
      <c r="AP568" s="10">
        <f>(tbl_MTG_Set[[#This Row],[Play Booster Box Cost]]+v_Item_Shipping_Cost_In)/tbl_MTG_Set[[#This Row],[Play Booster Box Size]]</f>
        <v/>
      </c>
      <c r="AQ568" s="10">
        <f t="array" ref="AQ5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8" s="10" t="n"/>
      <c r="AS568" s="10" t="n"/>
      <c r="AT568" s="17">
        <f>tbl_MTG_Set[[#This Row],[Play Booster CardMarket Profit]]/tbl_MTG_Set[[#This Row],[Play Booster Cost]]</f>
        <v/>
      </c>
      <c r="AU568" s="10">
        <f>_xlfn.XLOOKUP(tbl_MTG_Set[[#This Row],[Collector Booster Box Product Id]], tbl_Product[Product Id], tbl_Product[Min Cost])</f>
        <v/>
      </c>
      <c r="AV568" s="10">
        <f>_xlfn.XLOOKUP(tbl_MTG_Set[[#This Row],[Collector Booster Box Product Id]], tbl_Product[Product Id], tbl_Product[Best Source])</f>
        <v/>
      </c>
      <c r="AW568" s="4">
        <f>_xlfn.XLOOKUP(tbl_MTG_Set[[#This Row],[Collector Booster Box Product Id]], tbl_Product[Product Id], tbl_Product[Pack Size])</f>
        <v/>
      </c>
      <c r="AX568" s="10">
        <f>(tbl_MTG_Set[[#This Row],[Collector Booster Box Cost]] + v_Item_Shipping_Cost_In) / tbl_MTG_Set[[#This Row],[Collector Booster Box Size]]</f>
        <v/>
      </c>
      <c r="AY568" s="10">
        <f t="array" ref="AY5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8" s="10" t="n"/>
      <c r="BA5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8" s="17">
        <f>tbl_MTG_Set[[#This Row],[Collector Booster CardMarket Profit]]/tbl_MTG_Set[[#This Row],[Collector Booster Cost]]</f>
        <v/>
      </c>
      <c r="BC568" s="10" t="n"/>
      <c r="BF568" s="10">
        <f>tbl_MTG_Set[[#This Row],[Play Booster Sell Price CardMarket]]*tbl_MTG_Set[[#This Row],[Play Booster Expected Market Value]]/tbl_MTG_Set[[#This Row],[Play Boost Sealed Market Value]]</f>
        <v/>
      </c>
      <c r="BG5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8" s="10">
        <f>tbl_MTG_Set[[#This Row],[Play Singles CardMarket Profit]]/tbl_MTG_Set[[#This Row],[Play Booster Cost]]</f>
        <v/>
      </c>
      <c r="BI568" s="10">
        <f>tbl_MTG_Set[[#This Row],[Play Singles CardMarket Profit]]&gt;0</f>
        <v/>
      </c>
      <c r="BJ568" s="10" t="n"/>
      <c r="BK568" s="10" t="n"/>
      <c r="BL568" s="10">
        <f>tbl_MTG_Set[[#This Row],[Collector Booster Sell Price CardMarket]]*tbl_MTG_Set[[#This Row],[Collector Booster Expected Market Value]]/tbl_MTG_Set[[#This Row],[Collector Boost Sealed Market Value]]</f>
        <v/>
      </c>
      <c r="BM5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8" s="10">
        <f>tbl_MTG_Set[[#This Row],[Collector Singles CardMarket Profit]]/tbl_MTG_Set[[#This Row],[Collector Booster Cost]]</f>
        <v/>
      </c>
      <c r="BO568" s="10">
        <f>tbl_MTG_Set[[#This Row],[Collector Singles CardMarket Profit]]&gt;0</f>
        <v/>
      </c>
      <c r="BP5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9">
      <c r="A569" t="n">
        <v>567</v>
      </c>
      <c r="B569" t="inlineStr">
        <is>
          <t>Eldritch Moon Promos PEMN</t>
        </is>
      </c>
      <c r="C569" t="n">
        <v>77</v>
      </c>
      <c r="D569" s="3" t="n">
        <v>42573</v>
      </c>
      <c r="F569" t="inlineStr">
        <is>
          <t>en es fr de it pt ja ko ru 汉语 漢語</t>
        </is>
      </c>
      <c r="G569" t="n">
        <v>1080</v>
      </c>
      <c r="H569">
        <f>MONTH(NOW())+12*YEAR(NOW())-MONTH(tbl_MTG_Set[[#This Row],[Released On]])-12*YEAR(tbl_MTG_Set[[#This Row],[Released On]])</f>
        <v/>
      </c>
      <c r="I569">
        <f>_xlfn.XLOOKUP(tbl_MTG_Set[[#This Row],[Type Name]], tbl_MTG_Set_Type[Set Type], tbl_MTG_Set_Type[Index], "(Set Type not found)")</f>
        <v/>
      </c>
      <c r="J569">
        <f>_xlfn.XLOOKUP(tbl_MTG_Set[[#This Row],[Type Name]], tbl_MTG_Set_Type[Set Type], tbl_MTG_Set_Type[Buy Window Month Start], "(Set Type not found)")</f>
        <v/>
      </c>
      <c r="K569" s="3">
        <f>tbl_MTG_Set[[#This Row],[Released On]]+tbl_MTG_Set[[#This Row],[Buy Window Month Start]]*365.25/12</f>
        <v/>
      </c>
      <c r="L569">
        <f>_xlfn.XLOOKUP(tbl_MTG_Set[[#This Row],[Type Name]], tbl_MTG_Set_Type[Set Type], tbl_MTG_Set_Type[Buy Window Month End], "(Set Type not found)", 0, 1)</f>
        <v/>
      </c>
      <c r="M569" s="3">
        <f>tbl_MTG_Set[[#This Row],[Released On]]+tbl_MTG_Set[[#This Row],[Buy Window Month End]]*365.25/12</f>
        <v/>
      </c>
      <c r="N569" s="3">
        <f>AND(NOW()&gt;=tbl_MTG_Set[[#This Row],[Buy Window Start]], NOW()&lt;=tbl_MTG_Set[[#This Row],[Buy Window End]])</f>
        <v/>
      </c>
      <c r="O569">
        <f>_xlfn.XLOOKUP(tbl_MTG_Set[[#This Row],[Type Name]], tbl_MTG_Set_Type[Set Type], tbl_MTG_Set_Type[Heavy Printing Window Month Start], "(Set Type not found)", 0, 1)</f>
        <v/>
      </c>
      <c r="P569" s="3">
        <f>tbl_MTG_Set[[#This Row],[Released On]]+tbl_MTG_Set[[#This Row],[Heavy Printing Window Month Start]]*365.25/12</f>
        <v/>
      </c>
      <c r="Q569">
        <f>_xlfn.XLOOKUP(tbl_MTG_Set[[#This Row],[Type Name]], tbl_MTG_Set_Type[Set Type], tbl_MTG_Set_Type[Heavy Printing Window Month End], "(Set Type not found)", 0, 1)</f>
        <v/>
      </c>
      <c r="R569" s="3">
        <f>tbl_MTG_Set[[#This Row],[Released On]]+tbl_MTG_Set[[#This Row],[Heavy Printing Window Month End]]*365.25/12</f>
        <v/>
      </c>
      <c r="S569" s="3">
        <f>AND(NOW()&gt;=tbl_MTG_Set[[#This Row],[Heavy Printing Window Start]], NOW()&lt;=tbl_MTG_Set[[#This Row],[Heavy Printing Window End]])</f>
        <v/>
      </c>
      <c r="T569">
        <f>_xlfn.XLOOKUP(tbl_MTG_Set[[#This Row],[Type Name]], tbl_MTG_Set_Type[Set Type], tbl_MTG_Set_Type[Sell Window Month Start], "(Set Type not found)", 0, 1)</f>
        <v/>
      </c>
      <c r="U569" s="3">
        <f>tbl_MTG_Set[[#This Row],[Released On]]+tbl_MTG_Set[[#This Row],[Sell Window Month Start]]*365.25/12</f>
        <v/>
      </c>
      <c r="V569">
        <f>_xlfn.XLOOKUP(tbl_MTG_Set[[#This Row],[Type Name]], tbl_MTG_Set_Type[Set Type], tbl_MTG_Set_Type[Sell Window Month End], "(Set Type not found)", 0, 1)</f>
        <v/>
      </c>
      <c r="W569" s="3">
        <f>tbl_MTG_Set[[#This Row],[Released On]]+tbl_MTG_Set[[#This Row],[Sell Window Month End]]*365.25/12</f>
        <v/>
      </c>
      <c r="X569" s="3">
        <f>AND(NOW()&gt;=tbl_MTG_Set[[#This Row],[Sell Window Start]], NOW()&lt;=tbl_MTG_Set[[#This Row],[Sell Window End]])</f>
        <v/>
      </c>
      <c r="AG569" s="10" t="n"/>
      <c r="AH569" s="10" t="n"/>
      <c r="AM569" s="10">
        <f t="array" ref="AM5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9" s="10">
        <f t="array" ref="AN5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9" s="4">
        <f>_xlfn.XLOOKUP(tbl_MTG_Set[[#This Row],[Play Booster Box Product Id]], tbl_Product[Product Id], tbl_Product[Pack Size])</f>
        <v/>
      </c>
      <c r="AP569" s="10">
        <f>(tbl_MTG_Set[[#This Row],[Play Booster Box Cost]]+v_Item_Shipping_Cost_In)/tbl_MTG_Set[[#This Row],[Play Booster Box Size]]</f>
        <v/>
      </c>
      <c r="AQ569" s="10">
        <f t="array" ref="AQ5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69" s="10" t="n"/>
      <c r="AS569" s="10" t="n"/>
      <c r="AT569" s="17">
        <f>tbl_MTG_Set[[#This Row],[Play Booster CardMarket Profit]]/tbl_MTG_Set[[#This Row],[Play Booster Cost]]</f>
        <v/>
      </c>
      <c r="AU569" s="10">
        <f>_xlfn.XLOOKUP(tbl_MTG_Set[[#This Row],[Collector Booster Box Product Id]], tbl_Product[Product Id], tbl_Product[Min Cost])</f>
        <v/>
      </c>
      <c r="AV569" s="10">
        <f>_xlfn.XLOOKUP(tbl_MTG_Set[[#This Row],[Collector Booster Box Product Id]], tbl_Product[Product Id], tbl_Product[Best Source])</f>
        <v/>
      </c>
      <c r="AW569" s="4">
        <f>_xlfn.XLOOKUP(tbl_MTG_Set[[#This Row],[Collector Booster Box Product Id]], tbl_Product[Product Id], tbl_Product[Pack Size])</f>
        <v/>
      </c>
      <c r="AX569" s="10">
        <f>(tbl_MTG_Set[[#This Row],[Collector Booster Box Cost]] + v_Item_Shipping_Cost_In) / tbl_MTG_Set[[#This Row],[Collector Booster Box Size]]</f>
        <v/>
      </c>
      <c r="AY569" s="10">
        <f t="array" ref="AY5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69" s="10" t="n"/>
      <c r="BA5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9" s="17">
        <f>tbl_MTG_Set[[#This Row],[Collector Booster CardMarket Profit]]/tbl_MTG_Set[[#This Row],[Collector Booster Cost]]</f>
        <v/>
      </c>
      <c r="BC569" s="10" t="n"/>
      <c r="BF569" s="10">
        <f>tbl_MTG_Set[[#This Row],[Play Booster Sell Price CardMarket]]*tbl_MTG_Set[[#This Row],[Play Booster Expected Market Value]]/tbl_MTG_Set[[#This Row],[Play Boost Sealed Market Value]]</f>
        <v/>
      </c>
      <c r="BG5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9" s="10">
        <f>tbl_MTG_Set[[#This Row],[Play Singles CardMarket Profit]]/tbl_MTG_Set[[#This Row],[Play Booster Cost]]</f>
        <v/>
      </c>
      <c r="BI569" s="10">
        <f>tbl_MTG_Set[[#This Row],[Play Singles CardMarket Profit]]&gt;0</f>
        <v/>
      </c>
      <c r="BJ569" s="10" t="n"/>
      <c r="BK569" s="10" t="n"/>
      <c r="BL569" s="10">
        <f>tbl_MTG_Set[[#This Row],[Collector Booster Sell Price CardMarket]]*tbl_MTG_Set[[#This Row],[Collector Booster Expected Market Value]]/tbl_MTG_Set[[#This Row],[Collector Boost Sealed Market Value]]</f>
        <v/>
      </c>
      <c r="BM5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9" s="10">
        <f>tbl_MTG_Set[[#This Row],[Collector Singles CardMarket Profit]]/tbl_MTG_Set[[#This Row],[Collector Booster Cost]]</f>
        <v/>
      </c>
      <c r="BO569" s="10">
        <f>tbl_MTG_Set[[#This Row],[Collector Singles CardMarket Profit]]&gt;0</f>
        <v/>
      </c>
      <c r="BP5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0">
      <c r="A570" t="n">
        <v>568</v>
      </c>
      <c r="B570" t="inlineStr">
        <is>
          <t>Eldritch Moon Tokens TEMN</t>
        </is>
      </c>
      <c r="C570" t="n">
        <v>11</v>
      </c>
      <c r="D570" s="3" t="n">
        <v>42573</v>
      </c>
      <c r="F570" t="inlineStr">
        <is>
          <t>en es fr de it pt ja ko ru 汉语 漢語</t>
        </is>
      </c>
      <c r="G570" t="n">
        <v>1082</v>
      </c>
      <c r="H570">
        <f>MONTH(NOW())+12*YEAR(NOW())-MONTH(tbl_MTG_Set[[#This Row],[Released On]])-12*YEAR(tbl_MTG_Set[[#This Row],[Released On]])</f>
        <v/>
      </c>
      <c r="I570">
        <f>_xlfn.XLOOKUP(tbl_MTG_Set[[#This Row],[Type Name]], tbl_MTG_Set_Type[Set Type], tbl_MTG_Set_Type[Index], "(Set Type not found)")</f>
        <v/>
      </c>
      <c r="J570">
        <f>_xlfn.XLOOKUP(tbl_MTG_Set[[#This Row],[Type Name]], tbl_MTG_Set_Type[Set Type], tbl_MTG_Set_Type[Buy Window Month Start], "(Set Type not found)")</f>
        <v/>
      </c>
      <c r="K570" s="3">
        <f>tbl_MTG_Set[[#This Row],[Released On]]+tbl_MTG_Set[[#This Row],[Buy Window Month Start]]*365.25/12</f>
        <v/>
      </c>
      <c r="L570">
        <f>_xlfn.XLOOKUP(tbl_MTG_Set[[#This Row],[Type Name]], tbl_MTG_Set_Type[Set Type], tbl_MTG_Set_Type[Buy Window Month End], "(Set Type not found)", 0, 1)</f>
        <v/>
      </c>
      <c r="M570" s="3">
        <f>tbl_MTG_Set[[#This Row],[Released On]]+tbl_MTG_Set[[#This Row],[Buy Window Month End]]*365.25/12</f>
        <v/>
      </c>
      <c r="N570" s="3">
        <f>AND(NOW()&gt;=tbl_MTG_Set[[#This Row],[Buy Window Start]], NOW()&lt;=tbl_MTG_Set[[#This Row],[Buy Window End]])</f>
        <v/>
      </c>
      <c r="O570">
        <f>_xlfn.XLOOKUP(tbl_MTG_Set[[#This Row],[Type Name]], tbl_MTG_Set_Type[Set Type], tbl_MTG_Set_Type[Heavy Printing Window Month Start], "(Set Type not found)", 0, 1)</f>
        <v/>
      </c>
      <c r="P570" s="3">
        <f>tbl_MTG_Set[[#This Row],[Released On]]+tbl_MTG_Set[[#This Row],[Heavy Printing Window Month Start]]*365.25/12</f>
        <v/>
      </c>
      <c r="Q570">
        <f>_xlfn.XLOOKUP(tbl_MTG_Set[[#This Row],[Type Name]], tbl_MTG_Set_Type[Set Type], tbl_MTG_Set_Type[Heavy Printing Window Month End], "(Set Type not found)", 0, 1)</f>
        <v/>
      </c>
      <c r="R570" s="3">
        <f>tbl_MTG_Set[[#This Row],[Released On]]+tbl_MTG_Set[[#This Row],[Heavy Printing Window Month End]]*365.25/12</f>
        <v/>
      </c>
      <c r="S570" s="3">
        <f>AND(NOW()&gt;=tbl_MTG_Set[[#This Row],[Heavy Printing Window Start]], NOW()&lt;=tbl_MTG_Set[[#This Row],[Heavy Printing Window End]])</f>
        <v/>
      </c>
      <c r="T570">
        <f>_xlfn.XLOOKUP(tbl_MTG_Set[[#This Row],[Type Name]], tbl_MTG_Set_Type[Set Type], tbl_MTG_Set_Type[Sell Window Month Start], "(Set Type not found)", 0, 1)</f>
        <v/>
      </c>
      <c r="U570" s="3">
        <f>tbl_MTG_Set[[#This Row],[Released On]]+tbl_MTG_Set[[#This Row],[Sell Window Month Start]]*365.25/12</f>
        <v/>
      </c>
      <c r="V570">
        <f>_xlfn.XLOOKUP(tbl_MTG_Set[[#This Row],[Type Name]], tbl_MTG_Set_Type[Set Type], tbl_MTG_Set_Type[Sell Window Month End], "(Set Type not found)", 0, 1)</f>
        <v/>
      </c>
      <c r="W570" s="3">
        <f>tbl_MTG_Set[[#This Row],[Released On]]+tbl_MTG_Set[[#This Row],[Sell Window Month End]]*365.25/12</f>
        <v/>
      </c>
      <c r="X570" s="3">
        <f>AND(NOW()&gt;=tbl_MTG_Set[[#This Row],[Sell Window Start]], NOW()&lt;=tbl_MTG_Set[[#This Row],[Sell Window End]])</f>
        <v/>
      </c>
      <c r="AG570" s="10" t="n"/>
      <c r="AH570" s="10" t="n"/>
      <c r="AM570" s="10">
        <f t="array" ref="AM5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0" s="10">
        <f t="array" ref="AN5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0" s="4">
        <f>_xlfn.XLOOKUP(tbl_MTG_Set[[#This Row],[Play Booster Box Product Id]], tbl_Product[Product Id], tbl_Product[Pack Size])</f>
        <v/>
      </c>
      <c r="AP570" s="10">
        <f>(tbl_MTG_Set[[#This Row],[Play Booster Box Cost]]+v_Item_Shipping_Cost_In)/tbl_MTG_Set[[#This Row],[Play Booster Box Size]]</f>
        <v/>
      </c>
      <c r="AQ570" s="10">
        <f t="array" ref="AQ5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0" s="10" t="n"/>
      <c r="AS570" s="10" t="n"/>
      <c r="AT570" s="17">
        <f>tbl_MTG_Set[[#This Row],[Play Booster CardMarket Profit]]/tbl_MTG_Set[[#This Row],[Play Booster Cost]]</f>
        <v/>
      </c>
      <c r="AU570" s="10">
        <f>_xlfn.XLOOKUP(tbl_MTG_Set[[#This Row],[Collector Booster Box Product Id]], tbl_Product[Product Id], tbl_Product[Min Cost])</f>
        <v/>
      </c>
      <c r="AV570" s="10">
        <f>_xlfn.XLOOKUP(tbl_MTG_Set[[#This Row],[Collector Booster Box Product Id]], tbl_Product[Product Id], tbl_Product[Best Source])</f>
        <v/>
      </c>
      <c r="AW570" s="4">
        <f>_xlfn.XLOOKUP(tbl_MTG_Set[[#This Row],[Collector Booster Box Product Id]], tbl_Product[Product Id], tbl_Product[Pack Size])</f>
        <v/>
      </c>
      <c r="AX570" s="10">
        <f>(tbl_MTG_Set[[#This Row],[Collector Booster Box Cost]] + v_Item_Shipping_Cost_In) / tbl_MTG_Set[[#This Row],[Collector Booster Box Size]]</f>
        <v/>
      </c>
      <c r="AY570" s="10">
        <f t="array" ref="AY5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0" s="10" t="n"/>
      <c r="BA5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0" s="17">
        <f>tbl_MTG_Set[[#This Row],[Collector Booster CardMarket Profit]]/tbl_MTG_Set[[#This Row],[Collector Booster Cost]]</f>
        <v/>
      </c>
      <c r="BC570" s="10" t="n"/>
      <c r="BF570" s="10">
        <f>tbl_MTG_Set[[#This Row],[Play Booster Sell Price CardMarket]]*tbl_MTG_Set[[#This Row],[Play Booster Expected Market Value]]/tbl_MTG_Set[[#This Row],[Play Boost Sealed Market Value]]</f>
        <v/>
      </c>
      <c r="BG5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0" s="10">
        <f>tbl_MTG_Set[[#This Row],[Play Singles CardMarket Profit]]/tbl_MTG_Set[[#This Row],[Play Booster Cost]]</f>
        <v/>
      </c>
      <c r="BI570" s="10">
        <f>tbl_MTG_Set[[#This Row],[Play Singles CardMarket Profit]]&gt;0</f>
        <v/>
      </c>
      <c r="BJ570" s="10" t="n"/>
      <c r="BK570" s="10" t="n"/>
      <c r="BL570" s="10">
        <f>tbl_MTG_Set[[#This Row],[Collector Booster Sell Price CardMarket]]*tbl_MTG_Set[[#This Row],[Collector Booster Expected Market Value]]/tbl_MTG_Set[[#This Row],[Collector Boost Sealed Market Value]]</f>
        <v/>
      </c>
      <c r="BM5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0" s="10">
        <f>tbl_MTG_Set[[#This Row],[Collector Singles CardMarket Profit]]/tbl_MTG_Set[[#This Row],[Collector Booster Cost]]</f>
        <v/>
      </c>
      <c r="BO570" s="10">
        <f>tbl_MTG_Set[[#This Row],[Collector Singles CardMarket Profit]]&gt;0</f>
        <v/>
      </c>
      <c r="BP5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1">
      <c r="A571" t="n">
        <v>569</v>
      </c>
      <c r="B571" t="inlineStr">
        <is>
          <t>Eternal Masters EMA</t>
        </is>
      </c>
      <c r="C571" t="n">
        <v>249</v>
      </c>
      <c r="D571" s="3" t="n">
        <v>42531</v>
      </c>
      <c r="F571" t="inlineStr">
        <is>
          <t>en es fr de it pt ja ko ru 汉语 漢語</t>
        </is>
      </c>
      <c r="G571" t="n">
        <v>1084</v>
      </c>
      <c r="H571">
        <f>MONTH(NOW())+12*YEAR(NOW())-MONTH(tbl_MTG_Set[[#This Row],[Released On]])-12*YEAR(tbl_MTG_Set[[#This Row],[Released On]])</f>
        <v/>
      </c>
      <c r="I571">
        <f>_xlfn.XLOOKUP(tbl_MTG_Set[[#This Row],[Type Name]], tbl_MTG_Set_Type[Set Type], tbl_MTG_Set_Type[Index], "(Set Type not found)")</f>
        <v/>
      </c>
      <c r="J571">
        <f>_xlfn.XLOOKUP(tbl_MTG_Set[[#This Row],[Type Name]], tbl_MTG_Set_Type[Set Type], tbl_MTG_Set_Type[Buy Window Month Start], "(Set Type not found)")</f>
        <v/>
      </c>
      <c r="K571" s="3">
        <f>tbl_MTG_Set[[#This Row],[Released On]]+tbl_MTG_Set[[#This Row],[Buy Window Month Start]]*365.25/12</f>
        <v/>
      </c>
      <c r="L571">
        <f>_xlfn.XLOOKUP(tbl_MTG_Set[[#This Row],[Type Name]], tbl_MTG_Set_Type[Set Type], tbl_MTG_Set_Type[Buy Window Month End], "(Set Type not found)", 0, 1)</f>
        <v/>
      </c>
      <c r="M571" s="3">
        <f>tbl_MTG_Set[[#This Row],[Released On]]+tbl_MTG_Set[[#This Row],[Buy Window Month End]]*365.25/12</f>
        <v/>
      </c>
      <c r="N571" s="3">
        <f>AND(NOW()&gt;=tbl_MTG_Set[[#This Row],[Buy Window Start]], NOW()&lt;=tbl_MTG_Set[[#This Row],[Buy Window End]])</f>
        <v/>
      </c>
      <c r="O571">
        <f>_xlfn.XLOOKUP(tbl_MTG_Set[[#This Row],[Type Name]], tbl_MTG_Set_Type[Set Type], tbl_MTG_Set_Type[Heavy Printing Window Month Start], "(Set Type not found)", 0, 1)</f>
        <v/>
      </c>
      <c r="P571" s="3">
        <f>tbl_MTG_Set[[#This Row],[Released On]]+tbl_MTG_Set[[#This Row],[Heavy Printing Window Month Start]]*365.25/12</f>
        <v/>
      </c>
      <c r="Q571">
        <f>_xlfn.XLOOKUP(tbl_MTG_Set[[#This Row],[Type Name]], tbl_MTG_Set_Type[Set Type], tbl_MTG_Set_Type[Heavy Printing Window Month End], "(Set Type not found)", 0, 1)</f>
        <v/>
      </c>
      <c r="R571" s="3">
        <f>tbl_MTG_Set[[#This Row],[Released On]]+tbl_MTG_Set[[#This Row],[Heavy Printing Window Month End]]*365.25/12</f>
        <v/>
      </c>
      <c r="S571" s="3">
        <f>AND(NOW()&gt;=tbl_MTG_Set[[#This Row],[Heavy Printing Window Start]], NOW()&lt;=tbl_MTG_Set[[#This Row],[Heavy Printing Window End]])</f>
        <v/>
      </c>
      <c r="T571">
        <f>_xlfn.XLOOKUP(tbl_MTG_Set[[#This Row],[Type Name]], tbl_MTG_Set_Type[Set Type], tbl_MTG_Set_Type[Sell Window Month Start], "(Set Type not found)", 0, 1)</f>
        <v/>
      </c>
      <c r="U571" s="3">
        <f>tbl_MTG_Set[[#This Row],[Released On]]+tbl_MTG_Set[[#This Row],[Sell Window Month Start]]*365.25/12</f>
        <v/>
      </c>
      <c r="V571">
        <f>_xlfn.XLOOKUP(tbl_MTG_Set[[#This Row],[Type Name]], tbl_MTG_Set_Type[Set Type], tbl_MTG_Set_Type[Sell Window Month End], "(Set Type not found)", 0, 1)</f>
        <v/>
      </c>
      <c r="W571" s="3">
        <f>tbl_MTG_Set[[#This Row],[Released On]]+tbl_MTG_Set[[#This Row],[Sell Window Month End]]*365.25/12</f>
        <v/>
      </c>
      <c r="X571" s="3">
        <f>AND(NOW()&gt;=tbl_MTG_Set[[#This Row],[Sell Window Start]], NOW()&lt;=tbl_MTG_Set[[#This Row],[Sell Window End]])</f>
        <v/>
      </c>
      <c r="AG571" s="10" t="n"/>
      <c r="AH571" s="10" t="n"/>
      <c r="AM571" s="10">
        <f t="array" ref="AM5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1" s="10">
        <f t="array" ref="AN5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1" s="4">
        <f>_xlfn.XLOOKUP(tbl_MTG_Set[[#This Row],[Play Booster Box Product Id]], tbl_Product[Product Id], tbl_Product[Pack Size])</f>
        <v/>
      </c>
      <c r="AP571" s="10">
        <f>(tbl_MTG_Set[[#This Row],[Play Booster Box Cost]]+v_Item_Shipping_Cost_In)/tbl_MTG_Set[[#This Row],[Play Booster Box Size]]</f>
        <v/>
      </c>
      <c r="AQ571" s="10">
        <f t="array" ref="AQ5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1" s="10" t="n"/>
      <c r="AS571" s="10" t="n"/>
      <c r="AT571" s="17">
        <f>tbl_MTG_Set[[#This Row],[Play Booster CardMarket Profit]]/tbl_MTG_Set[[#This Row],[Play Booster Cost]]</f>
        <v/>
      </c>
      <c r="AU571" s="10">
        <f>_xlfn.XLOOKUP(tbl_MTG_Set[[#This Row],[Collector Booster Box Product Id]], tbl_Product[Product Id], tbl_Product[Min Cost])</f>
        <v/>
      </c>
      <c r="AV571" s="10">
        <f>_xlfn.XLOOKUP(tbl_MTG_Set[[#This Row],[Collector Booster Box Product Id]], tbl_Product[Product Id], tbl_Product[Best Source])</f>
        <v/>
      </c>
      <c r="AW571" s="4">
        <f>_xlfn.XLOOKUP(tbl_MTG_Set[[#This Row],[Collector Booster Box Product Id]], tbl_Product[Product Id], tbl_Product[Pack Size])</f>
        <v/>
      </c>
      <c r="AX571" s="10">
        <f>(tbl_MTG_Set[[#This Row],[Collector Booster Box Cost]] + v_Item_Shipping_Cost_In) / tbl_MTG_Set[[#This Row],[Collector Booster Box Size]]</f>
        <v/>
      </c>
      <c r="AY571" s="10">
        <f t="array" ref="AY5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1" s="10" t="n"/>
      <c r="BA5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1" s="17">
        <f>tbl_MTG_Set[[#This Row],[Collector Booster CardMarket Profit]]/tbl_MTG_Set[[#This Row],[Collector Booster Cost]]</f>
        <v/>
      </c>
      <c r="BC571" s="10" t="n"/>
      <c r="BF571" s="10">
        <f>tbl_MTG_Set[[#This Row],[Play Booster Sell Price CardMarket]]*tbl_MTG_Set[[#This Row],[Play Booster Expected Market Value]]/tbl_MTG_Set[[#This Row],[Play Boost Sealed Market Value]]</f>
        <v/>
      </c>
      <c r="BG5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1" s="10">
        <f>tbl_MTG_Set[[#This Row],[Play Singles CardMarket Profit]]/tbl_MTG_Set[[#This Row],[Play Booster Cost]]</f>
        <v/>
      </c>
      <c r="BI571" s="10">
        <f>tbl_MTG_Set[[#This Row],[Play Singles CardMarket Profit]]&gt;0</f>
        <v/>
      </c>
      <c r="BJ571" s="10" t="n"/>
      <c r="BK571" s="10" t="n"/>
      <c r="BL571" s="10">
        <f>tbl_MTG_Set[[#This Row],[Collector Booster Sell Price CardMarket]]*tbl_MTG_Set[[#This Row],[Collector Booster Expected Market Value]]/tbl_MTG_Set[[#This Row],[Collector Boost Sealed Market Value]]</f>
        <v/>
      </c>
      <c r="BM5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1" s="10">
        <f>tbl_MTG_Set[[#This Row],[Collector Singles CardMarket Profit]]/tbl_MTG_Set[[#This Row],[Collector Booster Cost]]</f>
        <v/>
      </c>
      <c r="BO571" s="10">
        <f>tbl_MTG_Set[[#This Row],[Collector Singles CardMarket Profit]]&gt;0</f>
        <v/>
      </c>
      <c r="BP5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2">
      <c r="A572" t="n">
        <v>570</v>
      </c>
      <c r="B572" t="inlineStr">
        <is>
          <t>Eternal Masters Tokens TEMA</t>
        </is>
      </c>
      <c r="C572" t="n">
        <v>16</v>
      </c>
      <c r="D572" s="3" t="n">
        <v>42531</v>
      </c>
      <c r="F572" t="inlineStr">
        <is>
          <t>en es fr de it pt ja ko ru 汉语 漢語</t>
        </is>
      </c>
      <c r="G572" t="n">
        <v>1086</v>
      </c>
      <c r="H572">
        <f>MONTH(NOW())+12*YEAR(NOW())-MONTH(tbl_MTG_Set[[#This Row],[Released On]])-12*YEAR(tbl_MTG_Set[[#This Row],[Released On]])</f>
        <v/>
      </c>
      <c r="I572">
        <f>_xlfn.XLOOKUP(tbl_MTG_Set[[#This Row],[Type Name]], tbl_MTG_Set_Type[Set Type], tbl_MTG_Set_Type[Index], "(Set Type not found)")</f>
        <v/>
      </c>
      <c r="J572">
        <f>_xlfn.XLOOKUP(tbl_MTG_Set[[#This Row],[Type Name]], tbl_MTG_Set_Type[Set Type], tbl_MTG_Set_Type[Buy Window Month Start], "(Set Type not found)")</f>
        <v/>
      </c>
      <c r="K572" s="3">
        <f>tbl_MTG_Set[[#This Row],[Released On]]+tbl_MTG_Set[[#This Row],[Buy Window Month Start]]*365.25/12</f>
        <v/>
      </c>
      <c r="L572">
        <f>_xlfn.XLOOKUP(tbl_MTG_Set[[#This Row],[Type Name]], tbl_MTG_Set_Type[Set Type], tbl_MTG_Set_Type[Buy Window Month End], "(Set Type not found)", 0, 1)</f>
        <v/>
      </c>
      <c r="M572" s="3">
        <f>tbl_MTG_Set[[#This Row],[Released On]]+tbl_MTG_Set[[#This Row],[Buy Window Month End]]*365.25/12</f>
        <v/>
      </c>
      <c r="N572" s="3">
        <f>AND(NOW()&gt;=tbl_MTG_Set[[#This Row],[Buy Window Start]], NOW()&lt;=tbl_MTG_Set[[#This Row],[Buy Window End]])</f>
        <v/>
      </c>
      <c r="O572">
        <f>_xlfn.XLOOKUP(tbl_MTG_Set[[#This Row],[Type Name]], tbl_MTG_Set_Type[Set Type], tbl_MTG_Set_Type[Heavy Printing Window Month Start], "(Set Type not found)", 0, 1)</f>
        <v/>
      </c>
      <c r="P572" s="3">
        <f>tbl_MTG_Set[[#This Row],[Released On]]+tbl_MTG_Set[[#This Row],[Heavy Printing Window Month Start]]*365.25/12</f>
        <v/>
      </c>
      <c r="Q572">
        <f>_xlfn.XLOOKUP(tbl_MTG_Set[[#This Row],[Type Name]], tbl_MTG_Set_Type[Set Type], tbl_MTG_Set_Type[Heavy Printing Window Month End], "(Set Type not found)", 0, 1)</f>
        <v/>
      </c>
      <c r="R572" s="3">
        <f>tbl_MTG_Set[[#This Row],[Released On]]+tbl_MTG_Set[[#This Row],[Heavy Printing Window Month End]]*365.25/12</f>
        <v/>
      </c>
      <c r="S572" s="3">
        <f>AND(NOW()&gt;=tbl_MTG_Set[[#This Row],[Heavy Printing Window Start]], NOW()&lt;=tbl_MTG_Set[[#This Row],[Heavy Printing Window End]])</f>
        <v/>
      </c>
      <c r="T572">
        <f>_xlfn.XLOOKUP(tbl_MTG_Set[[#This Row],[Type Name]], tbl_MTG_Set_Type[Set Type], tbl_MTG_Set_Type[Sell Window Month Start], "(Set Type not found)", 0, 1)</f>
        <v/>
      </c>
      <c r="U572" s="3">
        <f>tbl_MTG_Set[[#This Row],[Released On]]+tbl_MTG_Set[[#This Row],[Sell Window Month Start]]*365.25/12</f>
        <v/>
      </c>
      <c r="V572">
        <f>_xlfn.XLOOKUP(tbl_MTG_Set[[#This Row],[Type Name]], tbl_MTG_Set_Type[Set Type], tbl_MTG_Set_Type[Sell Window Month End], "(Set Type not found)", 0, 1)</f>
        <v/>
      </c>
      <c r="W572" s="3">
        <f>tbl_MTG_Set[[#This Row],[Released On]]+tbl_MTG_Set[[#This Row],[Sell Window Month End]]*365.25/12</f>
        <v/>
      </c>
      <c r="X572" s="3">
        <f>AND(NOW()&gt;=tbl_MTG_Set[[#This Row],[Sell Window Start]], NOW()&lt;=tbl_MTG_Set[[#This Row],[Sell Window End]])</f>
        <v/>
      </c>
      <c r="AG572" s="10" t="n"/>
      <c r="AH572" s="10" t="n"/>
      <c r="AM572" s="10">
        <f t="array" ref="AM5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2" s="10">
        <f t="array" ref="AN5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2" s="4">
        <f>_xlfn.XLOOKUP(tbl_MTG_Set[[#This Row],[Play Booster Box Product Id]], tbl_Product[Product Id], tbl_Product[Pack Size])</f>
        <v/>
      </c>
      <c r="AP572" s="10">
        <f>(tbl_MTG_Set[[#This Row],[Play Booster Box Cost]]+v_Item_Shipping_Cost_In)/tbl_MTG_Set[[#This Row],[Play Booster Box Size]]</f>
        <v/>
      </c>
      <c r="AQ572" s="10">
        <f t="array" ref="AQ5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2" s="10" t="n"/>
      <c r="AS572" s="10" t="n"/>
      <c r="AT572" s="17">
        <f>tbl_MTG_Set[[#This Row],[Play Booster CardMarket Profit]]/tbl_MTG_Set[[#This Row],[Play Booster Cost]]</f>
        <v/>
      </c>
      <c r="AU572" s="10">
        <f>_xlfn.XLOOKUP(tbl_MTG_Set[[#This Row],[Collector Booster Box Product Id]], tbl_Product[Product Id], tbl_Product[Min Cost])</f>
        <v/>
      </c>
      <c r="AV572" s="10">
        <f>_xlfn.XLOOKUP(tbl_MTG_Set[[#This Row],[Collector Booster Box Product Id]], tbl_Product[Product Id], tbl_Product[Best Source])</f>
        <v/>
      </c>
      <c r="AW572" s="4">
        <f>_xlfn.XLOOKUP(tbl_MTG_Set[[#This Row],[Collector Booster Box Product Id]], tbl_Product[Product Id], tbl_Product[Pack Size])</f>
        <v/>
      </c>
      <c r="AX572" s="10">
        <f>(tbl_MTG_Set[[#This Row],[Collector Booster Box Cost]] + v_Item_Shipping_Cost_In) / tbl_MTG_Set[[#This Row],[Collector Booster Box Size]]</f>
        <v/>
      </c>
      <c r="AY572" s="10">
        <f t="array" ref="AY5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2" s="10" t="n"/>
      <c r="BA5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2" s="17">
        <f>tbl_MTG_Set[[#This Row],[Collector Booster CardMarket Profit]]/tbl_MTG_Set[[#This Row],[Collector Booster Cost]]</f>
        <v/>
      </c>
      <c r="BC572" s="10" t="n"/>
      <c r="BF572" s="10">
        <f>tbl_MTG_Set[[#This Row],[Play Booster Sell Price CardMarket]]*tbl_MTG_Set[[#This Row],[Play Booster Expected Market Value]]/tbl_MTG_Set[[#This Row],[Play Boost Sealed Market Value]]</f>
        <v/>
      </c>
      <c r="BG5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2" s="10">
        <f>tbl_MTG_Set[[#This Row],[Play Singles CardMarket Profit]]/tbl_MTG_Set[[#This Row],[Play Booster Cost]]</f>
        <v/>
      </c>
      <c r="BI572" s="10">
        <f>tbl_MTG_Set[[#This Row],[Play Singles CardMarket Profit]]&gt;0</f>
        <v/>
      </c>
      <c r="BJ572" s="10" t="n"/>
      <c r="BK572" s="10" t="n"/>
      <c r="BL572" s="10">
        <f>tbl_MTG_Set[[#This Row],[Collector Booster Sell Price CardMarket]]*tbl_MTG_Set[[#This Row],[Collector Booster Expected Market Value]]/tbl_MTG_Set[[#This Row],[Collector Boost Sealed Market Value]]</f>
        <v/>
      </c>
      <c r="BM5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2" s="10">
        <f>tbl_MTG_Set[[#This Row],[Collector Singles CardMarket Profit]]/tbl_MTG_Set[[#This Row],[Collector Booster Cost]]</f>
        <v/>
      </c>
      <c r="BO572" s="10">
        <f>tbl_MTG_Set[[#This Row],[Collector Singles CardMarket Profit]]&gt;0</f>
        <v/>
      </c>
      <c r="BP5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3">
      <c r="A573" t="n">
        <v>571</v>
      </c>
      <c r="B573" t="inlineStr">
        <is>
          <t>Shadows over Innistrad SOI</t>
        </is>
      </c>
      <c r="C573" t="n">
        <v>302</v>
      </c>
      <c r="D573" s="3" t="n">
        <v>42468</v>
      </c>
      <c r="F573" t="inlineStr">
        <is>
          <t>en es fr de it pt ja ko ru 汉语 漢語</t>
        </is>
      </c>
      <c r="G573" t="n">
        <v>1088</v>
      </c>
      <c r="H573">
        <f>MONTH(NOW())+12*YEAR(NOW())-MONTH(tbl_MTG_Set[[#This Row],[Released On]])-12*YEAR(tbl_MTG_Set[[#This Row],[Released On]])</f>
        <v/>
      </c>
      <c r="I573">
        <f>_xlfn.XLOOKUP(tbl_MTG_Set[[#This Row],[Type Name]], tbl_MTG_Set_Type[Set Type], tbl_MTG_Set_Type[Index], "(Set Type not found)")</f>
        <v/>
      </c>
      <c r="J573">
        <f>_xlfn.XLOOKUP(tbl_MTG_Set[[#This Row],[Type Name]], tbl_MTG_Set_Type[Set Type], tbl_MTG_Set_Type[Buy Window Month Start], "(Set Type not found)")</f>
        <v/>
      </c>
      <c r="K573" s="3">
        <f>tbl_MTG_Set[[#This Row],[Released On]]+tbl_MTG_Set[[#This Row],[Buy Window Month Start]]*365.25/12</f>
        <v/>
      </c>
      <c r="L573">
        <f>_xlfn.XLOOKUP(tbl_MTG_Set[[#This Row],[Type Name]], tbl_MTG_Set_Type[Set Type], tbl_MTG_Set_Type[Buy Window Month End], "(Set Type not found)", 0, 1)</f>
        <v/>
      </c>
      <c r="M573" s="3">
        <f>tbl_MTG_Set[[#This Row],[Released On]]+tbl_MTG_Set[[#This Row],[Buy Window Month End]]*365.25/12</f>
        <v/>
      </c>
      <c r="N573" s="3">
        <f>AND(NOW()&gt;=tbl_MTG_Set[[#This Row],[Buy Window Start]], NOW()&lt;=tbl_MTG_Set[[#This Row],[Buy Window End]])</f>
        <v/>
      </c>
      <c r="O573">
        <f>_xlfn.XLOOKUP(tbl_MTG_Set[[#This Row],[Type Name]], tbl_MTG_Set_Type[Set Type], tbl_MTG_Set_Type[Heavy Printing Window Month Start], "(Set Type not found)", 0, 1)</f>
        <v/>
      </c>
      <c r="P573" s="3">
        <f>tbl_MTG_Set[[#This Row],[Released On]]+tbl_MTG_Set[[#This Row],[Heavy Printing Window Month Start]]*365.25/12</f>
        <v/>
      </c>
      <c r="Q573">
        <f>_xlfn.XLOOKUP(tbl_MTG_Set[[#This Row],[Type Name]], tbl_MTG_Set_Type[Set Type], tbl_MTG_Set_Type[Heavy Printing Window Month End], "(Set Type not found)", 0, 1)</f>
        <v/>
      </c>
      <c r="R573" s="3">
        <f>tbl_MTG_Set[[#This Row],[Released On]]+tbl_MTG_Set[[#This Row],[Heavy Printing Window Month End]]*365.25/12</f>
        <v/>
      </c>
      <c r="S573" s="3">
        <f>AND(NOW()&gt;=tbl_MTG_Set[[#This Row],[Heavy Printing Window Start]], NOW()&lt;=tbl_MTG_Set[[#This Row],[Heavy Printing Window End]])</f>
        <v/>
      </c>
      <c r="T573">
        <f>_xlfn.XLOOKUP(tbl_MTG_Set[[#This Row],[Type Name]], tbl_MTG_Set_Type[Set Type], tbl_MTG_Set_Type[Sell Window Month Start], "(Set Type not found)", 0, 1)</f>
        <v/>
      </c>
      <c r="U573" s="3">
        <f>tbl_MTG_Set[[#This Row],[Released On]]+tbl_MTG_Set[[#This Row],[Sell Window Month Start]]*365.25/12</f>
        <v/>
      </c>
      <c r="V573">
        <f>_xlfn.XLOOKUP(tbl_MTG_Set[[#This Row],[Type Name]], tbl_MTG_Set_Type[Set Type], tbl_MTG_Set_Type[Sell Window Month End], "(Set Type not found)", 0, 1)</f>
        <v/>
      </c>
      <c r="W573" s="3">
        <f>tbl_MTG_Set[[#This Row],[Released On]]+tbl_MTG_Set[[#This Row],[Sell Window Month End]]*365.25/12</f>
        <v/>
      </c>
      <c r="X573" s="3">
        <f>AND(NOW()&gt;=tbl_MTG_Set[[#This Row],[Sell Window Start]], NOW()&lt;=tbl_MTG_Set[[#This Row],[Sell Window End]])</f>
        <v/>
      </c>
      <c r="AG573" s="10" t="n"/>
      <c r="AH573" s="10" t="n"/>
      <c r="AM573" s="10">
        <f t="array" ref="AM5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3" s="10">
        <f t="array" ref="AN5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3" s="4">
        <f>_xlfn.XLOOKUP(tbl_MTG_Set[[#This Row],[Play Booster Box Product Id]], tbl_Product[Product Id], tbl_Product[Pack Size])</f>
        <v/>
      </c>
      <c r="AP573" s="10">
        <f>(tbl_MTG_Set[[#This Row],[Play Booster Box Cost]]+v_Item_Shipping_Cost_In)/tbl_MTG_Set[[#This Row],[Play Booster Box Size]]</f>
        <v/>
      </c>
      <c r="AQ573" s="10">
        <f t="array" ref="AQ5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3" s="10" t="n"/>
      <c r="AS573" s="10" t="n"/>
      <c r="AT573" s="17">
        <f>tbl_MTG_Set[[#This Row],[Play Booster CardMarket Profit]]/tbl_MTG_Set[[#This Row],[Play Booster Cost]]</f>
        <v/>
      </c>
      <c r="AU573" s="10">
        <f>_xlfn.XLOOKUP(tbl_MTG_Set[[#This Row],[Collector Booster Box Product Id]], tbl_Product[Product Id], tbl_Product[Min Cost])</f>
        <v/>
      </c>
      <c r="AV573" s="10">
        <f>_xlfn.XLOOKUP(tbl_MTG_Set[[#This Row],[Collector Booster Box Product Id]], tbl_Product[Product Id], tbl_Product[Best Source])</f>
        <v/>
      </c>
      <c r="AW573" s="4">
        <f>_xlfn.XLOOKUP(tbl_MTG_Set[[#This Row],[Collector Booster Box Product Id]], tbl_Product[Product Id], tbl_Product[Pack Size])</f>
        <v/>
      </c>
      <c r="AX573" s="10">
        <f>(tbl_MTG_Set[[#This Row],[Collector Booster Box Cost]] + v_Item_Shipping_Cost_In) / tbl_MTG_Set[[#This Row],[Collector Booster Box Size]]</f>
        <v/>
      </c>
      <c r="AY573" s="10">
        <f t="array" ref="AY5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3" s="10" t="n"/>
      <c r="BA5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3" s="17">
        <f>tbl_MTG_Set[[#This Row],[Collector Booster CardMarket Profit]]/tbl_MTG_Set[[#This Row],[Collector Booster Cost]]</f>
        <v/>
      </c>
      <c r="BC573" s="10" t="n"/>
      <c r="BF573" s="10">
        <f>tbl_MTG_Set[[#This Row],[Play Booster Sell Price CardMarket]]*tbl_MTG_Set[[#This Row],[Play Booster Expected Market Value]]/tbl_MTG_Set[[#This Row],[Play Boost Sealed Market Value]]</f>
        <v/>
      </c>
      <c r="BG5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3" s="10">
        <f>tbl_MTG_Set[[#This Row],[Play Singles CardMarket Profit]]/tbl_MTG_Set[[#This Row],[Play Booster Cost]]</f>
        <v/>
      </c>
      <c r="BI573" s="10">
        <f>tbl_MTG_Set[[#This Row],[Play Singles CardMarket Profit]]&gt;0</f>
        <v/>
      </c>
      <c r="BJ573" s="10" t="n"/>
      <c r="BK573" s="10" t="n"/>
      <c r="BL573" s="10">
        <f>tbl_MTG_Set[[#This Row],[Collector Booster Sell Price CardMarket]]*tbl_MTG_Set[[#This Row],[Collector Booster Expected Market Value]]/tbl_MTG_Set[[#This Row],[Collector Boost Sealed Market Value]]</f>
        <v/>
      </c>
      <c r="BM5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3" s="10">
        <f>tbl_MTG_Set[[#This Row],[Collector Singles CardMarket Profit]]/tbl_MTG_Set[[#This Row],[Collector Booster Cost]]</f>
        <v/>
      </c>
      <c r="BO573" s="10">
        <f>tbl_MTG_Set[[#This Row],[Collector Singles CardMarket Profit]]&gt;0</f>
        <v/>
      </c>
      <c r="BP5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4">
      <c r="A574" t="n">
        <v>572</v>
      </c>
      <c r="B574" t="inlineStr">
        <is>
          <t>Shadows over Innistrad Promos PSOI</t>
        </is>
      </c>
      <c r="C574" t="n">
        <v>90</v>
      </c>
      <c r="D574" s="3" t="n">
        <v>42468</v>
      </c>
      <c r="F574" t="inlineStr">
        <is>
          <t>en es fr de it pt ja ko ru 汉语 漢語</t>
        </is>
      </c>
      <c r="G574" t="n">
        <v>1090</v>
      </c>
      <c r="H574">
        <f>MONTH(NOW())+12*YEAR(NOW())-MONTH(tbl_MTG_Set[[#This Row],[Released On]])-12*YEAR(tbl_MTG_Set[[#This Row],[Released On]])</f>
        <v/>
      </c>
      <c r="I574">
        <f>_xlfn.XLOOKUP(tbl_MTG_Set[[#This Row],[Type Name]], tbl_MTG_Set_Type[Set Type], tbl_MTG_Set_Type[Index], "(Set Type not found)")</f>
        <v/>
      </c>
      <c r="J574">
        <f>_xlfn.XLOOKUP(tbl_MTG_Set[[#This Row],[Type Name]], tbl_MTG_Set_Type[Set Type], tbl_MTG_Set_Type[Buy Window Month Start], "(Set Type not found)")</f>
        <v/>
      </c>
      <c r="K574" s="3">
        <f>tbl_MTG_Set[[#This Row],[Released On]]+tbl_MTG_Set[[#This Row],[Buy Window Month Start]]*365.25/12</f>
        <v/>
      </c>
      <c r="L574">
        <f>_xlfn.XLOOKUP(tbl_MTG_Set[[#This Row],[Type Name]], tbl_MTG_Set_Type[Set Type], tbl_MTG_Set_Type[Buy Window Month End], "(Set Type not found)", 0, 1)</f>
        <v/>
      </c>
      <c r="M574" s="3">
        <f>tbl_MTG_Set[[#This Row],[Released On]]+tbl_MTG_Set[[#This Row],[Buy Window Month End]]*365.25/12</f>
        <v/>
      </c>
      <c r="N574" s="3">
        <f>AND(NOW()&gt;=tbl_MTG_Set[[#This Row],[Buy Window Start]], NOW()&lt;=tbl_MTG_Set[[#This Row],[Buy Window End]])</f>
        <v/>
      </c>
      <c r="O574">
        <f>_xlfn.XLOOKUP(tbl_MTG_Set[[#This Row],[Type Name]], tbl_MTG_Set_Type[Set Type], tbl_MTG_Set_Type[Heavy Printing Window Month Start], "(Set Type not found)", 0, 1)</f>
        <v/>
      </c>
      <c r="P574" s="3">
        <f>tbl_MTG_Set[[#This Row],[Released On]]+tbl_MTG_Set[[#This Row],[Heavy Printing Window Month Start]]*365.25/12</f>
        <v/>
      </c>
      <c r="Q574">
        <f>_xlfn.XLOOKUP(tbl_MTG_Set[[#This Row],[Type Name]], tbl_MTG_Set_Type[Set Type], tbl_MTG_Set_Type[Heavy Printing Window Month End], "(Set Type not found)", 0, 1)</f>
        <v/>
      </c>
      <c r="R574" s="3">
        <f>tbl_MTG_Set[[#This Row],[Released On]]+tbl_MTG_Set[[#This Row],[Heavy Printing Window Month End]]*365.25/12</f>
        <v/>
      </c>
      <c r="S574" s="3">
        <f>AND(NOW()&gt;=tbl_MTG_Set[[#This Row],[Heavy Printing Window Start]], NOW()&lt;=tbl_MTG_Set[[#This Row],[Heavy Printing Window End]])</f>
        <v/>
      </c>
      <c r="T574">
        <f>_xlfn.XLOOKUP(tbl_MTG_Set[[#This Row],[Type Name]], tbl_MTG_Set_Type[Set Type], tbl_MTG_Set_Type[Sell Window Month Start], "(Set Type not found)", 0, 1)</f>
        <v/>
      </c>
      <c r="U574" s="3">
        <f>tbl_MTG_Set[[#This Row],[Released On]]+tbl_MTG_Set[[#This Row],[Sell Window Month Start]]*365.25/12</f>
        <v/>
      </c>
      <c r="V574">
        <f>_xlfn.XLOOKUP(tbl_MTG_Set[[#This Row],[Type Name]], tbl_MTG_Set_Type[Set Type], tbl_MTG_Set_Type[Sell Window Month End], "(Set Type not found)", 0, 1)</f>
        <v/>
      </c>
      <c r="W574" s="3">
        <f>tbl_MTG_Set[[#This Row],[Released On]]+tbl_MTG_Set[[#This Row],[Sell Window Month End]]*365.25/12</f>
        <v/>
      </c>
      <c r="X574" s="3">
        <f>AND(NOW()&gt;=tbl_MTG_Set[[#This Row],[Sell Window Start]], NOW()&lt;=tbl_MTG_Set[[#This Row],[Sell Window End]])</f>
        <v/>
      </c>
      <c r="AG574" s="10" t="n"/>
      <c r="AH574" s="10" t="n"/>
      <c r="AM574" s="10">
        <f t="array" ref="AM5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4" s="10">
        <f t="array" ref="AN5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4" s="4">
        <f>_xlfn.XLOOKUP(tbl_MTG_Set[[#This Row],[Play Booster Box Product Id]], tbl_Product[Product Id], tbl_Product[Pack Size])</f>
        <v/>
      </c>
      <c r="AP574" s="10">
        <f>(tbl_MTG_Set[[#This Row],[Play Booster Box Cost]]+v_Item_Shipping_Cost_In)/tbl_MTG_Set[[#This Row],[Play Booster Box Size]]</f>
        <v/>
      </c>
      <c r="AQ574" s="10">
        <f t="array" ref="AQ5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4" s="10" t="n"/>
      <c r="AS574" s="10" t="n"/>
      <c r="AT574" s="17">
        <f>tbl_MTG_Set[[#This Row],[Play Booster CardMarket Profit]]/tbl_MTG_Set[[#This Row],[Play Booster Cost]]</f>
        <v/>
      </c>
      <c r="AU574" s="10">
        <f>_xlfn.XLOOKUP(tbl_MTG_Set[[#This Row],[Collector Booster Box Product Id]], tbl_Product[Product Id], tbl_Product[Min Cost])</f>
        <v/>
      </c>
      <c r="AV574" s="10">
        <f>_xlfn.XLOOKUP(tbl_MTG_Set[[#This Row],[Collector Booster Box Product Id]], tbl_Product[Product Id], tbl_Product[Best Source])</f>
        <v/>
      </c>
      <c r="AW574" s="4">
        <f>_xlfn.XLOOKUP(tbl_MTG_Set[[#This Row],[Collector Booster Box Product Id]], tbl_Product[Product Id], tbl_Product[Pack Size])</f>
        <v/>
      </c>
      <c r="AX574" s="10">
        <f>(tbl_MTG_Set[[#This Row],[Collector Booster Box Cost]] + v_Item_Shipping_Cost_In) / tbl_MTG_Set[[#This Row],[Collector Booster Box Size]]</f>
        <v/>
      </c>
      <c r="AY574" s="10">
        <f t="array" ref="AY5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4" s="10" t="n"/>
      <c r="BA5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4" s="17">
        <f>tbl_MTG_Set[[#This Row],[Collector Booster CardMarket Profit]]/tbl_MTG_Set[[#This Row],[Collector Booster Cost]]</f>
        <v/>
      </c>
      <c r="BC574" s="10" t="n"/>
      <c r="BF574" s="10">
        <f>tbl_MTG_Set[[#This Row],[Play Booster Sell Price CardMarket]]*tbl_MTG_Set[[#This Row],[Play Booster Expected Market Value]]/tbl_MTG_Set[[#This Row],[Play Boost Sealed Market Value]]</f>
        <v/>
      </c>
      <c r="BG5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4" s="10">
        <f>tbl_MTG_Set[[#This Row],[Play Singles CardMarket Profit]]/tbl_MTG_Set[[#This Row],[Play Booster Cost]]</f>
        <v/>
      </c>
      <c r="BI574" s="10">
        <f>tbl_MTG_Set[[#This Row],[Play Singles CardMarket Profit]]&gt;0</f>
        <v/>
      </c>
      <c r="BJ574" s="10" t="n"/>
      <c r="BK574" s="10" t="n"/>
      <c r="BL574" s="10">
        <f>tbl_MTG_Set[[#This Row],[Collector Booster Sell Price CardMarket]]*tbl_MTG_Set[[#This Row],[Collector Booster Expected Market Value]]/tbl_MTG_Set[[#This Row],[Collector Boost Sealed Market Value]]</f>
        <v/>
      </c>
      <c r="BM5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4" s="10">
        <f>tbl_MTG_Set[[#This Row],[Collector Singles CardMarket Profit]]/tbl_MTG_Set[[#This Row],[Collector Booster Cost]]</f>
        <v/>
      </c>
      <c r="BO574" s="10">
        <f>tbl_MTG_Set[[#This Row],[Collector Singles CardMarket Profit]]&gt;0</f>
        <v/>
      </c>
      <c r="BP5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5">
      <c r="A575" t="n">
        <v>573</v>
      </c>
      <c r="B575" t="inlineStr">
        <is>
          <t>Shadows over Innistrad Tokens TSOI</t>
        </is>
      </c>
      <c r="C575" t="n">
        <v>20</v>
      </c>
      <c r="D575" s="3" t="n">
        <v>42468</v>
      </c>
      <c r="F575" t="inlineStr">
        <is>
          <t>en es fr de it pt ja ko ru 汉语 漢語</t>
        </is>
      </c>
      <c r="G575" t="n">
        <v>1092</v>
      </c>
      <c r="H575">
        <f>MONTH(NOW())+12*YEAR(NOW())-MONTH(tbl_MTG_Set[[#This Row],[Released On]])-12*YEAR(tbl_MTG_Set[[#This Row],[Released On]])</f>
        <v/>
      </c>
      <c r="I575">
        <f>_xlfn.XLOOKUP(tbl_MTG_Set[[#This Row],[Type Name]], tbl_MTG_Set_Type[Set Type], tbl_MTG_Set_Type[Index], "(Set Type not found)")</f>
        <v/>
      </c>
      <c r="J575">
        <f>_xlfn.XLOOKUP(tbl_MTG_Set[[#This Row],[Type Name]], tbl_MTG_Set_Type[Set Type], tbl_MTG_Set_Type[Buy Window Month Start], "(Set Type not found)")</f>
        <v/>
      </c>
      <c r="K575" s="3">
        <f>tbl_MTG_Set[[#This Row],[Released On]]+tbl_MTG_Set[[#This Row],[Buy Window Month Start]]*365.25/12</f>
        <v/>
      </c>
      <c r="L575">
        <f>_xlfn.XLOOKUP(tbl_MTG_Set[[#This Row],[Type Name]], tbl_MTG_Set_Type[Set Type], tbl_MTG_Set_Type[Buy Window Month End], "(Set Type not found)", 0, 1)</f>
        <v/>
      </c>
      <c r="M575" s="3">
        <f>tbl_MTG_Set[[#This Row],[Released On]]+tbl_MTG_Set[[#This Row],[Buy Window Month End]]*365.25/12</f>
        <v/>
      </c>
      <c r="N575" s="3">
        <f>AND(NOW()&gt;=tbl_MTG_Set[[#This Row],[Buy Window Start]], NOW()&lt;=tbl_MTG_Set[[#This Row],[Buy Window End]])</f>
        <v/>
      </c>
      <c r="O575">
        <f>_xlfn.XLOOKUP(tbl_MTG_Set[[#This Row],[Type Name]], tbl_MTG_Set_Type[Set Type], tbl_MTG_Set_Type[Heavy Printing Window Month Start], "(Set Type not found)", 0, 1)</f>
        <v/>
      </c>
      <c r="P575" s="3">
        <f>tbl_MTG_Set[[#This Row],[Released On]]+tbl_MTG_Set[[#This Row],[Heavy Printing Window Month Start]]*365.25/12</f>
        <v/>
      </c>
      <c r="Q575">
        <f>_xlfn.XLOOKUP(tbl_MTG_Set[[#This Row],[Type Name]], tbl_MTG_Set_Type[Set Type], tbl_MTG_Set_Type[Heavy Printing Window Month End], "(Set Type not found)", 0, 1)</f>
        <v/>
      </c>
      <c r="R575" s="3">
        <f>tbl_MTG_Set[[#This Row],[Released On]]+tbl_MTG_Set[[#This Row],[Heavy Printing Window Month End]]*365.25/12</f>
        <v/>
      </c>
      <c r="S575" s="3">
        <f>AND(NOW()&gt;=tbl_MTG_Set[[#This Row],[Heavy Printing Window Start]], NOW()&lt;=tbl_MTG_Set[[#This Row],[Heavy Printing Window End]])</f>
        <v/>
      </c>
      <c r="T575">
        <f>_xlfn.XLOOKUP(tbl_MTG_Set[[#This Row],[Type Name]], tbl_MTG_Set_Type[Set Type], tbl_MTG_Set_Type[Sell Window Month Start], "(Set Type not found)", 0, 1)</f>
        <v/>
      </c>
      <c r="U575" s="3">
        <f>tbl_MTG_Set[[#This Row],[Released On]]+tbl_MTG_Set[[#This Row],[Sell Window Month Start]]*365.25/12</f>
        <v/>
      </c>
      <c r="V575">
        <f>_xlfn.XLOOKUP(tbl_MTG_Set[[#This Row],[Type Name]], tbl_MTG_Set_Type[Set Type], tbl_MTG_Set_Type[Sell Window Month End], "(Set Type not found)", 0, 1)</f>
        <v/>
      </c>
      <c r="W575" s="3">
        <f>tbl_MTG_Set[[#This Row],[Released On]]+tbl_MTG_Set[[#This Row],[Sell Window Month End]]*365.25/12</f>
        <v/>
      </c>
      <c r="X575" s="3">
        <f>AND(NOW()&gt;=tbl_MTG_Set[[#This Row],[Sell Window Start]], NOW()&lt;=tbl_MTG_Set[[#This Row],[Sell Window End]])</f>
        <v/>
      </c>
      <c r="AG575" s="10" t="n"/>
      <c r="AH575" s="10" t="n"/>
      <c r="AM575" s="10">
        <f t="array" ref="AM5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5" s="10">
        <f t="array" ref="AN5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5" s="4">
        <f>_xlfn.XLOOKUP(tbl_MTG_Set[[#This Row],[Play Booster Box Product Id]], tbl_Product[Product Id], tbl_Product[Pack Size])</f>
        <v/>
      </c>
      <c r="AP575" s="10">
        <f>(tbl_MTG_Set[[#This Row],[Play Booster Box Cost]]+v_Item_Shipping_Cost_In)/tbl_MTG_Set[[#This Row],[Play Booster Box Size]]</f>
        <v/>
      </c>
      <c r="AQ575" s="10">
        <f t="array" ref="AQ5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5" s="10" t="n"/>
      <c r="AS575" s="10" t="n"/>
      <c r="AT575" s="17">
        <f>tbl_MTG_Set[[#This Row],[Play Booster CardMarket Profit]]/tbl_MTG_Set[[#This Row],[Play Booster Cost]]</f>
        <v/>
      </c>
      <c r="AU575" s="10">
        <f>_xlfn.XLOOKUP(tbl_MTG_Set[[#This Row],[Collector Booster Box Product Id]], tbl_Product[Product Id], tbl_Product[Min Cost])</f>
        <v/>
      </c>
      <c r="AV575" s="10">
        <f>_xlfn.XLOOKUP(tbl_MTG_Set[[#This Row],[Collector Booster Box Product Id]], tbl_Product[Product Id], tbl_Product[Best Source])</f>
        <v/>
      </c>
      <c r="AW575" s="4">
        <f>_xlfn.XLOOKUP(tbl_MTG_Set[[#This Row],[Collector Booster Box Product Id]], tbl_Product[Product Id], tbl_Product[Pack Size])</f>
        <v/>
      </c>
      <c r="AX575" s="10">
        <f>(tbl_MTG_Set[[#This Row],[Collector Booster Box Cost]] + v_Item_Shipping_Cost_In) / tbl_MTG_Set[[#This Row],[Collector Booster Box Size]]</f>
        <v/>
      </c>
      <c r="AY575" s="10">
        <f t="array" ref="AY5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5" s="10" t="n"/>
      <c r="BA5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5" s="17">
        <f>tbl_MTG_Set[[#This Row],[Collector Booster CardMarket Profit]]/tbl_MTG_Set[[#This Row],[Collector Booster Cost]]</f>
        <v/>
      </c>
      <c r="BC575" s="10" t="n"/>
      <c r="BF575" s="10">
        <f>tbl_MTG_Set[[#This Row],[Play Booster Sell Price CardMarket]]*tbl_MTG_Set[[#This Row],[Play Booster Expected Market Value]]/tbl_MTG_Set[[#This Row],[Play Boost Sealed Market Value]]</f>
        <v/>
      </c>
      <c r="BG5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5" s="10">
        <f>tbl_MTG_Set[[#This Row],[Play Singles CardMarket Profit]]/tbl_MTG_Set[[#This Row],[Play Booster Cost]]</f>
        <v/>
      </c>
      <c r="BI575" s="10">
        <f>tbl_MTG_Set[[#This Row],[Play Singles CardMarket Profit]]&gt;0</f>
        <v/>
      </c>
      <c r="BJ575" s="10" t="n"/>
      <c r="BK575" s="10" t="n"/>
      <c r="BL575" s="10">
        <f>tbl_MTG_Set[[#This Row],[Collector Booster Sell Price CardMarket]]*tbl_MTG_Set[[#This Row],[Collector Booster Expected Market Value]]/tbl_MTG_Set[[#This Row],[Collector Boost Sealed Market Value]]</f>
        <v/>
      </c>
      <c r="BM5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5" s="10">
        <f>tbl_MTG_Set[[#This Row],[Collector Singles CardMarket Profit]]/tbl_MTG_Set[[#This Row],[Collector Booster Cost]]</f>
        <v/>
      </c>
      <c r="BO575" s="10">
        <f>tbl_MTG_Set[[#This Row],[Collector Singles CardMarket Profit]]&gt;0</f>
        <v/>
      </c>
      <c r="BP5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6">
      <c r="A576" t="n">
        <v>574</v>
      </c>
      <c r="B576" t="inlineStr">
        <is>
          <t>Welcome Deck 2016 W16</t>
        </is>
      </c>
      <c r="C576" t="n">
        <v>16</v>
      </c>
      <c r="D576" s="3" t="n">
        <v>42468</v>
      </c>
      <c r="F576" t="inlineStr">
        <is>
          <t>en es fr de it pt ja ko ru 汉语 漢語</t>
        </is>
      </c>
      <c r="G576" t="n">
        <v>1094</v>
      </c>
      <c r="H576">
        <f>MONTH(NOW())+12*YEAR(NOW())-MONTH(tbl_MTG_Set[[#This Row],[Released On]])-12*YEAR(tbl_MTG_Set[[#This Row],[Released On]])</f>
        <v/>
      </c>
      <c r="I576">
        <f>_xlfn.XLOOKUP(tbl_MTG_Set[[#This Row],[Type Name]], tbl_MTG_Set_Type[Set Type], tbl_MTG_Set_Type[Index], "(Set Type not found)")</f>
        <v/>
      </c>
      <c r="J576">
        <f>_xlfn.XLOOKUP(tbl_MTG_Set[[#This Row],[Type Name]], tbl_MTG_Set_Type[Set Type], tbl_MTG_Set_Type[Buy Window Month Start], "(Set Type not found)")</f>
        <v/>
      </c>
      <c r="K576" s="3">
        <f>tbl_MTG_Set[[#This Row],[Released On]]+tbl_MTG_Set[[#This Row],[Buy Window Month Start]]*365.25/12</f>
        <v/>
      </c>
      <c r="L576">
        <f>_xlfn.XLOOKUP(tbl_MTG_Set[[#This Row],[Type Name]], tbl_MTG_Set_Type[Set Type], tbl_MTG_Set_Type[Buy Window Month End], "(Set Type not found)", 0, 1)</f>
        <v/>
      </c>
      <c r="M576" s="3">
        <f>tbl_MTG_Set[[#This Row],[Released On]]+tbl_MTG_Set[[#This Row],[Buy Window Month End]]*365.25/12</f>
        <v/>
      </c>
      <c r="N576" s="3">
        <f>AND(NOW()&gt;=tbl_MTG_Set[[#This Row],[Buy Window Start]], NOW()&lt;=tbl_MTG_Set[[#This Row],[Buy Window End]])</f>
        <v/>
      </c>
      <c r="O576">
        <f>_xlfn.XLOOKUP(tbl_MTG_Set[[#This Row],[Type Name]], tbl_MTG_Set_Type[Set Type], tbl_MTG_Set_Type[Heavy Printing Window Month Start], "(Set Type not found)", 0, 1)</f>
        <v/>
      </c>
      <c r="P576" s="3">
        <f>tbl_MTG_Set[[#This Row],[Released On]]+tbl_MTG_Set[[#This Row],[Heavy Printing Window Month Start]]*365.25/12</f>
        <v/>
      </c>
      <c r="Q576">
        <f>_xlfn.XLOOKUP(tbl_MTG_Set[[#This Row],[Type Name]], tbl_MTG_Set_Type[Set Type], tbl_MTG_Set_Type[Heavy Printing Window Month End], "(Set Type not found)", 0, 1)</f>
        <v/>
      </c>
      <c r="R576" s="3">
        <f>tbl_MTG_Set[[#This Row],[Released On]]+tbl_MTG_Set[[#This Row],[Heavy Printing Window Month End]]*365.25/12</f>
        <v/>
      </c>
      <c r="S576" s="3">
        <f>AND(NOW()&gt;=tbl_MTG_Set[[#This Row],[Heavy Printing Window Start]], NOW()&lt;=tbl_MTG_Set[[#This Row],[Heavy Printing Window End]])</f>
        <v/>
      </c>
      <c r="T576">
        <f>_xlfn.XLOOKUP(tbl_MTG_Set[[#This Row],[Type Name]], tbl_MTG_Set_Type[Set Type], tbl_MTG_Set_Type[Sell Window Month Start], "(Set Type not found)", 0, 1)</f>
        <v/>
      </c>
      <c r="U576" s="3">
        <f>tbl_MTG_Set[[#This Row],[Released On]]+tbl_MTG_Set[[#This Row],[Sell Window Month Start]]*365.25/12</f>
        <v/>
      </c>
      <c r="V576">
        <f>_xlfn.XLOOKUP(tbl_MTG_Set[[#This Row],[Type Name]], tbl_MTG_Set_Type[Set Type], tbl_MTG_Set_Type[Sell Window Month End], "(Set Type not found)", 0, 1)</f>
        <v/>
      </c>
      <c r="W576" s="3">
        <f>tbl_MTG_Set[[#This Row],[Released On]]+tbl_MTG_Set[[#This Row],[Sell Window Month End]]*365.25/12</f>
        <v/>
      </c>
      <c r="X576" s="3">
        <f>AND(NOW()&gt;=tbl_MTG_Set[[#This Row],[Sell Window Start]], NOW()&lt;=tbl_MTG_Set[[#This Row],[Sell Window End]])</f>
        <v/>
      </c>
      <c r="AG576" s="10" t="n"/>
      <c r="AH576" s="10" t="n"/>
      <c r="AM576" s="10">
        <f t="array" ref="AM5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6" s="10">
        <f t="array" ref="AN5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6" s="4">
        <f>_xlfn.XLOOKUP(tbl_MTG_Set[[#This Row],[Play Booster Box Product Id]], tbl_Product[Product Id], tbl_Product[Pack Size])</f>
        <v/>
      </c>
      <c r="AP576" s="10">
        <f>(tbl_MTG_Set[[#This Row],[Play Booster Box Cost]]+v_Item_Shipping_Cost_In)/tbl_MTG_Set[[#This Row],[Play Booster Box Size]]</f>
        <v/>
      </c>
      <c r="AQ576" s="10">
        <f t="array" ref="AQ5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6" s="10" t="n"/>
      <c r="AS576" s="10" t="n"/>
      <c r="AT576" s="17">
        <f>tbl_MTG_Set[[#This Row],[Play Booster CardMarket Profit]]/tbl_MTG_Set[[#This Row],[Play Booster Cost]]</f>
        <v/>
      </c>
      <c r="AU576" s="10">
        <f>_xlfn.XLOOKUP(tbl_MTG_Set[[#This Row],[Collector Booster Box Product Id]], tbl_Product[Product Id], tbl_Product[Min Cost])</f>
        <v/>
      </c>
      <c r="AV576" s="10">
        <f>_xlfn.XLOOKUP(tbl_MTG_Set[[#This Row],[Collector Booster Box Product Id]], tbl_Product[Product Id], tbl_Product[Best Source])</f>
        <v/>
      </c>
      <c r="AW576" s="4">
        <f>_xlfn.XLOOKUP(tbl_MTG_Set[[#This Row],[Collector Booster Box Product Id]], tbl_Product[Product Id], tbl_Product[Pack Size])</f>
        <v/>
      </c>
      <c r="AX576" s="10">
        <f>(tbl_MTG_Set[[#This Row],[Collector Booster Box Cost]] + v_Item_Shipping_Cost_In) / tbl_MTG_Set[[#This Row],[Collector Booster Box Size]]</f>
        <v/>
      </c>
      <c r="AY576" s="10">
        <f t="array" ref="AY5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6" s="10" t="n"/>
      <c r="BA5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6" s="17">
        <f>tbl_MTG_Set[[#This Row],[Collector Booster CardMarket Profit]]/tbl_MTG_Set[[#This Row],[Collector Booster Cost]]</f>
        <v/>
      </c>
      <c r="BC576" s="10" t="n"/>
      <c r="BF576" s="10">
        <f>tbl_MTG_Set[[#This Row],[Play Booster Sell Price CardMarket]]*tbl_MTG_Set[[#This Row],[Play Booster Expected Market Value]]/tbl_MTG_Set[[#This Row],[Play Boost Sealed Market Value]]</f>
        <v/>
      </c>
      <c r="BG5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6" s="10">
        <f>tbl_MTG_Set[[#This Row],[Play Singles CardMarket Profit]]/tbl_MTG_Set[[#This Row],[Play Booster Cost]]</f>
        <v/>
      </c>
      <c r="BI576" s="10">
        <f>tbl_MTG_Set[[#This Row],[Play Singles CardMarket Profit]]&gt;0</f>
        <v/>
      </c>
      <c r="BJ576" s="10" t="n"/>
      <c r="BK576" s="10" t="n"/>
      <c r="BL576" s="10">
        <f>tbl_MTG_Set[[#This Row],[Collector Booster Sell Price CardMarket]]*tbl_MTG_Set[[#This Row],[Collector Booster Expected Market Value]]/tbl_MTG_Set[[#This Row],[Collector Boost Sealed Market Value]]</f>
        <v/>
      </c>
      <c r="BM5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6" s="10">
        <f>tbl_MTG_Set[[#This Row],[Collector Singles CardMarket Profit]]/tbl_MTG_Set[[#This Row],[Collector Booster Cost]]</f>
        <v/>
      </c>
      <c r="BO576" s="10">
        <f>tbl_MTG_Set[[#This Row],[Collector Singles CardMarket Profit]]&gt;0</f>
        <v/>
      </c>
      <c r="BP5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7">
      <c r="A577" t="n">
        <v>575</v>
      </c>
      <c r="B577" t="inlineStr">
        <is>
          <t>Duel Decks: Blessed vs. Cursed DDQ</t>
        </is>
      </c>
      <c r="C577" t="n">
        <v>80</v>
      </c>
      <c r="D577" s="3" t="n">
        <v>42426</v>
      </c>
      <c r="F577" t="inlineStr">
        <is>
          <t>en es fr de it pt ja ko ru 汉语 漢語</t>
        </is>
      </c>
      <c r="G577" t="n">
        <v>1096</v>
      </c>
      <c r="H577">
        <f>MONTH(NOW())+12*YEAR(NOW())-MONTH(tbl_MTG_Set[[#This Row],[Released On]])-12*YEAR(tbl_MTG_Set[[#This Row],[Released On]])</f>
        <v/>
      </c>
      <c r="I577">
        <f>_xlfn.XLOOKUP(tbl_MTG_Set[[#This Row],[Type Name]], tbl_MTG_Set_Type[Set Type], tbl_MTG_Set_Type[Index], "(Set Type not found)")</f>
        <v/>
      </c>
      <c r="J577">
        <f>_xlfn.XLOOKUP(tbl_MTG_Set[[#This Row],[Type Name]], tbl_MTG_Set_Type[Set Type], tbl_MTG_Set_Type[Buy Window Month Start], "(Set Type not found)")</f>
        <v/>
      </c>
      <c r="K577" s="3">
        <f>tbl_MTG_Set[[#This Row],[Released On]]+tbl_MTG_Set[[#This Row],[Buy Window Month Start]]*365.25/12</f>
        <v/>
      </c>
      <c r="L577">
        <f>_xlfn.XLOOKUP(tbl_MTG_Set[[#This Row],[Type Name]], tbl_MTG_Set_Type[Set Type], tbl_MTG_Set_Type[Buy Window Month End], "(Set Type not found)", 0, 1)</f>
        <v/>
      </c>
      <c r="M577" s="3">
        <f>tbl_MTG_Set[[#This Row],[Released On]]+tbl_MTG_Set[[#This Row],[Buy Window Month End]]*365.25/12</f>
        <v/>
      </c>
      <c r="N577" s="3">
        <f>AND(NOW()&gt;=tbl_MTG_Set[[#This Row],[Buy Window Start]], NOW()&lt;=tbl_MTG_Set[[#This Row],[Buy Window End]])</f>
        <v/>
      </c>
      <c r="O577">
        <f>_xlfn.XLOOKUP(tbl_MTG_Set[[#This Row],[Type Name]], tbl_MTG_Set_Type[Set Type], tbl_MTG_Set_Type[Heavy Printing Window Month Start], "(Set Type not found)", 0, 1)</f>
        <v/>
      </c>
      <c r="P577" s="3">
        <f>tbl_MTG_Set[[#This Row],[Released On]]+tbl_MTG_Set[[#This Row],[Heavy Printing Window Month Start]]*365.25/12</f>
        <v/>
      </c>
      <c r="Q577">
        <f>_xlfn.XLOOKUP(tbl_MTG_Set[[#This Row],[Type Name]], tbl_MTG_Set_Type[Set Type], tbl_MTG_Set_Type[Heavy Printing Window Month End], "(Set Type not found)", 0, 1)</f>
        <v/>
      </c>
      <c r="R577" s="3">
        <f>tbl_MTG_Set[[#This Row],[Released On]]+tbl_MTG_Set[[#This Row],[Heavy Printing Window Month End]]*365.25/12</f>
        <v/>
      </c>
      <c r="S577" s="3">
        <f>AND(NOW()&gt;=tbl_MTG_Set[[#This Row],[Heavy Printing Window Start]], NOW()&lt;=tbl_MTG_Set[[#This Row],[Heavy Printing Window End]])</f>
        <v/>
      </c>
      <c r="T577">
        <f>_xlfn.XLOOKUP(tbl_MTG_Set[[#This Row],[Type Name]], tbl_MTG_Set_Type[Set Type], tbl_MTG_Set_Type[Sell Window Month Start], "(Set Type not found)", 0, 1)</f>
        <v/>
      </c>
      <c r="U577" s="3">
        <f>tbl_MTG_Set[[#This Row],[Released On]]+tbl_MTG_Set[[#This Row],[Sell Window Month Start]]*365.25/12</f>
        <v/>
      </c>
      <c r="V577">
        <f>_xlfn.XLOOKUP(tbl_MTG_Set[[#This Row],[Type Name]], tbl_MTG_Set_Type[Set Type], tbl_MTG_Set_Type[Sell Window Month End], "(Set Type not found)", 0, 1)</f>
        <v/>
      </c>
      <c r="W577" s="3">
        <f>tbl_MTG_Set[[#This Row],[Released On]]+tbl_MTG_Set[[#This Row],[Sell Window Month End]]*365.25/12</f>
        <v/>
      </c>
      <c r="X577" s="3">
        <f>AND(NOW()&gt;=tbl_MTG_Set[[#This Row],[Sell Window Start]], NOW()&lt;=tbl_MTG_Set[[#This Row],[Sell Window End]])</f>
        <v/>
      </c>
      <c r="AG577" s="10" t="n"/>
      <c r="AH577" s="10" t="n"/>
      <c r="AM577" s="10">
        <f t="array" ref="AM5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7" s="10">
        <f t="array" ref="AN5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7" s="4">
        <f>_xlfn.XLOOKUP(tbl_MTG_Set[[#This Row],[Play Booster Box Product Id]], tbl_Product[Product Id], tbl_Product[Pack Size])</f>
        <v/>
      </c>
      <c r="AP577" s="10">
        <f>(tbl_MTG_Set[[#This Row],[Play Booster Box Cost]]+v_Item_Shipping_Cost_In)/tbl_MTG_Set[[#This Row],[Play Booster Box Size]]</f>
        <v/>
      </c>
      <c r="AQ577" s="10">
        <f t="array" ref="AQ5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7" s="10" t="n"/>
      <c r="AS577" s="10" t="n"/>
      <c r="AT577" s="17">
        <f>tbl_MTG_Set[[#This Row],[Play Booster CardMarket Profit]]/tbl_MTG_Set[[#This Row],[Play Booster Cost]]</f>
        <v/>
      </c>
      <c r="AU577" s="10">
        <f>_xlfn.XLOOKUP(tbl_MTG_Set[[#This Row],[Collector Booster Box Product Id]], tbl_Product[Product Id], tbl_Product[Min Cost])</f>
        <v/>
      </c>
      <c r="AV577" s="10">
        <f>_xlfn.XLOOKUP(tbl_MTG_Set[[#This Row],[Collector Booster Box Product Id]], tbl_Product[Product Id], tbl_Product[Best Source])</f>
        <v/>
      </c>
      <c r="AW577" s="4">
        <f>_xlfn.XLOOKUP(tbl_MTG_Set[[#This Row],[Collector Booster Box Product Id]], tbl_Product[Product Id], tbl_Product[Pack Size])</f>
        <v/>
      </c>
      <c r="AX577" s="10">
        <f>(tbl_MTG_Set[[#This Row],[Collector Booster Box Cost]] + v_Item_Shipping_Cost_In) / tbl_MTG_Set[[#This Row],[Collector Booster Box Size]]</f>
        <v/>
      </c>
      <c r="AY577" s="10">
        <f t="array" ref="AY5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7" s="10" t="n"/>
      <c r="BA5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7" s="17">
        <f>tbl_MTG_Set[[#This Row],[Collector Booster CardMarket Profit]]/tbl_MTG_Set[[#This Row],[Collector Booster Cost]]</f>
        <v/>
      </c>
      <c r="BC577" s="10" t="n"/>
      <c r="BF577" s="10">
        <f>tbl_MTG_Set[[#This Row],[Play Booster Sell Price CardMarket]]*tbl_MTG_Set[[#This Row],[Play Booster Expected Market Value]]/tbl_MTG_Set[[#This Row],[Play Boost Sealed Market Value]]</f>
        <v/>
      </c>
      <c r="BG5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7" s="10">
        <f>tbl_MTG_Set[[#This Row],[Play Singles CardMarket Profit]]/tbl_MTG_Set[[#This Row],[Play Booster Cost]]</f>
        <v/>
      </c>
      <c r="BI577" s="10">
        <f>tbl_MTG_Set[[#This Row],[Play Singles CardMarket Profit]]&gt;0</f>
        <v/>
      </c>
      <c r="BJ577" s="10" t="n"/>
      <c r="BK577" s="10" t="n"/>
      <c r="BL577" s="10">
        <f>tbl_MTG_Set[[#This Row],[Collector Booster Sell Price CardMarket]]*tbl_MTG_Set[[#This Row],[Collector Booster Expected Market Value]]/tbl_MTG_Set[[#This Row],[Collector Boost Sealed Market Value]]</f>
        <v/>
      </c>
      <c r="BM5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7" s="10">
        <f>tbl_MTG_Set[[#This Row],[Collector Singles CardMarket Profit]]/tbl_MTG_Set[[#This Row],[Collector Booster Cost]]</f>
        <v/>
      </c>
      <c r="BO577" s="10">
        <f>tbl_MTG_Set[[#This Row],[Collector Singles CardMarket Profit]]&gt;0</f>
        <v/>
      </c>
      <c r="BP5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8">
      <c r="A578" t="n">
        <v>576</v>
      </c>
      <c r="B578" t="inlineStr">
        <is>
          <t>Oath of the Gatewatch OGW</t>
        </is>
      </c>
      <c r="C578" t="n">
        <v>187</v>
      </c>
      <c r="D578" s="3" t="n">
        <v>42391</v>
      </c>
      <c r="E578" t="inlineStr">
        <is>
          <t>Standard Expansion</t>
        </is>
      </c>
      <c r="F578" t="inlineStr">
        <is>
          <t>en es fr de it pt ja ko ru 汉语 漢語</t>
        </is>
      </c>
      <c r="G578" t="n">
        <v>1098</v>
      </c>
      <c r="H578">
        <f>MONTH(NOW())+12*YEAR(NOW())-MONTH(tbl_MTG_Set[[#This Row],[Released On]])-12*YEAR(tbl_MTG_Set[[#This Row],[Released On]])</f>
        <v/>
      </c>
      <c r="I578">
        <f>_xlfn.XLOOKUP(tbl_MTG_Set[[#This Row],[Type Name]], tbl_MTG_Set_Type[Set Type], tbl_MTG_Set_Type[Index], "(Set Type not found)")</f>
        <v/>
      </c>
      <c r="J578">
        <f>_xlfn.XLOOKUP(tbl_MTG_Set[[#This Row],[Type Name]], tbl_MTG_Set_Type[Set Type], tbl_MTG_Set_Type[Buy Window Month Start], "(Set Type not found)")</f>
        <v/>
      </c>
      <c r="K578" s="3">
        <f>tbl_MTG_Set[[#This Row],[Released On]]+tbl_MTG_Set[[#This Row],[Buy Window Month Start]]*365.25/12</f>
        <v/>
      </c>
      <c r="L578">
        <f>_xlfn.XLOOKUP(tbl_MTG_Set[[#This Row],[Type Name]], tbl_MTG_Set_Type[Set Type], tbl_MTG_Set_Type[Buy Window Month End], "(Set Type not found)", 0, 1)</f>
        <v/>
      </c>
      <c r="M578" s="3">
        <f>tbl_MTG_Set[[#This Row],[Released On]]+tbl_MTG_Set[[#This Row],[Buy Window Month End]]*365.25/12</f>
        <v/>
      </c>
      <c r="N578" s="3">
        <f>AND(NOW()&gt;=tbl_MTG_Set[[#This Row],[Buy Window Start]], NOW()&lt;=tbl_MTG_Set[[#This Row],[Buy Window End]])</f>
        <v/>
      </c>
      <c r="O578">
        <f>_xlfn.XLOOKUP(tbl_MTG_Set[[#This Row],[Type Name]], tbl_MTG_Set_Type[Set Type], tbl_MTG_Set_Type[Heavy Printing Window Month Start], "(Set Type not found)", 0, 1)</f>
        <v/>
      </c>
      <c r="P578" s="3">
        <f>tbl_MTG_Set[[#This Row],[Released On]]+tbl_MTG_Set[[#This Row],[Heavy Printing Window Month Start]]*365.25/12</f>
        <v/>
      </c>
      <c r="Q578">
        <f>_xlfn.XLOOKUP(tbl_MTG_Set[[#This Row],[Type Name]], tbl_MTG_Set_Type[Set Type], tbl_MTG_Set_Type[Heavy Printing Window Month End], "(Set Type not found)", 0, 1)</f>
        <v/>
      </c>
      <c r="R578" s="3">
        <f>tbl_MTG_Set[[#This Row],[Released On]]+tbl_MTG_Set[[#This Row],[Heavy Printing Window Month End]]*365.25/12</f>
        <v/>
      </c>
      <c r="S578" s="3">
        <f>AND(NOW()&gt;=tbl_MTG_Set[[#This Row],[Heavy Printing Window Start]], NOW()&lt;=tbl_MTG_Set[[#This Row],[Heavy Printing Window End]])</f>
        <v/>
      </c>
      <c r="T578">
        <f>_xlfn.XLOOKUP(tbl_MTG_Set[[#This Row],[Type Name]], tbl_MTG_Set_Type[Set Type], tbl_MTG_Set_Type[Sell Window Month Start], "(Set Type not found)", 0, 1)</f>
        <v/>
      </c>
      <c r="U578" s="3">
        <f>tbl_MTG_Set[[#This Row],[Released On]]+tbl_MTG_Set[[#This Row],[Sell Window Month Start]]*365.25/12</f>
        <v/>
      </c>
      <c r="V578">
        <f>_xlfn.XLOOKUP(tbl_MTG_Set[[#This Row],[Type Name]], tbl_MTG_Set_Type[Set Type], tbl_MTG_Set_Type[Sell Window Month End], "(Set Type not found)", 0, 1)</f>
        <v/>
      </c>
      <c r="W578" s="3">
        <f>tbl_MTG_Set[[#This Row],[Released On]]+tbl_MTG_Set[[#This Row],[Sell Window Month End]]*365.25/12</f>
        <v/>
      </c>
      <c r="X578" s="3">
        <f>AND(NOW()&gt;=tbl_MTG_Set[[#This Row],[Sell Window Start]], NOW()&lt;=tbl_MTG_Set[[#This Row],[Sell Window End]])</f>
        <v/>
      </c>
      <c r="Y578" s="10" t="n">
        <v>188</v>
      </c>
      <c r="Z578" s="10" t="n">
        <v>77</v>
      </c>
      <c r="AD578" s="10">
        <f>(Y578+96/20)/36</f>
        <v/>
      </c>
      <c r="AE578" s="10">
        <f>(Z578+96/20)/36</f>
        <v/>
      </c>
      <c r="AG578" s="10" t="n"/>
      <c r="AH578" s="10" t="n"/>
      <c r="AI578" s="4" t="n">
        <v>77</v>
      </c>
      <c r="AJ578" s="4" t="n">
        <v>32</v>
      </c>
      <c r="AM578" s="10">
        <f t="array" ref="AM5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8" s="10">
        <f t="array" ref="AN5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8" s="4">
        <f>_xlfn.XLOOKUP(tbl_MTG_Set[[#This Row],[Play Booster Box Product Id]], tbl_Product[Product Id], tbl_Product[Pack Size])</f>
        <v/>
      </c>
      <c r="AP578" s="10">
        <f>(tbl_MTG_Set[[#This Row],[Play Booster Box Cost]]+v_Item_Shipping_Cost_In)/tbl_MTG_Set[[#This Row],[Play Booster Box Size]]</f>
        <v/>
      </c>
      <c r="AQ578" s="10">
        <f t="array" ref="AQ5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8" s="10" t="n">
        <v>5</v>
      </c>
      <c r="AS57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578" s="17">
        <f>tbl_MTG_Set[[#This Row],[Play Booster CardMarket Profit]]/tbl_MTG_Set[[#This Row],[Play Booster Cost]]</f>
        <v/>
      </c>
      <c r="AU578" s="10">
        <f>_xlfn.XLOOKUP(tbl_MTG_Set[[#This Row],[Collector Booster Box Product Id]], tbl_Product[Product Id], tbl_Product[Min Cost])</f>
        <v/>
      </c>
      <c r="AV578" s="10">
        <f>_xlfn.XLOOKUP(tbl_MTG_Set[[#This Row],[Collector Booster Box Product Id]], tbl_Product[Product Id], tbl_Product[Best Source])</f>
        <v/>
      </c>
      <c r="AW578" s="4">
        <f>_xlfn.XLOOKUP(tbl_MTG_Set[[#This Row],[Collector Booster Box Product Id]], tbl_Product[Product Id], tbl_Product[Pack Size])</f>
        <v/>
      </c>
      <c r="AX578" s="10">
        <f>(tbl_MTG_Set[[#This Row],[Collector Booster Box Cost]] + v_Item_Shipping_Cost_In) / tbl_MTG_Set[[#This Row],[Collector Booster Box Size]]</f>
        <v/>
      </c>
      <c r="AY578" s="10">
        <f t="array" ref="AY5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8" s="10" t="n"/>
      <c r="BA5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8" s="17">
        <f>tbl_MTG_Set[[#This Row],[Collector Booster CardMarket Profit]]/tbl_MTG_Set[[#This Row],[Collector Booster Cost]]</f>
        <v/>
      </c>
      <c r="BC578" s="15" t="inlineStr">
        <is>
          <t>https://www.mtgstocks.com/sets/255-oath-of-the-gatewatch#ev</t>
        </is>
      </c>
      <c r="BD578" s="11" t="n">
        <v>1.52</v>
      </c>
      <c r="BE578" s="11" t="n">
        <v>5.92</v>
      </c>
      <c r="BF578" s="10">
        <f>tbl_MTG_Set[[#This Row],[Play Booster Sell Price CardMarket]]*tbl_MTG_Set[[#This Row],[Play Booster Expected Market Value]]/tbl_MTG_Set[[#This Row],[Play Boost Sealed Market Value]]</f>
        <v/>
      </c>
      <c r="BG5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8" s="17">
        <f>tbl_MTG_Set[[#This Row],[Play Singles CardMarket Profit]]/tbl_MTG_Set[[#This Row],[Play Booster Cost]]</f>
        <v/>
      </c>
      <c r="BI578" s="10">
        <f>tbl_MTG_Set[[#This Row],[Play Singles CardMarket Profit]]&gt;0</f>
        <v/>
      </c>
      <c r="BJ578" s="10" t="n"/>
      <c r="BK578" s="10" t="n"/>
      <c r="BL578" s="10">
        <f>tbl_MTG_Set[[#This Row],[Collector Booster Sell Price CardMarket]]*tbl_MTG_Set[[#This Row],[Collector Booster Expected Market Value]]/tbl_MTG_Set[[#This Row],[Collector Boost Sealed Market Value]]</f>
        <v/>
      </c>
      <c r="BM5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8" s="17">
        <f>tbl_MTG_Set[[#This Row],[Collector Singles CardMarket Profit]]/tbl_MTG_Set[[#This Row],[Collector Booster Cost]]</f>
        <v/>
      </c>
      <c r="BO578" s="10">
        <f>tbl_MTG_Set[[#This Row],[Collector Singles CardMarket Profit]]&gt;0</f>
        <v/>
      </c>
      <c r="BP5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9">
      <c r="A579" t="n">
        <v>577</v>
      </c>
      <c r="B579" t="inlineStr">
        <is>
          <t>Oath of the Gatewatch Promos POGW</t>
        </is>
      </c>
      <c r="C579" t="n">
        <v>65</v>
      </c>
      <c r="D579" s="3" t="n">
        <v>42391</v>
      </c>
      <c r="E579" t="inlineStr">
        <is>
          <t>Standard Expansion</t>
        </is>
      </c>
      <c r="F579" t="inlineStr">
        <is>
          <t>en es fr de it pt ja ko ru 汉语 漢語</t>
        </is>
      </c>
      <c r="G579" t="n">
        <v>1100</v>
      </c>
      <c r="H579">
        <f>MONTH(NOW())+12*YEAR(NOW())-MONTH(tbl_MTG_Set[[#This Row],[Released On]])-12*YEAR(tbl_MTG_Set[[#This Row],[Released On]])</f>
        <v/>
      </c>
      <c r="I579">
        <f>_xlfn.XLOOKUP(tbl_MTG_Set[[#This Row],[Type Name]], tbl_MTG_Set_Type[Set Type], tbl_MTG_Set_Type[Index], "(Set Type not found)")</f>
        <v/>
      </c>
      <c r="J579">
        <f>_xlfn.XLOOKUP(tbl_MTG_Set[[#This Row],[Type Name]], tbl_MTG_Set_Type[Set Type], tbl_MTG_Set_Type[Buy Window Month Start], "(Set Type not found)")</f>
        <v/>
      </c>
      <c r="K579" s="3">
        <f>tbl_MTG_Set[[#This Row],[Released On]]+tbl_MTG_Set[[#This Row],[Buy Window Month Start]]*365.25/12</f>
        <v/>
      </c>
      <c r="L579">
        <f>_xlfn.XLOOKUP(tbl_MTG_Set[[#This Row],[Type Name]], tbl_MTG_Set_Type[Set Type], tbl_MTG_Set_Type[Buy Window Month End], "(Set Type not found)", 0, 1)</f>
        <v/>
      </c>
      <c r="M579" s="3">
        <f>tbl_MTG_Set[[#This Row],[Released On]]+tbl_MTG_Set[[#This Row],[Buy Window Month End]]*365.25/12</f>
        <v/>
      </c>
      <c r="N579" s="3">
        <f>AND(NOW()&gt;=tbl_MTG_Set[[#This Row],[Buy Window Start]], NOW()&lt;=tbl_MTG_Set[[#This Row],[Buy Window End]])</f>
        <v/>
      </c>
      <c r="O579">
        <f>_xlfn.XLOOKUP(tbl_MTG_Set[[#This Row],[Type Name]], tbl_MTG_Set_Type[Set Type], tbl_MTG_Set_Type[Heavy Printing Window Month Start], "(Set Type not found)", 0, 1)</f>
        <v/>
      </c>
      <c r="P579" s="3">
        <f>tbl_MTG_Set[[#This Row],[Released On]]+tbl_MTG_Set[[#This Row],[Heavy Printing Window Month Start]]*365.25/12</f>
        <v/>
      </c>
      <c r="Q579">
        <f>_xlfn.XLOOKUP(tbl_MTG_Set[[#This Row],[Type Name]], tbl_MTG_Set_Type[Set Type], tbl_MTG_Set_Type[Heavy Printing Window Month End], "(Set Type not found)", 0, 1)</f>
        <v/>
      </c>
      <c r="R579" s="3">
        <f>tbl_MTG_Set[[#This Row],[Released On]]+tbl_MTG_Set[[#This Row],[Heavy Printing Window Month End]]*365.25/12</f>
        <v/>
      </c>
      <c r="S579" s="3">
        <f>AND(NOW()&gt;=tbl_MTG_Set[[#This Row],[Heavy Printing Window Start]], NOW()&lt;=tbl_MTG_Set[[#This Row],[Heavy Printing Window End]])</f>
        <v/>
      </c>
      <c r="T579">
        <f>_xlfn.XLOOKUP(tbl_MTG_Set[[#This Row],[Type Name]], tbl_MTG_Set_Type[Set Type], tbl_MTG_Set_Type[Sell Window Month Start], "(Set Type not found)", 0, 1)</f>
        <v/>
      </c>
      <c r="U579" s="3">
        <f>tbl_MTG_Set[[#This Row],[Released On]]+tbl_MTG_Set[[#This Row],[Sell Window Month Start]]*365.25/12</f>
        <v/>
      </c>
      <c r="V579">
        <f>_xlfn.XLOOKUP(tbl_MTG_Set[[#This Row],[Type Name]], tbl_MTG_Set_Type[Set Type], tbl_MTG_Set_Type[Sell Window Month End], "(Set Type not found)", 0, 1)</f>
        <v/>
      </c>
      <c r="W579" s="3">
        <f>tbl_MTG_Set[[#This Row],[Released On]]+tbl_MTG_Set[[#This Row],[Sell Window Month End]]*365.25/12</f>
        <v/>
      </c>
      <c r="X579" s="3">
        <f>AND(NOW()&gt;=tbl_MTG_Set[[#This Row],[Sell Window Start]], NOW()&lt;=tbl_MTG_Set[[#This Row],[Sell Window End]])</f>
        <v/>
      </c>
      <c r="AG579" s="10" t="n"/>
      <c r="AH579" s="10" t="n"/>
      <c r="AM579" s="10">
        <f t="array" ref="AM5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9" s="10">
        <f t="array" ref="AN5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9" s="4">
        <f>_xlfn.XLOOKUP(tbl_MTG_Set[[#This Row],[Play Booster Box Product Id]], tbl_Product[Product Id], tbl_Product[Pack Size])</f>
        <v/>
      </c>
      <c r="AP579" s="10">
        <f>(tbl_MTG_Set[[#This Row],[Play Booster Box Cost]]+v_Item_Shipping_Cost_In)/tbl_MTG_Set[[#This Row],[Play Booster Box Size]]</f>
        <v/>
      </c>
      <c r="AQ579" s="10">
        <f t="array" ref="AQ5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79" s="10" t="n"/>
      <c r="AS579" s="10" t="n"/>
      <c r="AT579" s="17">
        <f>tbl_MTG_Set[[#This Row],[Play Booster CardMarket Profit]]/tbl_MTG_Set[[#This Row],[Play Booster Cost]]</f>
        <v/>
      </c>
      <c r="AU579" s="10">
        <f>_xlfn.XLOOKUP(tbl_MTG_Set[[#This Row],[Collector Booster Box Product Id]], tbl_Product[Product Id], tbl_Product[Min Cost])</f>
        <v/>
      </c>
      <c r="AV579" s="10">
        <f>_xlfn.XLOOKUP(tbl_MTG_Set[[#This Row],[Collector Booster Box Product Id]], tbl_Product[Product Id], tbl_Product[Best Source])</f>
        <v/>
      </c>
      <c r="AW579" s="4">
        <f>_xlfn.XLOOKUP(tbl_MTG_Set[[#This Row],[Collector Booster Box Product Id]], tbl_Product[Product Id], tbl_Product[Pack Size])</f>
        <v/>
      </c>
      <c r="AX579" s="10">
        <f>(tbl_MTG_Set[[#This Row],[Collector Booster Box Cost]] + v_Item_Shipping_Cost_In) / tbl_MTG_Set[[#This Row],[Collector Booster Box Size]]</f>
        <v/>
      </c>
      <c r="AY579" s="10">
        <f t="array" ref="AY5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79" s="10" t="n"/>
      <c r="BA5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9" s="17">
        <f>tbl_MTG_Set[[#This Row],[Collector Booster CardMarket Profit]]/tbl_MTG_Set[[#This Row],[Collector Booster Cost]]</f>
        <v/>
      </c>
      <c r="BC579" s="10" t="n"/>
      <c r="BF579" s="10">
        <f>tbl_MTG_Set[[#This Row],[Play Booster Sell Price CardMarket]]*tbl_MTG_Set[[#This Row],[Play Booster Expected Market Value]]/tbl_MTG_Set[[#This Row],[Play Boost Sealed Market Value]]</f>
        <v/>
      </c>
      <c r="BG5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9" s="10">
        <f>tbl_MTG_Set[[#This Row],[Play Singles CardMarket Profit]]/tbl_MTG_Set[[#This Row],[Play Booster Cost]]</f>
        <v/>
      </c>
      <c r="BI579" s="10">
        <f>tbl_MTG_Set[[#This Row],[Play Singles CardMarket Profit]]&gt;0</f>
        <v/>
      </c>
      <c r="BJ579" s="10" t="n"/>
      <c r="BK579" s="10" t="n"/>
      <c r="BL579" s="10">
        <f>tbl_MTG_Set[[#This Row],[Collector Booster Sell Price CardMarket]]*tbl_MTG_Set[[#This Row],[Collector Booster Expected Market Value]]/tbl_MTG_Set[[#This Row],[Collector Boost Sealed Market Value]]</f>
        <v/>
      </c>
      <c r="BM5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9" s="10">
        <f>tbl_MTG_Set[[#This Row],[Collector Singles CardMarket Profit]]/tbl_MTG_Set[[#This Row],[Collector Booster Cost]]</f>
        <v/>
      </c>
      <c r="BO579" s="10">
        <f>tbl_MTG_Set[[#This Row],[Collector Singles CardMarket Profit]]&gt;0</f>
        <v/>
      </c>
      <c r="BP5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0">
      <c r="A580" t="n">
        <v>578</v>
      </c>
      <c r="B580" t="inlineStr">
        <is>
          <t>Oath of the Gatewatch Tokens TOGW</t>
        </is>
      </c>
      <c r="C580" t="n">
        <v>11</v>
      </c>
      <c r="D580" s="3" t="n">
        <v>42391</v>
      </c>
      <c r="E580" t="inlineStr">
        <is>
          <t>Standard Expansion</t>
        </is>
      </c>
      <c r="F580" t="inlineStr">
        <is>
          <t>en es fr de it pt ja ko ru 汉语 漢語</t>
        </is>
      </c>
      <c r="G580" t="n">
        <v>1102</v>
      </c>
      <c r="H580">
        <f>MONTH(NOW())+12*YEAR(NOW())-MONTH(tbl_MTG_Set[[#This Row],[Released On]])-12*YEAR(tbl_MTG_Set[[#This Row],[Released On]])</f>
        <v/>
      </c>
      <c r="I580">
        <f>_xlfn.XLOOKUP(tbl_MTG_Set[[#This Row],[Type Name]], tbl_MTG_Set_Type[Set Type], tbl_MTG_Set_Type[Index], "(Set Type not found)")</f>
        <v/>
      </c>
      <c r="J580">
        <f>_xlfn.XLOOKUP(tbl_MTG_Set[[#This Row],[Type Name]], tbl_MTG_Set_Type[Set Type], tbl_MTG_Set_Type[Buy Window Month Start], "(Set Type not found)")</f>
        <v/>
      </c>
      <c r="K580" s="3">
        <f>tbl_MTG_Set[[#This Row],[Released On]]+tbl_MTG_Set[[#This Row],[Buy Window Month Start]]*365.25/12</f>
        <v/>
      </c>
      <c r="L580">
        <f>_xlfn.XLOOKUP(tbl_MTG_Set[[#This Row],[Type Name]], tbl_MTG_Set_Type[Set Type], tbl_MTG_Set_Type[Buy Window Month End], "(Set Type not found)", 0, 1)</f>
        <v/>
      </c>
      <c r="M580" s="3">
        <f>tbl_MTG_Set[[#This Row],[Released On]]+tbl_MTG_Set[[#This Row],[Buy Window Month End]]*365.25/12</f>
        <v/>
      </c>
      <c r="N580" s="3">
        <f>AND(NOW()&gt;=tbl_MTG_Set[[#This Row],[Buy Window Start]], NOW()&lt;=tbl_MTG_Set[[#This Row],[Buy Window End]])</f>
        <v/>
      </c>
      <c r="O580">
        <f>_xlfn.XLOOKUP(tbl_MTG_Set[[#This Row],[Type Name]], tbl_MTG_Set_Type[Set Type], tbl_MTG_Set_Type[Heavy Printing Window Month Start], "(Set Type not found)", 0, 1)</f>
        <v/>
      </c>
      <c r="P580" s="3">
        <f>tbl_MTG_Set[[#This Row],[Released On]]+tbl_MTG_Set[[#This Row],[Heavy Printing Window Month Start]]*365.25/12</f>
        <v/>
      </c>
      <c r="Q580">
        <f>_xlfn.XLOOKUP(tbl_MTG_Set[[#This Row],[Type Name]], tbl_MTG_Set_Type[Set Type], tbl_MTG_Set_Type[Heavy Printing Window Month End], "(Set Type not found)", 0, 1)</f>
        <v/>
      </c>
      <c r="R580" s="3">
        <f>tbl_MTG_Set[[#This Row],[Released On]]+tbl_MTG_Set[[#This Row],[Heavy Printing Window Month End]]*365.25/12</f>
        <v/>
      </c>
      <c r="S580" s="3">
        <f>AND(NOW()&gt;=tbl_MTG_Set[[#This Row],[Heavy Printing Window Start]], NOW()&lt;=tbl_MTG_Set[[#This Row],[Heavy Printing Window End]])</f>
        <v/>
      </c>
      <c r="T580">
        <f>_xlfn.XLOOKUP(tbl_MTG_Set[[#This Row],[Type Name]], tbl_MTG_Set_Type[Set Type], tbl_MTG_Set_Type[Sell Window Month Start], "(Set Type not found)", 0, 1)</f>
        <v/>
      </c>
      <c r="U580" s="3">
        <f>tbl_MTG_Set[[#This Row],[Released On]]+tbl_MTG_Set[[#This Row],[Sell Window Month Start]]*365.25/12</f>
        <v/>
      </c>
      <c r="V580">
        <f>_xlfn.XLOOKUP(tbl_MTG_Set[[#This Row],[Type Name]], tbl_MTG_Set_Type[Set Type], tbl_MTG_Set_Type[Sell Window Month End], "(Set Type not found)", 0, 1)</f>
        <v/>
      </c>
      <c r="W580" s="3">
        <f>tbl_MTG_Set[[#This Row],[Released On]]+tbl_MTG_Set[[#This Row],[Sell Window Month End]]*365.25/12</f>
        <v/>
      </c>
      <c r="X580" s="3">
        <f>AND(NOW()&gt;=tbl_MTG_Set[[#This Row],[Sell Window Start]], NOW()&lt;=tbl_MTG_Set[[#This Row],[Sell Window End]])</f>
        <v/>
      </c>
      <c r="AG580" s="10" t="n"/>
      <c r="AH580" s="10" t="n"/>
      <c r="AM580" s="10">
        <f t="array" ref="AM5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0" s="10">
        <f t="array" ref="AN5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0" s="4">
        <f>_xlfn.XLOOKUP(tbl_MTG_Set[[#This Row],[Play Booster Box Product Id]], tbl_Product[Product Id], tbl_Product[Pack Size])</f>
        <v/>
      </c>
      <c r="AP580" s="10">
        <f>(tbl_MTG_Set[[#This Row],[Play Booster Box Cost]]+v_Item_Shipping_Cost_In)/tbl_MTG_Set[[#This Row],[Play Booster Box Size]]</f>
        <v/>
      </c>
      <c r="AQ580" s="10">
        <f t="array" ref="AQ5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0" s="10" t="n"/>
      <c r="AS580" s="10" t="n"/>
      <c r="AT580" s="17">
        <f>tbl_MTG_Set[[#This Row],[Play Booster CardMarket Profit]]/tbl_MTG_Set[[#This Row],[Play Booster Cost]]</f>
        <v/>
      </c>
      <c r="AU580" s="10">
        <f>_xlfn.XLOOKUP(tbl_MTG_Set[[#This Row],[Collector Booster Box Product Id]], tbl_Product[Product Id], tbl_Product[Min Cost])</f>
        <v/>
      </c>
      <c r="AV580" s="10">
        <f>_xlfn.XLOOKUP(tbl_MTG_Set[[#This Row],[Collector Booster Box Product Id]], tbl_Product[Product Id], tbl_Product[Best Source])</f>
        <v/>
      </c>
      <c r="AW580" s="4">
        <f>_xlfn.XLOOKUP(tbl_MTG_Set[[#This Row],[Collector Booster Box Product Id]], tbl_Product[Product Id], tbl_Product[Pack Size])</f>
        <v/>
      </c>
      <c r="AX580" s="10">
        <f>(tbl_MTG_Set[[#This Row],[Collector Booster Box Cost]] + v_Item_Shipping_Cost_In) / tbl_MTG_Set[[#This Row],[Collector Booster Box Size]]</f>
        <v/>
      </c>
      <c r="AY580" s="10">
        <f t="array" ref="AY5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0" s="10" t="n"/>
      <c r="BA5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0" s="17">
        <f>tbl_MTG_Set[[#This Row],[Collector Booster CardMarket Profit]]/tbl_MTG_Set[[#This Row],[Collector Booster Cost]]</f>
        <v/>
      </c>
      <c r="BC580" s="10" t="n"/>
      <c r="BF580" s="10">
        <f>tbl_MTG_Set[[#This Row],[Play Booster Sell Price CardMarket]]*tbl_MTG_Set[[#This Row],[Play Booster Expected Market Value]]/tbl_MTG_Set[[#This Row],[Play Boost Sealed Market Value]]</f>
        <v/>
      </c>
      <c r="BG5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0" s="10">
        <f>tbl_MTG_Set[[#This Row],[Play Singles CardMarket Profit]]/tbl_MTG_Set[[#This Row],[Play Booster Cost]]</f>
        <v/>
      </c>
      <c r="BI580" s="10">
        <f>tbl_MTG_Set[[#This Row],[Play Singles CardMarket Profit]]&gt;0</f>
        <v/>
      </c>
      <c r="BJ580" s="10" t="n"/>
      <c r="BK580" s="10" t="n"/>
      <c r="BL580" s="10">
        <f>tbl_MTG_Set[[#This Row],[Collector Booster Sell Price CardMarket]]*tbl_MTG_Set[[#This Row],[Collector Booster Expected Market Value]]/tbl_MTG_Set[[#This Row],[Collector Boost Sealed Market Value]]</f>
        <v/>
      </c>
      <c r="BM5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0" s="10">
        <f>tbl_MTG_Set[[#This Row],[Collector Singles CardMarket Profit]]/tbl_MTG_Set[[#This Row],[Collector Booster Cost]]</f>
        <v/>
      </c>
      <c r="BO580" s="10">
        <f>tbl_MTG_Set[[#This Row],[Collector Singles CardMarket Profit]]&gt;0</f>
        <v/>
      </c>
      <c r="BP5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1">
      <c r="A581" t="n">
        <v>579</v>
      </c>
      <c r="B581" t="inlineStr">
        <is>
          <t>League Tokens 2016 L16</t>
        </is>
      </c>
      <c r="C581" t="n">
        <v>1</v>
      </c>
      <c r="D581" s="3" t="n">
        <v>42370</v>
      </c>
      <c r="F581" t="inlineStr">
        <is>
          <t>en es fr de it pt ja ko ru 汉语 漢語</t>
        </is>
      </c>
      <c r="G581" t="n">
        <v>1104</v>
      </c>
      <c r="H581">
        <f>MONTH(NOW())+12*YEAR(NOW())-MONTH(tbl_MTG_Set[[#This Row],[Released On]])-12*YEAR(tbl_MTG_Set[[#This Row],[Released On]])</f>
        <v/>
      </c>
      <c r="I581">
        <f>_xlfn.XLOOKUP(tbl_MTG_Set[[#This Row],[Type Name]], tbl_MTG_Set_Type[Set Type], tbl_MTG_Set_Type[Index], "(Set Type not found)")</f>
        <v/>
      </c>
      <c r="J581">
        <f>_xlfn.XLOOKUP(tbl_MTG_Set[[#This Row],[Type Name]], tbl_MTG_Set_Type[Set Type], tbl_MTG_Set_Type[Buy Window Month Start], "(Set Type not found)")</f>
        <v/>
      </c>
      <c r="K581" s="3">
        <f>tbl_MTG_Set[[#This Row],[Released On]]+tbl_MTG_Set[[#This Row],[Buy Window Month Start]]*365.25/12</f>
        <v/>
      </c>
      <c r="L581">
        <f>_xlfn.XLOOKUP(tbl_MTG_Set[[#This Row],[Type Name]], tbl_MTG_Set_Type[Set Type], tbl_MTG_Set_Type[Buy Window Month End], "(Set Type not found)", 0, 1)</f>
        <v/>
      </c>
      <c r="M581" s="3">
        <f>tbl_MTG_Set[[#This Row],[Released On]]+tbl_MTG_Set[[#This Row],[Buy Window Month End]]*365.25/12</f>
        <v/>
      </c>
      <c r="N581" s="3">
        <f>AND(NOW()&gt;=tbl_MTG_Set[[#This Row],[Buy Window Start]], NOW()&lt;=tbl_MTG_Set[[#This Row],[Buy Window End]])</f>
        <v/>
      </c>
      <c r="O581">
        <f>_xlfn.XLOOKUP(tbl_MTG_Set[[#This Row],[Type Name]], tbl_MTG_Set_Type[Set Type], tbl_MTG_Set_Type[Heavy Printing Window Month Start], "(Set Type not found)", 0, 1)</f>
        <v/>
      </c>
      <c r="P581" s="3">
        <f>tbl_MTG_Set[[#This Row],[Released On]]+tbl_MTG_Set[[#This Row],[Heavy Printing Window Month Start]]*365.25/12</f>
        <v/>
      </c>
      <c r="Q581">
        <f>_xlfn.XLOOKUP(tbl_MTG_Set[[#This Row],[Type Name]], tbl_MTG_Set_Type[Set Type], tbl_MTG_Set_Type[Heavy Printing Window Month End], "(Set Type not found)", 0, 1)</f>
        <v/>
      </c>
      <c r="R581" s="3">
        <f>tbl_MTG_Set[[#This Row],[Released On]]+tbl_MTG_Set[[#This Row],[Heavy Printing Window Month End]]*365.25/12</f>
        <v/>
      </c>
      <c r="S581" s="3">
        <f>AND(NOW()&gt;=tbl_MTG_Set[[#This Row],[Heavy Printing Window Start]], NOW()&lt;=tbl_MTG_Set[[#This Row],[Heavy Printing Window End]])</f>
        <v/>
      </c>
      <c r="T581">
        <f>_xlfn.XLOOKUP(tbl_MTG_Set[[#This Row],[Type Name]], tbl_MTG_Set_Type[Set Type], tbl_MTG_Set_Type[Sell Window Month Start], "(Set Type not found)", 0, 1)</f>
        <v/>
      </c>
      <c r="U581" s="3">
        <f>tbl_MTG_Set[[#This Row],[Released On]]+tbl_MTG_Set[[#This Row],[Sell Window Month Start]]*365.25/12</f>
        <v/>
      </c>
      <c r="V581">
        <f>_xlfn.XLOOKUP(tbl_MTG_Set[[#This Row],[Type Name]], tbl_MTG_Set_Type[Set Type], tbl_MTG_Set_Type[Sell Window Month End], "(Set Type not found)", 0, 1)</f>
        <v/>
      </c>
      <c r="W581" s="3">
        <f>tbl_MTG_Set[[#This Row],[Released On]]+tbl_MTG_Set[[#This Row],[Sell Window Month End]]*365.25/12</f>
        <v/>
      </c>
      <c r="X581" s="3">
        <f>AND(NOW()&gt;=tbl_MTG_Set[[#This Row],[Sell Window Start]], NOW()&lt;=tbl_MTG_Set[[#This Row],[Sell Window End]])</f>
        <v/>
      </c>
      <c r="AG581" s="10" t="n"/>
      <c r="AH581" s="10" t="n"/>
      <c r="AM581" s="10">
        <f t="array" ref="AM5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1" s="10">
        <f t="array" ref="AN5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1" s="4">
        <f>_xlfn.XLOOKUP(tbl_MTG_Set[[#This Row],[Play Booster Box Product Id]], tbl_Product[Product Id], tbl_Product[Pack Size])</f>
        <v/>
      </c>
      <c r="AP581" s="10">
        <f>(tbl_MTG_Set[[#This Row],[Play Booster Box Cost]]+v_Item_Shipping_Cost_In)/tbl_MTG_Set[[#This Row],[Play Booster Box Size]]</f>
        <v/>
      </c>
      <c r="AQ581" s="10">
        <f t="array" ref="AQ5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1" s="10" t="n"/>
      <c r="AS581" s="10" t="n"/>
      <c r="AT581" s="17">
        <f>tbl_MTG_Set[[#This Row],[Play Booster CardMarket Profit]]/tbl_MTG_Set[[#This Row],[Play Booster Cost]]</f>
        <v/>
      </c>
      <c r="AU581" s="10">
        <f>_xlfn.XLOOKUP(tbl_MTG_Set[[#This Row],[Collector Booster Box Product Id]], tbl_Product[Product Id], tbl_Product[Min Cost])</f>
        <v/>
      </c>
      <c r="AV581" s="10">
        <f>_xlfn.XLOOKUP(tbl_MTG_Set[[#This Row],[Collector Booster Box Product Id]], tbl_Product[Product Id], tbl_Product[Best Source])</f>
        <v/>
      </c>
      <c r="AW581" s="4">
        <f>_xlfn.XLOOKUP(tbl_MTG_Set[[#This Row],[Collector Booster Box Product Id]], tbl_Product[Product Id], tbl_Product[Pack Size])</f>
        <v/>
      </c>
      <c r="AX581" s="10">
        <f>(tbl_MTG_Set[[#This Row],[Collector Booster Box Cost]] + v_Item_Shipping_Cost_In) / tbl_MTG_Set[[#This Row],[Collector Booster Box Size]]</f>
        <v/>
      </c>
      <c r="AY581" s="10">
        <f t="array" ref="AY5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1" s="10" t="n"/>
      <c r="BA5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1" s="17">
        <f>tbl_MTG_Set[[#This Row],[Collector Booster CardMarket Profit]]/tbl_MTG_Set[[#This Row],[Collector Booster Cost]]</f>
        <v/>
      </c>
      <c r="BC581" s="10" t="n"/>
      <c r="BF581" s="10">
        <f>tbl_MTG_Set[[#This Row],[Play Booster Sell Price CardMarket]]*tbl_MTG_Set[[#This Row],[Play Booster Expected Market Value]]/tbl_MTG_Set[[#This Row],[Play Boost Sealed Market Value]]</f>
        <v/>
      </c>
      <c r="BG5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1" s="10">
        <f>tbl_MTG_Set[[#This Row],[Play Singles CardMarket Profit]]/tbl_MTG_Set[[#This Row],[Play Booster Cost]]</f>
        <v/>
      </c>
      <c r="BI581" s="10">
        <f>tbl_MTG_Set[[#This Row],[Play Singles CardMarket Profit]]&gt;0</f>
        <v/>
      </c>
      <c r="BJ581" s="10" t="n"/>
      <c r="BK581" s="10" t="n"/>
      <c r="BL581" s="10">
        <f>tbl_MTG_Set[[#This Row],[Collector Booster Sell Price CardMarket]]*tbl_MTG_Set[[#This Row],[Collector Booster Expected Market Value]]/tbl_MTG_Set[[#This Row],[Collector Boost Sealed Market Value]]</f>
        <v/>
      </c>
      <c r="BM5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1" s="10">
        <f>tbl_MTG_Set[[#This Row],[Collector Singles CardMarket Profit]]/tbl_MTG_Set[[#This Row],[Collector Booster Cost]]</f>
        <v/>
      </c>
      <c r="BO581" s="10">
        <f>tbl_MTG_Set[[#This Row],[Collector Singles CardMarket Profit]]&gt;0</f>
        <v/>
      </c>
      <c r="BP5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2">
      <c r="A582" t="n">
        <v>580</v>
      </c>
      <c r="B582" t="inlineStr">
        <is>
          <t>Judge Gift Cards 2016 J16</t>
        </is>
      </c>
      <c r="C582" t="n">
        <v>8</v>
      </c>
      <c r="D582" s="3" t="n">
        <v>42370</v>
      </c>
      <c r="F582" t="inlineStr">
        <is>
          <t>en es fr de it pt ja ko ru 汉语 漢語</t>
        </is>
      </c>
      <c r="G582" t="n">
        <v>1106</v>
      </c>
      <c r="H582">
        <f>MONTH(NOW())+12*YEAR(NOW())-MONTH(tbl_MTG_Set[[#This Row],[Released On]])-12*YEAR(tbl_MTG_Set[[#This Row],[Released On]])</f>
        <v/>
      </c>
      <c r="I582">
        <f>_xlfn.XLOOKUP(tbl_MTG_Set[[#This Row],[Type Name]], tbl_MTG_Set_Type[Set Type], tbl_MTG_Set_Type[Index], "(Set Type not found)")</f>
        <v/>
      </c>
      <c r="J582">
        <f>_xlfn.XLOOKUP(tbl_MTG_Set[[#This Row],[Type Name]], tbl_MTG_Set_Type[Set Type], tbl_MTG_Set_Type[Buy Window Month Start], "(Set Type not found)")</f>
        <v/>
      </c>
      <c r="K582" s="3">
        <f>tbl_MTG_Set[[#This Row],[Released On]]+tbl_MTG_Set[[#This Row],[Buy Window Month Start]]*365.25/12</f>
        <v/>
      </c>
      <c r="L582">
        <f>_xlfn.XLOOKUP(tbl_MTG_Set[[#This Row],[Type Name]], tbl_MTG_Set_Type[Set Type], tbl_MTG_Set_Type[Buy Window Month End], "(Set Type not found)", 0, 1)</f>
        <v/>
      </c>
      <c r="M582" s="3">
        <f>tbl_MTG_Set[[#This Row],[Released On]]+tbl_MTG_Set[[#This Row],[Buy Window Month End]]*365.25/12</f>
        <v/>
      </c>
      <c r="N582" s="3">
        <f>AND(NOW()&gt;=tbl_MTG_Set[[#This Row],[Buy Window Start]], NOW()&lt;=tbl_MTG_Set[[#This Row],[Buy Window End]])</f>
        <v/>
      </c>
      <c r="O582">
        <f>_xlfn.XLOOKUP(tbl_MTG_Set[[#This Row],[Type Name]], tbl_MTG_Set_Type[Set Type], tbl_MTG_Set_Type[Heavy Printing Window Month Start], "(Set Type not found)", 0, 1)</f>
        <v/>
      </c>
      <c r="P582" s="3">
        <f>tbl_MTG_Set[[#This Row],[Released On]]+tbl_MTG_Set[[#This Row],[Heavy Printing Window Month Start]]*365.25/12</f>
        <v/>
      </c>
      <c r="Q582">
        <f>_xlfn.XLOOKUP(tbl_MTG_Set[[#This Row],[Type Name]], tbl_MTG_Set_Type[Set Type], tbl_MTG_Set_Type[Heavy Printing Window Month End], "(Set Type not found)", 0, 1)</f>
        <v/>
      </c>
      <c r="R582" s="3">
        <f>tbl_MTG_Set[[#This Row],[Released On]]+tbl_MTG_Set[[#This Row],[Heavy Printing Window Month End]]*365.25/12</f>
        <v/>
      </c>
      <c r="S582" s="3">
        <f>AND(NOW()&gt;=tbl_MTG_Set[[#This Row],[Heavy Printing Window Start]], NOW()&lt;=tbl_MTG_Set[[#This Row],[Heavy Printing Window End]])</f>
        <v/>
      </c>
      <c r="T582">
        <f>_xlfn.XLOOKUP(tbl_MTG_Set[[#This Row],[Type Name]], tbl_MTG_Set_Type[Set Type], tbl_MTG_Set_Type[Sell Window Month Start], "(Set Type not found)", 0, 1)</f>
        <v/>
      </c>
      <c r="U582" s="3">
        <f>tbl_MTG_Set[[#This Row],[Released On]]+tbl_MTG_Set[[#This Row],[Sell Window Month Start]]*365.25/12</f>
        <v/>
      </c>
      <c r="V582">
        <f>_xlfn.XLOOKUP(tbl_MTG_Set[[#This Row],[Type Name]], tbl_MTG_Set_Type[Set Type], tbl_MTG_Set_Type[Sell Window Month End], "(Set Type not found)", 0, 1)</f>
        <v/>
      </c>
      <c r="W582" s="3">
        <f>tbl_MTG_Set[[#This Row],[Released On]]+tbl_MTG_Set[[#This Row],[Sell Window Month End]]*365.25/12</f>
        <v/>
      </c>
      <c r="X582" s="3">
        <f>AND(NOW()&gt;=tbl_MTG_Set[[#This Row],[Sell Window Start]], NOW()&lt;=tbl_MTG_Set[[#This Row],[Sell Window End]])</f>
        <v/>
      </c>
      <c r="AG582" s="10" t="n"/>
      <c r="AH582" s="10" t="n"/>
      <c r="AM582" s="10">
        <f t="array" ref="AM5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2" s="10">
        <f t="array" ref="AN5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2" s="4">
        <f>_xlfn.XLOOKUP(tbl_MTG_Set[[#This Row],[Play Booster Box Product Id]], tbl_Product[Product Id], tbl_Product[Pack Size])</f>
        <v/>
      </c>
      <c r="AP582" s="10">
        <f>(tbl_MTG_Set[[#This Row],[Play Booster Box Cost]]+v_Item_Shipping_Cost_In)/tbl_MTG_Set[[#This Row],[Play Booster Box Size]]</f>
        <v/>
      </c>
      <c r="AQ582" s="10">
        <f t="array" ref="AQ5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2" s="10" t="n"/>
      <c r="AS582" s="10" t="n"/>
      <c r="AT582" s="17">
        <f>tbl_MTG_Set[[#This Row],[Play Booster CardMarket Profit]]/tbl_MTG_Set[[#This Row],[Play Booster Cost]]</f>
        <v/>
      </c>
      <c r="AU582" s="10">
        <f>_xlfn.XLOOKUP(tbl_MTG_Set[[#This Row],[Collector Booster Box Product Id]], tbl_Product[Product Id], tbl_Product[Min Cost])</f>
        <v/>
      </c>
      <c r="AV582" s="10">
        <f>_xlfn.XLOOKUP(tbl_MTG_Set[[#This Row],[Collector Booster Box Product Id]], tbl_Product[Product Id], tbl_Product[Best Source])</f>
        <v/>
      </c>
      <c r="AW582" s="4">
        <f>_xlfn.XLOOKUP(tbl_MTG_Set[[#This Row],[Collector Booster Box Product Id]], tbl_Product[Product Id], tbl_Product[Pack Size])</f>
        <v/>
      </c>
      <c r="AX582" s="10">
        <f>(tbl_MTG_Set[[#This Row],[Collector Booster Box Cost]] + v_Item_Shipping_Cost_In) / tbl_MTG_Set[[#This Row],[Collector Booster Box Size]]</f>
        <v/>
      </c>
      <c r="AY582" s="10">
        <f t="array" ref="AY5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2" s="10" t="n"/>
      <c r="BA5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2" s="17">
        <f>tbl_MTG_Set[[#This Row],[Collector Booster CardMarket Profit]]/tbl_MTG_Set[[#This Row],[Collector Booster Cost]]</f>
        <v/>
      </c>
      <c r="BC582" s="10" t="n"/>
      <c r="BF582" s="10">
        <f>tbl_MTG_Set[[#This Row],[Play Booster Sell Price CardMarket]]*tbl_MTG_Set[[#This Row],[Play Booster Expected Market Value]]/tbl_MTG_Set[[#This Row],[Play Boost Sealed Market Value]]</f>
        <v/>
      </c>
      <c r="BG5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2" s="10">
        <f>tbl_MTG_Set[[#This Row],[Play Singles CardMarket Profit]]/tbl_MTG_Set[[#This Row],[Play Booster Cost]]</f>
        <v/>
      </c>
      <c r="BI582" s="10">
        <f>tbl_MTG_Set[[#This Row],[Play Singles CardMarket Profit]]&gt;0</f>
        <v/>
      </c>
      <c r="BJ582" s="10" t="n"/>
      <c r="BK582" s="10" t="n"/>
      <c r="BL582" s="10">
        <f>tbl_MTG_Set[[#This Row],[Collector Booster Sell Price CardMarket]]*tbl_MTG_Set[[#This Row],[Collector Booster Expected Market Value]]/tbl_MTG_Set[[#This Row],[Collector Boost Sealed Market Value]]</f>
        <v/>
      </c>
      <c r="BM5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2" s="10">
        <f>tbl_MTG_Set[[#This Row],[Collector Singles CardMarket Profit]]/tbl_MTG_Set[[#This Row],[Collector Booster Cost]]</f>
        <v/>
      </c>
      <c r="BO582" s="10">
        <f>tbl_MTG_Set[[#This Row],[Collector Singles CardMarket Profit]]&gt;0</f>
        <v/>
      </c>
      <c r="BP5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3">
      <c r="A583" t="n">
        <v>581</v>
      </c>
      <c r="B583" t="inlineStr">
        <is>
          <t>Friday Night Magic 2016 F16</t>
        </is>
      </c>
      <c r="C583" t="n">
        <v>12</v>
      </c>
      <c r="D583" s="3" t="n">
        <v>42370</v>
      </c>
      <c r="F583" t="inlineStr">
        <is>
          <t>en es fr de it pt ja ko ru 汉语 漢語</t>
        </is>
      </c>
      <c r="G583" t="n">
        <v>1108</v>
      </c>
      <c r="H583">
        <f>MONTH(NOW())+12*YEAR(NOW())-MONTH(tbl_MTG_Set[[#This Row],[Released On]])-12*YEAR(tbl_MTG_Set[[#This Row],[Released On]])</f>
        <v/>
      </c>
      <c r="I583">
        <f>_xlfn.XLOOKUP(tbl_MTG_Set[[#This Row],[Type Name]], tbl_MTG_Set_Type[Set Type], tbl_MTG_Set_Type[Index], "(Set Type not found)")</f>
        <v/>
      </c>
      <c r="J583">
        <f>_xlfn.XLOOKUP(tbl_MTG_Set[[#This Row],[Type Name]], tbl_MTG_Set_Type[Set Type], tbl_MTG_Set_Type[Buy Window Month Start], "(Set Type not found)")</f>
        <v/>
      </c>
      <c r="K583" s="3">
        <f>tbl_MTG_Set[[#This Row],[Released On]]+tbl_MTG_Set[[#This Row],[Buy Window Month Start]]*365.25/12</f>
        <v/>
      </c>
      <c r="L583">
        <f>_xlfn.XLOOKUP(tbl_MTG_Set[[#This Row],[Type Name]], tbl_MTG_Set_Type[Set Type], tbl_MTG_Set_Type[Buy Window Month End], "(Set Type not found)", 0, 1)</f>
        <v/>
      </c>
      <c r="M583" s="3">
        <f>tbl_MTG_Set[[#This Row],[Released On]]+tbl_MTG_Set[[#This Row],[Buy Window Month End]]*365.25/12</f>
        <v/>
      </c>
      <c r="N583" s="3">
        <f>AND(NOW()&gt;=tbl_MTG_Set[[#This Row],[Buy Window Start]], NOW()&lt;=tbl_MTG_Set[[#This Row],[Buy Window End]])</f>
        <v/>
      </c>
      <c r="O583">
        <f>_xlfn.XLOOKUP(tbl_MTG_Set[[#This Row],[Type Name]], tbl_MTG_Set_Type[Set Type], tbl_MTG_Set_Type[Heavy Printing Window Month Start], "(Set Type not found)", 0, 1)</f>
        <v/>
      </c>
      <c r="P583" s="3">
        <f>tbl_MTG_Set[[#This Row],[Released On]]+tbl_MTG_Set[[#This Row],[Heavy Printing Window Month Start]]*365.25/12</f>
        <v/>
      </c>
      <c r="Q583">
        <f>_xlfn.XLOOKUP(tbl_MTG_Set[[#This Row],[Type Name]], tbl_MTG_Set_Type[Set Type], tbl_MTG_Set_Type[Heavy Printing Window Month End], "(Set Type not found)", 0, 1)</f>
        <v/>
      </c>
      <c r="R583" s="3">
        <f>tbl_MTG_Set[[#This Row],[Released On]]+tbl_MTG_Set[[#This Row],[Heavy Printing Window Month End]]*365.25/12</f>
        <v/>
      </c>
      <c r="S583" s="3">
        <f>AND(NOW()&gt;=tbl_MTG_Set[[#This Row],[Heavy Printing Window Start]], NOW()&lt;=tbl_MTG_Set[[#This Row],[Heavy Printing Window End]])</f>
        <v/>
      </c>
      <c r="T583">
        <f>_xlfn.XLOOKUP(tbl_MTG_Set[[#This Row],[Type Name]], tbl_MTG_Set_Type[Set Type], tbl_MTG_Set_Type[Sell Window Month Start], "(Set Type not found)", 0, 1)</f>
        <v/>
      </c>
      <c r="U583" s="3">
        <f>tbl_MTG_Set[[#This Row],[Released On]]+tbl_MTG_Set[[#This Row],[Sell Window Month Start]]*365.25/12</f>
        <v/>
      </c>
      <c r="V583">
        <f>_xlfn.XLOOKUP(tbl_MTG_Set[[#This Row],[Type Name]], tbl_MTG_Set_Type[Set Type], tbl_MTG_Set_Type[Sell Window Month End], "(Set Type not found)", 0, 1)</f>
        <v/>
      </c>
      <c r="W583" s="3">
        <f>tbl_MTG_Set[[#This Row],[Released On]]+tbl_MTG_Set[[#This Row],[Sell Window Month End]]*365.25/12</f>
        <v/>
      </c>
      <c r="X583" s="3">
        <f>AND(NOW()&gt;=tbl_MTG_Set[[#This Row],[Sell Window Start]], NOW()&lt;=tbl_MTG_Set[[#This Row],[Sell Window End]])</f>
        <v/>
      </c>
      <c r="AG583" s="10" t="n"/>
      <c r="AH583" s="10" t="n"/>
      <c r="AM583" s="10">
        <f t="array" ref="AM5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3" s="10">
        <f t="array" ref="AN5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3" s="4">
        <f>_xlfn.XLOOKUP(tbl_MTG_Set[[#This Row],[Play Booster Box Product Id]], tbl_Product[Product Id], tbl_Product[Pack Size])</f>
        <v/>
      </c>
      <c r="AP583" s="10">
        <f>(tbl_MTG_Set[[#This Row],[Play Booster Box Cost]]+v_Item_Shipping_Cost_In)/tbl_MTG_Set[[#This Row],[Play Booster Box Size]]</f>
        <v/>
      </c>
      <c r="AQ583" s="10">
        <f t="array" ref="AQ5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3" s="10" t="n"/>
      <c r="AS583" s="10" t="n"/>
      <c r="AT583" s="17">
        <f>tbl_MTG_Set[[#This Row],[Play Booster CardMarket Profit]]/tbl_MTG_Set[[#This Row],[Play Booster Cost]]</f>
        <v/>
      </c>
      <c r="AU583" s="10">
        <f>_xlfn.XLOOKUP(tbl_MTG_Set[[#This Row],[Collector Booster Box Product Id]], tbl_Product[Product Id], tbl_Product[Min Cost])</f>
        <v/>
      </c>
      <c r="AV583" s="10">
        <f>_xlfn.XLOOKUP(tbl_MTG_Set[[#This Row],[Collector Booster Box Product Id]], tbl_Product[Product Id], tbl_Product[Best Source])</f>
        <v/>
      </c>
      <c r="AW583" s="4">
        <f>_xlfn.XLOOKUP(tbl_MTG_Set[[#This Row],[Collector Booster Box Product Id]], tbl_Product[Product Id], tbl_Product[Pack Size])</f>
        <v/>
      </c>
      <c r="AX583" s="10">
        <f>(tbl_MTG_Set[[#This Row],[Collector Booster Box Cost]] + v_Item_Shipping_Cost_In) / tbl_MTG_Set[[#This Row],[Collector Booster Box Size]]</f>
        <v/>
      </c>
      <c r="AY583" s="10">
        <f t="array" ref="AY5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3" s="10" t="n"/>
      <c r="BA5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3" s="17">
        <f>tbl_MTG_Set[[#This Row],[Collector Booster CardMarket Profit]]/tbl_MTG_Set[[#This Row],[Collector Booster Cost]]</f>
        <v/>
      </c>
      <c r="BC583" s="10" t="n"/>
      <c r="BF583" s="10">
        <f>tbl_MTG_Set[[#This Row],[Play Booster Sell Price CardMarket]]*tbl_MTG_Set[[#This Row],[Play Booster Expected Market Value]]/tbl_MTG_Set[[#This Row],[Play Boost Sealed Market Value]]</f>
        <v/>
      </c>
      <c r="BG5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3" s="10">
        <f>tbl_MTG_Set[[#This Row],[Play Singles CardMarket Profit]]/tbl_MTG_Set[[#This Row],[Play Booster Cost]]</f>
        <v/>
      </c>
      <c r="BI583" s="10">
        <f>tbl_MTG_Set[[#This Row],[Play Singles CardMarket Profit]]&gt;0</f>
        <v/>
      </c>
      <c r="BJ583" s="10" t="n"/>
      <c r="BK583" s="10" t="n"/>
      <c r="BL583" s="10">
        <f>tbl_MTG_Set[[#This Row],[Collector Booster Sell Price CardMarket]]*tbl_MTG_Set[[#This Row],[Collector Booster Expected Market Value]]/tbl_MTG_Set[[#This Row],[Collector Boost Sealed Market Value]]</f>
        <v/>
      </c>
      <c r="BM5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3" s="10">
        <f>tbl_MTG_Set[[#This Row],[Collector Singles CardMarket Profit]]/tbl_MTG_Set[[#This Row],[Collector Booster Cost]]</f>
        <v/>
      </c>
      <c r="BO583" s="10">
        <f>tbl_MTG_Set[[#This Row],[Collector Singles CardMarket Profit]]&gt;0</f>
        <v/>
      </c>
      <c r="BP5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4">
      <c r="A584" t="n">
        <v>582</v>
      </c>
      <c r="B584" t="inlineStr">
        <is>
          <t>Legendary Cube Prize Pack PZ1</t>
        </is>
      </c>
      <c r="C584" t="n">
        <v>149</v>
      </c>
      <c r="D584" s="3" t="n">
        <v>42326</v>
      </c>
      <c r="F584" t="inlineStr">
        <is>
          <t>en es fr de it pt ja ko ru 汉语 漢語</t>
        </is>
      </c>
      <c r="G584" t="n">
        <v>1110</v>
      </c>
      <c r="H584">
        <f>MONTH(NOW())+12*YEAR(NOW())-MONTH(tbl_MTG_Set[[#This Row],[Released On]])-12*YEAR(tbl_MTG_Set[[#This Row],[Released On]])</f>
        <v/>
      </c>
      <c r="I584">
        <f>_xlfn.XLOOKUP(tbl_MTG_Set[[#This Row],[Type Name]], tbl_MTG_Set_Type[Set Type], tbl_MTG_Set_Type[Index], "(Set Type not found)")</f>
        <v/>
      </c>
      <c r="J584">
        <f>_xlfn.XLOOKUP(tbl_MTG_Set[[#This Row],[Type Name]], tbl_MTG_Set_Type[Set Type], tbl_MTG_Set_Type[Buy Window Month Start], "(Set Type not found)")</f>
        <v/>
      </c>
      <c r="K584" s="3">
        <f>tbl_MTG_Set[[#This Row],[Released On]]+tbl_MTG_Set[[#This Row],[Buy Window Month Start]]*365.25/12</f>
        <v/>
      </c>
      <c r="L584">
        <f>_xlfn.XLOOKUP(tbl_MTG_Set[[#This Row],[Type Name]], tbl_MTG_Set_Type[Set Type], tbl_MTG_Set_Type[Buy Window Month End], "(Set Type not found)", 0, 1)</f>
        <v/>
      </c>
      <c r="M584" s="3">
        <f>tbl_MTG_Set[[#This Row],[Released On]]+tbl_MTG_Set[[#This Row],[Buy Window Month End]]*365.25/12</f>
        <v/>
      </c>
      <c r="N584" s="3">
        <f>AND(NOW()&gt;=tbl_MTG_Set[[#This Row],[Buy Window Start]], NOW()&lt;=tbl_MTG_Set[[#This Row],[Buy Window End]])</f>
        <v/>
      </c>
      <c r="O584">
        <f>_xlfn.XLOOKUP(tbl_MTG_Set[[#This Row],[Type Name]], tbl_MTG_Set_Type[Set Type], tbl_MTG_Set_Type[Heavy Printing Window Month Start], "(Set Type not found)", 0, 1)</f>
        <v/>
      </c>
      <c r="P584" s="3">
        <f>tbl_MTG_Set[[#This Row],[Released On]]+tbl_MTG_Set[[#This Row],[Heavy Printing Window Month Start]]*365.25/12</f>
        <v/>
      </c>
      <c r="Q584">
        <f>_xlfn.XLOOKUP(tbl_MTG_Set[[#This Row],[Type Name]], tbl_MTG_Set_Type[Set Type], tbl_MTG_Set_Type[Heavy Printing Window Month End], "(Set Type not found)", 0, 1)</f>
        <v/>
      </c>
      <c r="R584" s="3">
        <f>tbl_MTG_Set[[#This Row],[Released On]]+tbl_MTG_Set[[#This Row],[Heavy Printing Window Month End]]*365.25/12</f>
        <v/>
      </c>
      <c r="S584" s="3">
        <f>AND(NOW()&gt;=tbl_MTG_Set[[#This Row],[Heavy Printing Window Start]], NOW()&lt;=tbl_MTG_Set[[#This Row],[Heavy Printing Window End]])</f>
        <v/>
      </c>
      <c r="T584">
        <f>_xlfn.XLOOKUP(tbl_MTG_Set[[#This Row],[Type Name]], tbl_MTG_Set_Type[Set Type], tbl_MTG_Set_Type[Sell Window Month Start], "(Set Type not found)", 0, 1)</f>
        <v/>
      </c>
      <c r="U584" s="3">
        <f>tbl_MTG_Set[[#This Row],[Released On]]+tbl_MTG_Set[[#This Row],[Sell Window Month Start]]*365.25/12</f>
        <v/>
      </c>
      <c r="V584">
        <f>_xlfn.XLOOKUP(tbl_MTG_Set[[#This Row],[Type Name]], tbl_MTG_Set_Type[Set Type], tbl_MTG_Set_Type[Sell Window Month End], "(Set Type not found)", 0, 1)</f>
        <v/>
      </c>
      <c r="W584" s="3">
        <f>tbl_MTG_Set[[#This Row],[Released On]]+tbl_MTG_Set[[#This Row],[Sell Window Month End]]*365.25/12</f>
        <v/>
      </c>
      <c r="X584" s="3">
        <f>AND(NOW()&gt;=tbl_MTG_Set[[#This Row],[Sell Window Start]], NOW()&lt;=tbl_MTG_Set[[#This Row],[Sell Window End]])</f>
        <v/>
      </c>
      <c r="AG584" s="10" t="n"/>
      <c r="AH584" s="10" t="n"/>
      <c r="AM584" s="10">
        <f t="array" ref="AM5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4" s="10">
        <f t="array" ref="AN5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4" s="4">
        <f>_xlfn.XLOOKUP(tbl_MTG_Set[[#This Row],[Play Booster Box Product Id]], tbl_Product[Product Id], tbl_Product[Pack Size])</f>
        <v/>
      </c>
      <c r="AP584" s="10">
        <f>(tbl_MTG_Set[[#This Row],[Play Booster Box Cost]]+v_Item_Shipping_Cost_In)/tbl_MTG_Set[[#This Row],[Play Booster Box Size]]</f>
        <v/>
      </c>
      <c r="AQ584" s="10">
        <f t="array" ref="AQ5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4" s="10" t="n"/>
      <c r="AS584" s="10" t="n"/>
      <c r="AT584" s="17">
        <f>tbl_MTG_Set[[#This Row],[Play Booster CardMarket Profit]]/tbl_MTG_Set[[#This Row],[Play Booster Cost]]</f>
        <v/>
      </c>
      <c r="AU584" s="10">
        <f>_xlfn.XLOOKUP(tbl_MTG_Set[[#This Row],[Collector Booster Box Product Id]], tbl_Product[Product Id], tbl_Product[Min Cost])</f>
        <v/>
      </c>
      <c r="AV584" s="10">
        <f>_xlfn.XLOOKUP(tbl_MTG_Set[[#This Row],[Collector Booster Box Product Id]], tbl_Product[Product Id], tbl_Product[Best Source])</f>
        <v/>
      </c>
      <c r="AW584" s="4">
        <f>_xlfn.XLOOKUP(tbl_MTG_Set[[#This Row],[Collector Booster Box Product Id]], tbl_Product[Product Id], tbl_Product[Pack Size])</f>
        <v/>
      </c>
      <c r="AX584" s="10">
        <f>(tbl_MTG_Set[[#This Row],[Collector Booster Box Cost]] + v_Item_Shipping_Cost_In) / tbl_MTG_Set[[#This Row],[Collector Booster Box Size]]</f>
        <v/>
      </c>
      <c r="AY584" s="10">
        <f t="array" ref="AY5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4" s="10" t="n"/>
      <c r="BA5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4" s="17">
        <f>tbl_MTG_Set[[#This Row],[Collector Booster CardMarket Profit]]/tbl_MTG_Set[[#This Row],[Collector Booster Cost]]</f>
        <v/>
      </c>
      <c r="BC584" s="10" t="n"/>
      <c r="BF584" s="10">
        <f>tbl_MTG_Set[[#This Row],[Play Booster Sell Price CardMarket]]*tbl_MTG_Set[[#This Row],[Play Booster Expected Market Value]]/tbl_MTG_Set[[#This Row],[Play Boost Sealed Market Value]]</f>
        <v/>
      </c>
      <c r="BG5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4" s="10">
        <f>tbl_MTG_Set[[#This Row],[Play Singles CardMarket Profit]]/tbl_MTG_Set[[#This Row],[Play Booster Cost]]</f>
        <v/>
      </c>
      <c r="BI584" s="10">
        <f>tbl_MTG_Set[[#This Row],[Play Singles CardMarket Profit]]&gt;0</f>
        <v/>
      </c>
      <c r="BJ584" s="10" t="n"/>
      <c r="BK584" s="10" t="n"/>
      <c r="BL584" s="10">
        <f>tbl_MTG_Set[[#This Row],[Collector Booster Sell Price CardMarket]]*tbl_MTG_Set[[#This Row],[Collector Booster Expected Market Value]]/tbl_MTG_Set[[#This Row],[Collector Boost Sealed Market Value]]</f>
        <v/>
      </c>
      <c r="BM5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4" s="10">
        <f>tbl_MTG_Set[[#This Row],[Collector Singles CardMarket Profit]]/tbl_MTG_Set[[#This Row],[Collector Booster Cost]]</f>
        <v/>
      </c>
      <c r="BO584" s="10">
        <f>tbl_MTG_Set[[#This Row],[Collector Singles CardMarket Profit]]&gt;0</f>
        <v/>
      </c>
      <c r="BP5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5">
      <c r="A585" t="n">
        <v>583</v>
      </c>
      <c r="B585" t="inlineStr">
        <is>
          <t>Commander 2015 C15</t>
        </is>
      </c>
      <c r="C585" t="n">
        <v>342</v>
      </c>
      <c r="D585" s="3" t="n">
        <v>42321</v>
      </c>
      <c r="F585" t="inlineStr">
        <is>
          <t>en es fr de it pt ja ko ru 汉语 漢語</t>
        </is>
      </c>
      <c r="G585" t="n">
        <v>1112</v>
      </c>
      <c r="H585">
        <f>MONTH(NOW())+12*YEAR(NOW())-MONTH(tbl_MTG_Set[[#This Row],[Released On]])-12*YEAR(tbl_MTG_Set[[#This Row],[Released On]])</f>
        <v/>
      </c>
      <c r="I585">
        <f>_xlfn.XLOOKUP(tbl_MTG_Set[[#This Row],[Type Name]], tbl_MTG_Set_Type[Set Type], tbl_MTG_Set_Type[Index], "(Set Type not found)")</f>
        <v/>
      </c>
      <c r="J585">
        <f>_xlfn.XLOOKUP(tbl_MTG_Set[[#This Row],[Type Name]], tbl_MTG_Set_Type[Set Type], tbl_MTG_Set_Type[Buy Window Month Start], "(Set Type not found)")</f>
        <v/>
      </c>
      <c r="K585" s="3">
        <f>tbl_MTG_Set[[#This Row],[Released On]]+tbl_MTG_Set[[#This Row],[Buy Window Month Start]]*365.25/12</f>
        <v/>
      </c>
      <c r="L585">
        <f>_xlfn.XLOOKUP(tbl_MTG_Set[[#This Row],[Type Name]], tbl_MTG_Set_Type[Set Type], tbl_MTG_Set_Type[Buy Window Month End], "(Set Type not found)", 0, 1)</f>
        <v/>
      </c>
      <c r="M585" s="3">
        <f>tbl_MTG_Set[[#This Row],[Released On]]+tbl_MTG_Set[[#This Row],[Buy Window Month End]]*365.25/12</f>
        <v/>
      </c>
      <c r="N585" s="3">
        <f>AND(NOW()&gt;=tbl_MTG_Set[[#This Row],[Buy Window Start]], NOW()&lt;=tbl_MTG_Set[[#This Row],[Buy Window End]])</f>
        <v/>
      </c>
      <c r="O585">
        <f>_xlfn.XLOOKUP(tbl_MTG_Set[[#This Row],[Type Name]], tbl_MTG_Set_Type[Set Type], tbl_MTG_Set_Type[Heavy Printing Window Month Start], "(Set Type not found)", 0, 1)</f>
        <v/>
      </c>
      <c r="P585" s="3">
        <f>tbl_MTG_Set[[#This Row],[Released On]]+tbl_MTG_Set[[#This Row],[Heavy Printing Window Month Start]]*365.25/12</f>
        <v/>
      </c>
      <c r="Q585">
        <f>_xlfn.XLOOKUP(tbl_MTG_Set[[#This Row],[Type Name]], tbl_MTG_Set_Type[Set Type], tbl_MTG_Set_Type[Heavy Printing Window Month End], "(Set Type not found)", 0, 1)</f>
        <v/>
      </c>
      <c r="R585" s="3">
        <f>tbl_MTG_Set[[#This Row],[Released On]]+tbl_MTG_Set[[#This Row],[Heavy Printing Window Month End]]*365.25/12</f>
        <v/>
      </c>
      <c r="S585" s="3">
        <f>AND(NOW()&gt;=tbl_MTG_Set[[#This Row],[Heavy Printing Window Start]], NOW()&lt;=tbl_MTG_Set[[#This Row],[Heavy Printing Window End]])</f>
        <v/>
      </c>
      <c r="T585">
        <f>_xlfn.XLOOKUP(tbl_MTG_Set[[#This Row],[Type Name]], tbl_MTG_Set_Type[Set Type], tbl_MTG_Set_Type[Sell Window Month Start], "(Set Type not found)", 0, 1)</f>
        <v/>
      </c>
      <c r="U585" s="3">
        <f>tbl_MTG_Set[[#This Row],[Released On]]+tbl_MTG_Set[[#This Row],[Sell Window Month Start]]*365.25/12</f>
        <v/>
      </c>
      <c r="V585">
        <f>_xlfn.XLOOKUP(tbl_MTG_Set[[#This Row],[Type Name]], tbl_MTG_Set_Type[Set Type], tbl_MTG_Set_Type[Sell Window Month End], "(Set Type not found)", 0, 1)</f>
        <v/>
      </c>
      <c r="W585" s="3">
        <f>tbl_MTG_Set[[#This Row],[Released On]]+tbl_MTG_Set[[#This Row],[Sell Window Month End]]*365.25/12</f>
        <v/>
      </c>
      <c r="X585" s="3">
        <f>AND(NOW()&gt;=tbl_MTG_Set[[#This Row],[Sell Window Start]], NOW()&lt;=tbl_MTG_Set[[#This Row],[Sell Window End]])</f>
        <v/>
      </c>
      <c r="AG585" s="10" t="n"/>
      <c r="AH585" s="10" t="n"/>
      <c r="AM585" s="10">
        <f t="array" ref="AM5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5" s="10">
        <f t="array" ref="AN5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5" s="4">
        <f>_xlfn.XLOOKUP(tbl_MTG_Set[[#This Row],[Play Booster Box Product Id]], tbl_Product[Product Id], tbl_Product[Pack Size])</f>
        <v/>
      </c>
      <c r="AP585" s="10">
        <f>(tbl_MTG_Set[[#This Row],[Play Booster Box Cost]]+v_Item_Shipping_Cost_In)/tbl_MTG_Set[[#This Row],[Play Booster Box Size]]</f>
        <v/>
      </c>
      <c r="AQ585" s="10">
        <f t="array" ref="AQ5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5" s="10" t="n"/>
      <c r="AS585" s="10" t="n"/>
      <c r="AT585" s="17">
        <f>tbl_MTG_Set[[#This Row],[Play Booster CardMarket Profit]]/tbl_MTG_Set[[#This Row],[Play Booster Cost]]</f>
        <v/>
      </c>
      <c r="AU585" s="10">
        <f>_xlfn.XLOOKUP(tbl_MTG_Set[[#This Row],[Collector Booster Box Product Id]], tbl_Product[Product Id], tbl_Product[Min Cost])</f>
        <v/>
      </c>
      <c r="AV585" s="10">
        <f>_xlfn.XLOOKUP(tbl_MTG_Set[[#This Row],[Collector Booster Box Product Id]], tbl_Product[Product Id], tbl_Product[Best Source])</f>
        <v/>
      </c>
      <c r="AW585" s="4">
        <f>_xlfn.XLOOKUP(tbl_MTG_Set[[#This Row],[Collector Booster Box Product Id]], tbl_Product[Product Id], tbl_Product[Pack Size])</f>
        <v/>
      </c>
      <c r="AX585" s="10">
        <f>(tbl_MTG_Set[[#This Row],[Collector Booster Box Cost]] + v_Item_Shipping_Cost_In) / tbl_MTG_Set[[#This Row],[Collector Booster Box Size]]</f>
        <v/>
      </c>
      <c r="AY585" s="10">
        <f t="array" ref="AY5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5" s="10" t="n"/>
      <c r="BA5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5" s="17">
        <f>tbl_MTG_Set[[#This Row],[Collector Booster CardMarket Profit]]/tbl_MTG_Set[[#This Row],[Collector Booster Cost]]</f>
        <v/>
      </c>
      <c r="BC585" s="10" t="n"/>
      <c r="BF585" s="10">
        <f>tbl_MTG_Set[[#This Row],[Play Booster Sell Price CardMarket]]*tbl_MTG_Set[[#This Row],[Play Booster Expected Market Value]]/tbl_MTG_Set[[#This Row],[Play Boost Sealed Market Value]]</f>
        <v/>
      </c>
      <c r="BG5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5" s="10">
        <f>tbl_MTG_Set[[#This Row],[Play Singles CardMarket Profit]]/tbl_MTG_Set[[#This Row],[Play Booster Cost]]</f>
        <v/>
      </c>
      <c r="BI585" s="10">
        <f>tbl_MTG_Set[[#This Row],[Play Singles CardMarket Profit]]&gt;0</f>
        <v/>
      </c>
      <c r="BJ585" s="10" t="n"/>
      <c r="BK585" s="10" t="n"/>
      <c r="BL585" s="10">
        <f>tbl_MTG_Set[[#This Row],[Collector Booster Sell Price CardMarket]]*tbl_MTG_Set[[#This Row],[Collector Booster Expected Market Value]]/tbl_MTG_Set[[#This Row],[Collector Boost Sealed Market Value]]</f>
        <v/>
      </c>
      <c r="BM5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5" s="10">
        <f>tbl_MTG_Set[[#This Row],[Collector Singles CardMarket Profit]]/tbl_MTG_Set[[#This Row],[Collector Booster Cost]]</f>
        <v/>
      </c>
      <c r="BO585" s="10">
        <f>tbl_MTG_Set[[#This Row],[Collector Singles CardMarket Profit]]&gt;0</f>
        <v/>
      </c>
      <c r="BP5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6">
      <c r="A586" t="n">
        <v>584</v>
      </c>
      <c r="B586" t="inlineStr">
        <is>
          <t>Commander 2015 Tokens TC15</t>
        </is>
      </c>
      <c r="C586" t="n">
        <v>25</v>
      </c>
      <c r="D586" s="3" t="n">
        <v>42321</v>
      </c>
      <c r="F586" t="inlineStr">
        <is>
          <t>en es fr de it pt ja ko ru 汉语 漢語</t>
        </is>
      </c>
      <c r="G586" t="n">
        <v>1114</v>
      </c>
      <c r="H586">
        <f>MONTH(NOW())+12*YEAR(NOW())-MONTH(tbl_MTG_Set[[#This Row],[Released On]])-12*YEAR(tbl_MTG_Set[[#This Row],[Released On]])</f>
        <v/>
      </c>
      <c r="I586">
        <f>_xlfn.XLOOKUP(tbl_MTG_Set[[#This Row],[Type Name]], tbl_MTG_Set_Type[Set Type], tbl_MTG_Set_Type[Index], "(Set Type not found)")</f>
        <v/>
      </c>
      <c r="J586">
        <f>_xlfn.XLOOKUP(tbl_MTG_Set[[#This Row],[Type Name]], tbl_MTG_Set_Type[Set Type], tbl_MTG_Set_Type[Buy Window Month Start], "(Set Type not found)")</f>
        <v/>
      </c>
      <c r="K586" s="3">
        <f>tbl_MTG_Set[[#This Row],[Released On]]+tbl_MTG_Set[[#This Row],[Buy Window Month Start]]*365.25/12</f>
        <v/>
      </c>
      <c r="L586">
        <f>_xlfn.XLOOKUP(tbl_MTG_Set[[#This Row],[Type Name]], tbl_MTG_Set_Type[Set Type], tbl_MTG_Set_Type[Buy Window Month End], "(Set Type not found)", 0, 1)</f>
        <v/>
      </c>
      <c r="M586" s="3">
        <f>tbl_MTG_Set[[#This Row],[Released On]]+tbl_MTG_Set[[#This Row],[Buy Window Month End]]*365.25/12</f>
        <v/>
      </c>
      <c r="N586" s="3">
        <f>AND(NOW()&gt;=tbl_MTG_Set[[#This Row],[Buy Window Start]], NOW()&lt;=tbl_MTG_Set[[#This Row],[Buy Window End]])</f>
        <v/>
      </c>
      <c r="O586">
        <f>_xlfn.XLOOKUP(tbl_MTG_Set[[#This Row],[Type Name]], tbl_MTG_Set_Type[Set Type], tbl_MTG_Set_Type[Heavy Printing Window Month Start], "(Set Type not found)", 0, 1)</f>
        <v/>
      </c>
      <c r="P586" s="3">
        <f>tbl_MTG_Set[[#This Row],[Released On]]+tbl_MTG_Set[[#This Row],[Heavy Printing Window Month Start]]*365.25/12</f>
        <v/>
      </c>
      <c r="Q586">
        <f>_xlfn.XLOOKUP(tbl_MTG_Set[[#This Row],[Type Name]], tbl_MTG_Set_Type[Set Type], tbl_MTG_Set_Type[Heavy Printing Window Month End], "(Set Type not found)", 0, 1)</f>
        <v/>
      </c>
      <c r="R586" s="3">
        <f>tbl_MTG_Set[[#This Row],[Released On]]+tbl_MTG_Set[[#This Row],[Heavy Printing Window Month End]]*365.25/12</f>
        <v/>
      </c>
      <c r="S586" s="3">
        <f>AND(NOW()&gt;=tbl_MTG_Set[[#This Row],[Heavy Printing Window Start]], NOW()&lt;=tbl_MTG_Set[[#This Row],[Heavy Printing Window End]])</f>
        <v/>
      </c>
      <c r="T586">
        <f>_xlfn.XLOOKUP(tbl_MTG_Set[[#This Row],[Type Name]], tbl_MTG_Set_Type[Set Type], tbl_MTG_Set_Type[Sell Window Month Start], "(Set Type not found)", 0, 1)</f>
        <v/>
      </c>
      <c r="U586" s="3">
        <f>tbl_MTG_Set[[#This Row],[Released On]]+tbl_MTG_Set[[#This Row],[Sell Window Month Start]]*365.25/12</f>
        <v/>
      </c>
      <c r="V586">
        <f>_xlfn.XLOOKUP(tbl_MTG_Set[[#This Row],[Type Name]], tbl_MTG_Set_Type[Set Type], tbl_MTG_Set_Type[Sell Window Month End], "(Set Type not found)", 0, 1)</f>
        <v/>
      </c>
      <c r="W586" s="3">
        <f>tbl_MTG_Set[[#This Row],[Released On]]+tbl_MTG_Set[[#This Row],[Sell Window Month End]]*365.25/12</f>
        <v/>
      </c>
      <c r="X586" s="3">
        <f>AND(NOW()&gt;=tbl_MTG_Set[[#This Row],[Sell Window Start]], NOW()&lt;=tbl_MTG_Set[[#This Row],[Sell Window End]])</f>
        <v/>
      </c>
      <c r="AG586" s="10" t="n"/>
      <c r="AH586" s="10" t="n"/>
      <c r="AM586" s="10">
        <f t="array" ref="AM5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6" s="10">
        <f t="array" ref="AN5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6" s="4">
        <f>_xlfn.XLOOKUP(tbl_MTG_Set[[#This Row],[Play Booster Box Product Id]], tbl_Product[Product Id], tbl_Product[Pack Size])</f>
        <v/>
      </c>
      <c r="AP586" s="10">
        <f>(tbl_MTG_Set[[#This Row],[Play Booster Box Cost]]+v_Item_Shipping_Cost_In)/tbl_MTG_Set[[#This Row],[Play Booster Box Size]]</f>
        <v/>
      </c>
      <c r="AQ586" s="10">
        <f t="array" ref="AQ5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6" s="10" t="n"/>
      <c r="AS586" s="10" t="n"/>
      <c r="AT586" s="17">
        <f>tbl_MTG_Set[[#This Row],[Play Booster CardMarket Profit]]/tbl_MTG_Set[[#This Row],[Play Booster Cost]]</f>
        <v/>
      </c>
      <c r="AU586" s="10">
        <f>_xlfn.XLOOKUP(tbl_MTG_Set[[#This Row],[Collector Booster Box Product Id]], tbl_Product[Product Id], tbl_Product[Min Cost])</f>
        <v/>
      </c>
      <c r="AV586" s="10">
        <f>_xlfn.XLOOKUP(tbl_MTG_Set[[#This Row],[Collector Booster Box Product Id]], tbl_Product[Product Id], tbl_Product[Best Source])</f>
        <v/>
      </c>
      <c r="AW586" s="4">
        <f>_xlfn.XLOOKUP(tbl_MTG_Set[[#This Row],[Collector Booster Box Product Id]], tbl_Product[Product Id], tbl_Product[Pack Size])</f>
        <v/>
      </c>
      <c r="AX586" s="10">
        <f>(tbl_MTG_Set[[#This Row],[Collector Booster Box Cost]] + v_Item_Shipping_Cost_In) / tbl_MTG_Set[[#This Row],[Collector Booster Box Size]]</f>
        <v/>
      </c>
      <c r="AY586" s="10">
        <f t="array" ref="AY5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6" s="10" t="n"/>
      <c r="BA5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6" s="17">
        <f>tbl_MTG_Set[[#This Row],[Collector Booster CardMarket Profit]]/tbl_MTG_Set[[#This Row],[Collector Booster Cost]]</f>
        <v/>
      </c>
      <c r="BC586" s="10" t="n"/>
      <c r="BF586" s="10">
        <f>tbl_MTG_Set[[#This Row],[Play Booster Sell Price CardMarket]]*tbl_MTG_Set[[#This Row],[Play Booster Expected Market Value]]/tbl_MTG_Set[[#This Row],[Play Boost Sealed Market Value]]</f>
        <v/>
      </c>
      <c r="BG5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6" s="10">
        <f>tbl_MTG_Set[[#This Row],[Play Singles CardMarket Profit]]/tbl_MTG_Set[[#This Row],[Play Booster Cost]]</f>
        <v/>
      </c>
      <c r="BI586" s="10">
        <f>tbl_MTG_Set[[#This Row],[Play Singles CardMarket Profit]]&gt;0</f>
        <v/>
      </c>
      <c r="BJ586" s="10" t="n"/>
      <c r="BK586" s="10" t="n"/>
      <c r="BL586" s="10">
        <f>tbl_MTG_Set[[#This Row],[Collector Booster Sell Price CardMarket]]*tbl_MTG_Set[[#This Row],[Collector Booster Expected Market Value]]/tbl_MTG_Set[[#This Row],[Collector Boost Sealed Market Value]]</f>
        <v/>
      </c>
      <c r="BM5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6" s="10">
        <f>tbl_MTG_Set[[#This Row],[Collector Singles CardMarket Profit]]/tbl_MTG_Set[[#This Row],[Collector Booster Cost]]</f>
        <v/>
      </c>
      <c r="BO586" s="10">
        <f>tbl_MTG_Set[[#This Row],[Collector Singles CardMarket Profit]]&gt;0</f>
        <v/>
      </c>
      <c r="BP5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7">
      <c r="A587" t="n">
        <v>585</v>
      </c>
      <c r="B587" t="inlineStr">
        <is>
          <t>Commander 2015 Oversized OC15</t>
        </is>
      </c>
      <c r="C587" t="n">
        <v>5</v>
      </c>
      <c r="D587" s="3" t="n">
        <v>42321</v>
      </c>
      <c r="F587" t="inlineStr">
        <is>
          <t>en es fr de it pt ja ko ru 汉语 漢語</t>
        </is>
      </c>
      <c r="G587" t="n">
        <v>1116</v>
      </c>
      <c r="H587">
        <f>MONTH(NOW())+12*YEAR(NOW())-MONTH(tbl_MTG_Set[[#This Row],[Released On]])-12*YEAR(tbl_MTG_Set[[#This Row],[Released On]])</f>
        <v/>
      </c>
      <c r="I587">
        <f>_xlfn.XLOOKUP(tbl_MTG_Set[[#This Row],[Type Name]], tbl_MTG_Set_Type[Set Type], tbl_MTG_Set_Type[Index], "(Set Type not found)")</f>
        <v/>
      </c>
      <c r="J587">
        <f>_xlfn.XLOOKUP(tbl_MTG_Set[[#This Row],[Type Name]], tbl_MTG_Set_Type[Set Type], tbl_MTG_Set_Type[Buy Window Month Start], "(Set Type not found)")</f>
        <v/>
      </c>
      <c r="K587" s="3">
        <f>tbl_MTG_Set[[#This Row],[Released On]]+tbl_MTG_Set[[#This Row],[Buy Window Month Start]]*365.25/12</f>
        <v/>
      </c>
      <c r="L587">
        <f>_xlfn.XLOOKUP(tbl_MTG_Set[[#This Row],[Type Name]], tbl_MTG_Set_Type[Set Type], tbl_MTG_Set_Type[Buy Window Month End], "(Set Type not found)", 0, 1)</f>
        <v/>
      </c>
      <c r="M587" s="3">
        <f>tbl_MTG_Set[[#This Row],[Released On]]+tbl_MTG_Set[[#This Row],[Buy Window Month End]]*365.25/12</f>
        <v/>
      </c>
      <c r="N587" s="3">
        <f>AND(NOW()&gt;=tbl_MTG_Set[[#This Row],[Buy Window Start]], NOW()&lt;=tbl_MTG_Set[[#This Row],[Buy Window End]])</f>
        <v/>
      </c>
      <c r="O587">
        <f>_xlfn.XLOOKUP(tbl_MTG_Set[[#This Row],[Type Name]], tbl_MTG_Set_Type[Set Type], tbl_MTG_Set_Type[Heavy Printing Window Month Start], "(Set Type not found)", 0, 1)</f>
        <v/>
      </c>
      <c r="P587" s="3">
        <f>tbl_MTG_Set[[#This Row],[Released On]]+tbl_MTG_Set[[#This Row],[Heavy Printing Window Month Start]]*365.25/12</f>
        <v/>
      </c>
      <c r="Q587">
        <f>_xlfn.XLOOKUP(tbl_MTG_Set[[#This Row],[Type Name]], tbl_MTG_Set_Type[Set Type], tbl_MTG_Set_Type[Heavy Printing Window Month End], "(Set Type not found)", 0, 1)</f>
        <v/>
      </c>
      <c r="R587" s="3">
        <f>tbl_MTG_Set[[#This Row],[Released On]]+tbl_MTG_Set[[#This Row],[Heavy Printing Window Month End]]*365.25/12</f>
        <v/>
      </c>
      <c r="S587" s="3">
        <f>AND(NOW()&gt;=tbl_MTG_Set[[#This Row],[Heavy Printing Window Start]], NOW()&lt;=tbl_MTG_Set[[#This Row],[Heavy Printing Window End]])</f>
        <v/>
      </c>
      <c r="T587">
        <f>_xlfn.XLOOKUP(tbl_MTG_Set[[#This Row],[Type Name]], tbl_MTG_Set_Type[Set Type], tbl_MTG_Set_Type[Sell Window Month Start], "(Set Type not found)", 0, 1)</f>
        <v/>
      </c>
      <c r="U587" s="3">
        <f>tbl_MTG_Set[[#This Row],[Released On]]+tbl_MTG_Set[[#This Row],[Sell Window Month Start]]*365.25/12</f>
        <v/>
      </c>
      <c r="V587">
        <f>_xlfn.XLOOKUP(tbl_MTG_Set[[#This Row],[Type Name]], tbl_MTG_Set_Type[Set Type], tbl_MTG_Set_Type[Sell Window Month End], "(Set Type not found)", 0, 1)</f>
        <v/>
      </c>
      <c r="W587" s="3">
        <f>tbl_MTG_Set[[#This Row],[Released On]]+tbl_MTG_Set[[#This Row],[Sell Window Month End]]*365.25/12</f>
        <v/>
      </c>
      <c r="X587" s="3">
        <f>AND(NOW()&gt;=tbl_MTG_Set[[#This Row],[Sell Window Start]], NOW()&lt;=tbl_MTG_Set[[#This Row],[Sell Window End]])</f>
        <v/>
      </c>
      <c r="AG587" s="10" t="n"/>
      <c r="AH587" s="10" t="n"/>
      <c r="AM587" s="10">
        <f t="array" ref="AM5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7" s="10">
        <f t="array" ref="AN5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7" s="4">
        <f>_xlfn.XLOOKUP(tbl_MTG_Set[[#This Row],[Play Booster Box Product Id]], tbl_Product[Product Id], tbl_Product[Pack Size])</f>
        <v/>
      </c>
      <c r="AP587" s="10">
        <f>(tbl_MTG_Set[[#This Row],[Play Booster Box Cost]]+v_Item_Shipping_Cost_In)/tbl_MTG_Set[[#This Row],[Play Booster Box Size]]</f>
        <v/>
      </c>
      <c r="AQ587" s="10">
        <f t="array" ref="AQ5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7" s="10" t="n"/>
      <c r="AS587" s="10" t="n"/>
      <c r="AT587" s="17">
        <f>tbl_MTG_Set[[#This Row],[Play Booster CardMarket Profit]]/tbl_MTG_Set[[#This Row],[Play Booster Cost]]</f>
        <v/>
      </c>
      <c r="AU587" s="10">
        <f>_xlfn.XLOOKUP(tbl_MTG_Set[[#This Row],[Collector Booster Box Product Id]], tbl_Product[Product Id], tbl_Product[Min Cost])</f>
        <v/>
      </c>
      <c r="AV587" s="10">
        <f>_xlfn.XLOOKUP(tbl_MTG_Set[[#This Row],[Collector Booster Box Product Id]], tbl_Product[Product Id], tbl_Product[Best Source])</f>
        <v/>
      </c>
      <c r="AW587" s="4">
        <f>_xlfn.XLOOKUP(tbl_MTG_Set[[#This Row],[Collector Booster Box Product Id]], tbl_Product[Product Id], tbl_Product[Pack Size])</f>
        <v/>
      </c>
      <c r="AX587" s="10">
        <f>(tbl_MTG_Set[[#This Row],[Collector Booster Box Cost]] + v_Item_Shipping_Cost_In) / tbl_MTG_Set[[#This Row],[Collector Booster Box Size]]</f>
        <v/>
      </c>
      <c r="AY587" s="10">
        <f t="array" ref="AY5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7" s="10" t="n"/>
      <c r="BA5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7" s="17">
        <f>tbl_MTG_Set[[#This Row],[Collector Booster CardMarket Profit]]/tbl_MTG_Set[[#This Row],[Collector Booster Cost]]</f>
        <v/>
      </c>
      <c r="BC587" s="10" t="n"/>
      <c r="BF587" s="10">
        <f>tbl_MTG_Set[[#This Row],[Play Booster Sell Price CardMarket]]*tbl_MTG_Set[[#This Row],[Play Booster Expected Market Value]]/tbl_MTG_Set[[#This Row],[Play Boost Sealed Market Value]]</f>
        <v/>
      </c>
      <c r="BG5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7" s="10">
        <f>tbl_MTG_Set[[#This Row],[Play Singles CardMarket Profit]]/tbl_MTG_Set[[#This Row],[Play Booster Cost]]</f>
        <v/>
      </c>
      <c r="BI587" s="10">
        <f>tbl_MTG_Set[[#This Row],[Play Singles CardMarket Profit]]&gt;0</f>
        <v/>
      </c>
      <c r="BJ587" s="10" t="n"/>
      <c r="BK587" s="10" t="n"/>
      <c r="BL587" s="10">
        <f>tbl_MTG_Set[[#This Row],[Collector Booster Sell Price CardMarket]]*tbl_MTG_Set[[#This Row],[Collector Booster Expected Market Value]]/tbl_MTG_Set[[#This Row],[Collector Boost Sealed Market Value]]</f>
        <v/>
      </c>
      <c r="BM5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7" s="10">
        <f>tbl_MTG_Set[[#This Row],[Collector Singles CardMarket Profit]]/tbl_MTG_Set[[#This Row],[Collector Booster Cost]]</f>
        <v/>
      </c>
      <c r="BO587" s="10">
        <f>tbl_MTG_Set[[#This Row],[Collector Singles CardMarket Profit]]&gt;0</f>
        <v/>
      </c>
      <c r="BP5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8">
      <c r="A588" t="n">
        <v>586</v>
      </c>
      <c r="B588" t="inlineStr">
        <is>
          <t>Battle for Zendikar BFZ</t>
        </is>
      </c>
      <c r="C588" t="n">
        <v>299</v>
      </c>
      <c r="D588" s="3" t="n">
        <v>42279</v>
      </c>
      <c r="E588" t="inlineStr">
        <is>
          <t>Standard Expansion</t>
        </is>
      </c>
      <c r="F588" t="inlineStr">
        <is>
          <t>en es fr de it pt ja ko ru 汉语 漢語</t>
        </is>
      </c>
      <c r="G588" t="n">
        <v>1118</v>
      </c>
      <c r="H588">
        <f>MONTH(NOW())+12*YEAR(NOW())-MONTH(tbl_MTG_Set[[#This Row],[Released On]])-12*YEAR(tbl_MTG_Set[[#This Row],[Released On]])</f>
        <v/>
      </c>
      <c r="I588">
        <f>_xlfn.XLOOKUP(tbl_MTG_Set[[#This Row],[Type Name]], tbl_MTG_Set_Type[Set Type], tbl_MTG_Set_Type[Index], "(Set Type not found)")</f>
        <v/>
      </c>
      <c r="J588">
        <f>_xlfn.XLOOKUP(tbl_MTG_Set[[#This Row],[Type Name]], tbl_MTG_Set_Type[Set Type], tbl_MTG_Set_Type[Buy Window Month Start], "(Set Type not found)")</f>
        <v/>
      </c>
      <c r="K588" s="3">
        <f>tbl_MTG_Set[[#This Row],[Released On]]+tbl_MTG_Set[[#This Row],[Buy Window Month Start]]*365.25/12</f>
        <v/>
      </c>
      <c r="L588">
        <f>_xlfn.XLOOKUP(tbl_MTG_Set[[#This Row],[Type Name]], tbl_MTG_Set_Type[Set Type], tbl_MTG_Set_Type[Buy Window Month End], "(Set Type not found)", 0, 1)</f>
        <v/>
      </c>
      <c r="M588" s="3">
        <f>tbl_MTG_Set[[#This Row],[Released On]]+tbl_MTG_Set[[#This Row],[Buy Window Month End]]*365.25/12</f>
        <v/>
      </c>
      <c r="N588" s="3">
        <f>AND(NOW()&gt;=tbl_MTG_Set[[#This Row],[Buy Window Start]], NOW()&lt;=tbl_MTG_Set[[#This Row],[Buy Window End]])</f>
        <v/>
      </c>
      <c r="O588">
        <f>_xlfn.XLOOKUP(tbl_MTG_Set[[#This Row],[Type Name]], tbl_MTG_Set_Type[Set Type], tbl_MTG_Set_Type[Heavy Printing Window Month Start], "(Set Type not found)", 0, 1)</f>
        <v/>
      </c>
      <c r="P588" s="3">
        <f>tbl_MTG_Set[[#This Row],[Released On]]+tbl_MTG_Set[[#This Row],[Heavy Printing Window Month Start]]*365.25/12</f>
        <v/>
      </c>
      <c r="Q588">
        <f>_xlfn.XLOOKUP(tbl_MTG_Set[[#This Row],[Type Name]], tbl_MTG_Set_Type[Set Type], tbl_MTG_Set_Type[Heavy Printing Window Month End], "(Set Type not found)", 0, 1)</f>
        <v/>
      </c>
      <c r="R588" s="3">
        <f>tbl_MTG_Set[[#This Row],[Released On]]+tbl_MTG_Set[[#This Row],[Heavy Printing Window Month End]]*365.25/12</f>
        <v/>
      </c>
      <c r="S588" s="3">
        <f>AND(NOW()&gt;=tbl_MTG_Set[[#This Row],[Heavy Printing Window Start]], NOW()&lt;=tbl_MTG_Set[[#This Row],[Heavy Printing Window End]])</f>
        <v/>
      </c>
      <c r="T588">
        <f>_xlfn.XLOOKUP(tbl_MTG_Set[[#This Row],[Type Name]], tbl_MTG_Set_Type[Set Type], tbl_MTG_Set_Type[Sell Window Month Start], "(Set Type not found)", 0, 1)</f>
        <v/>
      </c>
      <c r="U588" s="3">
        <f>tbl_MTG_Set[[#This Row],[Released On]]+tbl_MTG_Set[[#This Row],[Sell Window Month Start]]*365.25/12</f>
        <v/>
      </c>
      <c r="V588">
        <f>_xlfn.XLOOKUP(tbl_MTG_Set[[#This Row],[Type Name]], tbl_MTG_Set_Type[Set Type], tbl_MTG_Set_Type[Sell Window Month End], "(Set Type not found)", 0, 1)</f>
        <v/>
      </c>
      <c r="W588" s="3">
        <f>tbl_MTG_Set[[#This Row],[Released On]]+tbl_MTG_Set[[#This Row],[Sell Window Month End]]*365.25/12</f>
        <v/>
      </c>
      <c r="X588" s="3">
        <f>AND(NOW()&gt;=tbl_MTG_Set[[#This Row],[Sell Window Start]], NOW()&lt;=tbl_MTG_Set[[#This Row],[Sell Window End]])</f>
        <v/>
      </c>
      <c r="AG588" s="10" t="n"/>
      <c r="AH588" s="10" t="n"/>
      <c r="AM588" s="10">
        <f t="array" ref="AM5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8" s="10">
        <f t="array" ref="AN5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8" s="4">
        <f>_xlfn.XLOOKUP(tbl_MTG_Set[[#This Row],[Play Booster Box Product Id]], tbl_Product[Product Id], tbl_Product[Pack Size])</f>
        <v/>
      </c>
      <c r="AP588" s="10">
        <f>(tbl_MTG_Set[[#This Row],[Play Booster Box Cost]]+v_Item_Shipping_Cost_In)/tbl_MTG_Set[[#This Row],[Play Booster Box Size]]</f>
        <v/>
      </c>
      <c r="AQ588" s="10">
        <f t="array" ref="AQ5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8" s="10" t="n"/>
      <c r="AS588" s="10" t="n"/>
      <c r="AT588" s="17">
        <f>tbl_MTG_Set[[#This Row],[Play Booster CardMarket Profit]]/tbl_MTG_Set[[#This Row],[Play Booster Cost]]</f>
        <v/>
      </c>
      <c r="AU588" s="10">
        <f>_xlfn.XLOOKUP(tbl_MTG_Set[[#This Row],[Collector Booster Box Product Id]], tbl_Product[Product Id], tbl_Product[Min Cost])</f>
        <v/>
      </c>
      <c r="AV588" s="10">
        <f>_xlfn.XLOOKUP(tbl_MTG_Set[[#This Row],[Collector Booster Box Product Id]], tbl_Product[Product Id], tbl_Product[Best Source])</f>
        <v/>
      </c>
      <c r="AW588" s="4">
        <f>_xlfn.XLOOKUP(tbl_MTG_Set[[#This Row],[Collector Booster Box Product Id]], tbl_Product[Product Id], tbl_Product[Pack Size])</f>
        <v/>
      </c>
      <c r="AX588" s="10">
        <f>(tbl_MTG_Set[[#This Row],[Collector Booster Box Cost]] + v_Item_Shipping_Cost_In) / tbl_MTG_Set[[#This Row],[Collector Booster Box Size]]</f>
        <v/>
      </c>
      <c r="AY588" s="10">
        <f t="array" ref="AY5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8" s="10" t="n"/>
      <c r="BA5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8" s="17">
        <f>tbl_MTG_Set[[#This Row],[Collector Booster CardMarket Profit]]/tbl_MTG_Set[[#This Row],[Collector Booster Cost]]</f>
        <v/>
      </c>
      <c r="BC588" s="10" t="n"/>
      <c r="BF588" s="10">
        <f>tbl_MTG_Set[[#This Row],[Play Booster Sell Price CardMarket]]*tbl_MTG_Set[[#This Row],[Play Booster Expected Market Value]]/tbl_MTG_Set[[#This Row],[Play Boost Sealed Market Value]]</f>
        <v/>
      </c>
      <c r="BG5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8" s="10">
        <f>tbl_MTG_Set[[#This Row],[Play Singles CardMarket Profit]]/tbl_MTG_Set[[#This Row],[Play Booster Cost]]</f>
        <v/>
      </c>
      <c r="BI588" s="10">
        <f>tbl_MTG_Set[[#This Row],[Play Singles CardMarket Profit]]&gt;0</f>
        <v/>
      </c>
      <c r="BJ588" s="10" t="n"/>
      <c r="BK588" s="10" t="n"/>
      <c r="BL588" s="10">
        <f>tbl_MTG_Set[[#This Row],[Collector Booster Sell Price CardMarket]]*tbl_MTG_Set[[#This Row],[Collector Booster Expected Market Value]]/tbl_MTG_Set[[#This Row],[Collector Boost Sealed Market Value]]</f>
        <v/>
      </c>
      <c r="BM5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8" s="10">
        <f>tbl_MTG_Set[[#This Row],[Collector Singles CardMarket Profit]]/tbl_MTG_Set[[#This Row],[Collector Booster Cost]]</f>
        <v/>
      </c>
      <c r="BO588" s="10">
        <f>tbl_MTG_Set[[#This Row],[Collector Singles CardMarket Profit]]&gt;0</f>
        <v/>
      </c>
      <c r="BP5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9">
      <c r="A589" t="n">
        <v>587</v>
      </c>
      <c r="B589" t="inlineStr">
        <is>
          <t>Zendikar Expeditions EXP</t>
        </is>
      </c>
      <c r="C589" t="n">
        <v>45</v>
      </c>
      <c r="D589" s="3" t="n">
        <v>42279</v>
      </c>
      <c r="E589" t="inlineStr">
        <is>
          <t>Standard Expansion</t>
        </is>
      </c>
      <c r="F589" t="inlineStr">
        <is>
          <t>en es fr de it pt ja ko ru 汉语 漢語</t>
        </is>
      </c>
      <c r="G589" t="n">
        <v>1120</v>
      </c>
      <c r="H589">
        <f>MONTH(NOW())+12*YEAR(NOW())-MONTH(tbl_MTG_Set[[#This Row],[Released On]])-12*YEAR(tbl_MTG_Set[[#This Row],[Released On]])</f>
        <v/>
      </c>
      <c r="I589">
        <f>_xlfn.XLOOKUP(tbl_MTG_Set[[#This Row],[Type Name]], tbl_MTG_Set_Type[Set Type], tbl_MTG_Set_Type[Index], "(Set Type not found)")</f>
        <v/>
      </c>
      <c r="J589">
        <f>_xlfn.XLOOKUP(tbl_MTG_Set[[#This Row],[Type Name]], tbl_MTG_Set_Type[Set Type], tbl_MTG_Set_Type[Buy Window Month Start], "(Set Type not found)")</f>
        <v/>
      </c>
      <c r="K589" s="3">
        <f>tbl_MTG_Set[[#This Row],[Released On]]+tbl_MTG_Set[[#This Row],[Buy Window Month Start]]*365.25/12</f>
        <v/>
      </c>
      <c r="L589">
        <f>_xlfn.XLOOKUP(tbl_MTG_Set[[#This Row],[Type Name]], tbl_MTG_Set_Type[Set Type], tbl_MTG_Set_Type[Buy Window Month End], "(Set Type not found)", 0, 1)</f>
        <v/>
      </c>
      <c r="M589" s="3">
        <f>tbl_MTG_Set[[#This Row],[Released On]]+tbl_MTG_Set[[#This Row],[Buy Window Month End]]*365.25/12</f>
        <v/>
      </c>
      <c r="N589" s="3">
        <f>AND(NOW()&gt;=tbl_MTG_Set[[#This Row],[Buy Window Start]], NOW()&lt;=tbl_MTG_Set[[#This Row],[Buy Window End]])</f>
        <v/>
      </c>
      <c r="O589">
        <f>_xlfn.XLOOKUP(tbl_MTG_Set[[#This Row],[Type Name]], tbl_MTG_Set_Type[Set Type], tbl_MTG_Set_Type[Heavy Printing Window Month Start], "(Set Type not found)", 0, 1)</f>
        <v/>
      </c>
      <c r="P589" s="3">
        <f>tbl_MTG_Set[[#This Row],[Released On]]+tbl_MTG_Set[[#This Row],[Heavy Printing Window Month Start]]*365.25/12</f>
        <v/>
      </c>
      <c r="Q589">
        <f>_xlfn.XLOOKUP(tbl_MTG_Set[[#This Row],[Type Name]], tbl_MTG_Set_Type[Set Type], tbl_MTG_Set_Type[Heavy Printing Window Month End], "(Set Type not found)", 0, 1)</f>
        <v/>
      </c>
      <c r="R589" s="3">
        <f>tbl_MTG_Set[[#This Row],[Released On]]+tbl_MTG_Set[[#This Row],[Heavy Printing Window Month End]]*365.25/12</f>
        <v/>
      </c>
      <c r="S589" s="3">
        <f>AND(NOW()&gt;=tbl_MTG_Set[[#This Row],[Heavy Printing Window Start]], NOW()&lt;=tbl_MTG_Set[[#This Row],[Heavy Printing Window End]])</f>
        <v/>
      </c>
      <c r="T589">
        <f>_xlfn.XLOOKUP(tbl_MTG_Set[[#This Row],[Type Name]], tbl_MTG_Set_Type[Set Type], tbl_MTG_Set_Type[Sell Window Month Start], "(Set Type not found)", 0, 1)</f>
        <v/>
      </c>
      <c r="U589" s="3">
        <f>tbl_MTG_Set[[#This Row],[Released On]]+tbl_MTG_Set[[#This Row],[Sell Window Month Start]]*365.25/12</f>
        <v/>
      </c>
      <c r="V589">
        <f>_xlfn.XLOOKUP(tbl_MTG_Set[[#This Row],[Type Name]], tbl_MTG_Set_Type[Set Type], tbl_MTG_Set_Type[Sell Window Month End], "(Set Type not found)", 0, 1)</f>
        <v/>
      </c>
      <c r="W589" s="3">
        <f>tbl_MTG_Set[[#This Row],[Released On]]+tbl_MTG_Set[[#This Row],[Sell Window Month End]]*365.25/12</f>
        <v/>
      </c>
      <c r="X589" s="3">
        <f>AND(NOW()&gt;=tbl_MTG_Set[[#This Row],[Sell Window Start]], NOW()&lt;=tbl_MTG_Set[[#This Row],[Sell Window End]])</f>
        <v/>
      </c>
      <c r="AG589" s="10" t="n"/>
      <c r="AH589" s="10" t="n"/>
      <c r="AM589" s="10">
        <f t="array" ref="AM5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9" s="10">
        <f t="array" ref="AN5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9" s="4">
        <f>_xlfn.XLOOKUP(tbl_MTG_Set[[#This Row],[Play Booster Box Product Id]], tbl_Product[Product Id], tbl_Product[Pack Size])</f>
        <v/>
      </c>
      <c r="AP589" s="10">
        <f>(tbl_MTG_Set[[#This Row],[Play Booster Box Cost]]+v_Item_Shipping_Cost_In)/tbl_MTG_Set[[#This Row],[Play Booster Box Size]]</f>
        <v/>
      </c>
      <c r="AQ589" s="10">
        <f t="array" ref="AQ5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89" s="10" t="n"/>
      <c r="AS589" s="10" t="n"/>
      <c r="AT589" s="17">
        <f>tbl_MTG_Set[[#This Row],[Play Booster CardMarket Profit]]/tbl_MTG_Set[[#This Row],[Play Booster Cost]]</f>
        <v/>
      </c>
      <c r="AU589" s="10">
        <f>_xlfn.XLOOKUP(tbl_MTG_Set[[#This Row],[Collector Booster Box Product Id]], tbl_Product[Product Id], tbl_Product[Min Cost])</f>
        <v/>
      </c>
      <c r="AV589" s="10">
        <f>_xlfn.XLOOKUP(tbl_MTG_Set[[#This Row],[Collector Booster Box Product Id]], tbl_Product[Product Id], tbl_Product[Best Source])</f>
        <v/>
      </c>
      <c r="AW589" s="4">
        <f>_xlfn.XLOOKUP(tbl_MTG_Set[[#This Row],[Collector Booster Box Product Id]], tbl_Product[Product Id], tbl_Product[Pack Size])</f>
        <v/>
      </c>
      <c r="AX589" s="10">
        <f>(tbl_MTG_Set[[#This Row],[Collector Booster Box Cost]] + v_Item_Shipping_Cost_In) / tbl_MTG_Set[[#This Row],[Collector Booster Box Size]]</f>
        <v/>
      </c>
      <c r="AY589" s="10">
        <f t="array" ref="AY5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89" s="10" t="n"/>
      <c r="BA5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9" s="17">
        <f>tbl_MTG_Set[[#This Row],[Collector Booster CardMarket Profit]]/tbl_MTG_Set[[#This Row],[Collector Booster Cost]]</f>
        <v/>
      </c>
      <c r="BC589" s="10" t="n"/>
      <c r="BF589" s="10">
        <f>tbl_MTG_Set[[#This Row],[Play Booster Sell Price CardMarket]]*tbl_MTG_Set[[#This Row],[Play Booster Expected Market Value]]/tbl_MTG_Set[[#This Row],[Play Boost Sealed Market Value]]</f>
        <v/>
      </c>
      <c r="BG5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9" s="10">
        <f>tbl_MTG_Set[[#This Row],[Play Singles CardMarket Profit]]/tbl_MTG_Set[[#This Row],[Play Booster Cost]]</f>
        <v/>
      </c>
      <c r="BI589" s="10">
        <f>tbl_MTG_Set[[#This Row],[Play Singles CardMarket Profit]]&gt;0</f>
        <v/>
      </c>
      <c r="BJ589" s="10" t="n"/>
      <c r="BK589" s="10" t="n"/>
      <c r="BL589" s="10">
        <f>tbl_MTG_Set[[#This Row],[Collector Booster Sell Price CardMarket]]*tbl_MTG_Set[[#This Row],[Collector Booster Expected Market Value]]/tbl_MTG_Set[[#This Row],[Collector Boost Sealed Market Value]]</f>
        <v/>
      </c>
      <c r="BM5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9" s="10">
        <f>tbl_MTG_Set[[#This Row],[Collector Singles CardMarket Profit]]/tbl_MTG_Set[[#This Row],[Collector Booster Cost]]</f>
        <v/>
      </c>
      <c r="BO589" s="10">
        <f>tbl_MTG_Set[[#This Row],[Collector Singles CardMarket Profit]]&gt;0</f>
        <v/>
      </c>
      <c r="BP5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0">
      <c r="A590" t="n">
        <v>588</v>
      </c>
      <c r="B590" t="inlineStr">
        <is>
          <t>Battle for Zendikar Promos PBFZ</t>
        </is>
      </c>
      <c r="C590" t="n">
        <v>90</v>
      </c>
      <c r="D590" s="3" t="n">
        <v>42279</v>
      </c>
      <c r="E590" t="inlineStr">
        <is>
          <t>Standard Expansion</t>
        </is>
      </c>
      <c r="F590" t="inlineStr">
        <is>
          <t>en es fr de it pt ja ko ru 汉语 漢語</t>
        </is>
      </c>
      <c r="G590" t="n">
        <v>1122</v>
      </c>
      <c r="H590">
        <f>MONTH(NOW())+12*YEAR(NOW())-MONTH(tbl_MTG_Set[[#This Row],[Released On]])-12*YEAR(tbl_MTG_Set[[#This Row],[Released On]])</f>
        <v/>
      </c>
      <c r="I590">
        <f>_xlfn.XLOOKUP(tbl_MTG_Set[[#This Row],[Type Name]], tbl_MTG_Set_Type[Set Type], tbl_MTG_Set_Type[Index], "(Set Type not found)")</f>
        <v/>
      </c>
      <c r="J590">
        <f>_xlfn.XLOOKUP(tbl_MTG_Set[[#This Row],[Type Name]], tbl_MTG_Set_Type[Set Type], tbl_MTG_Set_Type[Buy Window Month Start], "(Set Type not found)")</f>
        <v/>
      </c>
      <c r="K590" s="3">
        <f>tbl_MTG_Set[[#This Row],[Released On]]+tbl_MTG_Set[[#This Row],[Buy Window Month Start]]*365.25/12</f>
        <v/>
      </c>
      <c r="L590">
        <f>_xlfn.XLOOKUP(tbl_MTG_Set[[#This Row],[Type Name]], tbl_MTG_Set_Type[Set Type], tbl_MTG_Set_Type[Buy Window Month End], "(Set Type not found)", 0, 1)</f>
        <v/>
      </c>
      <c r="M590" s="3">
        <f>tbl_MTG_Set[[#This Row],[Released On]]+tbl_MTG_Set[[#This Row],[Buy Window Month End]]*365.25/12</f>
        <v/>
      </c>
      <c r="N590" s="3">
        <f>AND(NOW()&gt;=tbl_MTG_Set[[#This Row],[Buy Window Start]], NOW()&lt;=tbl_MTG_Set[[#This Row],[Buy Window End]])</f>
        <v/>
      </c>
      <c r="O590">
        <f>_xlfn.XLOOKUP(tbl_MTG_Set[[#This Row],[Type Name]], tbl_MTG_Set_Type[Set Type], tbl_MTG_Set_Type[Heavy Printing Window Month Start], "(Set Type not found)", 0, 1)</f>
        <v/>
      </c>
      <c r="P590" s="3">
        <f>tbl_MTG_Set[[#This Row],[Released On]]+tbl_MTG_Set[[#This Row],[Heavy Printing Window Month Start]]*365.25/12</f>
        <v/>
      </c>
      <c r="Q590">
        <f>_xlfn.XLOOKUP(tbl_MTG_Set[[#This Row],[Type Name]], tbl_MTG_Set_Type[Set Type], tbl_MTG_Set_Type[Heavy Printing Window Month End], "(Set Type not found)", 0, 1)</f>
        <v/>
      </c>
      <c r="R590" s="3">
        <f>tbl_MTG_Set[[#This Row],[Released On]]+tbl_MTG_Set[[#This Row],[Heavy Printing Window Month End]]*365.25/12</f>
        <v/>
      </c>
      <c r="S590" s="3">
        <f>AND(NOW()&gt;=tbl_MTG_Set[[#This Row],[Heavy Printing Window Start]], NOW()&lt;=tbl_MTG_Set[[#This Row],[Heavy Printing Window End]])</f>
        <v/>
      </c>
      <c r="T590">
        <f>_xlfn.XLOOKUP(tbl_MTG_Set[[#This Row],[Type Name]], tbl_MTG_Set_Type[Set Type], tbl_MTG_Set_Type[Sell Window Month Start], "(Set Type not found)", 0, 1)</f>
        <v/>
      </c>
      <c r="U590" s="3">
        <f>tbl_MTG_Set[[#This Row],[Released On]]+tbl_MTG_Set[[#This Row],[Sell Window Month Start]]*365.25/12</f>
        <v/>
      </c>
      <c r="V590">
        <f>_xlfn.XLOOKUP(tbl_MTG_Set[[#This Row],[Type Name]], tbl_MTG_Set_Type[Set Type], tbl_MTG_Set_Type[Sell Window Month End], "(Set Type not found)", 0, 1)</f>
        <v/>
      </c>
      <c r="W590" s="3">
        <f>tbl_MTG_Set[[#This Row],[Released On]]+tbl_MTG_Set[[#This Row],[Sell Window Month End]]*365.25/12</f>
        <v/>
      </c>
      <c r="X590" s="3">
        <f>AND(NOW()&gt;=tbl_MTG_Set[[#This Row],[Sell Window Start]], NOW()&lt;=tbl_MTG_Set[[#This Row],[Sell Window End]])</f>
        <v/>
      </c>
      <c r="AG590" s="10" t="n"/>
      <c r="AH590" s="10" t="n"/>
      <c r="AM590" s="10">
        <f t="array" ref="AM5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0" s="10">
        <f t="array" ref="AN5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0" s="4">
        <f>_xlfn.XLOOKUP(tbl_MTG_Set[[#This Row],[Play Booster Box Product Id]], tbl_Product[Product Id], tbl_Product[Pack Size])</f>
        <v/>
      </c>
      <c r="AP590" s="10">
        <f>(tbl_MTG_Set[[#This Row],[Play Booster Box Cost]]+v_Item_Shipping_Cost_In)/tbl_MTG_Set[[#This Row],[Play Booster Box Size]]</f>
        <v/>
      </c>
      <c r="AQ590" s="10">
        <f t="array" ref="AQ5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0" s="10" t="n"/>
      <c r="AS590" s="10" t="n"/>
      <c r="AT590" s="17">
        <f>tbl_MTG_Set[[#This Row],[Play Booster CardMarket Profit]]/tbl_MTG_Set[[#This Row],[Play Booster Cost]]</f>
        <v/>
      </c>
      <c r="AU590" s="10">
        <f>_xlfn.XLOOKUP(tbl_MTG_Set[[#This Row],[Collector Booster Box Product Id]], tbl_Product[Product Id], tbl_Product[Min Cost])</f>
        <v/>
      </c>
      <c r="AV590" s="10">
        <f>_xlfn.XLOOKUP(tbl_MTG_Set[[#This Row],[Collector Booster Box Product Id]], tbl_Product[Product Id], tbl_Product[Best Source])</f>
        <v/>
      </c>
      <c r="AW590" s="4">
        <f>_xlfn.XLOOKUP(tbl_MTG_Set[[#This Row],[Collector Booster Box Product Id]], tbl_Product[Product Id], tbl_Product[Pack Size])</f>
        <v/>
      </c>
      <c r="AX590" s="10">
        <f>(tbl_MTG_Set[[#This Row],[Collector Booster Box Cost]] + v_Item_Shipping_Cost_In) / tbl_MTG_Set[[#This Row],[Collector Booster Box Size]]</f>
        <v/>
      </c>
      <c r="AY590" s="10">
        <f t="array" ref="AY5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0" s="10" t="n"/>
      <c r="BA5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0" s="17">
        <f>tbl_MTG_Set[[#This Row],[Collector Booster CardMarket Profit]]/tbl_MTG_Set[[#This Row],[Collector Booster Cost]]</f>
        <v/>
      </c>
      <c r="BC590" s="10" t="n"/>
      <c r="BF590" s="10">
        <f>tbl_MTG_Set[[#This Row],[Play Booster Sell Price CardMarket]]*tbl_MTG_Set[[#This Row],[Play Booster Expected Market Value]]/tbl_MTG_Set[[#This Row],[Play Boost Sealed Market Value]]</f>
        <v/>
      </c>
      <c r="BG5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0" s="10">
        <f>tbl_MTG_Set[[#This Row],[Play Singles CardMarket Profit]]/tbl_MTG_Set[[#This Row],[Play Booster Cost]]</f>
        <v/>
      </c>
      <c r="BI590" s="10">
        <f>tbl_MTG_Set[[#This Row],[Play Singles CardMarket Profit]]&gt;0</f>
        <v/>
      </c>
      <c r="BJ590" s="10" t="n"/>
      <c r="BK590" s="10" t="n"/>
      <c r="BL590" s="10">
        <f>tbl_MTG_Set[[#This Row],[Collector Booster Sell Price CardMarket]]*tbl_MTG_Set[[#This Row],[Collector Booster Expected Market Value]]/tbl_MTG_Set[[#This Row],[Collector Boost Sealed Market Value]]</f>
        <v/>
      </c>
      <c r="BM5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0" s="10">
        <f>tbl_MTG_Set[[#This Row],[Collector Singles CardMarket Profit]]/tbl_MTG_Set[[#This Row],[Collector Booster Cost]]</f>
        <v/>
      </c>
      <c r="BO590" s="10">
        <f>tbl_MTG_Set[[#This Row],[Collector Singles CardMarket Profit]]&gt;0</f>
        <v/>
      </c>
      <c r="BP5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1">
      <c r="A591" t="n">
        <v>589</v>
      </c>
      <c r="B591" t="inlineStr">
        <is>
          <t>Battle for Zendikar Tokens TBFZ</t>
        </is>
      </c>
      <c r="C591" t="n">
        <v>14</v>
      </c>
      <c r="D591" s="3" t="n">
        <v>42279</v>
      </c>
      <c r="E591" t="inlineStr">
        <is>
          <t>Standard Expansion</t>
        </is>
      </c>
      <c r="F591" t="inlineStr">
        <is>
          <t>en es fr de it pt ja ko ru 汉语 漢語</t>
        </is>
      </c>
      <c r="G591" t="n">
        <v>1124</v>
      </c>
      <c r="H591">
        <f>MONTH(NOW())+12*YEAR(NOW())-MONTH(tbl_MTG_Set[[#This Row],[Released On]])-12*YEAR(tbl_MTG_Set[[#This Row],[Released On]])</f>
        <v/>
      </c>
      <c r="I591">
        <f>_xlfn.XLOOKUP(tbl_MTG_Set[[#This Row],[Type Name]], tbl_MTG_Set_Type[Set Type], tbl_MTG_Set_Type[Index], "(Set Type not found)")</f>
        <v/>
      </c>
      <c r="J591">
        <f>_xlfn.XLOOKUP(tbl_MTG_Set[[#This Row],[Type Name]], tbl_MTG_Set_Type[Set Type], tbl_MTG_Set_Type[Buy Window Month Start], "(Set Type not found)")</f>
        <v/>
      </c>
      <c r="K591" s="3">
        <f>tbl_MTG_Set[[#This Row],[Released On]]+tbl_MTG_Set[[#This Row],[Buy Window Month Start]]*365.25/12</f>
        <v/>
      </c>
      <c r="L591">
        <f>_xlfn.XLOOKUP(tbl_MTG_Set[[#This Row],[Type Name]], tbl_MTG_Set_Type[Set Type], tbl_MTG_Set_Type[Buy Window Month End], "(Set Type not found)", 0, 1)</f>
        <v/>
      </c>
      <c r="M591" s="3">
        <f>tbl_MTG_Set[[#This Row],[Released On]]+tbl_MTG_Set[[#This Row],[Buy Window Month End]]*365.25/12</f>
        <v/>
      </c>
      <c r="N591" s="3">
        <f>AND(NOW()&gt;=tbl_MTG_Set[[#This Row],[Buy Window Start]], NOW()&lt;=tbl_MTG_Set[[#This Row],[Buy Window End]])</f>
        <v/>
      </c>
      <c r="O591">
        <f>_xlfn.XLOOKUP(tbl_MTG_Set[[#This Row],[Type Name]], tbl_MTG_Set_Type[Set Type], tbl_MTG_Set_Type[Heavy Printing Window Month Start], "(Set Type not found)", 0, 1)</f>
        <v/>
      </c>
      <c r="P591" s="3">
        <f>tbl_MTG_Set[[#This Row],[Released On]]+tbl_MTG_Set[[#This Row],[Heavy Printing Window Month Start]]*365.25/12</f>
        <v/>
      </c>
      <c r="Q591">
        <f>_xlfn.XLOOKUP(tbl_MTG_Set[[#This Row],[Type Name]], tbl_MTG_Set_Type[Set Type], tbl_MTG_Set_Type[Heavy Printing Window Month End], "(Set Type not found)", 0, 1)</f>
        <v/>
      </c>
      <c r="R591" s="3">
        <f>tbl_MTG_Set[[#This Row],[Released On]]+tbl_MTG_Set[[#This Row],[Heavy Printing Window Month End]]*365.25/12</f>
        <v/>
      </c>
      <c r="S591" s="3">
        <f>AND(NOW()&gt;=tbl_MTG_Set[[#This Row],[Heavy Printing Window Start]], NOW()&lt;=tbl_MTG_Set[[#This Row],[Heavy Printing Window End]])</f>
        <v/>
      </c>
      <c r="T591">
        <f>_xlfn.XLOOKUP(tbl_MTG_Set[[#This Row],[Type Name]], tbl_MTG_Set_Type[Set Type], tbl_MTG_Set_Type[Sell Window Month Start], "(Set Type not found)", 0, 1)</f>
        <v/>
      </c>
      <c r="U591" s="3">
        <f>tbl_MTG_Set[[#This Row],[Released On]]+tbl_MTG_Set[[#This Row],[Sell Window Month Start]]*365.25/12</f>
        <v/>
      </c>
      <c r="V591">
        <f>_xlfn.XLOOKUP(tbl_MTG_Set[[#This Row],[Type Name]], tbl_MTG_Set_Type[Set Type], tbl_MTG_Set_Type[Sell Window Month End], "(Set Type not found)", 0, 1)</f>
        <v/>
      </c>
      <c r="W591" s="3">
        <f>tbl_MTG_Set[[#This Row],[Released On]]+tbl_MTG_Set[[#This Row],[Sell Window Month End]]*365.25/12</f>
        <v/>
      </c>
      <c r="X591" s="3">
        <f>AND(NOW()&gt;=tbl_MTG_Set[[#This Row],[Sell Window Start]], NOW()&lt;=tbl_MTG_Set[[#This Row],[Sell Window End]])</f>
        <v/>
      </c>
      <c r="AG591" s="10" t="n"/>
      <c r="AH591" s="10" t="n"/>
      <c r="AM591" s="10">
        <f t="array" ref="AM5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1" s="10">
        <f t="array" ref="AN5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1" s="4">
        <f>_xlfn.XLOOKUP(tbl_MTG_Set[[#This Row],[Play Booster Box Product Id]], tbl_Product[Product Id], tbl_Product[Pack Size])</f>
        <v/>
      </c>
      <c r="AP591" s="10">
        <f>(tbl_MTG_Set[[#This Row],[Play Booster Box Cost]]+v_Item_Shipping_Cost_In)/tbl_MTG_Set[[#This Row],[Play Booster Box Size]]</f>
        <v/>
      </c>
      <c r="AQ591" s="10">
        <f t="array" ref="AQ5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1" s="10" t="n"/>
      <c r="AS591" s="10" t="n"/>
      <c r="AT591" s="17">
        <f>tbl_MTG_Set[[#This Row],[Play Booster CardMarket Profit]]/tbl_MTG_Set[[#This Row],[Play Booster Cost]]</f>
        <v/>
      </c>
      <c r="AU591" s="10">
        <f>_xlfn.XLOOKUP(tbl_MTG_Set[[#This Row],[Collector Booster Box Product Id]], tbl_Product[Product Id], tbl_Product[Min Cost])</f>
        <v/>
      </c>
      <c r="AV591" s="10">
        <f>_xlfn.XLOOKUP(tbl_MTG_Set[[#This Row],[Collector Booster Box Product Id]], tbl_Product[Product Id], tbl_Product[Best Source])</f>
        <v/>
      </c>
      <c r="AW591" s="4">
        <f>_xlfn.XLOOKUP(tbl_MTG_Set[[#This Row],[Collector Booster Box Product Id]], tbl_Product[Product Id], tbl_Product[Pack Size])</f>
        <v/>
      </c>
      <c r="AX591" s="10">
        <f>(tbl_MTG_Set[[#This Row],[Collector Booster Box Cost]] + v_Item_Shipping_Cost_In) / tbl_MTG_Set[[#This Row],[Collector Booster Box Size]]</f>
        <v/>
      </c>
      <c r="AY591" s="10">
        <f t="array" ref="AY5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1" s="10" t="n"/>
      <c r="BA5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1" s="17">
        <f>tbl_MTG_Set[[#This Row],[Collector Booster CardMarket Profit]]/tbl_MTG_Set[[#This Row],[Collector Booster Cost]]</f>
        <v/>
      </c>
      <c r="BC591" s="10" t="n"/>
      <c r="BF591" s="10">
        <f>tbl_MTG_Set[[#This Row],[Play Booster Sell Price CardMarket]]*tbl_MTG_Set[[#This Row],[Play Booster Expected Market Value]]/tbl_MTG_Set[[#This Row],[Play Boost Sealed Market Value]]</f>
        <v/>
      </c>
      <c r="BG5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1" s="10">
        <f>tbl_MTG_Set[[#This Row],[Play Singles CardMarket Profit]]/tbl_MTG_Set[[#This Row],[Play Booster Cost]]</f>
        <v/>
      </c>
      <c r="BI591" s="10">
        <f>tbl_MTG_Set[[#This Row],[Play Singles CardMarket Profit]]&gt;0</f>
        <v/>
      </c>
      <c r="BJ591" s="10" t="n"/>
      <c r="BK591" s="10" t="n"/>
      <c r="BL591" s="10">
        <f>tbl_MTG_Set[[#This Row],[Collector Booster Sell Price CardMarket]]*tbl_MTG_Set[[#This Row],[Collector Booster Expected Market Value]]/tbl_MTG_Set[[#This Row],[Collector Boost Sealed Market Value]]</f>
        <v/>
      </c>
      <c r="BM5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1" s="10">
        <f>tbl_MTG_Set[[#This Row],[Collector Singles CardMarket Profit]]/tbl_MTG_Set[[#This Row],[Collector Booster Cost]]</f>
        <v/>
      </c>
      <c r="BO591" s="10">
        <f>tbl_MTG_Set[[#This Row],[Collector Singles CardMarket Profit]]&gt;0</f>
        <v/>
      </c>
      <c r="BP5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2">
      <c r="A592" t="n">
        <v>590</v>
      </c>
      <c r="B592" t="inlineStr">
        <is>
          <t>BFZ Standard Series PSS1</t>
        </is>
      </c>
      <c r="C592" t="n">
        <v>5</v>
      </c>
      <c r="D592" s="3" t="n">
        <v>42279</v>
      </c>
      <c r="F592" t="inlineStr">
        <is>
          <t>en es fr de it pt ja ko ru 汉语 漢語</t>
        </is>
      </c>
      <c r="G592" t="n">
        <v>1126</v>
      </c>
      <c r="H592">
        <f>MONTH(NOW())+12*YEAR(NOW())-MONTH(tbl_MTG_Set[[#This Row],[Released On]])-12*YEAR(tbl_MTG_Set[[#This Row],[Released On]])</f>
        <v/>
      </c>
      <c r="I592">
        <f>_xlfn.XLOOKUP(tbl_MTG_Set[[#This Row],[Type Name]], tbl_MTG_Set_Type[Set Type], tbl_MTG_Set_Type[Index], "(Set Type not found)")</f>
        <v/>
      </c>
      <c r="J592">
        <f>_xlfn.XLOOKUP(tbl_MTG_Set[[#This Row],[Type Name]], tbl_MTG_Set_Type[Set Type], tbl_MTG_Set_Type[Buy Window Month Start], "(Set Type not found)")</f>
        <v/>
      </c>
      <c r="K592" s="3">
        <f>tbl_MTG_Set[[#This Row],[Released On]]+tbl_MTG_Set[[#This Row],[Buy Window Month Start]]*365.25/12</f>
        <v/>
      </c>
      <c r="L592">
        <f>_xlfn.XLOOKUP(tbl_MTG_Set[[#This Row],[Type Name]], tbl_MTG_Set_Type[Set Type], tbl_MTG_Set_Type[Buy Window Month End], "(Set Type not found)", 0, 1)</f>
        <v/>
      </c>
      <c r="M592" s="3">
        <f>tbl_MTG_Set[[#This Row],[Released On]]+tbl_MTG_Set[[#This Row],[Buy Window Month End]]*365.25/12</f>
        <v/>
      </c>
      <c r="N592" s="3">
        <f>AND(NOW()&gt;=tbl_MTG_Set[[#This Row],[Buy Window Start]], NOW()&lt;=tbl_MTG_Set[[#This Row],[Buy Window End]])</f>
        <v/>
      </c>
      <c r="O592">
        <f>_xlfn.XLOOKUP(tbl_MTG_Set[[#This Row],[Type Name]], tbl_MTG_Set_Type[Set Type], tbl_MTG_Set_Type[Heavy Printing Window Month Start], "(Set Type not found)", 0, 1)</f>
        <v/>
      </c>
      <c r="P592" s="3">
        <f>tbl_MTG_Set[[#This Row],[Released On]]+tbl_MTG_Set[[#This Row],[Heavy Printing Window Month Start]]*365.25/12</f>
        <v/>
      </c>
      <c r="Q592">
        <f>_xlfn.XLOOKUP(tbl_MTG_Set[[#This Row],[Type Name]], tbl_MTG_Set_Type[Set Type], tbl_MTG_Set_Type[Heavy Printing Window Month End], "(Set Type not found)", 0, 1)</f>
        <v/>
      </c>
      <c r="R592" s="3">
        <f>tbl_MTG_Set[[#This Row],[Released On]]+tbl_MTG_Set[[#This Row],[Heavy Printing Window Month End]]*365.25/12</f>
        <v/>
      </c>
      <c r="S592" s="3">
        <f>AND(NOW()&gt;=tbl_MTG_Set[[#This Row],[Heavy Printing Window Start]], NOW()&lt;=tbl_MTG_Set[[#This Row],[Heavy Printing Window End]])</f>
        <v/>
      </c>
      <c r="T592">
        <f>_xlfn.XLOOKUP(tbl_MTG_Set[[#This Row],[Type Name]], tbl_MTG_Set_Type[Set Type], tbl_MTG_Set_Type[Sell Window Month Start], "(Set Type not found)", 0, 1)</f>
        <v/>
      </c>
      <c r="U592" s="3">
        <f>tbl_MTG_Set[[#This Row],[Released On]]+tbl_MTG_Set[[#This Row],[Sell Window Month Start]]*365.25/12</f>
        <v/>
      </c>
      <c r="V592">
        <f>_xlfn.XLOOKUP(tbl_MTG_Set[[#This Row],[Type Name]], tbl_MTG_Set_Type[Set Type], tbl_MTG_Set_Type[Sell Window Month End], "(Set Type not found)", 0, 1)</f>
        <v/>
      </c>
      <c r="W592" s="3">
        <f>tbl_MTG_Set[[#This Row],[Released On]]+tbl_MTG_Set[[#This Row],[Sell Window Month End]]*365.25/12</f>
        <v/>
      </c>
      <c r="X592" s="3">
        <f>AND(NOW()&gt;=tbl_MTG_Set[[#This Row],[Sell Window Start]], NOW()&lt;=tbl_MTG_Set[[#This Row],[Sell Window End]])</f>
        <v/>
      </c>
      <c r="AG592" s="10" t="n"/>
      <c r="AH592" s="10" t="n"/>
      <c r="AM592" s="10">
        <f t="array" ref="AM5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2" s="10">
        <f t="array" ref="AN5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2" s="4">
        <f>_xlfn.XLOOKUP(tbl_MTG_Set[[#This Row],[Play Booster Box Product Id]], tbl_Product[Product Id], tbl_Product[Pack Size])</f>
        <v/>
      </c>
      <c r="AP592" s="10">
        <f>(tbl_MTG_Set[[#This Row],[Play Booster Box Cost]]+v_Item_Shipping_Cost_In)/tbl_MTG_Set[[#This Row],[Play Booster Box Size]]</f>
        <v/>
      </c>
      <c r="AQ592" s="10">
        <f t="array" ref="AQ5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2" s="10" t="n"/>
      <c r="AS592" s="10" t="n"/>
      <c r="AT592" s="17">
        <f>tbl_MTG_Set[[#This Row],[Play Booster CardMarket Profit]]/tbl_MTG_Set[[#This Row],[Play Booster Cost]]</f>
        <v/>
      </c>
      <c r="AU592" s="10">
        <f>_xlfn.XLOOKUP(tbl_MTG_Set[[#This Row],[Collector Booster Box Product Id]], tbl_Product[Product Id], tbl_Product[Min Cost])</f>
        <v/>
      </c>
      <c r="AV592" s="10">
        <f>_xlfn.XLOOKUP(tbl_MTG_Set[[#This Row],[Collector Booster Box Product Id]], tbl_Product[Product Id], tbl_Product[Best Source])</f>
        <v/>
      </c>
      <c r="AW592" s="4">
        <f>_xlfn.XLOOKUP(tbl_MTG_Set[[#This Row],[Collector Booster Box Product Id]], tbl_Product[Product Id], tbl_Product[Pack Size])</f>
        <v/>
      </c>
      <c r="AX592" s="10">
        <f>(tbl_MTG_Set[[#This Row],[Collector Booster Box Cost]] + v_Item_Shipping_Cost_In) / tbl_MTG_Set[[#This Row],[Collector Booster Box Size]]</f>
        <v/>
      </c>
      <c r="AY592" s="10">
        <f t="array" ref="AY5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2" s="10" t="n"/>
      <c r="BA5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2" s="17">
        <f>tbl_MTG_Set[[#This Row],[Collector Booster CardMarket Profit]]/tbl_MTG_Set[[#This Row],[Collector Booster Cost]]</f>
        <v/>
      </c>
      <c r="BC592" s="10" t="n"/>
      <c r="BF592" s="10">
        <f>tbl_MTG_Set[[#This Row],[Play Booster Sell Price CardMarket]]*tbl_MTG_Set[[#This Row],[Play Booster Expected Market Value]]/tbl_MTG_Set[[#This Row],[Play Boost Sealed Market Value]]</f>
        <v/>
      </c>
      <c r="BG5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2" s="10">
        <f>tbl_MTG_Set[[#This Row],[Play Singles CardMarket Profit]]/tbl_MTG_Set[[#This Row],[Play Booster Cost]]</f>
        <v/>
      </c>
      <c r="BI592" s="10">
        <f>tbl_MTG_Set[[#This Row],[Play Singles CardMarket Profit]]&gt;0</f>
        <v/>
      </c>
      <c r="BJ592" s="10" t="n"/>
      <c r="BK592" s="10" t="n"/>
      <c r="BL592" s="10">
        <f>tbl_MTG_Set[[#This Row],[Collector Booster Sell Price CardMarket]]*tbl_MTG_Set[[#This Row],[Collector Booster Expected Market Value]]/tbl_MTG_Set[[#This Row],[Collector Boost Sealed Market Value]]</f>
        <v/>
      </c>
      <c r="BM5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2" s="10">
        <f>tbl_MTG_Set[[#This Row],[Collector Singles CardMarket Profit]]/tbl_MTG_Set[[#This Row],[Collector Booster Cost]]</f>
        <v/>
      </c>
      <c r="BO592" s="10">
        <f>tbl_MTG_Set[[#This Row],[Collector Singles CardMarket Profit]]&gt;0</f>
        <v/>
      </c>
      <c r="BP5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3">
      <c r="A593" t="n">
        <v>591</v>
      </c>
      <c r="B593" t="inlineStr">
        <is>
          <t>Duel Decks: Zendikar vs. Eldrazi DDP</t>
        </is>
      </c>
      <c r="C593" t="n">
        <v>80</v>
      </c>
      <c r="D593" s="3" t="n">
        <v>42244</v>
      </c>
      <c r="F593" t="inlineStr">
        <is>
          <t>en es fr de it pt ja ko ru 汉语 漢語</t>
        </is>
      </c>
      <c r="G593" t="n">
        <v>1128</v>
      </c>
      <c r="H593">
        <f>MONTH(NOW())+12*YEAR(NOW())-MONTH(tbl_MTG_Set[[#This Row],[Released On]])-12*YEAR(tbl_MTG_Set[[#This Row],[Released On]])</f>
        <v/>
      </c>
      <c r="I593">
        <f>_xlfn.XLOOKUP(tbl_MTG_Set[[#This Row],[Type Name]], tbl_MTG_Set_Type[Set Type], tbl_MTG_Set_Type[Index], "(Set Type not found)")</f>
        <v/>
      </c>
      <c r="J593">
        <f>_xlfn.XLOOKUP(tbl_MTG_Set[[#This Row],[Type Name]], tbl_MTG_Set_Type[Set Type], tbl_MTG_Set_Type[Buy Window Month Start], "(Set Type not found)")</f>
        <v/>
      </c>
      <c r="K593" s="3">
        <f>tbl_MTG_Set[[#This Row],[Released On]]+tbl_MTG_Set[[#This Row],[Buy Window Month Start]]*365.25/12</f>
        <v/>
      </c>
      <c r="L593">
        <f>_xlfn.XLOOKUP(tbl_MTG_Set[[#This Row],[Type Name]], tbl_MTG_Set_Type[Set Type], tbl_MTG_Set_Type[Buy Window Month End], "(Set Type not found)", 0, 1)</f>
        <v/>
      </c>
      <c r="M593" s="3">
        <f>tbl_MTG_Set[[#This Row],[Released On]]+tbl_MTG_Set[[#This Row],[Buy Window Month End]]*365.25/12</f>
        <v/>
      </c>
      <c r="N593" s="3">
        <f>AND(NOW()&gt;=tbl_MTG_Set[[#This Row],[Buy Window Start]], NOW()&lt;=tbl_MTG_Set[[#This Row],[Buy Window End]])</f>
        <v/>
      </c>
      <c r="O593">
        <f>_xlfn.XLOOKUP(tbl_MTG_Set[[#This Row],[Type Name]], tbl_MTG_Set_Type[Set Type], tbl_MTG_Set_Type[Heavy Printing Window Month Start], "(Set Type not found)", 0, 1)</f>
        <v/>
      </c>
      <c r="P593" s="3">
        <f>tbl_MTG_Set[[#This Row],[Released On]]+tbl_MTG_Set[[#This Row],[Heavy Printing Window Month Start]]*365.25/12</f>
        <v/>
      </c>
      <c r="Q593">
        <f>_xlfn.XLOOKUP(tbl_MTG_Set[[#This Row],[Type Name]], tbl_MTG_Set_Type[Set Type], tbl_MTG_Set_Type[Heavy Printing Window Month End], "(Set Type not found)", 0, 1)</f>
        <v/>
      </c>
      <c r="R593" s="3">
        <f>tbl_MTG_Set[[#This Row],[Released On]]+tbl_MTG_Set[[#This Row],[Heavy Printing Window Month End]]*365.25/12</f>
        <v/>
      </c>
      <c r="S593" s="3">
        <f>AND(NOW()&gt;=tbl_MTG_Set[[#This Row],[Heavy Printing Window Start]], NOW()&lt;=tbl_MTG_Set[[#This Row],[Heavy Printing Window End]])</f>
        <v/>
      </c>
      <c r="T593">
        <f>_xlfn.XLOOKUP(tbl_MTG_Set[[#This Row],[Type Name]], tbl_MTG_Set_Type[Set Type], tbl_MTG_Set_Type[Sell Window Month Start], "(Set Type not found)", 0, 1)</f>
        <v/>
      </c>
      <c r="U593" s="3">
        <f>tbl_MTG_Set[[#This Row],[Released On]]+tbl_MTG_Set[[#This Row],[Sell Window Month Start]]*365.25/12</f>
        <v/>
      </c>
      <c r="V593">
        <f>_xlfn.XLOOKUP(tbl_MTG_Set[[#This Row],[Type Name]], tbl_MTG_Set_Type[Set Type], tbl_MTG_Set_Type[Sell Window Month End], "(Set Type not found)", 0, 1)</f>
        <v/>
      </c>
      <c r="W593" s="3">
        <f>tbl_MTG_Set[[#This Row],[Released On]]+tbl_MTG_Set[[#This Row],[Sell Window Month End]]*365.25/12</f>
        <v/>
      </c>
      <c r="X593" s="3">
        <f>AND(NOW()&gt;=tbl_MTG_Set[[#This Row],[Sell Window Start]], NOW()&lt;=tbl_MTG_Set[[#This Row],[Sell Window End]])</f>
        <v/>
      </c>
      <c r="AG593" s="10" t="n"/>
      <c r="AH593" s="10" t="n"/>
      <c r="AM593" s="10">
        <f t="array" ref="AM5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3" s="10">
        <f t="array" ref="AN5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3" s="4">
        <f>_xlfn.XLOOKUP(tbl_MTG_Set[[#This Row],[Play Booster Box Product Id]], tbl_Product[Product Id], tbl_Product[Pack Size])</f>
        <v/>
      </c>
      <c r="AP593" s="10">
        <f>(tbl_MTG_Set[[#This Row],[Play Booster Box Cost]]+v_Item_Shipping_Cost_In)/tbl_MTG_Set[[#This Row],[Play Booster Box Size]]</f>
        <v/>
      </c>
      <c r="AQ593" s="10">
        <f t="array" ref="AQ5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3" s="10" t="n"/>
      <c r="AS593" s="10" t="n"/>
      <c r="AT593" s="17">
        <f>tbl_MTG_Set[[#This Row],[Play Booster CardMarket Profit]]/tbl_MTG_Set[[#This Row],[Play Booster Cost]]</f>
        <v/>
      </c>
      <c r="AU593" s="10">
        <f>_xlfn.XLOOKUP(tbl_MTG_Set[[#This Row],[Collector Booster Box Product Id]], tbl_Product[Product Id], tbl_Product[Min Cost])</f>
        <v/>
      </c>
      <c r="AV593" s="10">
        <f>_xlfn.XLOOKUP(tbl_MTG_Set[[#This Row],[Collector Booster Box Product Id]], tbl_Product[Product Id], tbl_Product[Best Source])</f>
        <v/>
      </c>
      <c r="AW593" s="4">
        <f>_xlfn.XLOOKUP(tbl_MTG_Set[[#This Row],[Collector Booster Box Product Id]], tbl_Product[Product Id], tbl_Product[Pack Size])</f>
        <v/>
      </c>
      <c r="AX593" s="10">
        <f>(tbl_MTG_Set[[#This Row],[Collector Booster Box Cost]] + v_Item_Shipping_Cost_In) / tbl_MTG_Set[[#This Row],[Collector Booster Box Size]]</f>
        <v/>
      </c>
      <c r="AY593" s="10">
        <f t="array" ref="AY5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3" s="10" t="n"/>
      <c r="BA5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3" s="17">
        <f>tbl_MTG_Set[[#This Row],[Collector Booster CardMarket Profit]]/tbl_MTG_Set[[#This Row],[Collector Booster Cost]]</f>
        <v/>
      </c>
      <c r="BC593" s="10" t="n"/>
      <c r="BF593" s="10">
        <f>tbl_MTG_Set[[#This Row],[Play Booster Sell Price CardMarket]]*tbl_MTG_Set[[#This Row],[Play Booster Expected Market Value]]/tbl_MTG_Set[[#This Row],[Play Boost Sealed Market Value]]</f>
        <v/>
      </c>
      <c r="BG5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3" s="10">
        <f>tbl_MTG_Set[[#This Row],[Play Singles CardMarket Profit]]/tbl_MTG_Set[[#This Row],[Play Booster Cost]]</f>
        <v/>
      </c>
      <c r="BI593" s="10">
        <f>tbl_MTG_Set[[#This Row],[Play Singles CardMarket Profit]]&gt;0</f>
        <v/>
      </c>
      <c r="BJ593" s="10" t="n"/>
      <c r="BK593" s="10" t="n"/>
      <c r="BL593" s="10">
        <f>tbl_MTG_Set[[#This Row],[Collector Booster Sell Price CardMarket]]*tbl_MTG_Set[[#This Row],[Collector Booster Expected Market Value]]/tbl_MTG_Set[[#This Row],[Collector Boost Sealed Market Value]]</f>
        <v/>
      </c>
      <c r="BM5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3" s="10">
        <f>tbl_MTG_Set[[#This Row],[Collector Singles CardMarket Profit]]/tbl_MTG_Set[[#This Row],[Collector Booster Cost]]</f>
        <v/>
      </c>
      <c r="BO593" s="10">
        <f>tbl_MTG_Set[[#This Row],[Collector Singles CardMarket Profit]]&gt;0</f>
        <v/>
      </c>
      <c r="BP5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4">
      <c r="A594" t="n">
        <v>592</v>
      </c>
      <c r="B594" t="inlineStr">
        <is>
          <t>From the Vault: Angels V15</t>
        </is>
      </c>
      <c r="C594" t="n">
        <v>15</v>
      </c>
      <c r="D594" s="3" t="n">
        <v>42237</v>
      </c>
      <c r="F594" t="inlineStr">
        <is>
          <t>en es fr de it pt ja ko ru 汉语 漢語</t>
        </is>
      </c>
      <c r="G594" t="n">
        <v>1130</v>
      </c>
      <c r="H594">
        <f>MONTH(NOW())+12*YEAR(NOW())-MONTH(tbl_MTG_Set[[#This Row],[Released On]])-12*YEAR(tbl_MTG_Set[[#This Row],[Released On]])</f>
        <v/>
      </c>
      <c r="I594">
        <f>_xlfn.XLOOKUP(tbl_MTG_Set[[#This Row],[Type Name]], tbl_MTG_Set_Type[Set Type], tbl_MTG_Set_Type[Index], "(Set Type not found)")</f>
        <v/>
      </c>
      <c r="J594">
        <f>_xlfn.XLOOKUP(tbl_MTG_Set[[#This Row],[Type Name]], tbl_MTG_Set_Type[Set Type], tbl_MTG_Set_Type[Buy Window Month Start], "(Set Type not found)")</f>
        <v/>
      </c>
      <c r="K594" s="3">
        <f>tbl_MTG_Set[[#This Row],[Released On]]+tbl_MTG_Set[[#This Row],[Buy Window Month Start]]*365.25/12</f>
        <v/>
      </c>
      <c r="L594">
        <f>_xlfn.XLOOKUP(tbl_MTG_Set[[#This Row],[Type Name]], tbl_MTG_Set_Type[Set Type], tbl_MTG_Set_Type[Buy Window Month End], "(Set Type not found)", 0, 1)</f>
        <v/>
      </c>
      <c r="M594" s="3">
        <f>tbl_MTG_Set[[#This Row],[Released On]]+tbl_MTG_Set[[#This Row],[Buy Window Month End]]*365.25/12</f>
        <v/>
      </c>
      <c r="N594" s="3">
        <f>AND(NOW()&gt;=tbl_MTG_Set[[#This Row],[Buy Window Start]], NOW()&lt;=tbl_MTG_Set[[#This Row],[Buy Window End]])</f>
        <v/>
      </c>
      <c r="O594">
        <f>_xlfn.XLOOKUP(tbl_MTG_Set[[#This Row],[Type Name]], tbl_MTG_Set_Type[Set Type], tbl_MTG_Set_Type[Heavy Printing Window Month Start], "(Set Type not found)", 0, 1)</f>
        <v/>
      </c>
      <c r="P594" s="3">
        <f>tbl_MTG_Set[[#This Row],[Released On]]+tbl_MTG_Set[[#This Row],[Heavy Printing Window Month Start]]*365.25/12</f>
        <v/>
      </c>
      <c r="Q594">
        <f>_xlfn.XLOOKUP(tbl_MTG_Set[[#This Row],[Type Name]], tbl_MTG_Set_Type[Set Type], tbl_MTG_Set_Type[Heavy Printing Window Month End], "(Set Type not found)", 0, 1)</f>
        <v/>
      </c>
      <c r="R594" s="3">
        <f>tbl_MTG_Set[[#This Row],[Released On]]+tbl_MTG_Set[[#This Row],[Heavy Printing Window Month End]]*365.25/12</f>
        <v/>
      </c>
      <c r="S594" s="3">
        <f>AND(NOW()&gt;=tbl_MTG_Set[[#This Row],[Heavy Printing Window Start]], NOW()&lt;=tbl_MTG_Set[[#This Row],[Heavy Printing Window End]])</f>
        <v/>
      </c>
      <c r="T594">
        <f>_xlfn.XLOOKUP(tbl_MTG_Set[[#This Row],[Type Name]], tbl_MTG_Set_Type[Set Type], tbl_MTG_Set_Type[Sell Window Month Start], "(Set Type not found)", 0, 1)</f>
        <v/>
      </c>
      <c r="U594" s="3">
        <f>tbl_MTG_Set[[#This Row],[Released On]]+tbl_MTG_Set[[#This Row],[Sell Window Month Start]]*365.25/12</f>
        <v/>
      </c>
      <c r="V594">
        <f>_xlfn.XLOOKUP(tbl_MTG_Set[[#This Row],[Type Name]], tbl_MTG_Set_Type[Set Type], tbl_MTG_Set_Type[Sell Window Month End], "(Set Type not found)", 0, 1)</f>
        <v/>
      </c>
      <c r="W594" s="3">
        <f>tbl_MTG_Set[[#This Row],[Released On]]+tbl_MTG_Set[[#This Row],[Sell Window Month End]]*365.25/12</f>
        <v/>
      </c>
      <c r="X594" s="3">
        <f>AND(NOW()&gt;=tbl_MTG_Set[[#This Row],[Sell Window Start]], NOW()&lt;=tbl_MTG_Set[[#This Row],[Sell Window End]])</f>
        <v/>
      </c>
      <c r="AG594" s="10" t="n"/>
      <c r="AH594" s="10" t="n"/>
      <c r="AM594" s="10">
        <f t="array" ref="AM5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4" s="10">
        <f t="array" ref="AN5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4" s="4">
        <f>_xlfn.XLOOKUP(tbl_MTG_Set[[#This Row],[Play Booster Box Product Id]], tbl_Product[Product Id], tbl_Product[Pack Size])</f>
        <v/>
      </c>
      <c r="AP594" s="10">
        <f>(tbl_MTG_Set[[#This Row],[Play Booster Box Cost]]+v_Item_Shipping_Cost_In)/tbl_MTG_Set[[#This Row],[Play Booster Box Size]]</f>
        <v/>
      </c>
      <c r="AQ594" s="10">
        <f t="array" ref="AQ5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4" s="10" t="n"/>
      <c r="AS594" s="10" t="n"/>
      <c r="AT594" s="17">
        <f>tbl_MTG_Set[[#This Row],[Play Booster CardMarket Profit]]/tbl_MTG_Set[[#This Row],[Play Booster Cost]]</f>
        <v/>
      </c>
      <c r="AU594" s="10">
        <f>_xlfn.XLOOKUP(tbl_MTG_Set[[#This Row],[Collector Booster Box Product Id]], tbl_Product[Product Id], tbl_Product[Min Cost])</f>
        <v/>
      </c>
      <c r="AV594" s="10">
        <f>_xlfn.XLOOKUP(tbl_MTG_Set[[#This Row],[Collector Booster Box Product Id]], tbl_Product[Product Id], tbl_Product[Best Source])</f>
        <v/>
      </c>
      <c r="AW594" s="4">
        <f>_xlfn.XLOOKUP(tbl_MTG_Set[[#This Row],[Collector Booster Box Product Id]], tbl_Product[Product Id], tbl_Product[Pack Size])</f>
        <v/>
      </c>
      <c r="AX594" s="10">
        <f>(tbl_MTG_Set[[#This Row],[Collector Booster Box Cost]] + v_Item_Shipping_Cost_In) / tbl_MTG_Set[[#This Row],[Collector Booster Box Size]]</f>
        <v/>
      </c>
      <c r="AY594" s="10">
        <f t="array" ref="AY5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4" s="10" t="n"/>
      <c r="BA5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4" s="17">
        <f>tbl_MTG_Set[[#This Row],[Collector Booster CardMarket Profit]]/tbl_MTG_Set[[#This Row],[Collector Booster Cost]]</f>
        <v/>
      </c>
      <c r="BC594" s="10" t="n"/>
      <c r="BF594" s="10">
        <f>tbl_MTG_Set[[#This Row],[Play Booster Sell Price CardMarket]]*tbl_MTG_Set[[#This Row],[Play Booster Expected Market Value]]/tbl_MTG_Set[[#This Row],[Play Boost Sealed Market Value]]</f>
        <v/>
      </c>
      <c r="BG5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4" s="10">
        <f>tbl_MTG_Set[[#This Row],[Play Singles CardMarket Profit]]/tbl_MTG_Set[[#This Row],[Play Booster Cost]]</f>
        <v/>
      </c>
      <c r="BI594" s="10">
        <f>tbl_MTG_Set[[#This Row],[Play Singles CardMarket Profit]]&gt;0</f>
        <v/>
      </c>
      <c r="BJ594" s="10" t="n"/>
      <c r="BK594" s="10" t="n"/>
      <c r="BL594" s="10">
        <f>tbl_MTG_Set[[#This Row],[Collector Booster Sell Price CardMarket]]*tbl_MTG_Set[[#This Row],[Collector Booster Expected Market Value]]/tbl_MTG_Set[[#This Row],[Collector Boost Sealed Market Value]]</f>
        <v/>
      </c>
      <c r="BM5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4" s="10">
        <f>tbl_MTG_Set[[#This Row],[Collector Singles CardMarket Profit]]/tbl_MTG_Set[[#This Row],[Collector Booster Cost]]</f>
        <v/>
      </c>
      <c r="BO594" s="10">
        <f>tbl_MTG_Set[[#This Row],[Collector Singles CardMarket Profit]]&gt;0</f>
        <v/>
      </c>
      <c r="BP5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5">
      <c r="A595" t="n">
        <v>593</v>
      </c>
      <c r="B595" t="inlineStr">
        <is>
          <t>Magic Origins ORI</t>
        </is>
      </c>
      <c r="C595" t="n">
        <v>288</v>
      </c>
      <c r="D595" s="3" t="n">
        <v>42202</v>
      </c>
      <c r="F595" t="inlineStr">
        <is>
          <t>en es fr de it pt ja ko ru 汉语 漢語</t>
        </is>
      </c>
      <c r="G595" t="n">
        <v>1132</v>
      </c>
      <c r="H595">
        <f>MONTH(NOW())+12*YEAR(NOW())-MONTH(tbl_MTG_Set[[#This Row],[Released On]])-12*YEAR(tbl_MTG_Set[[#This Row],[Released On]])</f>
        <v/>
      </c>
      <c r="I595">
        <f>_xlfn.XLOOKUP(tbl_MTG_Set[[#This Row],[Type Name]], tbl_MTG_Set_Type[Set Type], tbl_MTG_Set_Type[Index], "(Set Type not found)")</f>
        <v/>
      </c>
      <c r="J595">
        <f>_xlfn.XLOOKUP(tbl_MTG_Set[[#This Row],[Type Name]], tbl_MTG_Set_Type[Set Type], tbl_MTG_Set_Type[Buy Window Month Start], "(Set Type not found)")</f>
        <v/>
      </c>
      <c r="K595" s="3">
        <f>tbl_MTG_Set[[#This Row],[Released On]]+tbl_MTG_Set[[#This Row],[Buy Window Month Start]]*365.25/12</f>
        <v/>
      </c>
      <c r="L595">
        <f>_xlfn.XLOOKUP(tbl_MTG_Set[[#This Row],[Type Name]], tbl_MTG_Set_Type[Set Type], tbl_MTG_Set_Type[Buy Window Month End], "(Set Type not found)", 0, 1)</f>
        <v/>
      </c>
      <c r="M595" s="3">
        <f>tbl_MTG_Set[[#This Row],[Released On]]+tbl_MTG_Set[[#This Row],[Buy Window Month End]]*365.25/12</f>
        <v/>
      </c>
      <c r="N595" s="3">
        <f>AND(NOW()&gt;=tbl_MTG_Set[[#This Row],[Buy Window Start]], NOW()&lt;=tbl_MTG_Set[[#This Row],[Buy Window End]])</f>
        <v/>
      </c>
      <c r="O595">
        <f>_xlfn.XLOOKUP(tbl_MTG_Set[[#This Row],[Type Name]], tbl_MTG_Set_Type[Set Type], tbl_MTG_Set_Type[Heavy Printing Window Month Start], "(Set Type not found)", 0, 1)</f>
        <v/>
      </c>
      <c r="P595" s="3">
        <f>tbl_MTG_Set[[#This Row],[Released On]]+tbl_MTG_Set[[#This Row],[Heavy Printing Window Month Start]]*365.25/12</f>
        <v/>
      </c>
      <c r="Q595">
        <f>_xlfn.XLOOKUP(tbl_MTG_Set[[#This Row],[Type Name]], tbl_MTG_Set_Type[Set Type], tbl_MTG_Set_Type[Heavy Printing Window Month End], "(Set Type not found)", 0, 1)</f>
        <v/>
      </c>
      <c r="R595" s="3">
        <f>tbl_MTG_Set[[#This Row],[Released On]]+tbl_MTG_Set[[#This Row],[Heavy Printing Window Month End]]*365.25/12</f>
        <v/>
      </c>
      <c r="S595" s="3">
        <f>AND(NOW()&gt;=tbl_MTG_Set[[#This Row],[Heavy Printing Window Start]], NOW()&lt;=tbl_MTG_Set[[#This Row],[Heavy Printing Window End]])</f>
        <v/>
      </c>
      <c r="T595">
        <f>_xlfn.XLOOKUP(tbl_MTG_Set[[#This Row],[Type Name]], tbl_MTG_Set_Type[Set Type], tbl_MTG_Set_Type[Sell Window Month Start], "(Set Type not found)", 0, 1)</f>
        <v/>
      </c>
      <c r="U595" s="3">
        <f>tbl_MTG_Set[[#This Row],[Released On]]+tbl_MTG_Set[[#This Row],[Sell Window Month Start]]*365.25/12</f>
        <v/>
      </c>
      <c r="V595">
        <f>_xlfn.XLOOKUP(tbl_MTG_Set[[#This Row],[Type Name]], tbl_MTG_Set_Type[Set Type], tbl_MTG_Set_Type[Sell Window Month End], "(Set Type not found)", 0, 1)</f>
        <v/>
      </c>
      <c r="W595" s="3">
        <f>tbl_MTG_Set[[#This Row],[Released On]]+tbl_MTG_Set[[#This Row],[Sell Window Month End]]*365.25/12</f>
        <v/>
      </c>
      <c r="X595" s="3">
        <f>AND(NOW()&gt;=tbl_MTG_Set[[#This Row],[Sell Window Start]], NOW()&lt;=tbl_MTG_Set[[#This Row],[Sell Window End]])</f>
        <v/>
      </c>
      <c r="AG595" s="10" t="n"/>
      <c r="AH595" s="10" t="n"/>
      <c r="AM595" s="10">
        <f t="array" ref="AM5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5" s="10">
        <f t="array" ref="AN5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5" s="4">
        <f>_xlfn.XLOOKUP(tbl_MTG_Set[[#This Row],[Play Booster Box Product Id]], tbl_Product[Product Id], tbl_Product[Pack Size])</f>
        <v/>
      </c>
      <c r="AP595" s="10">
        <f>(tbl_MTG_Set[[#This Row],[Play Booster Box Cost]]+v_Item_Shipping_Cost_In)/tbl_MTG_Set[[#This Row],[Play Booster Box Size]]</f>
        <v/>
      </c>
      <c r="AQ595" s="10">
        <f t="array" ref="AQ5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5" s="10" t="n"/>
      <c r="AS595" s="10" t="n"/>
      <c r="AT595" s="17">
        <f>tbl_MTG_Set[[#This Row],[Play Booster CardMarket Profit]]/tbl_MTG_Set[[#This Row],[Play Booster Cost]]</f>
        <v/>
      </c>
      <c r="AU595" s="10">
        <f>_xlfn.XLOOKUP(tbl_MTG_Set[[#This Row],[Collector Booster Box Product Id]], tbl_Product[Product Id], tbl_Product[Min Cost])</f>
        <v/>
      </c>
      <c r="AV595" s="10">
        <f>_xlfn.XLOOKUP(tbl_MTG_Set[[#This Row],[Collector Booster Box Product Id]], tbl_Product[Product Id], tbl_Product[Best Source])</f>
        <v/>
      </c>
      <c r="AW595" s="4">
        <f>_xlfn.XLOOKUP(tbl_MTG_Set[[#This Row],[Collector Booster Box Product Id]], tbl_Product[Product Id], tbl_Product[Pack Size])</f>
        <v/>
      </c>
      <c r="AX595" s="10">
        <f>(tbl_MTG_Set[[#This Row],[Collector Booster Box Cost]] + v_Item_Shipping_Cost_In) / tbl_MTG_Set[[#This Row],[Collector Booster Box Size]]</f>
        <v/>
      </c>
      <c r="AY595" s="10">
        <f t="array" ref="AY5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5" s="10" t="n"/>
      <c r="BA5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5" s="17">
        <f>tbl_MTG_Set[[#This Row],[Collector Booster CardMarket Profit]]/tbl_MTG_Set[[#This Row],[Collector Booster Cost]]</f>
        <v/>
      </c>
      <c r="BC595" s="10" t="n"/>
      <c r="BF595" s="10">
        <f>tbl_MTG_Set[[#This Row],[Play Booster Sell Price CardMarket]]*tbl_MTG_Set[[#This Row],[Play Booster Expected Market Value]]/tbl_MTG_Set[[#This Row],[Play Boost Sealed Market Value]]</f>
        <v/>
      </c>
      <c r="BG5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5" s="10">
        <f>tbl_MTG_Set[[#This Row],[Play Singles CardMarket Profit]]/tbl_MTG_Set[[#This Row],[Play Booster Cost]]</f>
        <v/>
      </c>
      <c r="BI595" s="10">
        <f>tbl_MTG_Set[[#This Row],[Play Singles CardMarket Profit]]&gt;0</f>
        <v/>
      </c>
      <c r="BJ595" s="10" t="n"/>
      <c r="BK595" s="10" t="n"/>
      <c r="BL595" s="10">
        <f>tbl_MTG_Set[[#This Row],[Collector Booster Sell Price CardMarket]]*tbl_MTG_Set[[#This Row],[Collector Booster Expected Market Value]]/tbl_MTG_Set[[#This Row],[Collector Boost Sealed Market Value]]</f>
        <v/>
      </c>
      <c r="BM5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5" s="10">
        <f>tbl_MTG_Set[[#This Row],[Collector Singles CardMarket Profit]]/tbl_MTG_Set[[#This Row],[Collector Booster Cost]]</f>
        <v/>
      </c>
      <c r="BO595" s="10">
        <f>tbl_MTG_Set[[#This Row],[Collector Singles CardMarket Profit]]&gt;0</f>
        <v/>
      </c>
      <c r="BP5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6">
      <c r="A596" t="n">
        <v>594</v>
      </c>
      <c r="B596" t="inlineStr">
        <is>
          <t>Magic Origins Promos PORI</t>
        </is>
      </c>
      <c r="C596" t="n">
        <v>54</v>
      </c>
      <c r="D596" s="3" t="n">
        <v>42202</v>
      </c>
      <c r="F596" t="inlineStr">
        <is>
          <t>en es fr de it pt ja ko ru 汉语 漢語</t>
        </is>
      </c>
      <c r="G596" t="n">
        <v>1134</v>
      </c>
      <c r="H596">
        <f>MONTH(NOW())+12*YEAR(NOW())-MONTH(tbl_MTG_Set[[#This Row],[Released On]])-12*YEAR(tbl_MTG_Set[[#This Row],[Released On]])</f>
        <v/>
      </c>
      <c r="I596">
        <f>_xlfn.XLOOKUP(tbl_MTG_Set[[#This Row],[Type Name]], tbl_MTG_Set_Type[Set Type], tbl_MTG_Set_Type[Index], "(Set Type not found)")</f>
        <v/>
      </c>
      <c r="J596">
        <f>_xlfn.XLOOKUP(tbl_MTG_Set[[#This Row],[Type Name]], tbl_MTG_Set_Type[Set Type], tbl_MTG_Set_Type[Buy Window Month Start], "(Set Type not found)")</f>
        <v/>
      </c>
      <c r="K596" s="3">
        <f>tbl_MTG_Set[[#This Row],[Released On]]+tbl_MTG_Set[[#This Row],[Buy Window Month Start]]*365.25/12</f>
        <v/>
      </c>
      <c r="L596">
        <f>_xlfn.XLOOKUP(tbl_MTG_Set[[#This Row],[Type Name]], tbl_MTG_Set_Type[Set Type], tbl_MTG_Set_Type[Buy Window Month End], "(Set Type not found)", 0, 1)</f>
        <v/>
      </c>
      <c r="M596" s="3">
        <f>tbl_MTG_Set[[#This Row],[Released On]]+tbl_MTG_Set[[#This Row],[Buy Window Month End]]*365.25/12</f>
        <v/>
      </c>
      <c r="N596" s="3">
        <f>AND(NOW()&gt;=tbl_MTG_Set[[#This Row],[Buy Window Start]], NOW()&lt;=tbl_MTG_Set[[#This Row],[Buy Window End]])</f>
        <v/>
      </c>
      <c r="O596">
        <f>_xlfn.XLOOKUP(tbl_MTG_Set[[#This Row],[Type Name]], tbl_MTG_Set_Type[Set Type], tbl_MTG_Set_Type[Heavy Printing Window Month Start], "(Set Type not found)", 0, 1)</f>
        <v/>
      </c>
      <c r="P596" s="3">
        <f>tbl_MTG_Set[[#This Row],[Released On]]+tbl_MTG_Set[[#This Row],[Heavy Printing Window Month Start]]*365.25/12</f>
        <v/>
      </c>
      <c r="Q596">
        <f>_xlfn.XLOOKUP(tbl_MTG_Set[[#This Row],[Type Name]], tbl_MTG_Set_Type[Set Type], tbl_MTG_Set_Type[Heavy Printing Window Month End], "(Set Type not found)", 0, 1)</f>
        <v/>
      </c>
      <c r="R596" s="3">
        <f>tbl_MTG_Set[[#This Row],[Released On]]+tbl_MTG_Set[[#This Row],[Heavy Printing Window Month End]]*365.25/12</f>
        <v/>
      </c>
      <c r="S596" s="3">
        <f>AND(NOW()&gt;=tbl_MTG_Set[[#This Row],[Heavy Printing Window Start]], NOW()&lt;=tbl_MTG_Set[[#This Row],[Heavy Printing Window End]])</f>
        <v/>
      </c>
      <c r="T596">
        <f>_xlfn.XLOOKUP(tbl_MTG_Set[[#This Row],[Type Name]], tbl_MTG_Set_Type[Set Type], tbl_MTG_Set_Type[Sell Window Month Start], "(Set Type not found)", 0, 1)</f>
        <v/>
      </c>
      <c r="U596" s="3">
        <f>tbl_MTG_Set[[#This Row],[Released On]]+tbl_MTG_Set[[#This Row],[Sell Window Month Start]]*365.25/12</f>
        <v/>
      </c>
      <c r="V596">
        <f>_xlfn.XLOOKUP(tbl_MTG_Set[[#This Row],[Type Name]], tbl_MTG_Set_Type[Set Type], tbl_MTG_Set_Type[Sell Window Month End], "(Set Type not found)", 0, 1)</f>
        <v/>
      </c>
      <c r="W596" s="3">
        <f>tbl_MTG_Set[[#This Row],[Released On]]+tbl_MTG_Set[[#This Row],[Sell Window Month End]]*365.25/12</f>
        <v/>
      </c>
      <c r="X596" s="3">
        <f>AND(NOW()&gt;=tbl_MTG_Set[[#This Row],[Sell Window Start]], NOW()&lt;=tbl_MTG_Set[[#This Row],[Sell Window End]])</f>
        <v/>
      </c>
      <c r="AG596" s="10" t="n"/>
      <c r="AH596" s="10" t="n"/>
      <c r="AM596" s="10">
        <f t="array" ref="AM5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6" s="10">
        <f t="array" ref="AN5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6" s="4">
        <f>_xlfn.XLOOKUP(tbl_MTG_Set[[#This Row],[Play Booster Box Product Id]], tbl_Product[Product Id], tbl_Product[Pack Size])</f>
        <v/>
      </c>
      <c r="AP596" s="10">
        <f>(tbl_MTG_Set[[#This Row],[Play Booster Box Cost]]+v_Item_Shipping_Cost_In)/tbl_MTG_Set[[#This Row],[Play Booster Box Size]]</f>
        <v/>
      </c>
      <c r="AQ596" s="10">
        <f t="array" ref="AQ5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6" s="10" t="n"/>
      <c r="AS596" s="10" t="n"/>
      <c r="AT596" s="17">
        <f>tbl_MTG_Set[[#This Row],[Play Booster CardMarket Profit]]/tbl_MTG_Set[[#This Row],[Play Booster Cost]]</f>
        <v/>
      </c>
      <c r="AU596" s="10">
        <f>_xlfn.XLOOKUP(tbl_MTG_Set[[#This Row],[Collector Booster Box Product Id]], tbl_Product[Product Id], tbl_Product[Min Cost])</f>
        <v/>
      </c>
      <c r="AV596" s="10">
        <f>_xlfn.XLOOKUP(tbl_MTG_Set[[#This Row],[Collector Booster Box Product Id]], tbl_Product[Product Id], tbl_Product[Best Source])</f>
        <v/>
      </c>
      <c r="AW596" s="4">
        <f>_xlfn.XLOOKUP(tbl_MTG_Set[[#This Row],[Collector Booster Box Product Id]], tbl_Product[Product Id], tbl_Product[Pack Size])</f>
        <v/>
      </c>
      <c r="AX596" s="10">
        <f>(tbl_MTG_Set[[#This Row],[Collector Booster Box Cost]] + v_Item_Shipping_Cost_In) / tbl_MTG_Set[[#This Row],[Collector Booster Box Size]]</f>
        <v/>
      </c>
      <c r="AY596" s="10">
        <f t="array" ref="AY5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6" s="10" t="n"/>
      <c r="BA5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6" s="17">
        <f>tbl_MTG_Set[[#This Row],[Collector Booster CardMarket Profit]]/tbl_MTG_Set[[#This Row],[Collector Booster Cost]]</f>
        <v/>
      </c>
      <c r="BC596" s="10" t="n"/>
      <c r="BF596" s="10">
        <f>tbl_MTG_Set[[#This Row],[Play Booster Sell Price CardMarket]]*tbl_MTG_Set[[#This Row],[Play Booster Expected Market Value]]/tbl_MTG_Set[[#This Row],[Play Boost Sealed Market Value]]</f>
        <v/>
      </c>
      <c r="BG5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6" s="10">
        <f>tbl_MTG_Set[[#This Row],[Play Singles CardMarket Profit]]/tbl_MTG_Set[[#This Row],[Play Booster Cost]]</f>
        <v/>
      </c>
      <c r="BI596" s="10">
        <f>tbl_MTG_Set[[#This Row],[Play Singles CardMarket Profit]]&gt;0</f>
        <v/>
      </c>
      <c r="BJ596" s="10" t="n"/>
      <c r="BK596" s="10" t="n"/>
      <c r="BL596" s="10">
        <f>tbl_MTG_Set[[#This Row],[Collector Booster Sell Price CardMarket]]*tbl_MTG_Set[[#This Row],[Collector Booster Expected Market Value]]/tbl_MTG_Set[[#This Row],[Collector Boost Sealed Market Value]]</f>
        <v/>
      </c>
      <c r="BM5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6" s="10">
        <f>tbl_MTG_Set[[#This Row],[Collector Singles CardMarket Profit]]/tbl_MTG_Set[[#This Row],[Collector Booster Cost]]</f>
        <v/>
      </c>
      <c r="BO596" s="10">
        <f>tbl_MTG_Set[[#This Row],[Collector Singles CardMarket Profit]]&gt;0</f>
        <v/>
      </c>
      <c r="BP5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7">
      <c r="A597" t="n">
        <v>595</v>
      </c>
      <c r="B597" t="inlineStr">
        <is>
          <t>Magic Origins Tokens TORI</t>
        </is>
      </c>
      <c r="C597" t="n">
        <v>15</v>
      </c>
      <c r="D597" s="3" t="n">
        <v>42202</v>
      </c>
      <c r="F597" t="inlineStr">
        <is>
          <t>en es fr de it pt ja ko ru 汉语 漢語</t>
        </is>
      </c>
      <c r="G597" t="n">
        <v>1136</v>
      </c>
      <c r="H597">
        <f>MONTH(NOW())+12*YEAR(NOW())-MONTH(tbl_MTG_Set[[#This Row],[Released On]])-12*YEAR(tbl_MTG_Set[[#This Row],[Released On]])</f>
        <v/>
      </c>
      <c r="I597">
        <f>_xlfn.XLOOKUP(tbl_MTG_Set[[#This Row],[Type Name]], tbl_MTG_Set_Type[Set Type], tbl_MTG_Set_Type[Index], "(Set Type not found)")</f>
        <v/>
      </c>
      <c r="J597">
        <f>_xlfn.XLOOKUP(tbl_MTG_Set[[#This Row],[Type Name]], tbl_MTG_Set_Type[Set Type], tbl_MTG_Set_Type[Buy Window Month Start], "(Set Type not found)")</f>
        <v/>
      </c>
      <c r="K597" s="3">
        <f>tbl_MTG_Set[[#This Row],[Released On]]+tbl_MTG_Set[[#This Row],[Buy Window Month Start]]*365.25/12</f>
        <v/>
      </c>
      <c r="L597">
        <f>_xlfn.XLOOKUP(tbl_MTG_Set[[#This Row],[Type Name]], tbl_MTG_Set_Type[Set Type], tbl_MTG_Set_Type[Buy Window Month End], "(Set Type not found)", 0, 1)</f>
        <v/>
      </c>
      <c r="M597" s="3">
        <f>tbl_MTG_Set[[#This Row],[Released On]]+tbl_MTG_Set[[#This Row],[Buy Window Month End]]*365.25/12</f>
        <v/>
      </c>
      <c r="N597" s="3">
        <f>AND(NOW()&gt;=tbl_MTG_Set[[#This Row],[Buy Window Start]], NOW()&lt;=tbl_MTG_Set[[#This Row],[Buy Window End]])</f>
        <v/>
      </c>
      <c r="O597">
        <f>_xlfn.XLOOKUP(tbl_MTG_Set[[#This Row],[Type Name]], tbl_MTG_Set_Type[Set Type], tbl_MTG_Set_Type[Heavy Printing Window Month Start], "(Set Type not found)", 0, 1)</f>
        <v/>
      </c>
      <c r="P597" s="3">
        <f>tbl_MTG_Set[[#This Row],[Released On]]+tbl_MTG_Set[[#This Row],[Heavy Printing Window Month Start]]*365.25/12</f>
        <v/>
      </c>
      <c r="Q597">
        <f>_xlfn.XLOOKUP(tbl_MTG_Set[[#This Row],[Type Name]], tbl_MTG_Set_Type[Set Type], tbl_MTG_Set_Type[Heavy Printing Window Month End], "(Set Type not found)", 0, 1)</f>
        <v/>
      </c>
      <c r="R597" s="3">
        <f>tbl_MTG_Set[[#This Row],[Released On]]+tbl_MTG_Set[[#This Row],[Heavy Printing Window Month End]]*365.25/12</f>
        <v/>
      </c>
      <c r="S597" s="3">
        <f>AND(NOW()&gt;=tbl_MTG_Set[[#This Row],[Heavy Printing Window Start]], NOW()&lt;=tbl_MTG_Set[[#This Row],[Heavy Printing Window End]])</f>
        <v/>
      </c>
      <c r="T597">
        <f>_xlfn.XLOOKUP(tbl_MTG_Set[[#This Row],[Type Name]], tbl_MTG_Set_Type[Set Type], tbl_MTG_Set_Type[Sell Window Month Start], "(Set Type not found)", 0, 1)</f>
        <v/>
      </c>
      <c r="U597" s="3">
        <f>tbl_MTG_Set[[#This Row],[Released On]]+tbl_MTG_Set[[#This Row],[Sell Window Month Start]]*365.25/12</f>
        <v/>
      </c>
      <c r="V597">
        <f>_xlfn.XLOOKUP(tbl_MTG_Set[[#This Row],[Type Name]], tbl_MTG_Set_Type[Set Type], tbl_MTG_Set_Type[Sell Window Month End], "(Set Type not found)", 0, 1)</f>
        <v/>
      </c>
      <c r="W597" s="3">
        <f>tbl_MTG_Set[[#This Row],[Released On]]+tbl_MTG_Set[[#This Row],[Sell Window Month End]]*365.25/12</f>
        <v/>
      </c>
      <c r="X597" s="3">
        <f>AND(NOW()&gt;=tbl_MTG_Set[[#This Row],[Sell Window Start]], NOW()&lt;=tbl_MTG_Set[[#This Row],[Sell Window End]])</f>
        <v/>
      </c>
      <c r="AG597" s="10" t="n"/>
      <c r="AH597" s="10" t="n"/>
      <c r="AM597" s="10">
        <f t="array" ref="AM5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7" s="10">
        <f t="array" ref="AN5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7" s="4">
        <f>_xlfn.XLOOKUP(tbl_MTG_Set[[#This Row],[Play Booster Box Product Id]], tbl_Product[Product Id], tbl_Product[Pack Size])</f>
        <v/>
      </c>
      <c r="AP597" s="10">
        <f>(tbl_MTG_Set[[#This Row],[Play Booster Box Cost]]+v_Item_Shipping_Cost_In)/tbl_MTG_Set[[#This Row],[Play Booster Box Size]]</f>
        <v/>
      </c>
      <c r="AQ597" s="10">
        <f t="array" ref="AQ5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7" s="10" t="n"/>
      <c r="AS597" s="10" t="n"/>
      <c r="AT597" s="17">
        <f>tbl_MTG_Set[[#This Row],[Play Booster CardMarket Profit]]/tbl_MTG_Set[[#This Row],[Play Booster Cost]]</f>
        <v/>
      </c>
      <c r="AU597" s="10">
        <f>_xlfn.XLOOKUP(tbl_MTG_Set[[#This Row],[Collector Booster Box Product Id]], tbl_Product[Product Id], tbl_Product[Min Cost])</f>
        <v/>
      </c>
      <c r="AV597" s="10">
        <f>_xlfn.XLOOKUP(tbl_MTG_Set[[#This Row],[Collector Booster Box Product Id]], tbl_Product[Product Id], tbl_Product[Best Source])</f>
        <v/>
      </c>
      <c r="AW597" s="4">
        <f>_xlfn.XLOOKUP(tbl_MTG_Set[[#This Row],[Collector Booster Box Product Id]], tbl_Product[Product Id], tbl_Product[Pack Size])</f>
        <v/>
      </c>
      <c r="AX597" s="10">
        <f>(tbl_MTG_Set[[#This Row],[Collector Booster Box Cost]] + v_Item_Shipping_Cost_In) / tbl_MTG_Set[[#This Row],[Collector Booster Box Size]]</f>
        <v/>
      </c>
      <c r="AY597" s="10">
        <f t="array" ref="AY5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7" s="10" t="n"/>
      <c r="BA5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7" s="17">
        <f>tbl_MTG_Set[[#This Row],[Collector Booster CardMarket Profit]]/tbl_MTG_Set[[#This Row],[Collector Booster Cost]]</f>
        <v/>
      </c>
      <c r="BC597" s="10" t="n"/>
      <c r="BF597" s="10">
        <f>tbl_MTG_Set[[#This Row],[Play Booster Sell Price CardMarket]]*tbl_MTG_Set[[#This Row],[Play Booster Expected Market Value]]/tbl_MTG_Set[[#This Row],[Play Boost Sealed Market Value]]</f>
        <v/>
      </c>
      <c r="BG5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7" s="10">
        <f>tbl_MTG_Set[[#This Row],[Play Singles CardMarket Profit]]/tbl_MTG_Set[[#This Row],[Play Booster Cost]]</f>
        <v/>
      </c>
      <c r="BI597" s="10">
        <f>tbl_MTG_Set[[#This Row],[Play Singles CardMarket Profit]]&gt;0</f>
        <v/>
      </c>
      <c r="BJ597" s="10" t="n"/>
      <c r="BK597" s="10" t="n"/>
      <c r="BL597" s="10">
        <f>tbl_MTG_Set[[#This Row],[Collector Booster Sell Price CardMarket]]*tbl_MTG_Set[[#This Row],[Collector Booster Expected Market Value]]/tbl_MTG_Set[[#This Row],[Collector Boost Sealed Market Value]]</f>
        <v/>
      </c>
      <c r="BM5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7" s="10">
        <f>tbl_MTG_Set[[#This Row],[Collector Singles CardMarket Profit]]/tbl_MTG_Set[[#This Row],[Collector Booster Cost]]</f>
        <v/>
      </c>
      <c r="BO597" s="10">
        <f>tbl_MTG_Set[[#This Row],[Collector Singles CardMarket Profit]]&gt;0</f>
        <v/>
      </c>
      <c r="BP5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8">
      <c r="A598" t="n">
        <v>596</v>
      </c>
      <c r="B598" t="inlineStr">
        <is>
          <t>Magic Origins Clash Pack CP3</t>
        </is>
      </c>
      <c r="C598" t="n">
        <v>6</v>
      </c>
      <c r="D598" s="3" t="n">
        <v>42202</v>
      </c>
      <c r="F598" t="inlineStr">
        <is>
          <t>en es fr de it pt ja ko ru 汉语 漢語</t>
        </is>
      </c>
      <c r="G598" t="n">
        <v>1138</v>
      </c>
      <c r="H598">
        <f>MONTH(NOW())+12*YEAR(NOW())-MONTH(tbl_MTG_Set[[#This Row],[Released On]])-12*YEAR(tbl_MTG_Set[[#This Row],[Released On]])</f>
        <v/>
      </c>
      <c r="I598">
        <f>_xlfn.XLOOKUP(tbl_MTG_Set[[#This Row],[Type Name]], tbl_MTG_Set_Type[Set Type], tbl_MTG_Set_Type[Index], "(Set Type not found)")</f>
        <v/>
      </c>
      <c r="J598">
        <f>_xlfn.XLOOKUP(tbl_MTG_Set[[#This Row],[Type Name]], tbl_MTG_Set_Type[Set Type], tbl_MTG_Set_Type[Buy Window Month Start], "(Set Type not found)")</f>
        <v/>
      </c>
      <c r="K598" s="3">
        <f>tbl_MTG_Set[[#This Row],[Released On]]+tbl_MTG_Set[[#This Row],[Buy Window Month Start]]*365.25/12</f>
        <v/>
      </c>
      <c r="L598">
        <f>_xlfn.XLOOKUP(tbl_MTG_Set[[#This Row],[Type Name]], tbl_MTG_Set_Type[Set Type], tbl_MTG_Set_Type[Buy Window Month End], "(Set Type not found)", 0, 1)</f>
        <v/>
      </c>
      <c r="M598" s="3">
        <f>tbl_MTG_Set[[#This Row],[Released On]]+tbl_MTG_Set[[#This Row],[Buy Window Month End]]*365.25/12</f>
        <v/>
      </c>
      <c r="N598" s="3">
        <f>AND(NOW()&gt;=tbl_MTG_Set[[#This Row],[Buy Window Start]], NOW()&lt;=tbl_MTG_Set[[#This Row],[Buy Window End]])</f>
        <v/>
      </c>
      <c r="O598">
        <f>_xlfn.XLOOKUP(tbl_MTG_Set[[#This Row],[Type Name]], tbl_MTG_Set_Type[Set Type], tbl_MTG_Set_Type[Heavy Printing Window Month Start], "(Set Type not found)", 0, 1)</f>
        <v/>
      </c>
      <c r="P598" s="3">
        <f>tbl_MTG_Set[[#This Row],[Released On]]+tbl_MTG_Set[[#This Row],[Heavy Printing Window Month Start]]*365.25/12</f>
        <v/>
      </c>
      <c r="Q598">
        <f>_xlfn.XLOOKUP(tbl_MTG_Set[[#This Row],[Type Name]], tbl_MTG_Set_Type[Set Type], tbl_MTG_Set_Type[Heavy Printing Window Month End], "(Set Type not found)", 0, 1)</f>
        <v/>
      </c>
      <c r="R598" s="3">
        <f>tbl_MTG_Set[[#This Row],[Released On]]+tbl_MTG_Set[[#This Row],[Heavy Printing Window Month End]]*365.25/12</f>
        <v/>
      </c>
      <c r="S598" s="3">
        <f>AND(NOW()&gt;=tbl_MTG_Set[[#This Row],[Heavy Printing Window Start]], NOW()&lt;=tbl_MTG_Set[[#This Row],[Heavy Printing Window End]])</f>
        <v/>
      </c>
      <c r="T598">
        <f>_xlfn.XLOOKUP(tbl_MTG_Set[[#This Row],[Type Name]], tbl_MTG_Set_Type[Set Type], tbl_MTG_Set_Type[Sell Window Month Start], "(Set Type not found)", 0, 1)</f>
        <v/>
      </c>
      <c r="U598" s="3">
        <f>tbl_MTG_Set[[#This Row],[Released On]]+tbl_MTG_Set[[#This Row],[Sell Window Month Start]]*365.25/12</f>
        <v/>
      </c>
      <c r="V598">
        <f>_xlfn.XLOOKUP(tbl_MTG_Set[[#This Row],[Type Name]], tbl_MTG_Set_Type[Set Type], tbl_MTG_Set_Type[Sell Window Month End], "(Set Type not found)", 0, 1)</f>
        <v/>
      </c>
      <c r="W598" s="3">
        <f>tbl_MTG_Set[[#This Row],[Released On]]+tbl_MTG_Set[[#This Row],[Sell Window Month End]]*365.25/12</f>
        <v/>
      </c>
      <c r="X598" s="3">
        <f>AND(NOW()&gt;=tbl_MTG_Set[[#This Row],[Sell Window Start]], NOW()&lt;=tbl_MTG_Set[[#This Row],[Sell Window End]])</f>
        <v/>
      </c>
      <c r="AG598" s="10" t="n"/>
      <c r="AH598" s="10" t="n"/>
      <c r="AM598" s="10">
        <f t="array" ref="AM5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8" s="10">
        <f t="array" ref="AN5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8" s="4">
        <f>_xlfn.XLOOKUP(tbl_MTG_Set[[#This Row],[Play Booster Box Product Id]], tbl_Product[Product Id], tbl_Product[Pack Size])</f>
        <v/>
      </c>
      <c r="AP598" s="10">
        <f>(tbl_MTG_Set[[#This Row],[Play Booster Box Cost]]+v_Item_Shipping_Cost_In)/tbl_MTG_Set[[#This Row],[Play Booster Box Size]]</f>
        <v/>
      </c>
      <c r="AQ598" s="10">
        <f t="array" ref="AQ5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8" s="10" t="n"/>
      <c r="AS598" s="10" t="n"/>
      <c r="AT598" s="17">
        <f>tbl_MTG_Set[[#This Row],[Play Booster CardMarket Profit]]/tbl_MTG_Set[[#This Row],[Play Booster Cost]]</f>
        <v/>
      </c>
      <c r="AU598" s="10">
        <f>_xlfn.XLOOKUP(tbl_MTG_Set[[#This Row],[Collector Booster Box Product Id]], tbl_Product[Product Id], tbl_Product[Min Cost])</f>
        <v/>
      </c>
      <c r="AV598" s="10">
        <f>_xlfn.XLOOKUP(tbl_MTG_Set[[#This Row],[Collector Booster Box Product Id]], tbl_Product[Product Id], tbl_Product[Best Source])</f>
        <v/>
      </c>
      <c r="AW598" s="4">
        <f>_xlfn.XLOOKUP(tbl_MTG_Set[[#This Row],[Collector Booster Box Product Id]], tbl_Product[Product Id], tbl_Product[Pack Size])</f>
        <v/>
      </c>
      <c r="AX598" s="10">
        <f>(tbl_MTG_Set[[#This Row],[Collector Booster Box Cost]] + v_Item_Shipping_Cost_In) / tbl_MTG_Set[[#This Row],[Collector Booster Box Size]]</f>
        <v/>
      </c>
      <c r="AY598" s="10">
        <f t="array" ref="AY5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8" s="10" t="n"/>
      <c r="BA5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8" s="17">
        <f>tbl_MTG_Set[[#This Row],[Collector Booster CardMarket Profit]]/tbl_MTG_Set[[#This Row],[Collector Booster Cost]]</f>
        <v/>
      </c>
      <c r="BC598" s="10" t="n"/>
      <c r="BF598" s="10">
        <f>tbl_MTG_Set[[#This Row],[Play Booster Sell Price CardMarket]]*tbl_MTG_Set[[#This Row],[Play Booster Expected Market Value]]/tbl_MTG_Set[[#This Row],[Play Boost Sealed Market Value]]</f>
        <v/>
      </c>
      <c r="BG5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8" s="10">
        <f>tbl_MTG_Set[[#This Row],[Play Singles CardMarket Profit]]/tbl_MTG_Set[[#This Row],[Play Booster Cost]]</f>
        <v/>
      </c>
      <c r="BI598" s="10">
        <f>tbl_MTG_Set[[#This Row],[Play Singles CardMarket Profit]]&gt;0</f>
        <v/>
      </c>
      <c r="BJ598" s="10" t="n"/>
      <c r="BK598" s="10" t="n"/>
      <c r="BL598" s="10">
        <f>tbl_MTG_Set[[#This Row],[Collector Booster Sell Price CardMarket]]*tbl_MTG_Set[[#This Row],[Collector Booster Expected Market Value]]/tbl_MTG_Set[[#This Row],[Collector Boost Sealed Market Value]]</f>
        <v/>
      </c>
      <c r="BM5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8" s="10">
        <f>tbl_MTG_Set[[#This Row],[Collector Singles CardMarket Profit]]/tbl_MTG_Set[[#This Row],[Collector Booster Cost]]</f>
        <v/>
      </c>
      <c r="BO598" s="10">
        <f>tbl_MTG_Set[[#This Row],[Collector Singles CardMarket Profit]]&gt;0</f>
        <v/>
      </c>
      <c r="BP5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9">
      <c r="A599" t="n">
        <v>597</v>
      </c>
      <c r="B599" t="inlineStr">
        <is>
          <t>San Diego Comic-Con 2015 PS15</t>
        </is>
      </c>
      <c r="C599" t="n">
        <v>5</v>
      </c>
      <c r="D599" s="3" t="n">
        <v>42194</v>
      </c>
      <c r="F599" t="inlineStr">
        <is>
          <t>en es fr de it pt ja ko ru 汉语 漢語</t>
        </is>
      </c>
      <c r="G599" t="n">
        <v>1140</v>
      </c>
      <c r="H599">
        <f>MONTH(NOW())+12*YEAR(NOW())-MONTH(tbl_MTG_Set[[#This Row],[Released On]])-12*YEAR(tbl_MTG_Set[[#This Row],[Released On]])</f>
        <v/>
      </c>
      <c r="I599">
        <f>_xlfn.XLOOKUP(tbl_MTG_Set[[#This Row],[Type Name]], tbl_MTG_Set_Type[Set Type], tbl_MTG_Set_Type[Index], "(Set Type not found)")</f>
        <v/>
      </c>
      <c r="J599">
        <f>_xlfn.XLOOKUP(tbl_MTG_Set[[#This Row],[Type Name]], tbl_MTG_Set_Type[Set Type], tbl_MTG_Set_Type[Buy Window Month Start], "(Set Type not found)")</f>
        <v/>
      </c>
      <c r="K599" s="3">
        <f>tbl_MTG_Set[[#This Row],[Released On]]+tbl_MTG_Set[[#This Row],[Buy Window Month Start]]*365.25/12</f>
        <v/>
      </c>
      <c r="L599">
        <f>_xlfn.XLOOKUP(tbl_MTG_Set[[#This Row],[Type Name]], tbl_MTG_Set_Type[Set Type], tbl_MTG_Set_Type[Buy Window Month End], "(Set Type not found)", 0, 1)</f>
        <v/>
      </c>
      <c r="M599" s="3">
        <f>tbl_MTG_Set[[#This Row],[Released On]]+tbl_MTG_Set[[#This Row],[Buy Window Month End]]*365.25/12</f>
        <v/>
      </c>
      <c r="N599" s="3">
        <f>AND(NOW()&gt;=tbl_MTG_Set[[#This Row],[Buy Window Start]], NOW()&lt;=tbl_MTG_Set[[#This Row],[Buy Window End]])</f>
        <v/>
      </c>
      <c r="O599">
        <f>_xlfn.XLOOKUP(tbl_MTG_Set[[#This Row],[Type Name]], tbl_MTG_Set_Type[Set Type], tbl_MTG_Set_Type[Heavy Printing Window Month Start], "(Set Type not found)", 0, 1)</f>
        <v/>
      </c>
      <c r="P599" s="3">
        <f>tbl_MTG_Set[[#This Row],[Released On]]+tbl_MTG_Set[[#This Row],[Heavy Printing Window Month Start]]*365.25/12</f>
        <v/>
      </c>
      <c r="Q599">
        <f>_xlfn.XLOOKUP(tbl_MTG_Set[[#This Row],[Type Name]], tbl_MTG_Set_Type[Set Type], tbl_MTG_Set_Type[Heavy Printing Window Month End], "(Set Type not found)", 0, 1)</f>
        <v/>
      </c>
      <c r="R599" s="3">
        <f>tbl_MTG_Set[[#This Row],[Released On]]+tbl_MTG_Set[[#This Row],[Heavy Printing Window Month End]]*365.25/12</f>
        <v/>
      </c>
      <c r="S599" s="3">
        <f>AND(NOW()&gt;=tbl_MTG_Set[[#This Row],[Heavy Printing Window Start]], NOW()&lt;=tbl_MTG_Set[[#This Row],[Heavy Printing Window End]])</f>
        <v/>
      </c>
      <c r="T599">
        <f>_xlfn.XLOOKUP(tbl_MTG_Set[[#This Row],[Type Name]], tbl_MTG_Set_Type[Set Type], tbl_MTG_Set_Type[Sell Window Month Start], "(Set Type not found)", 0, 1)</f>
        <v/>
      </c>
      <c r="U599" s="3">
        <f>tbl_MTG_Set[[#This Row],[Released On]]+tbl_MTG_Set[[#This Row],[Sell Window Month Start]]*365.25/12</f>
        <v/>
      </c>
      <c r="V599">
        <f>_xlfn.XLOOKUP(tbl_MTG_Set[[#This Row],[Type Name]], tbl_MTG_Set_Type[Set Type], tbl_MTG_Set_Type[Sell Window Month End], "(Set Type not found)", 0, 1)</f>
        <v/>
      </c>
      <c r="W599" s="3">
        <f>tbl_MTG_Set[[#This Row],[Released On]]+tbl_MTG_Set[[#This Row],[Sell Window Month End]]*365.25/12</f>
        <v/>
      </c>
      <c r="X599" s="3">
        <f>AND(NOW()&gt;=tbl_MTG_Set[[#This Row],[Sell Window Start]], NOW()&lt;=tbl_MTG_Set[[#This Row],[Sell Window End]])</f>
        <v/>
      </c>
      <c r="AG599" s="10" t="n"/>
      <c r="AH599" s="10" t="n"/>
      <c r="AM599" s="10">
        <f t="array" ref="AM5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9" s="10">
        <f t="array" ref="AN5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9" s="4">
        <f>_xlfn.XLOOKUP(tbl_MTG_Set[[#This Row],[Play Booster Box Product Id]], tbl_Product[Product Id], tbl_Product[Pack Size])</f>
        <v/>
      </c>
      <c r="AP599" s="10">
        <f>(tbl_MTG_Set[[#This Row],[Play Booster Box Cost]]+v_Item_Shipping_Cost_In)/tbl_MTG_Set[[#This Row],[Play Booster Box Size]]</f>
        <v/>
      </c>
      <c r="AQ599" s="10">
        <f t="array" ref="AQ5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599" s="10" t="n"/>
      <c r="AS599" s="10" t="n"/>
      <c r="AT599" s="17">
        <f>tbl_MTG_Set[[#This Row],[Play Booster CardMarket Profit]]/tbl_MTG_Set[[#This Row],[Play Booster Cost]]</f>
        <v/>
      </c>
      <c r="AU599" s="10">
        <f>_xlfn.XLOOKUP(tbl_MTG_Set[[#This Row],[Collector Booster Box Product Id]], tbl_Product[Product Id], tbl_Product[Min Cost])</f>
        <v/>
      </c>
      <c r="AV599" s="10">
        <f>_xlfn.XLOOKUP(tbl_MTG_Set[[#This Row],[Collector Booster Box Product Id]], tbl_Product[Product Id], tbl_Product[Best Source])</f>
        <v/>
      </c>
      <c r="AW599" s="4">
        <f>_xlfn.XLOOKUP(tbl_MTG_Set[[#This Row],[Collector Booster Box Product Id]], tbl_Product[Product Id], tbl_Product[Pack Size])</f>
        <v/>
      </c>
      <c r="AX599" s="10">
        <f>(tbl_MTG_Set[[#This Row],[Collector Booster Box Cost]] + v_Item_Shipping_Cost_In) / tbl_MTG_Set[[#This Row],[Collector Booster Box Size]]</f>
        <v/>
      </c>
      <c r="AY599" s="10">
        <f t="array" ref="AY5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599" s="10" t="n"/>
      <c r="BA5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9" s="17">
        <f>tbl_MTG_Set[[#This Row],[Collector Booster CardMarket Profit]]/tbl_MTG_Set[[#This Row],[Collector Booster Cost]]</f>
        <v/>
      </c>
      <c r="BC599" s="10" t="n"/>
      <c r="BF599" s="10">
        <f>tbl_MTG_Set[[#This Row],[Play Booster Sell Price CardMarket]]*tbl_MTG_Set[[#This Row],[Play Booster Expected Market Value]]/tbl_MTG_Set[[#This Row],[Play Boost Sealed Market Value]]</f>
        <v/>
      </c>
      <c r="BG5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9" s="10">
        <f>tbl_MTG_Set[[#This Row],[Play Singles CardMarket Profit]]/tbl_MTG_Set[[#This Row],[Play Booster Cost]]</f>
        <v/>
      </c>
      <c r="BI599" s="10">
        <f>tbl_MTG_Set[[#This Row],[Play Singles CardMarket Profit]]&gt;0</f>
        <v/>
      </c>
      <c r="BJ599" s="10" t="n"/>
      <c r="BK599" s="10" t="n"/>
      <c r="BL599" s="10">
        <f>tbl_MTG_Set[[#This Row],[Collector Booster Sell Price CardMarket]]*tbl_MTG_Set[[#This Row],[Collector Booster Expected Market Value]]/tbl_MTG_Set[[#This Row],[Collector Boost Sealed Market Value]]</f>
        <v/>
      </c>
      <c r="BM5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9" s="10">
        <f>tbl_MTG_Set[[#This Row],[Collector Singles CardMarket Profit]]/tbl_MTG_Set[[#This Row],[Collector Booster Cost]]</f>
        <v/>
      </c>
      <c r="BO599" s="10">
        <f>tbl_MTG_Set[[#This Row],[Collector Singles CardMarket Profit]]&gt;0</f>
        <v/>
      </c>
      <c r="BP5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0">
      <c r="A600" t="n">
        <v>598</v>
      </c>
      <c r="B600" t="inlineStr">
        <is>
          <t>Modern Masters 2015 MM2</t>
        </is>
      </c>
      <c r="C600" t="n">
        <v>249</v>
      </c>
      <c r="D600" s="3" t="n">
        <v>42146</v>
      </c>
      <c r="F600" t="inlineStr">
        <is>
          <t>en es fr de it pt ja ko ru 汉语 漢語</t>
        </is>
      </c>
      <c r="G600" t="n">
        <v>1142</v>
      </c>
      <c r="H600">
        <f>MONTH(NOW())+12*YEAR(NOW())-MONTH(tbl_MTG_Set[[#This Row],[Released On]])-12*YEAR(tbl_MTG_Set[[#This Row],[Released On]])</f>
        <v/>
      </c>
      <c r="I600">
        <f>_xlfn.XLOOKUP(tbl_MTG_Set[[#This Row],[Type Name]], tbl_MTG_Set_Type[Set Type], tbl_MTG_Set_Type[Index], "(Set Type not found)")</f>
        <v/>
      </c>
      <c r="J600">
        <f>_xlfn.XLOOKUP(tbl_MTG_Set[[#This Row],[Type Name]], tbl_MTG_Set_Type[Set Type], tbl_MTG_Set_Type[Buy Window Month Start], "(Set Type not found)")</f>
        <v/>
      </c>
      <c r="K600" s="3">
        <f>tbl_MTG_Set[[#This Row],[Released On]]+tbl_MTG_Set[[#This Row],[Buy Window Month Start]]*365.25/12</f>
        <v/>
      </c>
      <c r="L600">
        <f>_xlfn.XLOOKUP(tbl_MTG_Set[[#This Row],[Type Name]], tbl_MTG_Set_Type[Set Type], tbl_MTG_Set_Type[Buy Window Month End], "(Set Type not found)", 0, 1)</f>
        <v/>
      </c>
      <c r="M600" s="3">
        <f>tbl_MTG_Set[[#This Row],[Released On]]+tbl_MTG_Set[[#This Row],[Buy Window Month End]]*365.25/12</f>
        <v/>
      </c>
      <c r="N600" s="3">
        <f>AND(NOW()&gt;=tbl_MTG_Set[[#This Row],[Buy Window Start]], NOW()&lt;=tbl_MTG_Set[[#This Row],[Buy Window End]])</f>
        <v/>
      </c>
      <c r="O600">
        <f>_xlfn.XLOOKUP(tbl_MTG_Set[[#This Row],[Type Name]], tbl_MTG_Set_Type[Set Type], tbl_MTG_Set_Type[Heavy Printing Window Month Start], "(Set Type not found)", 0, 1)</f>
        <v/>
      </c>
      <c r="P600" s="3">
        <f>tbl_MTG_Set[[#This Row],[Released On]]+tbl_MTG_Set[[#This Row],[Heavy Printing Window Month Start]]*365.25/12</f>
        <v/>
      </c>
      <c r="Q600">
        <f>_xlfn.XLOOKUP(tbl_MTG_Set[[#This Row],[Type Name]], tbl_MTG_Set_Type[Set Type], tbl_MTG_Set_Type[Heavy Printing Window Month End], "(Set Type not found)", 0, 1)</f>
        <v/>
      </c>
      <c r="R600" s="3">
        <f>tbl_MTG_Set[[#This Row],[Released On]]+tbl_MTG_Set[[#This Row],[Heavy Printing Window Month End]]*365.25/12</f>
        <v/>
      </c>
      <c r="S600" s="3">
        <f>AND(NOW()&gt;=tbl_MTG_Set[[#This Row],[Heavy Printing Window Start]], NOW()&lt;=tbl_MTG_Set[[#This Row],[Heavy Printing Window End]])</f>
        <v/>
      </c>
      <c r="T600">
        <f>_xlfn.XLOOKUP(tbl_MTG_Set[[#This Row],[Type Name]], tbl_MTG_Set_Type[Set Type], tbl_MTG_Set_Type[Sell Window Month Start], "(Set Type not found)", 0, 1)</f>
        <v/>
      </c>
      <c r="U600" s="3">
        <f>tbl_MTG_Set[[#This Row],[Released On]]+tbl_MTG_Set[[#This Row],[Sell Window Month Start]]*365.25/12</f>
        <v/>
      </c>
      <c r="V600">
        <f>_xlfn.XLOOKUP(tbl_MTG_Set[[#This Row],[Type Name]], tbl_MTG_Set_Type[Set Type], tbl_MTG_Set_Type[Sell Window Month End], "(Set Type not found)", 0, 1)</f>
        <v/>
      </c>
      <c r="W600" s="3">
        <f>tbl_MTG_Set[[#This Row],[Released On]]+tbl_MTG_Set[[#This Row],[Sell Window Month End]]*365.25/12</f>
        <v/>
      </c>
      <c r="X600" s="3">
        <f>AND(NOW()&gt;=tbl_MTG_Set[[#This Row],[Sell Window Start]], NOW()&lt;=tbl_MTG_Set[[#This Row],[Sell Window End]])</f>
        <v/>
      </c>
      <c r="AG600" s="10" t="n"/>
      <c r="AH600" s="10" t="n"/>
      <c r="AM600" s="10">
        <f t="array" ref="AM6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0" s="10">
        <f t="array" ref="AN6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0" s="4">
        <f>_xlfn.XLOOKUP(tbl_MTG_Set[[#This Row],[Play Booster Box Product Id]], tbl_Product[Product Id], tbl_Product[Pack Size])</f>
        <v/>
      </c>
      <c r="AP600" s="10">
        <f>(tbl_MTG_Set[[#This Row],[Play Booster Box Cost]]+v_Item_Shipping_Cost_In)/tbl_MTG_Set[[#This Row],[Play Booster Box Size]]</f>
        <v/>
      </c>
      <c r="AQ600" s="10">
        <f t="array" ref="AQ6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0" s="10" t="n"/>
      <c r="AS600" s="10" t="n"/>
      <c r="AT600" s="17">
        <f>tbl_MTG_Set[[#This Row],[Play Booster CardMarket Profit]]/tbl_MTG_Set[[#This Row],[Play Booster Cost]]</f>
        <v/>
      </c>
      <c r="AU600" s="10">
        <f>_xlfn.XLOOKUP(tbl_MTG_Set[[#This Row],[Collector Booster Box Product Id]], tbl_Product[Product Id], tbl_Product[Min Cost])</f>
        <v/>
      </c>
      <c r="AV600" s="10">
        <f>_xlfn.XLOOKUP(tbl_MTG_Set[[#This Row],[Collector Booster Box Product Id]], tbl_Product[Product Id], tbl_Product[Best Source])</f>
        <v/>
      </c>
      <c r="AW600" s="4">
        <f>_xlfn.XLOOKUP(tbl_MTG_Set[[#This Row],[Collector Booster Box Product Id]], tbl_Product[Product Id], tbl_Product[Pack Size])</f>
        <v/>
      </c>
      <c r="AX600" s="10">
        <f>(tbl_MTG_Set[[#This Row],[Collector Booster Box Cost]] + v_Item_Shipping_Cost_In) / tbl_MTG_Set[[#This Row],[Collector Booster Box Size]]</f>
        <v/>
      </c>
      <c r="AY600" s="10">
        <f t="array" ref="AY6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0" s="10" t="n"/>
      <c r="BA6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0" s="17">
        <f>tbl_MTG_Set[[#This Row],[Collector Booster CardMarket Profit]]/tbl_MTG_Set[[#This Row],[Collector Booster Cost]]</f>
        <v/>
      </c>
      <c r="BC600" s="10" t="n"/>
      <c r="BF600" s="10">
        <f>tbl_MTG_Set[[#This Row],[Play Booster Sell Price CardMarket]]*tbl_MTG_Set[[#This Row],[Play Booster Expected Market Value]]/tbl_MTG_Set[[#This Row],[Play Boost Sealed Market Value]]</f>
        <v/>
      </c>
      <c r="BG6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0" s="10">
        <f>tbl_MTG_Set[[#This Row],[Play Singles CardMarket Profit]]/tbl_MTG_Set[[#This Row],[Play Booster Cost]]</f>
        <v/>
      </c>
      <c r="BI600" s="10">
        <f>tbl_MTG_Set[[#This Row],[Play Singles CardMarket Profit]]&gt;0</f>
        <v/>
      </c>
      <c r="BJ600" s="10" t="n"/>
      <c r="BK600" s="10" t="n"/>
      <c r="BL600" s="10">
        <f>tbl_MTG_Set[[#This Row],[Collector Booster Sell Price CardMarket]]*tbl_MTG_Set[[#This Row],[Collector Booster Expected Market Value]]/tbl_MTG_Set[[#This Row],[Collector Boost Sealed Market Value]]</f>
        <v/>
      </c>
      <c r="BM6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0" s="10">
        <f>tbl_MTG_Set[[#This Row],[Collector Singles CardMarket Profit]]/tbl_MTG_Set[[#This Row],[Collector Booster Cost]]</f>
        <v/>
      </c>
      <c r="BO600" s="10">
        <f>tbl_MTG_Set[[#This Row],[Collector Singles CardMarket Profit]]&gt;0</f>
        <v/>
      </c>
      <c r="BP6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1">
      <c r="A601" t="n">
        <v>599</v>
      </c>
      <c r="B601" t="inlineStr">
        <is>
          <t>Modern Masters 2015 Tokens TMM2</t>
        </is>
      </c>
      <c r="C601" t="n">
        <v>16</v>
      </c>
      <c r="D601" s="3" t="n">
        <v>42146</v>
      </c>
      <c r="F601" t="inlineStr">
        <is>
          <t>en es fr de it pt ja ko ru 汉语 漢語</t>
        </is>
      </c>
      <c r="G601" t="n">
        <v>1144</v>
      </c>
      <c r="H601">
        <f>MONTH(NOW())+12*YEAR(NOW())-MONTH(tbl_MTG_Set[[#This Row],[Released On]])-12*YEAR(tbl_MTG_Set[[#This Row],[Released On]])</f>
        <v/>
      </c>
      <c r="I601">
        <f>_xlfn.XLOOKUP(tbl_MTG_Set[[#This Row],[Type Name]], tbl_MTG_Set_Type[Set Type], tbl_MTG_Set_Type[Index], "(Set Type not found)")</f>
        <v/>
      </c>
      <c r="J601">
        <f>_xlfn.XLOOKUP(tbl_MTG_Set[[#This Row],[Type Name]], tbl_MTG_Set_Type[Set Type], tbl_MTG_Set_Type[Buy Window Month Start], "(Set Type not found)")</f>
        <v/>
      </c>
      <c r="K601" s="3">
        <f>tbl_MTG_Set[[#This Row],[Released On]]+tbl_MTG_Set[[#This Row],[Buy Window Month Start]]*365.25/12</f>
        <v/>
      </c>
      <c r="L601">
        <f>_xlfn.XLOOKUP(tbl_MTG_Set[[#This Row],[Type Name]], tbl_MTG_Set_Type[Set Type], tbl_MTG_Set_Type[Buy Window Month End], "(Set Type not found)", 0, 1)</f>
        <v/>
      </c>
      <c r="M601" s="3">
        <f>tbl_MTG_Set[[#This Row],[Released On]]+tbl_MTG_Set[[#This Row],[Buy Window Month End]]*365.25/12</f>
        <v/>
      </c>
      <c r="N601" s="3">
        <f>AND(NOW()&gt;=tbl_MTG_Set[[#This Row],[Buy Window Start]], NOW()&lt;=tbl_MTG_Set[[#This Row],[Buy Window End]])</f>
        <v/>
      </c>
      <c r="O601">
        <f>_xlfn.XLOOKUP(tbl_MTG_Set[[#This Row],[Type Name]], tbl_MTG_Set_Type[Set Type], tbl_MTG_Set_Type[Heavy Printing Window Month Start], "(Set Type not found)", 0, 1)</f>
        <v/>
      </c>
      <c r="P601" s="3">
        <f>tbl_MTG_Set[[#This Row],[Released On]]+tbl_MTG_Set[[#This Row],[Heavy Printing Window Month Start]]*365.25/12</f>
        <v/>
      </c>
      <c r="Q601">
        <f>_xlfn.XLOOKUP(tbl_MTG_Set[[#This Row],[Type Name]], tbl_MTG_Set_Type[Set Type], tbl_MTG_Set_Type[Heavy Printing Window Month End], "(Set Type not found)", 0, 1)</f>
        <v/>
      </c>
      <c r="R601" s="3">
        <f>tbl_MTG_Set[[#This Row],[Released On]]+tbl_MTG_Set[[#This Row],[Heavy Printing Window Month End]]*365.25/12</f>
        <v/>
      </c>
      <c r="S601" s="3">
        <f>AND(NOW()&gt;=tbl_MTG_Set[[#This Row],[Heavy Printing Window Start]], NOW()&lt;=tbl_MTG_Set[[#This Row],[Heavy Printing Window End]])</f>
        <v/>
      </c>
      <c r="T601">
        <f>_xlfn.XLOOKUP(tbl_MTG_Set[[#This Row],[Type Name]], tbl_MTG_Set_Type[Set Type], tbl_MTG_Set_Type[Sell Window Month Start], "(Set Type not found)", 0, 1)</f>
        <v/>
      </c>
      <c r="U601" s="3">
        <f>tbl_MTG_Set[[#This Row],[Released On]]+tbl_MTG_Set[[#This Row],[Sell Window Month Start]]*365.25/12</f>
        <v/>
      </c>
      <c r="V601">
        <f>_xlfn.XLOOKUP(tbl_MTG_Set[[#This Row],[Type Name]], tbl_MTG_Set_Type[Set Type], tbl_MTG_Set_Type[Sell Window Month End], "(Set Type not found)", 0, 1)</f>
        <v/>
      </c>
      <c r="W601" s="3">
        <f>tbl_MTG_Set[[#This Row],[Released On]]+tbl_MTG_Set[[#This Row],[Sell Window Month End]]*365.25/12</f>
        <v/>
      </c>
      <c r="X601" s="3">
        <f>AND(NOW()&gt;=tbl_MTG_Set[[#This Row],[Sell Window Start]], NOW()&lt;=tbl_MTG_Set[[#This Row],[Sell Window End]])</f>
        <v/>
      </c>
      <c r="AG601" s="10" t="n"/>
      <c r="AH601" s="10" t="n"/>
      <c r="AM601" s="10">
        <f t="array" ref="AM6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1" s="10">
        <f t="array" ref="AN6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1" s="4">
        <f>_xlfn.XLOOKUP(tbl_MTG_Set[[#This Row],[Play Booster Box Product Id]], tbl_Product[Product Id], tbl_Product[Pack Size])</f>
        <v/>
      </c>
      <c r="AP601" s="10">
        <f>(tbl_MTG_Set[[#This Row],[Play Booster Box Cost]]+v_Item_Shipping_Cost_In)/tbl_MTG_Set[[#This Row],[Play Booster Box Size]]</f>
        <v/>
      </c>
      <c r="AQ601" s="10">
        <f t="array" ref="AQ6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1" s="10" t="n"/>
      <c r="AS601" s="10" t="n"/>
      <c r="AT601" s="17">
        <f>tbl_MTG_Set[[#This Row],[Play Booster CardMarket Profit]]/tbl_MTG_Set[[#This Row],[Play Booster Cost]]</f>
        <v/>
      </c>
      <c r="AU601" s="10">
        <f>_xlfn.XLOOKUP(tbl_MTG_Set[[#This Row],[Collector Booster Box Product Id]], tbl_Product[Product Id], tbl_Product[Min Cost])</f>
        <v/>
      </c>
      <c r="AV601" s="10">
        <f>_xlfn.XLOOKUP(tbl_MTG_Set[[#This Row],[Collector Booster Box Product Id]], tbl_Product[Product Id], tbl_Product[Best Source])</f>
        <v/>
      </c>
      <c r="AW601" s="4">
        <f>_xlfn.XLOOKUP(tbl_MTG_Set[[#This Row],[Collector Booster Box Product Id]], tbl_Product[Product Id], tbl_Product[Pack Size])</f>
        <v/>
      </c>
      <c r="AX601" s="10">
        <f>(tbl_MTG_Set[[#This Row],[Collector Booster Box Cost]] + v_Item_Shipping_Cost_In) / tbl_MTG_Set[[#This Row],[Collector Booster Box Size]]</f>
        <v/>
      </c>
      <c r="AY601" s="10">
        <f t="array" ref="AY6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1" s="10" t="n"/>
      <c r="BA6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1" s="17">
        <f>tbl_MTG_Set[[#This Row],[Collector Booster CardMarket Profit]]/tbl_MTG_Set[[#This Row],[Collector Booster Cost]]</f>
        <v/>
      </c>
      <c r="BC601" s="10" t="n"/>
      <c r="BF601" s="10">
        <f>tbl_MTG_Set[[#This Row],[Play Booster Sell Price CardMarket]]*tbl_MTG_Set[[#This Row],[Play Booster Expected Market Value]]/tbl_MTG_Set[[#This Row],[Play Boost Sealed Market Value]]</f>
        <v/>
      </c>
      <c r="BG6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1" s="10">
        <f>tbl_MTG_Set[[#This Row],[Play Singles CardMarket Profit]]/tbl_MTG_Set[[#This Row],[Play Booster Cost]]</f>
        <v/>
      </c>
      <c r="BI601" s="10">
        <f>tbl_MTG_Set[[#This Row],[Play Singles CardMarket Profit]]&gt;0</f>
        <v/>
      </c>
      <c r="BJ601" s="10" t="n"/>
      <c r="BK601" s="10" t="n"/>
      <c r="BL601" s="10">
        <f>tbl_MTG_Set[[#This Row],[Collector Booster Sell Price CardMarket]]*tbl_MTG_Set[[#This Row],[Collector Booster Expected Market Value]]/tbl_MTG_Set[[#This Row],[Collector Boost Sealed Market Value]]</f>
        <v/>
      </c>
      <c r="BM6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1" s="10">
        <f>tbl_MTG_Set[[#This Row],[Collector Singles CardMarket Profit]]/tbl_MTG_Set[[#This Row],[Collector Booster Cost]]</f>
        <v/>
      </c>
      <c r="BO601" s="10">
        <f>tbl_MTG_Set[[#This Row],[Collector Singles CardMarket Profit]]&gt;0</f>
        <v/>
      </c>
      <c r="BP6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2">
      <c r="A602" t="n">
        <v>600</v>
      </c>
      <c r="B602" t="inlineStr">
        <is>
          <t>Tempest Remastered TPR</t>
        </is>
      </c>
      <c r="C602" t="n">
        <v>269</v>
      </c>
      <c r="D602" s="3" t="n">
        <v>42130</v>
      </c>
      <c r="F602" t="inlineStr">
        <is>
          <t>en es fr de it pt ja ko ru 汉语 漢語</t>
        </is>
      </c>
      <c r="G602" t="n">
        <v>1146</v>
      </c>
      <c r="H602">
        <f>MONTH(NOW())+12*YEAR(NOW())-MONTH(tbl_MTG_Set[[#This Row],[Released On]])-12*YEAR(tbl_MTG_Set[[#This Row],[Released On]])</f>
        <v/>
      </c>
      <c r="I602">
        <f>_xlfn.XLOOKUP(tbl_MTG_Set[[#This Row],[Type Name]], tbl_MTG_Set_Type[Set Type], tbl_MTG_Set_Type[Index], "(Set Type not found)")</f>
        <v/>
      </c>
      <c r="J602">
        <f>_xlfn.XLOOKUP(tbl_MTG_Set[[#This Row],[Type Name]], tbl_MTG_Set_Type[Set Type], tbl_MTG_Set_Type[Buy Window Month Start], "(Set Type not found)")</f>
        <v/>
      </c>
      <c r="K602" s="3">
        <f>tbl_MTG_Set[[#This Row],[Released On]]+tbl_MTG_Set[[#This Row],[Buy Window Month Start]]*365.25/12</f>
        <v/>
      </c>
      <c r="L602">
        <f>_xlfn.XLOOKUP(tbl_MTG_Set[[#This Row],[Type Name]], tbl_MTG_Set_Type[Set Type], tbl_MTG_Set_Type[Buy Window Month End], "(Set Type not found)", 0, 1)</f>
        <v/>
      </c>
      <c r="M602" s="3">
        <f>tbl_MTG_Set[[#This Row],[Released On]]+tbl_MTG_Set[[#This Row],[Buy Window Month End]]*365.25/12</f>
        <v/>
      </c>
      <c r="N602" s="3">
        <f>AND(NOW()&gt;=tbl_MTG_Set[[#This Row],[Buy Window Start]], NOW()&lt;=tbl_MTG_Set[[#This Row],[Buy Window End]])</f>
        <v/>
      </c>
      <c r="O602">
        <f>_xlfn.XLOOKUP(tbl_MTG_Set[[#This Row],[Type Name]], tbl_MTG_Set_Type[Set Type], tbl_MTG_Set_Type[Heavy Printing Window Month Start], "(Set Type not found)", 0, 1)</f>
        <v/>
      </c>
      <c r="P602" s="3">
        <f>tbl_MTG_Set[[#This Row],[Released On]]+tbl_MTG_Set[[#This Row],[Heavy Printing Window Month Start]]*365.25/12</f>
        <v/>
      </c>
      <c r="Q602">
        <f>_xlfn.XLOOKUP(tbl_MTG_Set[[#This Row],[Type Name]], tbl_MTG_Set_Type[Set Type], tbl_MTG_Set_Type[Heavy Printing Window Month End], "(Set Type not found)", 0, 1)</f>
        <v/>
      </c>
      <c r="R602" s="3">
        <f>tbl_MTG_Set[[#This Row],[Released On]]+tbl_MTG_Set[[#This Row],[Heavy Printing Window Month End]]*365.25/12</f>
        <v/>
      </c>
      <c r="S602" s="3">
        <f>AND(NOW()&gt;=tbl_MTG_Set[[#This Row],[Heavy Printing Window Start]], NOW()&lt;=tbl_MTG_Set[[#This Row],[Heavy Printing Window End]])</f>
        <v/>
      </c>
      <c r="T602">
        <f>_xlfn.XLOOKUP(tbl_MTG_Set[[#This Row],[Type Name]], tbl_MTG_Set_Type[Set Type], tbl_MTG_Set_Type[Sell Window Month Start], "(Set Type not found)", 0, 1)</f>
        <v/>
      </c>
      <c r="U602" s="3">
        <f>tbl_MTG_Set[[#This Row],[Released On]]+tbl_MTG_Set[[#This Row],[Sell Window Month Start]]*365.25/12</f>
        <v/>
      </c>
      <c r="V602">
        <f>_xlfn.XLOOKUP(tbl_MTG_Set[[#This Row],[Type Name]], tbl_MTG_Set_Type[Set Type], tbl_MTG_Set_Type[Sell Window Month End], "(Set Type not found)", 0, 1)</f>
        <v/>
      </c>
      <c r="W602" s="3">
        <f>tbl_MTG_Set[[#This Row],[Released On]]+tbl_MTG_Set[[#This Row],[Sell Window Month End]]*365.25/12</f>
        <v/>
      </c>
      <c r="X602" s="3">
        <f>AND(NOW()&gt;=tbl_MTG_Set[[#This Row],[Sell Window Start]], NOW()&lt;=tbl_MTG_Set[[#This Row],[Sell Window End]])</f>
        <v/>
      </c>
      <c r="AG602" s="10" t="n"/>
      <c r="AH602" s="10" t="n"/>
      <c r="AM602" s="10">
        <f t="array" ref="AM6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2" s="10">
        <f t="array" ref="AN6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2" s="4">
        <f>_xlfn.XLOOKUP(tbl_MTG_Set[[#This Row],[Play Booster Box Product Id]], tbl_Product[Product Id], tbl_Product[Pack Size])</f>
        <v/>
      </c>
      <c r="AP602" s="10">
        <f>(tbl_MTG_Set[[#This Row],[Play Booster Box Cost]]+v_Item_Shipping_Cost_In)/tbl_MTG_Set[[#This Row],[Play Booster Box Size]]</f>
        <v/>
      </c>
      <c r="AQ602" s="10">
        <f t="array" ref="AQ6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2" s="10" t="n"/>
      <c r="AS602" s="10" t="n"/>
      <c r="AT602" s="17">
        <f>tbl_MTG_Set[[#This Row],[Play Booster CardMarket Profit]]/tbl_MTG_Set[[#This Row],[Play Booster Cost]]</f>
        <v/>
      </c>
      <c r="AU602" s="10">
        <f>_xlfn.XLOOKUP(tbl_MTG_Set[[#This Row],[Collector Booster Box Product Id]], tbl_Product[Product Id], tbl_Product[Min Cost])</f>
        <v/>
      </c>
      <c r="AV602" s="10">
        <f>_xlfn.XLOOKUP(tbl_MTG_Set[[#This Row],[Collector Booster Box Product Id]], tbl_Product[Product Id], tbl_Product[Best Source])</f>
        <v/>
      </c>
      <c r="AW602" s="4">
        <f>_xlfn.XLOOKUP(tbl_MTG_Set[[#This Row],[Collector Booster Box Product Id]], tbl_Product[Product Id], tbl_Product[Pack Size])</f>
        <v/>
      </c>
      <c r="AX602" s="10">
        <f>(tbl_MTG_Set[[#This Row],[Collector Booster Box Cost]] + v_Item_Shipping_Cost_In) / tbl_MTG_Set[[#This Row],[Collector Booster Box Size]]</f>
        <v/>
      </c>
      <c r="AY602" s="10">
        <f t="array" ref="AY6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2" s="10" t="n"/>
      <c r="BA6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2" s="17">
        <f>tbl_MTG_Set[[#This Row],[Collector Booster CardMarket Profit]]/tbl_MTG_Set[[#This Row],[Collector Booster Cost]]</f>
        <v/>
      </c>
      <c r="BC602" s="10" t="n"/>
      <c r="BF602" s="10">
        <f>tbl_MTG_Set[[#This Row],[Play Booster Sell Price CardMarket]]*tbl_MTG_Set[[#This Row],[Play Booster Expected Market Value]]/tbl_MTG_Set[[#This Row],[Play Boost Sealed Market Value]]</f>
        <v/>
      </c>
      <c r="BG6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2" s="10">
        <f>tbl_MTG_Set[[#This Row],[Play Singles CardMarket Profit]]/tbl_MTG_Set[[#This Row],[Play Booster Cost]]</f>
        <v/>
      </c>
      <c r="BI602" s="10">
        <f>tbl_MTG_Set[[#This Row],[Play Singles CardMarket Profit]]&gt;0</f>
        <v/>
      </c>
      <c r="BJ602" s="10" t="n"/>
      <c r="BK602" s="10" t="n"/>
      <c r="BL602" s="10">
        <f>tbl_MTG_Set[[#This Row],[Collector Booster Sell Price CardMarket]]*tbl_MTG_Set[[#This Row],[Collector Booster Expected Market Value]]/tbl_MTG_Set[[#This Row],[Collector Boost Sealed Market Value]]</f>
        <v/>
      </c>
      <c r="BM6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2" s="10">
        <f>tbl_MTG_Set[[#This Row],[Collector Singles CardMarket Profit]]/tbl_MTG_Set[[#This Row],[Collector Booster Cost]]</f>
        <v/>
      </c>
      <c r="BO602" s="10">
        <f>tbl_MTG_Set[[#This Row],[Collector Singles CardMarket Profit]]&gt;0</f>
        <v/>
      </c>
      <c r="BP6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3">
      <c r="A603" t="n">
        <v>601</v>
      </c>
      <c r="B603" t="inlineStr">
        <is>
          <t>Dragons of Tarkir DTK</t>
        </is>
      </c>
      <c r="C603" t="n">
        <v>264</v>
      </c>
      <c r="D603" s="3" t="n">
        <v>42090</v>
      </c>
      <c r="F603" t="inlineStr">
        <is>
          <t>en es fr de it pt ja ko ru 汉语 漢語</t>
        </is>
      </c>
      <c r="G603" t="n">
        <v>1148</v>
      </c>
      <c r="H603">
        <f>MONTH(NOW())+12*YEAR(NOW())-MONTH(tbl_MTG_Set[[#This Row],[Released On]])-12*YEAR(tbl_MTG_Set[[#This Row],[Released On]])</f>
        <v/>
      </c>
      <c r="I603">
        <f>_xlfn.XLOOKUP(tbl_MTG_Set[[#This Row],[Type Name]], tbl_MTG_Set_Type[Set Type], tbl_MTG_Set_Type[Index], "(Set Type not found)")</f>
        <v/>
      </c>
      <c r="J603">
        <f>_xlfn.XLOOKUP(tbl_MTG_Set[[#This Row],[Type Name]], tbl_MTG_Set_Type[Set Type], tbl_MTG_Set_Type[Buy Window Month Start], "(Set Type not found)")</f>
        <v/>
      </c>
      <c r="K603" s="3">
        <f>tbl_MTG_Set[[#This Row],[Released On]]+tbl_MTG_Set[[#This Row],[Buy Window Month Start]]*365.25/12</f>
        <v/>
      </c>
      <c r="L603">
        <f>_xlfn.XLOOKUP(tbl_MTG_Set[[#This Row],[Type Name]], tbl_MTG_Set_Type[Set Type], tbl_MTG_Set_Type[Buy Window Month End], "(Set Type not found)", 0, 1)</f>
        <v/>
      </c>
      <c r="M603" s="3">
        <f>tbl_MTG_Set[[#This Row],[Released On]]+tbl_MTG_Set[[#This Row],[Buy Window Month End]]*365.25/12</f>
        <v/>
      </c>
      <c r="N603" s="3">
        <f>AND(NOW()&gt;=tbl_MTG_Set[[#This Row],[Buy Window Start]], NOW()&lt;=tbl_MTG_Set[[#This Row],[Buy Window End]])</f>
        <v/>
      </c>
      <c r="O603">
        <f>_xlfn.XLOOKUP(tbl_MTG_Set[[#This Row],[Type Name]], tbl_MTG_Set_Type[Set Type], tbl_MTG_Set_Type[Heavy Printing Window Month Start], "(Set Type not found)", 0, 1)</f>
        <v/>
      </c>
      <c r="P603" s="3">
        <f>tbl_MTG_Set[[#This Row],[Released On]]+tbl_MTG_Set[[#This Row],[Heavy Printing Window Month Start]]*365.25/12</f>
        <v/>
      </c>
      <c r="Q603">
        <f>_xlfn.XLOOKUP(tbl_MTG_Set[[#This Row],[Type Name]], tbl_MTG_Set_Type[Set Type], tbl_MTG_Set_Type[Heavy Printing Window Month End], "(Set Type not found)", 0, 1)</f>
        <v/>
      </c>
      <c r="R603" s="3">
        <f>tbl_MTG_Set[[#This Row],[Released On]]+tbl_MTG_Set[[#This Row],[Heavy Printing Window Month End]]*365.25/12</f>
        <v/>
      </c>
      <c r="S603" s="3">
        <f>AND(NOW()&gt;=tbl_MTG_Set[[#This Row],[Heavy Printing Window Start]], NOW()&lt;=tbl_MTG_Set[[#This Row],[Heavy Printing Window End]])</f>
        <v/>
      </c>
      <c r="T603">
        <f>_xlfn.XLOOKUP(tbl_MTG_Set[[#This Row],[Type Name]], tbl_MTG_Set_Type[Set Type], tbl_MTG_Set_Type[Sell Window Month Start], "(Set Type not found)", 0, 1)</f>
        <v/>
      </c>
      <c r="U603" s="3">
        <f>tbl_MTG_Set[[#This Row],[Released On]]+tbl_MTG_Set[[#This Row],[Sell Window Month Start]]*365.25/12</f>
        <v/>
      </c>
      <c r="V603">
        <f>_xlfn.XLOOKUP(tbl_MTG_Set[[#This Row],[Type Name]], tbl_MTG_Set_Type[Set Type], tbl_MTG_Set_Type[Sell Window Month End], "(Set Type not found)", 0, 1)</f>
        <v/>
      </c>
      <c r="W603" s="3">
        <f>tbl_MTG_Set[[#This Row],[Released On]]+tbl_MTG_Set[[#This Row],[Sell Window Month End]]*365.25/12</f>
        <v/>
      </c>
      <c r="X603" s="3">
        <f>AND(NOW()&gt;=tbl_MTG_Set[[#This Row],[Sell Window Start]], NOW()&lt;=tbl_MTG_Set[[#This Row],[Sell Window End]])</f>
        <v/>
      </c>
      <c r="AG603" s="10" t="n"/>
      <c r="AH603" s="10" t="n"/>
      <c r="AM603" s="10">
        <f t="array" ref="AM6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3" s="10">
        <f t="array" ref="AN6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3" s="4">
        <f>_xlfn.XLOOKUP(tbl_MTG_Set[[#This Row],[Play Booster Box Product Id]], tbl_Product[Product Id], tbl_Product[Pack Size])</f>
        <v/>
      </c>
      <c r="AP603" s="10">
        <f>(tbl_MTG_Set[[#This Row],[Play Booster Box Cost]]+v_Item_Shipping_Cost_In)/tbl_MTG_Set[[#This Row],[Play Booster Box Size]]</f>
        <v/>
      </c>
      <c r="AQ603" s="10">
        <f t="array" ref="AQ6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3" s="10" t="n"/>
      <c r="AS603" s="10" t="n"/>
      <c r="AT603" s="17">
        <f>tbl_MTG_Set[[#This Row],[Play Booster CardMarket Profit]]/tbl_MTG_Set[[#This Row],[Play Booster Cost]]</f>
        <v/>
      </c>
      <c r="AU603" s="10">
        <f>_xlfn.XLOOKUP(tbl_MTG_Set[[#This Row],[Collector Booster Box Product Id]], tbl_Product[Product Id], tbl_Product[Min Cost])</f>
        <v/>
      </c>
      <c r="AV603" s="10">
        <f>_xlfn.XLOOKUP(tbl_MTG_Set[[#This Row],[Collector Booster Box Product Id]], tbl_Product[Product Id], tbl_Product[Best Source])</f>
        <v/>
      </c>
      <c r="AW603" s="4">
        <f>_xlfn.XLOOKUP(tbl_MTG_Set[[#This Row],[Collector Booster Box Product Id]], tbl_Product[Product Id], tbl_Product[Pack Size])</f>
        <v/>
      </c>
      <c r="AX603" s="10">
        <f>(tbl_MTG_Set[[#This Row],[Collector Booster Box Cost]] + v_Item_Shipping_Cost_In) / tbl_MTG_Set[[#This Row],[Collector Booster Box Size]]</f>
        <v/>
      </c>
      <c r="AY603" s="10">
        <f t="array" ref="AY6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3" s="10" t="n"/>
      <c r="BA6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3" s="17">
        <f>tbl_MTG_Set[[#This Row],[Collector Booster CardMarket Profit]]/tbl_MTG_Set[[#This Row],[Collector Booster Cost]]</f>
        <v/>
      </c>
      <c r="BC603" s="10" t="n"/>
      <c r="BF603" s="10">
        <f>tbl_MTG_Set[[#This Row],[Play Booster Sell Price CardMarket]]*tbl_MTG_Set[[#This Row],[Play Booster Expected Market Value]]/tbl_MTG_Set[[#This Row],[Play Boost Sealed Market Value]]</f>
        <v/>
      </c>
      <c r="BG6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3" s="10">
        <f>tbl_MTG_Set[[#This Row],[Play Singles CardMarket Profit]]/tbl_MTG_Set[[#This Row],[Play Booster Cost]]</f>
        <v/>
      </c>
      <c r="BI603" s="10">
        <f>tbl_MTG_Set[[#This Row],[Play Singles CardMarket Profit]]&gt;0</f>
        <v/>
      </c>
      <c r="BJ603" s="10" t="n"/>
      <c r="BK603" s="10" t="n"/>
      <c r="BL603" s="10">
        <f>tbl_MTG_Set[[#This Row],[Collector Booster Sell Price CardMarket]]*tbl_MTG_Set[[#This Row],[Collector Booster Expected Market Value]]/tbl_MTG_Set[[#This Row],[Collector Boost Sealed Market Value]]</f>
        <v/>
      </c>
      <c r="BM6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3" s="10">
        <f>tbl_MTG_Set[[#This Row],[Collector Singles CardMarket Profit]]/tbl_MTG_Set[[#This Row],[Collector Booster Cost]]</f>
        <v/>
      </c>
      <c r="BO603" s="10">
        <f>tbl_MTG_Set[[#This Row],[Collector Singles CardMarket Profit]]&gt;0</f>
        <v/>
      </c>
      <c r="BP6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4">
      <c r="A604" t="n">
        <v>602</v>
      </c>
      <c r="B604" t="inlineStr">
        <is>
          <t>Dragons of Tarkir Promos PDTK</t>
        </is>
      </c>
      <c r="C604" t="n">
        <v>51</v>
      </c>
      <c r="D604" s="3" t="n">
        <v>42090</v>
      </c>
      <c r="F604" t="inlineStr">
        <is>
          <t>en es fr de it pt ja ko ru 汉语 漢語</t>
        </is>
      </c>
      <c r="G604" t="n">
        <v>1150</v>
      </c>
      <c r="H604">
        <f>MONTH(NOW())+12*YEAR(NOW())-MONTH(tbl_MTG_Set[[#This Row],[Released On]])-12*YEAR(tbl_MTG_Set[[#This Row],[Released On]])</f>
        <v/>
      </c>
      <c r="I604">
        <f>_xlfn.XLOOKUP(tbl_MTG_Set[[#This Row],[Type Name]], tbl_MTG_Set_Type[Set Type], tbl_MTG_Set_Type[Index], "(Set Type not found)")</f>
        <v/>
      </c>
      <c r="J604">
        <f>_xlfn.XLOOKUP(tbl_MTG_Set[[#This Row],[Type Name]], tbl_MTG_Set_Type[Set Type], tbl_MTG_Set_Type[Buy Window Month Start], "(Set Type not found)")</f>
        <v/>
      </c>
      <c r="K604" s="3">
        <f>tbl_MTG_Set[[#This Row],[Released On]]+tbl_MTG_Set[[#This Row],[Buy Window Month Start]]*365.25/12</f>
        <v/>
      </c>
      <c r="L604">
        <f>_xlfn.XLOOKUP(tbl_MTG_Set[[#This Row],[Type Name]], tbl_MTG_Set_Type[Set Type], tbl_MTG_Set_Type[Buy Window Month End], "(Set Type not found)", 0, 1)</f>
        <v/>
      </c>
      <c r="M604" s="3">
        <f>tbl_MTG_Set[[#This Row],[Released On]]+tbl_MTG_Set[[#This Row],[Buy Window Month End]]*365.25/12</f>
        <v/>
      </c>
      <c r="N604" s="3">
        <f>AND(NOW()&gt;=tbl_MTG_Set[[#This Row],[Buy Window Start]], NOW()&lt;=tbl_MTG_Set[[#This Row],[Buy Window End]])</f>
        <v/>
      </c>
      <c r="O604">
        <f>_xlfn.XLOOKUP(tbl_MTG_Set[[#This Row],[Type Name]], tbl_MTG_Set_Type[Set Type], tbl_MTG_Set_Type[Heavy Printing Window Month Start], "(Set Type not found)", 0, 1)</f>
        <v/>
      </c>
      <c r="P604" s="3">
        <f>tbl_MTG_Set[[#This Row],[Released On]]+tbl_MTG_Set[[#This Row],[Heavy Printing Window Month Start]]*365.25/12</f>
        <v/>
      </c>
      <c r="Q604">
        <f>_xlfn.XLOOKUP(tbl_MTG_Set[[#This Row],[Type Name]], tbl_MTG_Set_Type[Set Type], tbl_MTG_Set_Type[Heavy Printing Window Month End], "(Set Type not found)", 0, 1)</f>
        <v/>
      </c>
      <c r="R604" s="3">
        <f>tbl_MTG_Set[[#This Row],[Released On]]+tbl_MTG_Set[[#This Row],[Heavy Printing Window Month End]]*365.25/12</f>
        <v/>
      </c>
      <c r="S604" s="3">
        <f>AND(NOW()&gt;=tbl_MTG_Set[[#This Row],[Heavy Printing Window Start]], NOW()&lt;=tbl_MTG_Set[[#This Row],[Heavy Printing Window End]])</f>
        <v/>
      </c>
      <c r="T604">
        <f>_xlfn.XLOOKUP(tbl_MTG_Set[[#This Row],[Type Name]], tbl_MTG_Set_Type[Set Type], tbl_MTG_Set_Type[Sell Window Month Start], "(Set Type not found)", 0, 1)</f>
        <v/>
      </c>
      <c r="U604" s="3">
        <f>tbl_MTG_Set[[#This Row],[Released On]]+tbl_MTG_Set[[#This Row],[Sell Window Month Start]]*365.25/12</f>
        <v/>
      </c>
      <c r="V604">
        <f>_xlfn.XLOOKUP(tbl_MTG_Set[[#This Row],[Type Name]], tbl_MTG_Set_Type[Set Type], tbl_MTG_Set_Type[Sell Window Month End], "(Set Type not found)", 0, 1)</f>
        <v/>
      </c>
      <c r="W604" s="3">
        <f>tbl_MTG_Set[[#This Row],[Released On]]+tbl_MTG_Set[[#This Row],[Sell Window Month End]]*365.25/12</f>
        <v/>
      </c>
      <c r="X604" s="3">
        <f>AND(NOW()&gt;=tbl_MTG_Set[[#This Row],[Sell Window Start]], NOW()&lt;=tbl_MTG_Set[[#This Row],[Sell Window End]])</f>
        <v/>
      </c>
      <c r="AG604" s="10" t="n"/>
      <c r="AH604" s="10" t="n"/>
      <c r="AM604" s="10">
        <f t="array" ref="AM6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4" s="10">
        <f t="array" ref="AN6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4" s="4">
        <f>_xlfn.XLOOKUP(tbl_MTG_Set[[#This Row],[Play Booster Box Product Id]], tbl_Product[Product Id], tbl_Product[Pack Size])</f>
        <v/>
      </c>
      <c r="AP604" s="10">
        <f>(tbl_MTG_Set[[#This Row],[Play Booster Box Cost]]+v_Item_Shipping_Cost_In)/tbl_MTG_Set[[#This Row],[Play Booster Box Size]]</f>
        <v/>
      </c>
      <c r="AQ604" s="10">
        <f t="array" ref="AQ6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4" s="10" t="n"/>
      <c r="AS604" s="10" t="n"/>
      <c r="AT604" s="17">
        <f>tbl_MTG_Set[[#This Row],[Play Booster CardMarket Profit]]/tbl_MTG_Set[[#This Row],[Play Booster Cost]]</f>
        <v/>
      </c>
      <c r="AU604" s="10">
        <f>_xlfn.XLOOKUP(tbl_MTG_Set[[#This Row],[Collector Booster Box Product Id]], tbl_Product[Product Id], tbl_Product[Min Cost])</f>
        <v/>
      </c>
      <c r="AV604" s="10">
        <f>_xlfn.XLOOKUP(tbl_MTG_Set[[#This Row],[Collector Booster Box Product Id]], tbl_Product[Product Id], tbl_Product[Best Source])</f>
        <v/>
      </c>
      <c r="AW604" s="4">
        <f>_xlfn.XLOOKUP(tbl_MTG_Set[[#This Row],[Collector Booster Box Product Id]], tbl_Product[Product Id], tbl_Product[Pack Size])</f>
        <v/>
      </c>
      <c r="AX604" s="10">
        <f>(tbl_MTG_Set[[#This Row],[Collector Booster Box Cost]] + v_Item_Shipping_Cost_In) / tbl_MTG_Set[[#This Row],[Collector Booster Box Size]]</f>
        <v/>
      </c>
      <c r="AY604" s="10">
        <f t="array" ref="AY6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4" s="10" t="n"/>
      <c r="BA6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4" s="17">
        <f>tbl_MTG_Set[[#This Row],[Collector Booster CardMarket Profit]]/tbl_MTG_Set[[#This Row],[Collector Booster Cost]]</f>
        <v/>
      </c>
      <c r="BC604" s="10" t="n"/>
      <c r="BF604" s="10">
        <f>tbl_MTG_Set[[#This Row],[Play Booster Sell Price CardMarket]]*tbl_MTG_Set[[#This Row],[Play Booster Expected Market Value]]/tbl_MTG_Set[[#This Row],[Play Boost Sealed Market Value]]</f>
        <v/>
      </c>
      <c r="BG6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4" s="10">
        <f>tbl_MTG_Set[[#This Row],[Play Singles CardMarket Profit]]/tbl_MTG_Set[[#This Row],[Play Booster Cost]]</f>
        <v/>
      </c>
      <c r="BI604" s="10">
        <f>tbl_MTG_Set[[#This Row],[Play Singles CardMarket Profit]]&gt;0</f>
        <v/>
      </c>
      <c r="BJ604" s="10" t="n"/>
      <c r="BK604" s="10" t="n"/>
      <c r="BL604" s="10">
        <f>tbl_MTG_Set[[#This Row],[Collector Booster Sell Price CardMarket]]*tbl_MTG_Set[[#This Row],[Collector Booster Expected Market Value]]/tbl_MTG_Set[[#This Row],[Collector Boost Sealed Market Value]]</f>
        <v/>
      </c>
      <c r="BM6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4" s="10">
        <f>tbl_MTG_Set[[#This Row],[Collector Singles CardMarket Profit]]/tbl_MTG_Set[[#This Row],[Collector Booster Cost]]</f>
        <v/>
      </c>
      <c r="BO604" s="10">
        <f>tbl_MTG_Set[[#This Row],[Collector Singles CardMarket Profit]]&gt;0</f>
        <v/>
      </c>
      <c r="BP6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5">
      <c r="A605" t="n">
        <v>603</v>
      </c>
      <c r="B605" t="inlineStr">
        <is>
          <t>Dragons of Tarkir Tokens TDTK</t>
        </is>
      </c>
      <c r="C605" t="n">
        <v>8</v>
      </c>
      <c r="D605" s="3" t="n">
        <v>42090</v>
      </c>
      <c r="F605" t="inlineStr">
        <is>
          <t>en es fr de it pt ja ko ru 汉语 漢語</t>
        </is>
      </c>
      <c r="G605" t="n">
        <v>1152</v>
      </c>
      <c r="H605">
        <f>MONTH(NOW())+12*YEAR(NOW())-MONTH(tbl_MTG_Set[[#This Row],[Released On]])-12*YEAR(tbl_MTG_Set[[#This Row],[Released On]])</f>
        <v/>
      </c>
      <c r="I605">
        <f>_xlfn.XLOOKUP(tbl_MTG_Set[[#This Row],[Type Name]], tbl_MTG_Set_Type[Set Type], tbl_MTG_Set_Type[Index], "(Set Type not found)")</f>
        <v/>
      </c>
      <c r="J605">
        <f>_xlfn.XLOOKUP(tbl_MTG_Set[[#This Row],[Type Name]], tbl_MTG_Set_Type[Set Type], tbl_MTG_Set_Type[Buy Window Month Start], "(Set Type not found)")</f>
        <v/>
      </c>
      <c r="K605" s="3">
        <f>tbl_MTG_Set[[#This Row],[Released On]]+tbl_MTG_Set[[#This Row],[Buy Window Month Start]]*365.25/12</f>
        <v/>
      </c>
      <c r="L605">
        <f>_xlfn.XLOOKUP(tbl_MTG_Set[[#This Row],[Type Name]], tbl_MTG_Set_Type[Set Type], tbl_MTG_Set_Type[Buy Window Month End], "(Set Type not found)", 0, 1)</f>
        <v/>
      </c>
      <c r="M605" s="3">
        <f>tbl_MTG_Set[[#This Row],[Released On]]+tbl_MTG_Set[[#This Row],[Buy Window Month End]]*365.25/12</f>
        <v/>
      </c>
      <c r="N605" s="3">
        <f>AND(NOW()&gt;=tbl_MTG_Set[[#This Row],[Buy Window Start]], NOW()&lt;=tbl_MTG_Set[[#This Row],[Buy Window End]])</f>
        <v/>
      </c>
      <c r="O605">
        <f>_xlfn.XLOOKUP(tbl_MTG_Set[[#This Row],[Type Name]], tbl_MTG_Set_Type[Set Type], tbl_MTG_Set_Type[Heavy Printing Window Month Start], "(Set Type not found)", 0, 1)</f>
        <v/>
      </c>
      <c r="P605" s="3">
        <f>tbl_MTG_Set[[#This Row],[Released On]]+tbl_MTG_Set[[#This Row],[Heavy Printing Window Month Start]]*365.25/12</f>
        <v/>
      </c>
      <c r="Q605">
        <f>_xlfn.XLOOKUP(tbl_MTG_Set[[#This Row],[Type Name]], tbl_MTG_Set_Type[Set Type], tbl_MTG_Set_Type[Heavy Printing Window Month End], "(Set Type not found)", 0, 1)</f>
        <v/>
      </c>
      <c r="R605" s="3">
        <f>tbl_MTG_Set[[#This Row],[Released On]]+tbl_MTG_Set[[#This Row],[Heavy Printing Window Month End]]*365.25/12</f>
        <v/>
      </c>
      <c r="S605" s="3">
        <f>AND(NOW()&gt;=tbl_MTG_Set[[#This Row],[Heavy Printing Window Start]], NOW()&lt;=tbl_MTG_Set[[#This Row],[Heavy Printing Window End]])</f>
        <v/>
      </c>
      <c r="T605">
        <f>_xlfn.XLOOKUP(tbl_MTG_Set[[#This Row],[Type Name]], tbl_MTG_Set_Type[Set Type], tbl_MTG_Set_Type[Sell Window Month Start], "(Set Type not found)", 0, 1)</f>
        <v/>
      </c>
      <c r="U605" s="3">
        <f>tbl_MTG_Set[[#This Row],[Released On]]+tbl_MTG_Set[[#This Row],[Sell Window Month Start]]*365.25/12</f>
        <v/>
      </c>
      <c r="V605">
        <f>_xlfn.XLOOKUP(tbl_MTG_Set[[#This Row],[Type Name]], tbl_MTG_Set_Type[Set Type], tbl_MTG_Set_Type[Sell Window Month End], "(Set Type not found)", 0, 1)</f>
        <v/>
      </c>
      <c r="W605" s="3">
        <f>tbl_MTG_Set[[#This Row],[Released On]]+tbl_MTG_Set[[#This Row],[Sell Window Month End]]*365.25/12</f>
        <v/>
      </c>
      <c r="X605" s="3">
        <f>AND(NOW()&gt;=tbl_MTG_Set[[#This Row],[Sell Window Start]], NOW()&lt;=tbl_MTG_Set[[#This Row],[Sell Window End]])</f>
        <v/>
      </c>
      <c r="AG605" s="10" t="n"/>
      <c r="AH605" s="10" t="n"/>
      <c r="AM605" s="10">
        <f t="array" ref="AM6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5" s="10">
        <f t="array" ref="AN6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5" s="4">
        <f>_xlfn.XLOOKUP(tbl_MTG_Set[[#This Row],[Play Booster Box Product Id]], tbl_Product[Product Id], tbl_Product[Pack Size])</f>
        <v/>
      </c>
      <c r="AP605" s="10">
        <f>(tbl_MTG_Set[[#This Row],[Play Booster Box Cost]]+v_Item_Shipping_Cost_In)/tbl_MTG_Set[[#This Row],[Play Booster Box Size]]</f>
        <v/>
      </c>
      <c r="AQ605" s="10">
        <f t="array" ref="AQ6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5" s="10" t="n"/>
      <c r="AS605" s="10" t="n"/>
      <c r="AT605" s="17">
        <f>tbl_MTG_Set[[#This Row],[Play Booster CardMarket Profit]]/tbl_MTG_Set[[#This Row],[Play Booster Cost]]</f>
        <v/>
      </c>
      <c r="AU605" s="10">
        <f>_xlfn.XLOOKUP(tbl_MTG_Set[[#This Row],[Collector Booster Box Product Id]], tbl_Product[Product Id], tbl_Product[Min Cost])</f>
        <v/>
      </c>
      <c r="AV605" s="10">
        <f>_xlfn.XLOOKUP(tbl_MTG_Set[[#This Row],[Collector Booster Box Product Id]], tbl_Product[Product Id], tbl_Product[Best Source])</f>
        <v/>
      </c>
      <c r="AW605" s="4">
        <f>_xlfn.XLOOKUP(tbl_MTG_Set[[#This Row],[Collector Booster Box Product Id]], tbl_Product[Product Id], tbl_Product[Pack Size])</f>
        <v/>
      </c>
      <c r="AX605" s="10">
        <f>(tbl_MTG_Set[[#This Row],[Collector Booster Box Cost]] + v_Item_Shipping_Cost_In) / tbl_MTG_Set[[#This Row],[Collector Booster Box Size]]</f>
        <v/>
      </c>
      <c r="AY605" s="10">
        <f t="array" ref="AY6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5" s="10" t="n"/>
      <c r="BA6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5" s="17">
        <f>tbl_MTG_Set[[#This Row],[Collector Booster CardMarket Profit]]/tbl_MTG_Set[[#This Row],[Collector Booster Cost]]</f>
        <v/>
      </c>
      <c r="BC605" s="10" t="n"/>
      <c r="BF605" s="10">
        <f>tbl_MTG_Set[[#This Row],[Play Booster Sell Price CardMarket]]*tbl_MTG_Set[[#This Row],[Play Booster Expected Market Value]]/tbl_MTG_Set[[#This Row],[Play Boost Sealed Market Value]]</f>
        <v/>
      </c>
      <c r="BG6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5" s="10">
        <f>tbl_MTG_Set[[#This Row],[Play Singles CardMarket Profit]]/tbl_MTG_Set[[#This Row],[Play Booster Cost]]</f>
        <v/>
      </c>
      <c r="BI605" s="10">
        <f>tbl_MTG_Set[[#This Row],[Play Singles CardMarket Profit]]&gt;0</f>
        <v/>
      </c>
      <c r="BJ605" s="10" t="n"/>
      <c r="BK605" s="10" t="n"/>
      <c r="BL605" s="10">
        <f>tbl_MTG_Set[[#This Row],[Collector Booster Sell Price CardMarket]]*tbl_MTG_Set[[#This Row],[Collector Booster Expected Market Value]]/tbl_MTG_Set[[#This Row],[Collector Boost Sealed Market Value]]</f>
        <v/>
      </c>
      <c r="BM6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5" s="10">
        <f>tbl_MTG_Set[[#This Row],[Collector Singles CardMarket Profit]]/tbl_MTG_Set[[#This Row],[Collector Booster Cost]]</f>
        <v/>
      </c>
      <c r="BO605" s="10">
        <f>tbl_MTG_Set[[#This Row],[Collector Singles CardMarket Profit]]&gt;0</f>
        <v/>
      </c>
      <c r="BP6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6">
      <c r="A606" t="n">
        <v>604</v>
      </c>
      <c r="B606" t="inlineStr">
        <is>
          <t>Tarkir Dragonfury PTKDF</t>
        </is>
      </c>
      <c r="C606" t="n">
        <v>4</v>
      </c>
      <c r="D606" s="3" t="n">
        <v>42097</v>
      </c>
      <c r="F606" t="inlineStr">
        <is>
          <t>en es fr de it pt ja ko ru 汉语 漢語</t>
        </is>
      </c>
      <c r="G606" t="n">
        <v>1154</v>
      </c>
      <c r="H606">
        <f>MONTH(NOW())+12*YEAR(NOW())-MONTH(tbl_MTG_Set[[#This Row],[Released On]])-12*YEAR(tbl_MTG_Set[[#This Row],[Released On]])</f>
        <v/>
      </c>
      <c r="I606">
        <f>_xlfn.XLOOKUP(tbl_MTG_Set[[#This Row],[Type Name]], tbl_MTG_Set_Type[Set Type], tbl_MTG_Set_Type[Index], "(Set Type not found)")</f>
        <v/>
      </c>
      <c r="J606">
        <f>_xlfn.XLOOKUP(tbl_MTG_Set[[#This Row],[Type Name]], tbl_MTG_Set_Type[Set Type], tbl_MTG_Set_Type[Buy Window Month Start], "(Set Type not found)")</f>
        <v/>
      </c>
      <c r="K606" s="3">
        <f>tbl_MTG_Set[[#This Row],[Released On]]+tbl_MTG_Set[[#This Row],[Buy Window Month Start]]*365.25/12</f>
        <v/>
      </c>
      <c r="L606">
        <f>_xlfn.XLOOKUP(tbl_MTG_Set[[#This Row],[Type Name]], tbl_MTG_Set_Type[Set Type], tbl_MTG_Set_Type[Buy Window Month End], "(Set Type not found)", 0, 1)</f>
        <v/>
      </c>
      <c r="M606" s="3">
        <f>tbl_MTG_Set[[#This Row],[Released On]]+tbl_MTG_Set[[#This Row],[Buy Window Month End]]*365.25/12</f>
        <v/>
      </c>
      <c r="N606" s="3">
        <f>AND(NOW()&gt;=tbl_MTG_Set[[#This Row],[Buy Window Start]], NOW()&lt;=tbl_MTG_Set[[#This Row],[Buy Window End]])</f>
        <v/>
      </c>
      <c r="O606">
        <f>_xlfn.XLOOKUP(tbl_MTG_Set[[#This Row],[Type Name]], tbl_MTG_Set_Type[Set Type], tbl_MTG_Set_Type[Heavy Printing Window Month Start], "(Set Type not found)", 0, 1)</f>
        <v/>
      </c>
      <c r="P606" s="3">
        <f>tbl_MTG_Set[[#This Row],[Released On]]+tbl_MTG_Set[[#This Row],[Heavy Printing Window Month Start]]*365.25/12</f>
        <v/>
      </c>
      <c r="Q606">
        <f>_xlfn.XLOOKUP(tbl_MTG_Set[[#This Row],[Type Name]], tbl_MTG_Set_Type[Set Type], tbl_MTG_Set_Type[Heavy Printing Window Month End], "(Set Type not found)", 0, 1)</f>
        <v/>
      </c>
      <c r="R606" s="3">
        <f>tbl_MTG_Set[[#This Row],[Released On]]+tbl_MTG_Set[[#This Row],[Heavy Printing Window Month End]]*365.25/12</f>
        <v/>
      </c>
      <c r="S606" s="3">
        <f>AND(NOW()&gt;=tbl_MTG_Set[[#This Row],[Heavy Printing Window Start]], NOW()&lt;=tbl_MTG_Set[[#This Row],[Heavy Printing Window End]])</f>
        <v/>
      </c>
      <c r="T606">
        <f>_xlfn.XLOOKUP(tbl_MTG_Set[[#This Row],[Type Name]], tbl_MTG_Set_Type[Set Type], tbl_MTG_Set_Type[Sell Window Month Start], "(Set Type not found)", 0, 1)</f>
        <v/>
      </c>
      <c r="U606" s="3">
        <f>tbl_MTG_Set[[#This Row],[Released On]]+tbl_MTG_Set[[#This Row],[Sell Window Month Start]]*365.25/12</f>
        <v/>
      </c>
      <c r="V606">
        <f>_xlfn.XLOOKUP(tbl_MTG_Set[[#This Row],[Type Name]], tbl_MTG_Set_Type[Set Type], tbl_MTG_Set_Type[Sell Window Month End], "(Set Type not found)", 0, 1)</f>
        <v/>
      </c>
      <c r="W606" s="3">
        <f>tbl_MTG_Set[[#This Row],[Released On]]+tbl_MTG_Set[[#This Row],[Sell Window Month End]]*365.25/12</f>
        <v/>
      </c>
      <c r="X606" s="3">
        <f>AND(NOW()&gt;=tbl_MTG_Set[[#This Row],[Sell Window Start]], NOW()&lt;=tbl_MTG_Set[[#This Row],[Sell Window End]])</f>
        <v/>
      </c>
      <c r="AG606" s="10" t="n"/>
      <c r="AH606" s="10" t="n"/>
      <c r="AM606" s="10">
        <f t="array" ref="AM6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6" s="10">
        <f t="array" ref="AN6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6" s="4">
        <f>_xlfn.XLOOKUP(tbl_MTG_Set[[#This Row],[Play Booster Box Product Id]], tbl_Product[Product Id], tbl_Product[Pack Size])</f>
        <v/>
      </c>
      <c r="AP606" s="10">
        <f>(tbl_MTG_Set[[#This Row],[Play Booster Box Cost]]+v_Item_Shipping_Cost_In)/tbl_MTG_Set[[#This Row],[Play Booster Box Size]]</f>
        <v/>
      </c>
      <c r="AQ606" s="10">
        <f t="array" ref="AQ6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6" s="10" t="n"/>
      <c r="AS606" s="10" t="n"/>
      <c r="AT606" s="17">
        <f>tbl_MTG_Set[[#This Row],[Play Booster CardMarket Profit]]/tbl_MTG_Set[[#This Row],[Play Booster Cost]]</f>
        <v/>
      </c>
      <c r="AU606" s="10">
        <f>_xlfn.XLOOKUP(tbl_MTG_Set[[#This Row],[Collector Booster Box Product Id]], tbl_Product[Product Id], tbl_Product[Min Cost])</f>
        <v/>
      </c>
      <c r="AV606" s="10">
        <f>_xlfn.XLOOKUP(tbl_MTG_Set[[#This Row],[Collector Booster Box Product Id]], tbl_Product[Product Id], tbl_Product[Best Source])</f>
        <v/>
      </c>
      <c r="AW606" s="4">
        <f>_xlfn.XLOOKUP(tbl_MTG_Set[[#This Row],[Collector Booster Box Product Id]], tbl_Product[Product Id], tbl_Product[Pack Size])</f>
        <v/>
      </c>
      <c r="AX606" s="10">
        <f>(tbl_MTG_Set[[#This Row],[Collector Booster Box Cost]] + v_Item_Shipping_Cost_In) / tbl_MTG_Set[[#This Row],[Collector Booster Box Size]]</f>
        <v/>
      </c>
      <c r="AY606" s="10">
        <f t="array" ref="AY6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6" s="10" t="n"/>
      <c r="BA6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6" s="17">
        <f>tbl_MTG_Set[[#This Row],[Collector Booster CardMarket Profit]]/tbl_MTG_Set[[#This Row],[Collector Booster Cost]]</f>
        <v/>
      </c>
      <c r="BC606" s="10" t="n"/>
      <c r="BF606" s="10">
        <f>tbl_MTG_Set[[#This Row],[Play Booster Sell Price CardMarket]]*tbl_MTG_Set[[#This Row],[Play Booster Expected Market Value]]/tbl_MTG_Set[[#This Row],[Play Boost Sealed Market Value]]</f>
        <v/>
      </c>
      <c r="BG6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6" s="10">
        <f>tbl_MTG_Set[[#This Row],[Play Singles CardMarket Profit]]/tbl_MTG_Set[[#This Row],[Play Booster Cost]]</f>
        <v/>
      </c>
      <c r="BI606" s="10">
        <f>tbl_MTG_Set[[#This Row],[Play Singles CardMarket Profit]]&gt;0</f>
        <v/>
      </c>
      <c r="BJ606" s="10" t="n"/>
      <c r="BK606" s="10" t="n"/>
      <c r="BL606" s="10">
        <f>tbl_MTG_Set[[#This Row],[Collector Booster Sell Price CardMarket]]*tbl_MTG_Set[[#This Row],[Collector Booster Expected Market Value]]/tbl_MTG_Set[[#This Row],[Collector Boost Sealed Market Value]]</f>
        <v/>
      </c>
      <c r="BM6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6" s="10">
        <f>tbl_MTG_Set[[#This Row],[Collector Singles CardMarket Profit]]/tbl_MTG_Set[[#This Row],[Collector Booster Cost]]</f>
        <v/>
      </c>
      <c r="BO606" s="10">
        <f>tbl_MTG_Set[[#This Row],[Collector Singles CardMarket Profit]]&gt;0</f>
        <v/>
      </c>
      <c r="BP6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7">
      <c r="A607" t="n">
        <v>605</v>
      </c>
      <c r="B607" t="inlineStr">
        <is>
          <t>Duel Decks: Elspeth vs. Kiora DDO</t>
        </is>
      </c>
      <c r="C607" t="n">
        <v>67</v>
      </c>
      <c r="D607" s="3" t="n">
        <v>42062</v>
      </c>
      <c r="F607" t="inlineStr">
        <is>
          <t>en es fr de it pt ja ko ru 汉语 漢語</t>
        </is>
      </c>
      <c r="G607" t="n">
        <v>1156</v>
      </c>
      <c r="H607">
        <f>MONTH(NOW())+12*YEAR(NOW())-MONTH(tbl_MTG_Set[[#This Row],[Released On]])-12*YEAR(tbl_MTG_Set[[#This Row],[Released On]])</f>
        <v/>
      </c>
      <c r="I607">
        <f>_xlfn.XLOOKUP(tbl_MTG_Set[[#This Row],[Type Name]], tbl_MTG_Set_Type[Set Type], tbl_MTG_Set_Type[Index], "(Set Type not found)")</f>
        <v/>
      </c>
      <c r="J607">
        <f>_xlfn.XLOOKUP(tbl_MTG_Set[[#This Row],[Type Name]], tbl_MTG_Set_Type[Set Type], tbl_MTG_Set_Type[Buy Window Month Start], "(Set Type not found)")</f>
        <v/>
      </c>
      <c r="K607" s="3">
        <f>tbl_MTG_Set[[#This Row],[Released On]]+tbl_MTG_Set[[#This Row],[Buy Window Month Start]]*365.25/12</f>
        <v/>
      </c>
      <c r="L607">
        <f>_xlfn.XLOOKUP(tbl_MTG_Set[[#This Row],[Type Name]], tbl_MTG_Set_Type[Set Type], tbl_MTG_Set_Type[Buy Window Month End], "(Set Type not found)", 0, 1)</f>
        <v/>
      </c>
      <c r="M607" s="3">
        <f>tbl_MTG_Set[[#This Row],[Released On]]+tbl_MTG_Set[[#This Row],[Buy Window Month End]]*365.25/12</f>
        <v/>
      </c>
      <c r="N607" s="3">
        <f>AND(NOW()&gt;=tbl_MTG_Set[[#This Row],[Buy Window Start]], NOW()&lt;=tbl_MTG_Set[[#This Row],[Buy Window End]])</f>
        <v/>
      </c>
      <c r="O607">
        <f>_xlfn.XLOOKUP(tbl_MTG_Set[[#This Row],[Type Name]], tbl_MTG_Set_Type[Set Type], tbl_MTG_Set_Type[Heavy Printing Window Month Start], "(Set Type not found)", 0, 1)</f>
        <v/>
      </c>
      <c r="P607" s="3">
        <f>tbl_MTG_Set[[#This Row],[Released On]]+tbl_MTG_Set[[#This Row],[Heavy Printing Window Month Start]]*365.25/12</f>
        <v/>
      </c>
      <c r="Q607">
        <f>_xlfn.XLOOKUP(tbl_MTG_Set[[#This Row],[Type Name]], tbl_MTG_Set_Type[Set Type], tbl_MTG_Set_Type[Heavy Printing Window Month End], "(Set Type not found)", 0, 1)</f>
        <v/>
      </c>
      <c r="R607" s="3">
        <f>tbl_MTG_Set[[#This Row],[Released On]]+tbl_MTG_Set[[#This Row],[Heavy Printing Window Month End]]*365.25/12</f>
        <v/>
      </c>
      <c r="S607" s="3">
        <f>AND(NOW()&gt;=tbl_MTG_Set[[#This Row],[Heavy Printing Window Start]], NOW()&lt;=tbl_MTG_Set[[#This Row],[Heavy Printing Window End]])</f>
        <v/>
      </c>
      <c r="T607">
        <f>_xlfn.XLOOKUP(tbl_MTG_Set[[#This Row],[Type Name]], tbl_MTG_Set_Type[Set Type], tbl_MTG_Set_Type[Sell Window Month Start], "(Set Type not found)", 0, 1)</f>
        <v/>
      </c>
      <c r="U607" s="3">
        <f>tbl_MTG_Set[[#This Row],[Released On]]+tbl_MTG_Set[[#This Row],[Sell Window Month Start]]*365.25/12</f>
        <v/>
      </c>
      <c r="V607">
        <f>_xlfn.XLOOKUP(tbl_MTG_Set[[#This Row],[Type Name]], tbl_MTG_Set_Type[Set Type], tbl_MTG_Set_Type[Sell Window Month End], "(Set Type not found)", 0, 1)</f>
        <v/>
      </c>
      <c r="W607" s="3">
        <f>tbl_MTG_Set[[#This Row],[Released On]]+tbl_MTG_Set[[#This Row],[Sell Window Month End]]*365.25/12</f>
        <v/>
      </c>
      <c r="X607" s="3">
        <f>AND(NOW()&gt;=tbl_MTG_Set[[#This Row],[Sell Window Start]], NOW()&lt;=tbl_MTG_Set[[#This Row],[Sell Window End]])</f>
        <v/>
      </c>
      <c r="AG607" s="10" t="n"/>
      <c r="AH607" s="10" t="n"/>
      <c r="AM607" s="10">
        <f t="array" ref="AM6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7" s="10">
        <f t="array" ref="AN6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7" s="4">
        <f>_xlfn.XLOOKUP(tbl_MTG_Set[[#This Row],[Play Booster Box Product Id]], tbl_Product[Product Id], tbl_Product[Pack Size])</f>
        <v/>
      </c>
      <c r="AP607" s="10">
        <f>(tbl_MTG_Set[[#This Row],[Play Booster Box Cost]]+v_Item_Shipping_Cost_In)/tbl_MTG_Set[[#This Row],[Play Booster Box Size]]</f>
        <v/>
      </c>
      <c r="AQ607" s="10">
        <f t="array" ref="AQ6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7" s="10" t="n"/>
      <c r="AS607" s="10" t="n"/>
      <c r="AT607" s="17">
        <f>tbl_MTG_Set[[#This Row],[Play Booster CardMarket Profit]]/tbl_MTG_Set[[#This Row],[Play Booster Cost]]</f>
        <v/>
      </c>
      <c r="AU607" s="10">
        <f>_xlfn.XLOOKUP(tbl_MTG_Set[[#This Row],[Collector Booster Box Product Id]], tbl_Product[Product Id], tbl_Product[Min Cost])</f>
        <v/>
      </c>
      <c r="AV607" s="10">
        <f>_xlfn.XLOOKUP(tbl_MTG_Set[[#This Row],[Collector Booster Box Product Id]], tbl_Product[Product Id], tbl_Product[Best Source])</f>
        <v/>
      </c>
      <c r="AW607" s="4">
        <f>_xlfn.XLOOKUP(tbl_MTG_Set[[#This Row],[Collector Booster Box Product Id]], tbl_Product[Product Id], tbl_Product[Pack Size])</f>
        <v/>
      </c>
      <c r="AX607" s="10">
        <f>(tbl_MTG_Set[[#This Row],[Collector Booster Box Cost]] + v_Item_Shipping_Cost_In) / tbl_MTG_Set[[#This Row],[Collector Booster Box Size]]</f>
        <v/>
      </c>
      <c r="AY607" s="10">
        <f t="array" ref="AY6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7" s="10" t="n"/>
      <c r="BA6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7" s="17">
        <f>tbl_MTG_Set[[#This Row],[Collector Booster CardMarket Profit]]/tbl_MTG_Set[[#This Row],[Collector Booster Cost]]</f>
        <v/>
      </c>
      <c r="BC607" s="10" t="n"/>
      <c r="BF607" s="10">
        <f>tbl_MTG_Set[[#This Row],[Play Booster Sell Price CardMarket]]*tbl_MTG_Set[[#This Row],[Play Booster Expected Market Value]]/tbl_MTG_Set[[#This Row],[Play Boost Sealed Market Value]]</f>
        <v/>
      </c>
      <c r="BG6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7" s="10">
        <f>tbl_MTG_Set[[#This Row],[Play Singles CardMarket Profit]]/tbl_MTG_Set[[#This Row],[Play Booster Cost]]</f>
        <v/>
      </c>
      <c r="BI607" s="10">
        <f>tbl_MTG_Set[[#This Row],[Play Singles CardMarket Profit]]&gt;0</f>
        <v/>
      </c>
      <c r="BJ607" s="10" t="n"/>
      <c r="BK607" s="10" t="n"/>
      <c r="BL607" s="10">
        <f>tbl_MTG_Set[[#This Row],[Collector Booster Sell Price CardMarket]]*tbl_MTG_Set[[#This Row],[Collector Booster Expected Market Value]]/tbl_MTG_Set[[#This Row],[Collector Boost Sealed Market Value]]</f>
        <v/>
      </c>
      <c r="BM6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7" s="10">
        <f>tbl_MTG_Set[[#This Row],[Collector Singles CardMarket Profit]]/tbl_MTG_Set[[#This Row],[Collector Booster Cost]]</f>
        <v/>
      </c>
      <c r="BO607" s="10">
        <f>tbl_MTG_Set[[#This Row],[Collector Singles CardMarket Profit]]&gt;0</f>
        <v/>
      </c>
      <c r="BP6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8">
      <c r="A608" t="n">
        <v>606</v>
      </c>
      <c r="B608" t="inlineStr">
        <is>
          <t>Fate Reforged FRF</t>
        </is>
      </c>
      <c r="C608" t="n">
        <v>191</v>
      </c>
      <c r="D608" s="3" t="n">
        <v>42027</v>
      </c>
      <c r="F608" t="inlineStr">
        <is>
          <t>en es fr de it pt ja ko ru 汉语 漢語</t>
        </is>
      </c>
      <c r="G608" t="n">
        <v>1158</v>
      </c>
      <c r="H608">
        <f>MONTH(NOW())+12*YEAR(NOW())-MONTH(tbl_MTG_Set[[#This Row],[Released On]])-12*YEAR(tbl_MTG_Set[[#This Row],[Released On]])</f>
        <v/>
      </c>
      <c r="I608">
        <f>_xlfn.XLOOKUP(tbl_MTG_Set[[#This Row],[Type Name]], tbl_MTG_Set_Type[Set Type], tbl_MTG_Set_Type[Index], "(Set Type not found)")</f>
        <v/>
      </c>
      <c r="J608">
        <f>_xlfn.XLOOKUP(tbl_MTG_Set[[#This Row],[Type Name]], tbl_MTG_Set_Type[Set Type], tbl_MTG_Set_Type[Buy Window Month Start], "(Set Type not found)")</f>
        <v/>
      </c>
      <c r="K608" s="3">
        <f>tbl_MTG_Set[[#This Row],[Released On]]+tbl_MTG_Set[[#This Row],[Buy Window Month Start]]*365.25/12</f>
        <v/>
      </c>
      <c r="L608">
        <f>_xlfn.XLOOKUP(tbl_MTG_Set[[#This Row],[Type Name]], tbl_MTG_Set_Type[Set Type], tbl_MTG_Set_Type[Buy Window Month End], "(Set Type not found)", 0, 1)</f>
        <v/>
      </c>
      <c r="M608" s="3">
        <f>tbl_MTG_Set[[#This Row],[Released On]]+tbl_MTG_Set[[#This Row],[Buy Window Month End]]*365.25/12</f>
        <v/>
      </c>
      <c r="N608" s="3">
        <f>AND(NOW()&gt;=tbl_MTG_Set[[#This Row],[Buy Window Start]], NOW()&lt;=tbl_MTG_Set[[#This Row],[Buy Window End]])</f>
        <v/>
      </c>
      <c r="O608">
        <f>_xlfn.XLOOKUP(tbl_MTG_Set[[#This Row],[Type Name]], tbl_MTG_Set_Type[Set Type], tbl_MTG_Set_Type[Heavy Printing Window Month Start], "(Set Type not found)", 0, 1)</f>
        <v/>
      </c>
      <c r="P608" s="3">
        <f>tbl_MTG_Set[[#This Row],[Released On]]+tbl_MTG_Set[[#This Row],[Heavy Printing Window Month Start]]*365.25/12</f>
        <v/>
      </c>
      <c r="Q608">
        <f>_xlfn.XLOOKUP(tbl_MTG_Set[[#This Row],[Type Name]], tbl_MTG_Set_Type[Set Type], tbl_MTG_Set_Type[Heavy Printing Window Month End], "(Set Type not found)", 0, 1)</f>
        <v/>
      </c>
      <c r="R608" s="3">
        <f>tbl_MTG_Set[[#This Row],[Released On]]+tbl_MTG_Set[[#This Row],[Heavy Printing Window Month End]]*365.25/12</f>
        <v/>
      </c>
      <c r="S608" s="3">
        <f>AND(NOW()&gt;=tbl_MTG_Set[[#This Row],[Heavy Printing Window Start]], NOW()&lt;=tbl_MTG_Set[[#This Row],[Heavy Printing Window End]])</f>
        <v/>
      </c>
      <c r="T608">
        <f>_xlfn.XLOOKUP(tbl_MTG_Set[[#This Row],[Type Name]], tbl_MTG_Set_Type[Set Type], tbl_MTG_Set_Type[Sell Window Month Start], "(Set Type not found)", 0, 1)</f>
        <v/>
      </c>
      <c r="U608" s="3">
        <f>tbl_MTG_Set[[#This Row],[Released On]]+tbl_MTG_Set[[#This Row],[Sell Window Month Start]]*365.25/12</f>
        <v/>
      </c>
      <c r="V608">
        <f>_xlfn.XLOOKUP(tbl_MTG_Set[[#This Row],[Type Name]], tbl_MTG_Set_Type[Set Type], tbl_MTG_Set_Type[Sell Window Month End], "(Set Type not found)", 0, 1)</f>
        <v/>
      </c>
      <c r="W608" s="3">
        <f>tbl_MTG_Set[[#This Row],[Released On]]+tbl_MTG_Set[[#This Row],[Sell Window Month End]]*365.25/12</f>
        <v/>
      </c>
      <c r="X608" s="3">
        <f>AND(NOW()&gt;=tbl_MTG_Set[[#This Row],[Sell Window Start]], NOW()&lt;=tbl_MTG_Set[[#This Row],[Sell Window End]])</f>
        <v/>
      </c>
      <c r="AG608" s="10" t="n"/>
      <c r="AH608" s="10" t="n"/>
      <c r="AM608" s="10">
        <f t="array" ref="AM6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8" s="10">
        <f t="array" ref="AN6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8" s="4">
        <f>_xlfn.XLOOKUP(tbl_MTG_Set[[#This Row],[Play Booster Box Product Id]], tbl_Product[Product Id], tbl_Product[Pack Size])</f>
        <v/>
      </c>
      <c r="AP608" s="10">
        <f>(tbl_MTG_Set[[#This Row],[Play Booster Box Cost]]+v_Item_Shipping_Cost_In)/tbl_MTG_Set[[#This Row],[Play Booster Box Size]]</f>
        <v/>
      </c>
      <c r="AQ608" s="10">
        <f t="array" ref="AQ6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8" s="10" t="n"/>
      <c r="AS608" s="10" t="n"/>
      <c r="AT608" s="17">
        <f>tbl_MTG_Set[[#This Row],[Play Booster CardMarket Profit]]/tbl_MTG_Set[[#This Row],[Play Booster Cost]]</f>
        <v/>
      </c>
      <c r="AU608" s="10">
        <f>_xlfn.XLOOKUP(tbl_MTG_Set[[#This Row],[Collector Booster Box Product Id]], tbl_Product[Product Id], tbl_Product[Min Cost])</f>
        <v/>
      </c>
      <c r="AV608" s="10">
        <f>_xlfn.XLOOKUP(tbl_MTG_Set[[#This Row],[Collector Booster Box Product Id]], tbl_Product[Product Id], tbl_Product[Best Source])</f>
        <v/>
      </c>
      <c r="AW608" s="4">
        <f>_xlfn.XLOOKUP(tbl_MTG_Set[[#This Row],[Collector Booster Box Product Id]], tbl_Product[Product Id], tbl_Product[Pack Size])</f>
        <v/>
      </c>
      <c r="AX608" s="10">
        <f>(tbl_MTG_Set[[#This Row],[Collector Booster Box Cost]] + v_Item_Shipping_Cost_In) / tbl_MTG_Set[[#This Row],[Collector Booster Box Size]]</f>
        <v/>
      </c>
      <c r="AY608" s="10">
        <f t="array" ref="AY6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8" s="10" t="n"/>
      <c r="BA6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8" s="17">
        <f>tbl_MTG_Set[[#This Row],[Collector Booster CardMarket Profit]]/tbl_MTG_Set[[#This Row],[Collector Booster Cost]]</f>
        <v/>
      </c>
      <c r="BC608" s="10" t="n"/>
      <c r="BF608" s="10">
        <f>tbl_MTG_Set[[#This Row],[Play Booster Sell Price CardMarket]]*tbl_MTG_Set[[#This Row],[Play Booster Expected Market Value]]/tbl_MTG_Set[[#This Row],[Play Boost Sealed Market Value]]</f>
        <v/>
      </c>
      <c r="BG6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8" s="10">
        <f>tbl_MTG_Set[[#This Row],[Play Singles CardMarket Profit]]/tbl_MTG_Set[[#This Row],[Play Booster Cost]]</f>
        <v/>
      </c>
      <c r="BI608" s="10">
        <f>tbl_MTG_Set[[#This Row],[Play Singles CardMarket Profit]]&gt;0</f>
        <v/>
      </c>
      <c r="BJ608" s="10" t="n"/>
      <c r="BK608" s="10" t="n"/>
      <c r="BL608" s="10">
        <f>tbl_MTG_Set[[#This Row],[Collector Booster Sell Price CardMarket]]*tbl_MTG_Set[[#This Row],[Collector Booster Expected Market Value]]/tbl_MTG_Set[[#This Row],[Collector Boost Sealed Market Value]]</f>
        <v/>
      </c>
      <c r="BM6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8" s="10">
        <f>tbl_MTG_Set[[#This Row],[Collector Singles CardMarket Profit]]/tbl_MTG_Set[[#This Row],[Collector Booster Cost]]</f>
        <v/>
      </c>
      <c r="BO608" s="10">
        <f>tbl_MTG_Set[[#This Row],[Collector Singles CardMarket Profit]]&gt;0</f>
        <v/>
      </c>
      <c r="BP6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9">
      <c r="A609" t="n">
        <v>607</v>
      </c>
      <c r="B609" t="inlineStr">
        <is>
          <t>Fate Reforged Promos PFRF</t>
        </is>
      </c>
      <c r="C609" t="n">
        <v>43</v>
      </c>
      <c r="D609" s="3" t="n">
        <v>42027</v>
      </c>
      <c r="F609" t="inlineStr">
        <is>
          <t>en es fr de it pt ja ko ru 汉语 漢語</t>
        </is>
      </c>
      <c r="G609" t="n">
        <v>1160</v>
      </c>
      <c r="H609">
        <f>MONTH(NOW())+12*YEAR(NOW())-MONTH(tbl_MTG_Set[[#This Row],[Released On]])-12*YEAR(tbl_MTG_Set[[#This Row],[Released On]])</f>
        <v/>
      </c>
      <c r="I609">
        <f>_xlfn.XLOOKUP(tbl_MTG_Set[[#This Row],[Type Name]], tbl_MTG_Set_Type[Set Type], tbl_MTG_Set_Type[Index], "(Set Type not found)")</f>
        <v/>
      </c>
      <c r="J609">
        <f>_xlfn.XLOOKUP(tbl_MTG_Set[[#This Row],[Type Name]], tbl_MTG_Set_Type[Set Type], tbl_MTG_Set_Type[Buy Window Month Start], "(Set Type not found)")</f>
        <v/>
      </c>
      <c r="K609" s="3">
        <f>tbl_MTG_Set[[#This Row],[Released On]]+tbl_MTG_Set[[#This Row],[Buy Window Month Start]]*365.25/12</f>
        <v/>
      </c>
      <c r="L609">
        <f>_xlfn.XLOOKUP(tbl_MTG_Set[[#This Row],[Type Name]], tbl_MTG_Set_Type[Set Type], tbl_MTG_Set_Type[Buy Window Month End], "(Set Type not found)", 0, 1)</f>
        <v/>
      </c>
      <c r="M609" s="3">
        <f>tbl_MTG_Set[[#This Row],[Released On]]+tbl_MTG_Set[[#This Row],[Buy Window Month End]]*365.25/12</f>
        <v/>
      </c>
      <c r="N609" s="3">
        <f>AND(NOW()&gt;=tbl_MTG_Set[[#This Row],[Buy Window Start]], NOW()&lt;=tbl_MTG_Set[[#This Row],[Buy Window End]])</f>
        <v/>
      </c>
      <c r="O609">
        <f>_xlfn.XLOOKUP(tbl_MTG_Set[[#This Row],[Type Name]], tbl_MTG_Set_Type[Set Type], tbl_MTG_Set_Type[Heavy Printing Window Month Start], "(Set Type not found)", 0, 1)</f>
        <v/>
      </c>
      <c r="P609" s="3">
        <f>tbl_MTG_Set[[#This Row],[Released On]]+tbl_MTG_Set[[#This Row],[Heavy Printing Window Month Start]]*365.25/12</f>
        <v/>
      </c>
      <c r="Q609">
        <f>_xlfn.XLOOKUP(tbl_MTG_Set[[#This Row],[Type Name]], tbl_MTG_Set_Type[Set Type], tbl_MTG_Set_Type[Heavy Printing Window Month End], "(Set Type not found)", 0, 1)</f>
        <v/>
      </c>
      <c r="R609" s="3">
        <f>tbl_MTG_Set[[#This Row],[Released On]]+tbl_MTG_Set[[#This Row],[Heavy Printing Window Month End]]*365.25/12</f>
        <v/>
      </c>
      <c r="S609" s="3">
        <f>AND(NOW()&gt;=tbl_MTG_Set[[#This Row],[Heavy Printing Window Start]], NOW()&lt;=tbl_MTG_Set[[#This Row],[Heavy Printing Window End]])</f>
        <v/>
      </c>
      <c r="T609">
        <f>_xlfn.XLOOKUP(tbl_MTG_Set[[#This Row],[Type Name]], tbl_MTG_Set_Type[Set Type], tbl_MTG_Set_Type[Sell Window Month Start], "(Set Type not found)", 0, 1)</f>
        <v/>
      </c>
      <c r="U609" s="3">
        <f>tbl_MTG_Set[[#This Row],[Released On]]+tbl_MTG_Set[[#This Row],[Sell Window Month Start]]*365.25/12</f>
        <v/>
      </c>
      <c r="V609">
        <f>_xlfn.XLOOKUP(tbl_MTG_Set[[#This Row],[Type Name]], tbl_MTG_Set_Type[Set Type], tbl_MTG_Set_Type[Sell Window Month End], "(Set Type not found)", 0, 1)</f>
        <v/>
      </c>
      <c r="W609" s="3">
        <f>tbl_MTG_Set[[#This Row],[Released On]]+tbl_MTG_Set[[#This Row],[Sell Window Month End]]*365.25/12</f>
        <v/>
      </c>
      <c r="X609" s="3">
        <f>AND(NOW()&gt;=tbl_MTG_Set[[#This Row],[Sell Window Start]], NOW()&lt;=tbl_MTG_Set[[#This Row],[Sell Window End]])</f>
        <v/>
      </c>
      <c r="AG609" s="10" t="n"/>
      <c r="AH609" s="10" t="n"/>
      <c r="AM609" s="10">
        <f t="array" ref="AM6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9" s="10">
        <f t="array" ref="AN6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9" s="4">
        <f>_xlfn.XLOOKUP(tbl_MTG_Set[[#This Row],[Play Booster Box Product Id]], tbl_Product[Product Id], tbl_Product[Pack Size])</f>
        <v/>
      </c>
      <c r="AP609" s="10">
        <f>(tbl_MTG_Set[[#This Row],[Play Booster Box Cost]]+v_Item_Shipping_Cost_In)/tbl_MTG_Set[[#This Row],[Play Booster Box Size]]</f>
        <v/>
      </c>
      <c r="AQ609" s="10">
        <f t="array" ref="AQ6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09" s="10" t="n"/>
      <c r="AS609" s="10" t="n"/>
      <c r="AT609" s="17">
        <f>tbl_MTG_Set[[#This Row],[Play Booster CardMarket Profit]]/tbl_MTG_Set[[#This Row],[Play Booster Cost]]</f>
        <v/>
      </c>
      <c r="AU609" s="10">
        <f>_xlfn.XLOOKUP(tbl_MTG_Set[[#This Row],[Collector Booster Box Product Id]], tbl_Product[Product Id], tbl_Product[Min Cost])</f>
        <v/>
      </c>
      <c r="AV609" s="10">
        <f>_xlfn.XLOOKUP(tbl_MTG_Set[[#This Row],[Collector Booster Box Product Id]], tbl_Product[Product Id], tbl_Product[Best Source])</f>
        <v/>
      </c>
      <c r="AW609" s="4">
        <f>_xlfn.XLOOKUP(tbl_MTG_Set[[#This Row],[Collector Booster Box Product Id]], tbl_Product[Product Id], tbl_Product[Pack Size])</f>
        <v/>
      </c>
      <c r="AX609" s="10">
        <f>(tbl_MTG_Set[[#This Row],[Collector Booster Box Cost]] + v_Item_Shipping_Cost_In) / tbl_MTG_Set[[#This Row],[Collector Booster Box Size]]</f>
        <v/>
      </c>
      <c r="AY609" s="10">
        <f t="array" ref="AY6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09" s="10" t="n"/>
      <c r="BA6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9" s="17">
        <f>tbl_MTG_Set[[#This Row],[Collector Booster CardMarket Profit]]/tbl_MTG_Set[[#This Row],[Collector Booster Cost]]</f>
        <v/>
      </c>
      <c r="BC609" s="10" t="n"/>
      <c r="BF609" s="10">
        <f>tbl_MTG_Set[[#This Row],[Play Booster Sell Price CardMarket]]*tbl_MTG_Set[[#This Row],[Play Booster Expected Market Value]]/tbl_MTG_Set[[#This Row],[Play Boost Sealed Market Value]]</f>
        <v/>
      </c>
      <c r="BG6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9" s="10">
        <f>tbl_MTG_Set[[#This Row],[Play Singles CardMarket Profit]]/tbl_MTG_Set[[#This Row],[Play Booster Cost]]</f>
        <v/>
      </c>
      <c r="BI609" s="10">
        <f>tbl_MTG_Set[[#This Row],[Play Singles CardMarket Profit]]&gt;0</f>
        <v/>
      </c>
      <c r="BJ609" s="10" t="n"/>
      <c r="BK609" s="10" t="n"/>
      <c r="BL609" s="10">
        <f>tbl_MTG_Set[[#This Row],[Collector Booster Sell Price CardMarket]]*tbl_MTG_Set[[#This Row],[Collector Booster Expected Market Value]]/tbl_MTG_Set[[#This Row],[Collector Boost Sealed Market Value]]</f>
        <v/>
      </c>
      <c r="BM6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9" s="10">
        <f>tbl_MTG_Set[[#This Row],[Collector Singles CardMarket Profit]]/tbl_MTG_Set[[#This Row],[Collector Booster Cost]]</f>
        <v/>
      </c>
      <c r="BO609" s="10">
        <f>tbl_MTG_Set[[#This Row],[Collector Singles CardMarket Profit]]&gt;0</f>
        <v/>
      </c>
      <c r="BP6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0">
      <c r="A610" t="n">
        <v>608</v>
      </c>
      <c r="B610" t="inlineStr">
        <is>
          <t>Fate Reforged Tokens TFRF</t>
        </is>
      </c>
      <c r="C610" t="n">
        <v>4</v>
      </c>
      <c r="D610" s="3" t="n">
        <v>42027</v>
      </c>
      <c r="F610" t="inlineStr">
        <is>
          <t>en es fr de it pt ja ko ru 汉语 漢語</t>
        </is>
      </c>
      <c r="G610" t="n">
        <v>1162</v>
      </c>
      <c r="H610">
        <f>MONTH(NOW())+12*YEAR(NOW())-MONTH(tbl_MTG_Set[[#This Row],[Released On]])-12*YEAR(tbl_MTG_Set[[#This Row],[Released On]])</f>
        <v/>
      </c>
      <c r="I610">
        <f>_xlfn.XLOOKUP(tbl_MTG_Set[[#This Row],[Type Name]], tbl_MTG_Set_Type[Set Type], tbl_MTG_Set_Type[Index], "(Set Type not found)")</f>
        <v/>
      </c>
      <c r="J610">
        <f>_xlfn.XLOOKUP(tbl_MTG_Set[[#This Row],[Type Name]], tbl_MTG_Set_Type[Set Type], tbl_MTG_Set_Type[Buy Window Month Start], "(Set Type not found)")</f>
        <v/>
      </c>
      <c r="K610" s="3">
        <f>tbl_MTG_Set[[#This Row],[Released On]]+tbl_MTG_Set[[#This Row],[Buy Window Month Start]]*365.25/12</f>
        <v/>
      </c>
      <c r="L610">
        <f>_xlfn.XLOOKUP(tbl_MTG_Set[[#This Row],[Type Name]], tbl_MTG_Set_Type[Set Type], tbl_MTG_Set_Type[Buy Window Month End], "(Set Type not found)", 0, 1)</f>
        <v/>
      </c>
      <c r="M610" s="3">
        <f>tbl_MTG_Set[[#This Row],[Released On]]+tbl_MTG_Set[[#This Row],[Buy Window Month End]]*365.25/12</f>
        <v/>
      </c>
      <c r="N610" s="3">
        <f>AND(NOW()&gt;=tbl_MTG_Set[[#This Row],[Buy Window Start]], NOW()&lt;=tbl_MTG_Set[[#This Row],[Buy Window End]])</f>
        <v/>
      </c>
      <c r="O610">
        <f>_xlfn.XLOOKUP(tbl_MTG_Set[[#This Row],[Type Name]], tbl_MTG_Set_Type[Set Type], tbl_MTG_Set_Type[Heavy Printing Window Month Start], "(Set Type not found)", 0, 1)</f>
        <v/>
      </c>
      <c r="P610" s="3">
        <f>tbl_MTG_Set[[#This Row],[Released On]]+tbl_MTG_Set[[#This Row],[Heavy Printing Window Month Start]]*365.25/12</f>
        <v/>
      </c>
      <c r="Q610">
        <f>_xlfn.XLOOKUP(tbl_MTG_Set[[#This Row],[Type Name]], tbl_MTG_Set_Type[Set Type], tbl_MTG_Set_Type[Heavy Printing Window Month End], "(Set Type not found)", 0, 1)</f>
        <v/>
      </c>
      <c r="R610" s="3">
        <f>tbl_MTG_Set[[#This Row],[Released On]]+tbl_MTG_Set[[#This Row],[Heavy Printing Window Month End]]*365.25/12</f>
        <v/>
      </c>
      <c r="S610" s="3">
        <f>AND(NOW()&gt;=tbl_MTG_Set[[#This Row],[Heavy Printing Window Start]], NOW()&lt;=tbl_MTG_Set[[#This Row],[Heavy Printing Window End]])</f>
        <v/>
      </c>
      <c r="T610">
        <f>_xlfn.XLOOKUP(tbl_MTG_Set[[#This Row],[Type Name]], tbl_MTG_Set_Type[Set Type], tbl_MTG_Set_Type[Sell Window Month Start], "(Set Type not found)", 0, 1)</f>
        <v/>
      </c>
      <c r="U610" s="3">
        <f>tbl_MTG_Set[[#This Row],[Released On]]+tbl_MTG_Set[[#This Row],[Sell Window Month Start]]*365.25/12</f>
        <v/>
      </c>
      <c r="V610">
        <f>_xlfn.XLOOKUP(tbl_MTG_Set[[#This Row],[Type Name]], tbl_MTG_Set_Type[Set Type], tbl_MTG_Set_Type[Sell Window Month End], "(Set Type not found)", 0, 1)</f>
        <v/>
      </c>
      <c r="W610" s="3">
        <f>tbl_MTG_Set[[#This Row],[Released On]]+tbl_MTG_Set[[#This Row],[Sell Window Month End]]*365.25/12</f>
        <v/>
      </c>
      <c r="X610" s="3">
        <f>AND(NOW()&gt;=tbl_MTG_Set[[#This Row],[Sell Window Start]], NOW()&lt;=tbl_MTG_Set[[#This Row],[Sell Window End]])</f>
        <v/>
      </c>
      <c r="AG610" s="10" t="n"/>
      <c r="AH610" s="10" t="n"/>
      <c r="AM610" s="10">
        <f t="array" ref="AM6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0" s="10">
        <f t="array" ref="AN6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0" s="4">
        <f>_xlfn.XLOOKUP(tbl_MTG_Set[[#This Row],[Play Booster Box Product Id]], tbl_Product[Product Id], tbl_Product[Pack Size])</f>
        <v/>
      </c>
      <c r="AP610" s="10">
        <f>(tbl_MTG_Set[[#This Row],[Play Booster Box Cost]]+v_Item_Shipping_Cost_In)/tbl_MTG_Set[[#This Row],[Play Booster Box Size]]</f>
        <v/>
      </c>
      <c r="AQ610" s="10">
        <f t="array" ref="AQ6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0" s="10" t="n"/>
      <c r="AS610" s="10" t="n"/>
      <c r="AT610" s="17">
        <f>tbl_MTG_Set[[#This Row],[Play Booster CardMarket Profit]]/tbl_MTG_Set[[#This Row],[Play Booster Cost]]</f>
        <v/>
      </c>
      <c r="AU610" s="10">
        <f>_xlfn.XLOOKUP(tbl_MTG_Set[[#This Row],[Collector Booster Box Product Id]], tbl_Product[Product Id], tbl_Product[Min Cost])</f>
        <v/>
      </c>
      <c r="AV610" s="10">
        <f>_xlfn.XLOOKUP(tbl_MTG_Set[[#This Row],[Collector Booster Box Product Id]], tbl_Product[Product Id], tbl_Product[Best Source])</f>
        <v/>
      </c>
      <c r="AW610" s="4">
        <f>_xlfn.XLOOKUP(tbl_MTG_Set[[#This Row],[Collector Booster Box Product Id]], tbl_Product[Product Id], tbl_Product[Pack Size])</f>
        <v/>
      </c>
      <c r="AX610" s="10">
        <f>(tbl_MTG_Set[[#This Row],[Collector Booster Box Cost]] + v_Item_Shipping_Cost_In) / tbl_MTG_Set[[#This Row],[Collector Booster Box Size]]</f>
        <v/>
      </c>
      <c r="AY610" s="10">
        <f t="array" ref="AY6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0" s="10" t="n"/>
      <c r="BA6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0" s="17">
        <f>tbl_MTG_Set[[#This Row],[Collector Booster CardMarket Profit]]/tbl_MTG_Set[[#This Row],[Collector Booster Cost]]</f>
        <v/>
      </c>
      <c r="BC610" s="10" t="n"/>
      <c r="BF610" s="10">
        <f>tbl_MTG_Set[[#This Row],[Play Booster Sell Price CardMarket]]*tbl_MTG_Set[[#This Row],[Play Booster Expected Market Value]]/tbl_MTG_Set[[#This Row],[Play Boost Sealed Market Value]]</f>
        <v/>
      </c>
      <c r="BG6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0" s="10">
        <f>tbl_MTG_Set[[#This Row],[Play Singles CardMarket Profit]]/tbl_MTG_Set[[#This Row],[Play Booster Cost]]</f>
        <v/>
      </c>
      <c r="BI610" s="10">
        <f>tbl_MTG_Set[[#This Row],[Play Singles CardMarket Profit]]&gt;0</f>
        <v/>
      </c>
      <c r="BJ610" s="10" t="n"/>
      <c r="BK610" s="10" t="n"/>
      <c r="BL610" s="10">
        <f>tbl_MTG_Set[[#This Row],[Collector Booster Sell Price CardMarket]]*tbl_MTG_Set[[#This Row],[Collector Booster Expected Market Value]]/tbl_MTG_Set[[#This Row],[Collector Boost Sealed Market Value]]</f>
        <v/>
      </c>
      <c r="BM6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0" s="10">
        <f>tbl_MTG_Set[[#This Row],[Collector Singles CardMarket Profit]]/tbl_MTG_Set[[#This Row],[Collector Booster Cost]]</f>
        <v/>
      </c>
      <c r="BO610" s="10">
        <f>tbl_MTG_Set[[#This Row],[Collector Singles CardMarket Profit]]&gt;0</f>
        <v/>
      </c>
      <c r="BP6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1">
      <c r="A611" t="n">
        <v>609</v>
      </c>
      <c r="B611" t="inlineStr">
        <is>
          <t>Fate Reforged Clash Pack CP2</t>
        </is>
      </c>
      <c r="C611" t="n">
        <v>6</v>
      </c>
      <c r="D611" s="3" t="n">
        <v>42027</v>
      </c>
      <c r="F611" t="inlineStr">
        <is>
          <t>en es fr de it pt ja ko ru 汉语 漢語</t>
        </is>
      </c>
      <c r="G611" t="n">
        <v>1164</v>
      </c>
      <c r="H611">
        <f>MONTH(NOW())+12*YEAR(NOW())-MONTH(tbl_MTG_Set[[#This Row],[Released On]])-12*YEAR(tbl_MTG_Set[[#This Row],[Released On]])</f>
        <v/>
      </c>
      <c r="I611">
        <f>_xlfn.XLOOKUP(tbl_MTG_Set[[#This Row],[Type Name]], tbl_MTG_Set_Type[Set Type], tbl_MTG_Set_Type[Index], "(Set Type not found)")</f>
        <v/>
      </c>
      <c r="J611">
        <f>_xlfn.XLOOKUP(tbl_MTG_Set[[#This Row],[Type Name]], tbl_MTG_Set_Type[Set Type], tbl_MTG_Set_Type[Buy Window Month Start], "(Set Type not found)")</f>
        <v/>
      </c>
      <c r="K611" s="3">
        <f>tbl_MTG_Set[[#This Row],[Released On]]+tbl_MTG_Set[[#This Row],[Buy Window Month Start]]*365.25/12</f>
        <v/>
      </c>
      <c r="L611">
        <f>_xlfn.XLOOKUP(tbl_MTG_Set[[#This Row],[Type Name]], tbl_MTG_Set_Type[Set Type], tbl_MTG_Set_Type[Buy Window Month End], "(Set Type not found)", 0, 1)</f>
        <v/>
      </c>
      <c r="M611" s="3">
        <f>tbl_MTG_Set[[#This Row],[Released On]]+tbl_MTG_Set[[#This Row],[Buy Window Month End]]*365.25/12</f>
        <v/>
      </c>
      <c r="N611" s="3">
        <f>AND(NOW()&gt;=tbl_MTG_Set[[#This Row],[Buy Window Start]], NOW()&lt;=tbl_MTG_Set[[#This Row],[Buy Window End]])</f>
        <v/>
      </c>
      <c r="O611">
        <f>_xlfn.XLOOKUP(tbl_MTG_Set[[#This Row],[Type Name]], tbl_MTG_Set_Type[Set Type], tbl_MTG_Set_Type[Heavy Printing Window Month Start], "(Set Type not found)", 0, 1)</f>
        <v/>
      </c>
      <c r="P611" s="3">
        <f>tbl_MTG_Set[[#This Row],[Released On]]+tbl_MTG_Set[[#This Row],[Heavy Printing Window Month Start]]*365.25/12</f>
        <v/>
      </c>
      <c r="Q611">
        <f>_xlfn.XLOOKUP(tbl_MTG_Set[[#This Row],[Type Name]], tbl_MTG_Set_Type[Set Type], tbl_MTG_Set_Type[Heavy Printing Window Month End], "(Set Type not found)", 0, 1)</f>
        <v/>
      </c>
      <c r="R611" s="3">
        <f>tbl_MTG_Set[[#This Row],[Released On]]+tbl_MTG_Set[[#This Row],[Heavy Printing Window Month End]]*365.25/12</f>
        <v/>
      </c>
      <c r="S611" s="3">
        <f>AND(NOW()&gt;=tbl_MTG_Set[[#This Row],[Heavy Printing Window Start]], NOW()&lt;=tbl_MTG_Set[[#This Row],[Heavy Printing Window End]])</f>
        <v/>
      </c>
      <c r="T611">
        <f>_xlfn.XLOOKUP(tbl_MTG_Set[[#This Row],[Type Name]], tbl_MTG_Set_Type[Set Type], tbl_MTG_Set_Type[Sell Window Month Start], "(Set Type not found)", 0, 1)</f>
        <v/>
      </c>
      <c r="U611" s="3">
        <f>tbl_MTG_Set[[#This Row],[Released On]]+tbl_MTG_Set[[#This Row],[Sell Window Month Start]]*365.25/12</f>
        <v/>
      </c>
      <c r="V611">
        <f>_xlfn.XLOOKUP(tbl_MTG_Set[[#This Row],[Type Name]], tbl_MTG_Set_Type[Set Type], tbl_MTG_Set_Type[Sell Window Month End], "(Set Type not found)", 0, 1)</f>
        <v/>
      </c>
      <c r="W611" s="3">
        <f>tbl_MTG_Set[[#This Row],[Released On]]+tbl_MTG_Set[[#This Row],[Sell Window Month End]]*365.25/12</f>
        <v/>
      </c>
      <c r="X611" s="3">
        <f>AND(NOW()&gt;=tbl_MTG_Set[[#This Row],[Sell Window Start]], NOW()&lt;=tbl_MTG_Set[[#This Row],[Sell Window End]])</f>
        <v/>
      </c>
      <c r="AG611" s="10" t="n"/>
      <c r="AH611" s="10" t="n"/>
      <c r="AM611" s="10">
        <f t="array" ref="AM6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1" s="10">
        <f t="array" ref="AN6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1" s="4">
        <f>_xlfn.XLOOKUP(tbl_MTG_Set[[#This Row],[Play Booster Box Product Id]], tbl_Product[Product Id], tbl_Product[Pack Size])</f>
        <v/>
      </c>
      <c r="AP611" s="10">
        <f>(tbl_MTG_Set[[#This Row],[Play Booster Box Cost]]+v_Item_Shipping_Cost_In)/tbl_MTG_Set[[#This Row],[Play Booster Box Size]]</f>
        <v/>
      </c>
      <c r="AQ611" s="10">
        <f t="array" ref="AQ6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1" s="10" t="n"/>
      <c r="AS611" s="10" t="n"/>
      <c r="AT611" s="17">
        <f>tbl_MTG_Set[[#This Row],[Play Booster CardMarket Profit]]/tbl_MTG_Set[[#This Row],[Play Booster Cost]]</f>
        <v/>
      </c>
      <c r="AU611" s="10">
        <f>_xlfn.XLOOKUP(tbl_MTG_Set[[#This Row],[Collector Booster Box Product Id]], tbl_Product[Product Id], tbl_Product[Min Cost])</f>
        <v/>
      </c>
      <c r="AV611" s="10">
        <f>_xlfn.XLOOKUP(tbl_MTG_Set[[#This Row],[Collector Booster Box Product Id]], tbl_Product[Product Id], tbl_Product[Best Source])</f>
        <v/>
      </c>
      <c r="AW611" s="4">
        <f>_xlfn.XLOOKUP(tbl_MTG_Set[[#This Row],[Collector Booster Box Product Id]], tbl_Product[Product Id], tbl_Product[Pack Size])</f>
        <v/>
      </c>
      <c r="AX611" s="10">
        <f>(tbl_MTG_Set[[#This Row],[Collector Booster Box Cost]] + v_Item_Shipping_Cost_In) / tbl_MTG_Set[[#This Row],[Collector Booster Box Size]]</f>
        <v/>
      </c>
      <c r="AY611" s="10">
        <f t="array" ref="AY6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1" s="10" t="n"/>
      <c r="BA6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1" s="17">
        <f>tbl_MTG_Set[[#This Row],[Collector Booster CardMarket Profit]]/tbl_MTG_Set[[#This Row],[Collector Booster Cost]]</f>
        <v/>
      </c>
      <c r="BC611" s="10" t="n"/>
      <c r="BF611" s="10">
        <f>tbl_MTG_Set[[#This Row],[Play Booster Sell Price CardMarket]]*tbl_MTG_Set[[#This Row],[Play Booster Expected Market Value]]/tbl_MTG_Set[[#This Row],[Play Boost Sealed Market Value]]</f>
        <v/>
      </c>
      <c r="BG6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1" s="10">
        <f>tbl_MTG_Set[[#This Row],[Play Singles CardMarket Profit]]/tbl_MTG_Set[[#This Row],[Play Booster Cost]]</f>
        <v/>
      </c>
      <c r="BI611" s="10">
        <f>tbl_MTG_Set[[#This Row],[Play Singles CardMarket Profit]]&gt;0</f>
        <v/>
      </c>
      <c r="BJ611" s="10" t="n"/>
      <c r="BK611" s="10" t="n"/>
      <c r="BL611" s="10">
        <f>tbl_MTG_Set[[#This Row],[Collector Booster Sell Price CardMarket]]*tbl_MTG_Set[[#This Row],[Collector Booster Expected Market Value]]/tbl_MTG_Set[[#This Row],[Collector Boost Sealed Market Value]]</f>
        <v/>
      </c>
      <c r="BM6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1" s="10">
        <f>tbl_MTG_Set[[#This Row],[Collector Singles CardMarket Profit]]/tbl_MTG_Set[[#This Row],[Collector Booster Cost]]</f>
        <v/>
      </c>
      <c r="BO611" s="10">
        <f>tbl_MTG_Set[[#This Row],[Collector Singles CardMarket Profit]]&gt;0</f>
        <v/>
      </c>
      <c r="BP6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2">
      <c r="A612" t="n">
        <v>610</v>
      </c>
      <c r="B612" t="inlineStr">
        <is>
          <t>Ugin's Fate UGIN</t>
        </is>
      </c>
      <c r="C612" t="n">
        <v>26</v>
      </c>
      <c r="D612" s="3" t="n">
        <v>42021</v>
      </c>
      <c r="F612" t="inlineStr">
        <is>
          <t>en es fr de it pt ja ko ru 汉语 漢語</t>
        </is>
      </c>
      <c r="G612" t="n">
        <v>1166</v>
      </c>
      <c r="H612">
        <f>MONTH(NOW())+12*YEAR(NOW())-MONTH(tbl_MTG_Set[[#This Row],[Released On]])-12*YEAR(tbl_MTG_Set[[#This Row],[Released On]])</f>
        <v/>
      </c>
      <c r="I612">
        <f>_xlfn.XLOOKUP(tbl_MTG_Set[[#This Row],[Type Name]], tbl_MTG_Set_Type[Set Type], tbl_MTG_Set_Type[Index], "(Set Type not found)")</f>
        <v/>
      </c>
      <c r="J612">
        <f>_xlfn.XLOOKUP(tbl_MTG_Set[[#This Row],[Type Name]], tbl_MTG_Set_Type[Set Type], tbl_MTG_Set_Type[Buy Window Month Start], "(Set Type not found)")</f>
        <v/>
      </c>
      <c r="K612" s="3">
        <f>tbl_MTG_Set[[#This Row],[Released On]]+tbl_MTG_Set[[#This Row],[Buy Window Month Start]]*365.25/12</f>
        <v/>
      </c>
      <c r="L612">
        <f>_xlfn.XLOOKUP(tbl_MTG_Set[[#This Row],[Type Name]], tbl_MTG_Set_Type[Set Type], tbl_MTG_Set_Type[Buy Window Month End], "(Set Type not found)", 0, 1)</f>
        <v/>
      </c>
      <c r="M612" s="3">
        <f>tbl_MTG_Set[[#This Row],[Released On]]+tbl_MTG_Set[[#This Row],[Buy Window Month End]]*365.25/12</f>
        <v/>
      </c>
      <c r="N612" s="3">
        <f>AND(NOW()&gt;=tbl_MTG_Set[[#This Row],[Buy Window Start]], NOW()&lt;=tbl_MTG_Set[[#This Row],[Buy Window End]])</f>
        <v/>
      </c>
      <c r="O612">
        <f>_xlfn.XLOOKUP(tbl_MTG_Set[[#This Row],[Type Name]], tbl_MTG_Set_Type[Set Type], tbl_MTG_Set_Type[Heavy Printing Window Month Start], "(Set Type not found)", 0, 1)</f>
        <v/>
      </c>
      <c r="P612" s="3">
        <f>tbl_MTG_Set[[#This Row],[Released On]]+tbl_MTG_Set[[#This Row],[Heavy Printing Window Month Start]]*365.25/12</f>
        <v/>
      </c>
      <c r="Q612">
        <f>_xlfn.XLOOKUP(tbl_MTG_Set[[#This Row],[Type Name]], tbl_MTG_Set_Type[Set Type], tbl_MTG_Set_Type[Heavy Printing Window Month End], "(Set Type not found)", 0, 1)</f>
        <v/>
      </c>
      <c r="R612" s="3">
        <f>tbl_MTG_Set[[#This Row],[Released On]]+tbl_MTG_Set[[#This Row],[Heavy Printing Window Month End]]*365.25/12</f>
        <v/>
      </c>
      <c r="S612" s="3">
        <f>AND(NOW()&gt;=tbl_MTG_Set[[#This Row],[Heavy Printing Window Start]], NOW()&lt;=tbl_MTG_Set[[#This Row],[Heavy Printing Window End]])</f>
        <v/>
      </c>
      <c r="T612">
        <f>_xlfn.XLOOKUP(tbl_MTG_Set[[#This Row],[Type Name]], tbl_MTG_Set_Type[Set Type], tbl_MTG_Set_Type[Sell Window Month Start], "(Set Type not found)", 0, 1)</f>
        <v/>
      </c>
      <c r="U612" s="3">
        <f>tbl_MTG_Set[[#This Row],[Released On]]+tbl_MTG_Set[[#This Row],[Sell Window Month Start]]*365.25/12</f>
        <v/>
      </c>
      <c r="V612">
        <f>_xlfn.XLOOKUP(tbl_MTG_Set[[#This Row],[Type Name]], tbl_MTG_Set_Type[Set Type], tbl_MTG_Set_Type[Sell Window Month End], "(Set Type not found)", 0, 1)</f>
        <v/>
      </c>
      <c r="W612" s="3">
        <f>tbl_MTG_Set[[#This Row],[Released On]]+tbl_MTG_Set[[#This Row],[Sell Window Month End]]*365.25/12</f>
        <v/>
      </c>
      <c r="X612" s="3">
        <f>AND(NOW()&gt;=tbl_MTG_Set[[#This Row],[Sell Window Start]], NOW()&lt;=tbl_MTG_Set[[#This Row],[Sell Window End]])</f>
        <v/>
      </c>
      <c r="AG612" s="10" t="n"/>
      <c r="AH612" s="10" t="n"/>
      <c r="AM612" s="10">
        <f t="array" ref="AM6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2" s="10">
        <f t="array" ref="AN6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2" s="4">
        <f>_xlfn.XLOOKUP(tbl_MTG_Set[[#This Row],[Play Booster Box Product Id]], tbl_Product[Product Id], tbl_Product[Pack Size])</f>
        <v/>
      </c>
      <c r="AP612" s="10">
        <f>(tbl_MTG_Set[[#This Row],[Play Booster Box Cost]]+v_Item_Shipping_Cost_In)/tbl_MTG_Set[[#This Row],[Play Booster Box Size]]</f>
        <v/>
      </c>
      <c r="AQ612" s="10">
        <f t="array" ref="AQ6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2" s="10" t="n"/>
      <c r="AS612" s="10" t="n"/>
      <c r="AT612" s="17">
        <f>tbl_MTG_Set[[#This Row],[Play Booster CardMarket Profit]]/tbl_MTG_Set[[#This Row],[Play Booster Cost]]</f>
        <v/>
      </c>
      <c r="AU612" s="10">
        <f>_xlfn.XLOOKUP(tbl_MTG_Set[[#This Row],[Collector Booster Box Product Id]], tbl_Product[Product Id], tbl_Product[Min Cost])</f>
        <v/>
      </c>
      <c r="AV612" s="10">
        <f>_xlfn.XLOOKUP(tbl_MTG_Set[[#This Row],[Collector Booster Box Product Id]], tbl_Product[Product Id], tbl_Product[Best Source])</f>
        <v/>
      </c>
      <c r="AW612" s="4">
        <f>_xlfn.XLOOKUP(tbl_MTG_Set[[#This Row],[Collector Booster Box Product Id]], tbl_Product[Product Id], tbl_Product[Pack Size])</f>
        <v/>
      </c>
      <c r="AX612" s="10">
        <f>(tbl_MTG_Set[[#This Row],[Collector Booster Box Cost]] + v_Item_Shipping_Cost_In) / tbl_MTG_Set[[#This Row],[Collector Booster Box Size]]</f>
        <v/>
      </c>
      <c r="AY612" s="10">
        <f t="array" ref="AY6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2" s="10" t="n"/>
      <c r="BA6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2" s="17">
        <f>tbl_MTG_Set[[#This Row],[Collector Booster CardMarket Profit]]/tbl_MTG_Set[[#This Row],[Collector Booster Cost]]</f>
        <v/>
      </c>
      <c r="BC612" s="10" t="n"/>
      <c r="BF612" s="10">
        <f>tbl_MTG_Set[[#This Row],[Play Booster Sell Price CardMarket]]*tbl_MTG_Set[[#This Row],[Play Booster Expected Market Value]]/tbl_MTG_Set[[#This Row],[Play Boost Sealed Market Value]]</f>
        <v/>
      </c>
      <c r="BG6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2" s="10">
        <f>tbl_MTG_Set[[#This Row],[Play Singles CardMarket Profit]]/tbl_MTG_Set[[#This Row],[Play Booster Cost]]</f>
        <v/>
      </c>
      <c r="BI612" s="10">
        <f>tbl_MTG_Set[[#This Row],[Play Singles CardMarket Profit]]&gt;0</f>
        <v/>
      </c>
      <c r="BJ612" s="10" t="n"/>
      <c r="BK612" s="10" t="n"/>
      <c r="BL612" s="10">
        <f>tbl_MTG_Set[[#This Row],[Collector Booster Sell Price CardMarket]]*tbl_MTG_Set[[#This Row],[Collector Booster Expected Market Value]]/tbl_MTG_Set[[#This Row],[Collector Boost Sealed Market Value]]</f>
        <v/>
      </c>
      <c r="BM6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2" s="10">
        <f>tbl_MTG_Set[[#This Row],[Collector Singles CardMarket Profit]]/tbl_MTG_Set[[#This Row],[Collector Booster Cost]]</f>
        <v/>
      </c>
      <c r="BO612" s="10">
        <f>tbl_MTG_Set[[#This Row],[Collector Singles CardMarket Profit]]&gt;0</f>
        <v/>
      </c>
      <c r="BP6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3">
      <c r="A613" t="n">
        <v>611</v>
      </c>
      <c r="B613" t="inlineStr">
        <is>
          <t>League Tokens 2015 L15</t>
        </is>
      </c>
      <c r="C613" t="n">
        <v>1</v>
      </c>
      <c r="D613" s="3" t="n">
        <v>42005</v>
      </c>
      <c r="F613" t="inlineStr">
        <is>
          <t>en es fr de it pt ja ko ru 汉语 漢語</t>
        </is>
      </c>
      <c r="G613" t="n">
        <v>1168</v>
      </c>
      <c r="H613">
        <f>MONTH(NOW())+12*YEAR(NOW())-MONTH(tbl_MTG_Set[[#This Row],[Released On]])-12*YEAR(tbl_MTG_Set[[#This Row],[Released On]])</f>
        <v/>
      </c>
      <c r="I613">
        <f>_xlfn.XLOOKUP(tbl_MTG_Set[[#This Row],[Type Name]], tbl_MTG_Set_Type[Set Type], tbl_MTG_Set_Type[Index], "(Set Type not found)")</f>
        <v/>
      </c>
      <c r="J613">
        <f>_xlfn.XLOOKUP(tbl_MTG_Set[[#This Row],[Type Name]], tbl_MTG_Set_Type[Set Type], tbl_MTG_Set_Type[Buy Window Month Start], "(Set Type not found)")</f>
        <v/>
      </c>
      <c r="K613" s="3">
        <f>tbl_MTG_Set[[#This Row],[Released On]]+tbl_MTG_Set[[#This Row],[Buy Window Month Start]]*365.25/12</f>
        <v/>
      </c>
      <c r="L613">
        <f>_xlfn.XLOOKUP(tbl_MTG_Set[[#This Row],[Type Name]], tbl_MTG_Set_Type[Set Type], tbl_MTG_Set_Type[Buy Window Month End], "(Set Type not found)", 0, 1)</f>
        <v/>
      </c>
      <c r="M613" s="3">
        <f>tbl_MTG_Set[[#This Row],[Released On]]+tbl_MTG_Set[[#This Row],[Buy Window Month End]]*365.25/12</f>
        <v/>
      </c>
      <c r="N613" s="3">
        <f>AND(NOW()&gt;=tbl_MTG_Set[[#This Row],[Buy Window Start]], NOW()&lt;=tbl_MTG_Set[[#This Row],[Buy Window End]])</f>
        <v/>
      </c>
      <c r="O613">
        <f>_xlfn.XLOOKUP(tbl_MTG_Set[[#This Row],[Type Name]], tbl_MTG_Set_Type[Set Type], tbl_MTG_Set_Type[Heavy Printing Window Month Start], "(Set Type not found)", 0, 1)</f>
        <v/>
      </c>
      <c r="P613" s="3">
        <f>tbl_MTG_Set[[#This Row],[Released On]]+tbl_MTG_Set[[#This Row],[Heavy Printing Window Month Start]]*365.25/12</f>
        <v/>
      </c>
      <c r="Q613">
        <f>_xlfn.XLOOKUP(tbl_MTG_Set[[#This Row],[Type Name]], tbl_MTG_Set_Type[Set Type], tbl_MTG_Set_Type[Heavy Printing Window Month End], "(Set Type not found)", 0, 1)</f>
        <v/>
      </c>
      <c r="R613" s="3">
        <f>tbl_MTG_Set[[#This Row],[Released On]]+tbl_MTG_Set[[#This Row],[Heavy Printing Window Month End]]*365.25/12</f>
        <v/>
      </c>
      <c r="S613" s="3">
        <f>AND(NOW()&gt;=tbl_MTG_Set[[#This Row],[Heavy Printing Window Start]], NOW()&lt;=tbl_MTG_Set[[#This Row],[Heavy Printing Window End]])</f>
        <v/>
      </c>
      <c r="T613">
        <f>_xlfn.XLOOKUP(tbl_MTG_Set[[#This Row],[Type Name]], tbl_MTG_Set_Type[Set Type], tbl_MTG_Set_Type[Sell Window Month Start], "(Set Type not found)", 0, 1)</f>
        <v/>
      </c>
      <c r="U613" s="3">
        <f>tbl_MTG_Set[[#This Row],[Released On]]+tbl_MTG_Set[[#This Row],[Sell Window Month Start]]*365.25/12</f>
        <v/>
      </c>
      <c r="V613">
        <f>_xlfn.XLOOKUP(tbl_MTG_Set[[#This Row],[Type Name]], tbl_MTG_Set_Type[Set Type], tbl_MTG_Set_Type[Sell Window Month End], "(Set Type not found)", 0, 1)</f>
        <v/>
      </c>
      <c r="W613" s="3">
        <f>tbl_MTG_Set[[#This Row],[Released On]]+tbl_MTG_Set[[#This Row],[Sell Window Month End]]*365.25/12</f>
        <v/>
      </c>
      <c r="X613" s="3">
        <f>AND(NOW()&gt;=tbl_MTG_Set[[#This Row],[Sell Window Start]], NOW()&lt;=tbl_MTG_Set[[#This Row],[Sell Window End]])</f>
        <v/>
      </c>
      <c r="AG613" s="10" t="n"/>
      <c r="AH613" s="10" t="n"/>
      <c r="AM613" s="10">
        <f t="array" ref="AM6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3" s="10">
        <f t="array" ref="AN6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3" s="4">
        <f>_xlfn.XLOOKUP(tbl_MTG_Set[[#This Row],[Play Booster Box Product Id]], tbl_Product[Product Id], tbl_Product[Pack Size])</f>
        <v/>
      </c>
      <c r="AP613" s="10">
        <f>(tbl_MTG_Set[[#This Row],[Play Booster Box Cost]]+v_Item_Shipping_Cost_In)/tbl_MTG_Set[[#This Row],[Play Booster Box Size]]</f>
        <v/>
      </c>
      <c r="AQ613" s="10">
        <f t="array" ref="AQ6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3" s="10" t="n"/>
      <c r="AS613" s="10" t="n"/>
      <c r="AT613" s="17">
        <f>tbl_MTG_Set[[#This Row],[Play Booster CardMarket Profit]]/tbl_MTG_Set[[#This Row],[Play Booster Cost]]</f>
        <v/>
      </c>
      <c r="AU613" s="10">
        <f>_xlfn.XLOOKUP(tbl_MTG_Set[[#This Row],[Collector Booster Box Product Id]], tbl_Product[Product Id], tbl_Product[Min Cost])</f>
        <v/>
      </c>
      <c r="AV613" s="10">
        <f>_xlfn.XLOOKUP(tbl_MTG_Set[[#This Row],[Collector Booster Box Product Id]], tbl_Product[Product Id], tbl_Product[Best Source])</f>
        <v/>
      </c>
      <c r="AW613" s="4">
        <f>_xlfn.XLOOKUP(tbl_MTG_Set[[#This Row],[Collector Booster Box Product Id]], tbl_Product[Product Id], tbl_Product[Pack Size])</f>
        <v/>
      </c>
      <c r="AX613" s="10">
        <f>(tbl_MTG_Set[[#This Row],[Collector Booster Box Cost]] + v_Item_Shipping_Cost_In) / tbl_MTG_Set[[#This Row],[Collector Booster Box Size]]</f>
        <v/>
      </c>
      <c r="AY613" s="10">
        <f t="array" ref="AY6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3" s="10" t="n"/>
      <c r="BA6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3" s="17">
        <f>tbl_MTG_Set[[#This Row],[Collector Booster CardMarket Profit]]/tbl_MTG_Set[[#This Row],[Collector Booster Cost]]</f>
        <v/>
      </c>
      <c r="BC613" s="10" t="n"/>
      <c r="BF613" s="10">
        <f>tbl_MTG_Set[[#This Row],[Play Booster Sell Price CardMarket]]*tbl_MTG_Set[[#This Row],[Play Booster Expected Market Value]]/tbl_MTG_Set[[#This Row],[Play Boost Sealed Market Value]]</f>
        <v/>
      </c>
      <c r="BG6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3" s="10">
        <f>tbl_MTG_Set[[#This Row],[Play Singles CardMarket Profit]]/tbl_MTG_Set[[#This Row],[Play Booster Cost]]</f>
        <v/>
      </c>
      <c r="BI613" s="10">
        <f>tbl_MTG_Set[[#This Row],[Play Singles CardMarket Profit]]&gt;0</f>
        <v/>
      </c>
      <c r="BJ613" s="10" t="n"/>
      <c r="BK613" s="10" t="n"/>
      <c r="BL613" s="10">
        <f>tbl_MTG_Set[[#This Row],[Collector Booster Sell Price CardMarket]]*tbl_MTG_Set[[#This Row],[Collector Booster Expected Market Value]]/tbl_MTG_Set[[#This Row],[Collector Boost Sealed Market Value]]</f>
        <v/>
      </c>
      <c r="BM6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3" s="10">
        <f>tbl_MTG_Set[[#This Row],[Collector Singles CardMarket Profit]]/tbl_MTG_Set[[#This Row],[Collector Booster Cost]]</f>
        <v/>
      </c>
      <c r="BO613" s="10">
        <f>tbl_MTG_Set[[#This Row],[Collector Singles CardMarket Profit]]&gt;0</f>
        <v/>
      </c>
      <c r="BP6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4">
      <c r="A614" t="n">
        <v>612</v>
      </c>
      <c r="B614" t="inlineStr">
        <is>
          <t>Friday Night Magic 2015 F15</t>
        </is>
      </c>
      <c r="C614" t="n">
        <v>12</v>
      </c>
      <c r="D614" s="3" t="n">
        <v>42005</v>
      </c>
      <c r="F614" t="inlineStr">
        <is>
          <t>en es fr de it pt ja ko ru 汉语 漢語</t>
        </is>
      </c>
      <c r="G614" t="n">
        <v>1170</v>
      </c>
      <c r="H614">
        <f>MONTH(NOW())+12*YEAR(NOW())-MONTH(tbl_MTG_Set[[#This Row],[Released On]])-12*YEAR(tbl_MTG_Set[[#This Row],[Released On]])</f>
        <v/>
      </c>
      <c r="I614">
        <f>_xlfn.XLOOKUP(tbl_MTG_Set[[#This Row],[Type Name]], tbl_MTG_Set_Type[Set Type], tbl_MTG_Set_Type[Index], "(Set Type not found)")</f>
        <v/>
      </c>
      <c r="J614">
        <f>_xlfn.XLOOKUP(tbl_MTG_Set[[#This Row],[Type Name]], tbl_MTG_Set_Type[Set Type], tbl_MTG_Set_Type[Buy Window Month Start], "(Set Type not found)")</f>
        <v/>
      </c>
      <c r="K614" s="3">
        <f>tbl_MTG_Set[[#This Row],[Released On]]+tbl_MTG_Set[[#This Row],[Buy Window Month Start]]*365.25/12</f>
        <v/>
      </c>
      <c r="L614">
        <f>_xlfn.XLOOKUP(tbl_MTG_Set[[#This Row],[Type Name]], tbl_MTG_Set_Type[Set Type], tbl_MTG_Set_Type[Buy Window Month End], "(Set Type not found)", 0, 1)</f>
        <v/>
      </c>
      <c r="M614" s="3">
        <f>tbl_MTG_Set[[#This Row],[Released On]]+tbl_MTG_Set[[#This Row],[Buy Window Month End]]*365.25/12</f>
        <v/>
      </c>
      <c r="N614" s="3">
        <f>AND(NOW()&gt;=tbl_MTG_Set[[#This Row],[Buy Window Start]], NOW()&lt;=tbl_MTG_Set[[#This Row],[Buy Window End]])</f>
        <v/>
      </c>
      <c r="O614">
        <f>_xlfn.XLOOKUP(tbl_MTG_Set[[#This Row],[Type Name]], tbl_MTG_Set_Type[Set Type], tbl_MTG_Set_Type[Heavy Printing Window Month Start], "(Set Type not found)", 0, 1)</f>
        <v/>
      </c>
      <c r="P614" s="3">
        <f>tbl_MTG_Set[[#This Row],[Released On]]+tbl_MTG_Set[[#This Row],[Heavy Printing Window Month Start]]*365.25/12</f>
        <v/>
      </c>
      <c r="Q614">
        <f>_xlfn.XLOOKUP(tbl_MTG_Set[[#This Row],[Type Name]], tbl_MTG_Set_Type[Set Type], tbl_MTG_Set_Type[Heavy Printing Window Month End], "(Set Type not found)", 0, 1)</f>
        <v/>
      </c>
      <c r="R614" s="3">
        <f>tbl_MTG_Set[[#This Row],[Released On]]+tbl_MTG_Set[[#This Row],[Heavy Printing Window Month End]]*365.25/12</f>
        <v/>
      </c>
      <c r="S614" s="3">
        <f>AND(NOW()&gt;=tbl_MTG_Set[[#This Row],[Heavy Printing Window Start]], NOW()&lt;=tbl_MTG_Set[[#This Row],[Heavy Printing Window End]])</f>
        <v/>
      </c>
      <c r="T614">
        <f>_xlfn.XLOOKUP(tbl_MTG_Set[[#This Row],[Type Name]], tbl_MTG_Set_Type[Set Type], tbl_MTG_Set_Type[Sell Window Month Start], "(Set Type not found)", 0, 1)</f>
        <v/>
      </c>
      <c r="U614" s="3">
        <f>tbl_MTG_Set[[#This Row],[Released On]]+tbl_MTG_Set[[#This Row],[Sell Window Month Start]]*365.25/12</f>
        <v/>
      </c>
      <c r="V614">
        <f>_xlfn.XLOOKUP(tbl_MTG_Set[[#This Row],[Type Name]], tbl_MTG_Set_Type[Set Type], tbl_MTG_Set_Type[Sell Window Month End], "(Set Type not found)", 0, 1)</f>
        <v/>
      </c>
      <c r="W614" s="3">
        <f>tbl_MTG_Set[[#This Row],[Released On]]+tbl_MTG_Set[[#This Row],[Sell Window Month End]]*365.25/12</f>
        <v/>
      </c>
      <c r="X614" s="3">
        <f>AND(NOW()&gt;=tbl_MTG_Set[[#This Row],[Sell Window Start]], NOW()&lt;=tbl_MTG_Set[[#This Row],[Sell Window End]])</f>
        <v/>
      </c>
      <c r="AG614" s="10" t="n"/>
      <c r="AH614" s="10" t="n"/>
      <c r="AM614" s="10">
        <f t="array" ref="AM6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4" s="10">
        <f t="array" ref="AN6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4" s="4">
        <f>_xlfn.XLOOKUP(tbl_MTG_Set[[#This Row],[Play Booster Box Product Id]], tbl_Product[Product Id], tbl_Product[Pack Size])</f>
        <v/>
      </c>
      <c r="AP614" s="10">
        <f>(tbl_MTG_Set[[#This Row],[Play Booster Box Cost]]+v_Item_Shipping_Cost_In)/tbl_MTG_Set[[#This Row],[Play Booster Box Size]]</f>
        <v/>
      </c>
      <c r="AQ614" s="10">
        <f t="array" ref="AQ6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4" s="10" t="n"/>
      <c r="AS614" s="10" t="n"/>
      <c r="AT614" s="17">
        <f>tbl_MTG_Set[[#This Row],[Play Booster CardMarket Profit]]/tbl_MTG_Set[[#This Row],[Play Booster Cost]]</f>
        <v/>
      </c>
      <c r="AU614" s="10">
        <f>_xlfn.XLOOKUP(tbl_MTG_Set[[#This Row],[Collector Booster Box Product Id]], tbl_Product[Product Id], tbl_Product[Min Cost])</f>
        <v/>
      </c>
      <c r="AV614" s="10">
        <f>_xlfn.XLOOKUP(tbl_MTG_Set[[#This Row],[Collector Booster Box Product Id]], tbl_Product[Product Id], tbl_Product[Best Source])</f>
        <v/>
      </c>
      <c r="AW614" s="4">
        <f>_xlfn.XLOOKUP(tbl_MTG_Set[[#This Row],[Collector Booster Box Product Id]], tbl_Product[Product Id], tbl_Product[Pack Size])</f>
        <v/>
      </c>
      <c r="AX614" s="10">
        <f>(tbl_MTG_Set[[#This Row],[Collector Booster Box Cost]] + v_Item_Shipping_Cost_In) / tbl_MTG_Set[[#This Row],[Collector Booster Box Size]]</f>
        <v/>
      </c>
      <c r="AY614" s="10">
        <f t="array" ref="AY6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4" s="10" t="n"/>
      <c r="BA6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4" s="17">
        <f>tbl_MTG_Set[[#This Row],[Collector Booster CardMarket Profit]]/tbl_MTG_Set[[#This Row],[Collector Booster Cost]]</f>
        <v/>
      </c>
      <c r="BC614" s="10" t="n"/>
      <c r="BF614" s="10">
        <f>tbl_MTG_Set[[#This Row],[Play Booster Sell Price CardMarket]]*tbl_MTG_Set[[#This Row],[Play Booster Expected Market Value]]/tbl_MTG_Set[[#This Row],[Play Boost Sealed Market Value]]</f>
        <v/>
      </c>
      <c r="BG6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4" s="10">
        <f>tbl_MTG_Set[[#This Row],[Play Singles CardMarket Profit]]/tbl_MTG_Set[[#This Row],[Play Booster Cost]]</f>
        <v/>
      </c>
      <c r="BI614" s="10">
        <f>tbl_MTG_Set[[#This Row],[Play Singles CardMarket Profit]]&gt;0</f>
        <v/>
      </c>
      <c r="BJ614" s="10" t="n"/>
      <c r="BK614" s="10" t="n"/>
      <c r="BL614" s="10">
        <f>tbl_MTG_Set[[#This Row],[Collector Booster Sell Price CardMarket]]*tbl_MTG_Set[[#This Row],[Collector Booster Expected Market Value]]/tbl_MTG_Set[[#This Row],[Collector Boost Sealed Market Value]]</f>
        <v/>
      </c>
      <c r="BM6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4" s="10">
        <f>tbl_MTG_Set[[#This Row],[Collector Singles CardMarket Profit]]/tbl_MTG_Set[[#This Row],[Collector Booster Cost]]</f>
        <v/>
      </c>
      <c r="BO614" s="10">
        <f>tbl_MTG_Set[[#This Row],[Collector Singles CardMarket Profit]]&gt;0</f>
        <v/>
      </c>
      <c r="BP6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5">
      <c r="A615" t="n">
        <v>613</v>
      </c>
      <c r="B615" t="inlineStr">
        <is>
          <t>Judge Gift Cards 2015 J15</t>
        </is>
      </c>
      <c r="C615" t="n">
        <v>8</v>
      </c>
      <c r="D615" s="3" t="n">
        <v>42005</v>
      </c>
      <c r="F615" t="inlineStr">
        <is>
          <t>en es fr de it pt ja ko ru 汉语 漢語</t>
        </is>
      </c>
      <c r="G615" t="n">
        <v>1172</v>
      </c>
      <c r="H615">
        <f>MONTH(NOW())+12*YEAR(NOW())-MONTH(tbl_MTG_Set[[#This Row],[Released On]])-12*YEAR(tbl_MTG_Set[[#This Row],[Released On]])</f>
        <v/>
      </c>
      <c r="I615">
        <f>_xlfn.XLOOKUP(tbl_MTG_Set[[#This Row],[Type Name]], tbl_MTG_Set_Type[Set Type], tbl_MTG_Set_Type[Index], "(Set Type not found)")</f>
        <v/>
      </c>
      <c r="J615">
        <f>_xlfn.XLOOKUP(tbl_MTG_Set[[#This Row],[Type Name]], tbl_MTG_Set_Type[Set Type], tbl_MTG_Set_Type[Buy Window Month Start], "(Set Type not found)")</f>
        <v/>
      </c>
      <c r="K615" s="3">
        <f>tbl_MTG_Set[[#This Row],[Released On]]+tbl_MTG_Set[[#This Row],[Buy Window Month Start]]*365.25/12</f>
        <v/>
      </c>
      <c r="L615">
        <f>_xlfn.XLOOKUP(tbl_MTG_Set[[#This Row],[Type Name]], tbl_MTG_Set_Type[Set Type], tbl_MTG_Set_Type[Buy Window Month End], "(Set Type not found)", 0, 1)</f>
        <v/>
      </c>
      <c r="M615" s="3">
        <f>tbl_MTG_Set[[#This Row],[Released On]]+tbl_MTG_Set[[#This Row],[Buy Window Month End]]*365.25/12</f>
        <v/>
      </c>
      <c r="N615" s="3">
        <f>AND(NOW()&gt;=tbl_MTG_Set[[#This Row],[Buy Window Start]], NOW()&lt;=tbl_MTG_Set[[#This Row],[Buy Window End]])</f>
        <v/>
      </c>
      <c r="O615">
        <f>_xlfn.XLOOKUP(tbl_MTG_Set[[#This Row],[Type Name]], tbl_MTG_Set_Type[Set Type], tbl_MTG_Set_Type[Heavy Printing Window Month Start], "(Set Type not found)", 0, 1)</f>
        <v/>
      </c>
      <c r="P615" s="3">
        <f>tbl_MTG_Set[[#This Row],[Released On]]+tbl_MTG_Set[[#This Row],[Heavy Printing Window Month Start]]*365.25/12</f>
        <v/>
      </c>
      <c r="Q615">
        <f>_xlfn.XLOOKUP(tbl_MTG_Set[[#This Row],[Type Name]], tbl_MTG_Set_Type[Set Type], tbl_MTG_Set_Type[Heavy Printing Window Month End], "(Set Type not found)", 0, 1)</f>
        <v/>
      </c>
      <c r="R615" s="3">
        <f>tbl_MTG_Set[[#This Row],[Released On]]+tbl_MTG_Set[[#This Row],[Heavy Printing Window Month End]]*365.25/12</f>
        <v/>
      </c>
      <c r="S615" s="3">
        <f>AND(NOW()&gt;=tbl_MTG_Set[[#This Row],[Heavy Printing Window Start]], NOW()&lt;=tbl_MTG_Set[[#This Row],[Heavy Printing Window End]])</f>
        <v/>
      </c>
      <c r="T615">
        <f>_xlfn.XLOOKUP(tbl_MTG_Set[[#This Row],[Type Name]], tbl_MTG_Set_Type[Set Type], tbl_MTG_Set_Type[Sell Window Month Start], "(Set Type not found)", 0, 1)</f>
        <v/>
      </c>
      <c r="U615" s="3">
        <f>tbl_MTG_Set[[#This Row],[Released On]]+tbl_MTG_Set[[#This Row],[Sell Window Month Start]]*365.25/12</f>
        <v/>
      </c>
      <c r="V615">
        <f>_xlfn.XLOOKUP(tbl_MTG_Set[[#This Row],[Type Name]], tbl_MTG_Set_Type[Set Type], tbl_MTG_Set_Type[Sell Window Month End], "(Set Type not found)", 0, 1)</f>
        <v/>
      </c>
      <c r="W615" s="3">
        <f>tbl_MTG_Set[[#This Row],[Released On]]+tbl_MTG_Set[[#This Row],[Sell Window Month End]]*365.25/12</f>
        <v/>
      </c>
      <c r="X615" s="3">
        <f>AND(NOW()&gt;=tbl_MTG_Set[[#This Row],[Sell Window Start]], NOW()&lt;=tbl_MTG_Set[[#This Row],[Sell Window End]])</f>
        <v/>
      </c>
      <c r="AG615" s="10" t="n"/>
      <c r="AH615" s="10" t="n"/>
      <c r="AM615" s="10">
        <f t="array" ref="AM6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5" s="10">
        <f t="array" ref="AN6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5" s="4">
        <f>_xlfn.XLOOKUP(tbl_MTG_Set[[#This Row],[Play Booster Box Product Id]], tbl_Product[Product Id], tbl_Product[Pack Size])</f>
        <v/>
      </c>
      <c r="AP615" s="10">
        <f>(tbl_MTG_Set[[#This Row],[Play Booster Box Cost]]+v_Item_Shipping_Cost_In)/tbl_MTG_Set[[#This Row],[Play Booster Box Size]]</f>
        <v/>
      </c>
      <c r="AQ615" s="10">
        <f t="array" ref="AQ6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5" s="10" t="n"/>
      <c r="AS615" s="10" t="n"/>
      <c r="AT615" s="17">
        <f>tbl_MTG_Set[[#This Row],[Play Booster CardMarket Profit]]/tbl_MTG_Set[[#This Row],[Play Booster Cost]]</f>
        <v/>
      </c>
      <c r="AU615" s="10">
        <f>_xlfn.XLOOKUP(tbl_MTG_Set[[#This Row],[Collector Booster Box Product Id]], tbl_Product[Product Id], tbl_Product[Min Cost])</f>
        <v/>
      </c>
      <c r="AV615" s="10">
        <f>_xlfn.XLOOKUP(tbl_MTG_Set[[#This Row],[Collector Booster Box Product Id]], tbl_Product[Product Id], tbl_Product[Best Source])</f>
        <v/>
      </c>
      <c r="AW615" s="4">
        <f>_xlfn.XLOOKUP(tbl_MTG_Set[[#This Row],[Collector Booster Box Product Id]], tbl_Product[Product Id], tbl_Product[Pack Size])</f>
        <v/>
      </c>
      <c r="AX615" s="10">
        <f>(tbl_MTG_Set[[#This Row],[Collector Booster Box Cost]] + v_Item_Shipping_Cost_In) / tbl_MTG_Set[[#This Row],[Collector Booster Box Size]]</f>
        <v/>
      </c>
      <c r="AY615" s="10">
        <f t="array" ref="AY6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5" s="10" t="n"/>
      <c r="BA6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5" s="17">
        <f>tbl_MTG_Set[[#This Row],[Collector Booster CardMarket Profit]]/tbl_MTG_Set[[#This Row],[Collector Booster Cost]]</f>
        <v/>
      </c>
      <c r="BC615" s="10" t="n"/>
      <c r="BF615" s="10">
        <f>tbl_MTG_Set[[#This Row],[Play Booster Sell Price CardMarket]]*tbl_MTG_Set[[#This Row],[Play Booster Expected Market Value]]/tbl_MTG_Set[[#This Row],[Play Boost Sealed Market Value]]</f>
        <v/>
      </c>
      <c r="BG6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5" s="10">
        <f>tbl_MTG_Set[[#This Row],[Play Singles CardMarket Profit]]/tbl_MTG_Set[[#This Row],[Play Booster Cost]]</f>
        <v/>
      </c>
      <c r="BI615" s="10">
        <f>tbl_MTG_Set[[#This Row],[Play Singles CardMarket Profit]]&gt;0</f>
        <v/>
      </c>
      <c r="BJ615" s="10" t="n"/>
      <c r="BK615" s="10" t="n"/>
      <c r="BL615" s="10">
        <f>tbl_MTG_Set[[#This Row],[Collector Booster Sell Price CardMarket]]*tbl_MTG_Set[[#This Row],[Collector Booster Expected Market Value]]/tbl_MTG_Set[[#This Row],[Collector Boost Sealed Market Value]]</f>
        <v/>
      </c>
      <c r="BM6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5" s="10">
        <f>tbl_MTG_Set[[#This Row],[Collector Singles CardMarket Profit]]/tbl_MTG_Set[[#This Row],[Collector Booster Cost]]</f>
        <v/>
      </c>
      <c r="BO615" s="10">
        <f>tbl_MTG_Set[[#This Row],[Collector Singles CardMarket Profit]]&gt;0</f>
        <v/>
      </c>
      <c r="BP6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6">
      <c r="A616" t="n">
        <v>614</v>
      </c>
      <c r="B616" t="inlineStr">
        <is>
          <t>Duel Decks Anthology: Elves vs. Goblins EVG</t>
        </is>
      </c>
      <c r="C616" t="n">
        <v>62</v>
      </c>
      <c r="D616" s="3" t="n">
        <v>41978</v>
      </c>
      <c r="F616" t="inlineStr">
        <is>
          <t>en es fr de it pt ja ko ru 汉语 漢語</t>
        </is>
      </c>
      <c r="G616" t="n">
        <v>1174</v>
      </c>
      <c r="H616">
        <f>MONTH(NOW())+12*YEAR(NOW())-MONTH(tbl_MTG_Set[[#This Row],[Released On]])-12*YEAR(tbl_MTG_Set[[#This Row],[Released On]])</f>
        <v/>
      </c>
      <c r="I616">
        <f>_xlfn.XLOOKUP(tbl_MTG_Set[[#This Row],[Type Name]], tbl_MTG_Set_Type[Set Type], tbl_MTG_Set_Type[Index], "(Set Type not found)")</f>
        <v/>
      </c>
      <c r="J616">
        <f>_xlfn.XLOOKUP(tbl_MTG_Set[[#This Row],[Type Name]], tbl_MTG_Set_Type[Set Type], tbl_MTG_Set_Type[Buy Window Month Start], "(Set Type not found)")</f>
        <v/>
      </c>
      <c r="K616" s="3">
        <f>tbl_MTG_Set[[#This Row],[Released On]]+tbl_MTG_Set[[#This Row],[Buy Window Month Start]]*365.25/12</f>
        <v/>
      </c>
      <c r="L616">
        <f>_xlfn.XLOOKUP(tbl_MTG_Set[[#This Row],[Type Name]], tbl_MTG_Set_Type[Set Type], tbl_MTG_Set_Type[Buy Window Month End], "(Set Type not found)", 0, 1)</f>
        <v/>
      </c>
      <c r="M616" s="3">
        <f>tbl_MTG_Set[[#This Row],[Released On]]+tbl_MTG_Set[[#This Row],[Buy Window Month End]]*365.25/12</f>
        <v/>
      </c>
      <c r="N616" s="3">
        <f>AND(NOW()&gt;=tbl_MTG_Set[[#This Row],[Buy Window Start]], NOW()&lt;=tbl_MTG_Set[[#This Row],[Buy Window End]])</f>
        <v/>
      </c>
      <c r="O616">
        <f>_xlfn.XLOOKUP(tbl_MTG_Set[[#This Row],[Type Name]], tbl_MTG_Set_Type[Set Type], tbl_MTG_Set_Type[Heavy Printing Window Month Start], "(Set Type not found)", 0, 1)</f>
        <v/>
      </c>
      <c r="P616" s="3">
        <f>tbl_MTG_Set[[#This Row],[Released On]]+tbl_MTG_Set[[#This Row],[Heavy Printing Window Month Start]]*365.25/12</f>
        <v/>
      </c>
      <c r="Q616">
        <f>_xlfn.XLOOKUP(tbl_MTG_Set[[#This Row],[Type Name]], tbl_MTG_Set_Type[Set Type], tbl_MTG_Set_Type[Heavy Printing Window Month End], "(Set Type not found)", 0, 1)</f>
        <v/>
      </c>
      <c r="R616" s="3">
        <f>tbl_MTG_Set[[#This Row],[Released On]]+tbl_MTG_Set[[#This Row],[Heavy Printing Window Month End]]*365.25/12</f>
        <v/>
      </c>
      <c r="S616" s="3">
        <f>AND(NOW()&gt;=tbl_MTG_Set[[#This Row],[Heavy Printing Window Start]], NOW()&lt;=tbl_MTG_Set[[#This Row],[Heavy Printing Window End]])</f>
        <v/>
      </c>
      <c r="T616">
        <f>_xlfn.XLOOKUP(tbl_MTG_Set[[#This Row],[Type Name]], tbl_MTG_Set_Type[Set Type], tbl_MTG_Set_Type[Sell Window Month Start], "(Set Type not found)", 0, 1)</f>
        <v/>
      </c>
      <c r="U616" s="3">
        <f>tbl_MTG_Set[[#This Row],[Released On]]+tbl_MTG_Set[[#This Row],[Sell Window Month Start]]*365.25/12</f>
        <v/>
      </c>
      <c r="V616">
        <f>_xlfn.XLOOKUP(tbl_MTG_Set[[#This Row],[Type Name]], tbl_MTG_Set_Type[Set Type], tbl_MTG_Set_Type[Sell Window Month End], "(Set Type not found)", 0, 1)</f>
        <v/>
      </c>
      <c r="W616" s="3">
        <f>tbl_MTG_Set[[#This Row],[Released On]]+tbl_MTG_Set[[#This Row],[Sell Window Month End]]*365.25/12</f>
        <v/>
      </c>
      <c r="X616" s="3">
        <f>AND(NOW()&gt;=tbl_MTG_Set[[#This Row],[Sell Window Start]], NOW()&lt;=tbl_MTG_Set[[#This Row],[Sell Window End]])</f>
        <v/>
      </c>
      <c r="AG616" s="10" t="n"/>
      <c r="AH616" s="10" t="n"/>
      <c r="AM616" s="10">
        <f t="array" ref="AM6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6" s="10">
        <f t="array" ref="AN6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6" s="4">
        <f>_xlfn.XLOOKUP(tbl_MTG_Set[[#This Row],[Play Booster Box Product Id]], tbl_Product[Product Id], tbl_Product[Pack Size])</f>
        <v/>
      </c>
      <c r="AP616" s="10">
        <f>(tbl_MTG_Set[[#This Row],[Play Booster Box Cost]]+v_Item_Shipping_Cost_In)/tbl_MTG_Set[[#This Row],[Play Booster Box Size]]</f>
        <v/>
      </c>
      <c r="AQ616" s="10">
        <f t="array" ref="AQ6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6" s="10" t="n"/>
      <c r="AS616" s="10" t="n"/>
      <c r="AT616" s="17">
        <f>tbl_MTG_Set[[#This Row],[Play Booster CardMarket Profit]]/tbl_MTG_Set[[#This Row],[Play Booster Cost]]</f>
        <v/>
      </c>
      <c r="AU616" s="10">
        <f>_xlfn.XLOOKUP(tbl_MTG_Set[[#This Row],[Collector Booster Box Product Id]], tbl_Product[Product Id], tbl_Product[Min Cost])</f>
        <v/>
      </c>
      <c r="AV616" s="10">
        <f>_xlfn.XLOOKUP(tbl_MTG_Set[[#This Row],[Collector Booster Box Product Id]], tbl_Product[Product Id], tbl_Product[Best Source])</f>
        <v/>
      </c>
      <c r="AW616" s="4">
        <f>_xlfn.XLOOKUP(tbl_MTG_Set[[#This Row],[Collector Booster Box Product Id]], tbl_Product[Product Id], tbl_Product[Pack Size])</f>
        <v/>
      </c>
      <c r="AX616" s="10">
        <f>(tbl_MTG_Set[[#This Row],[Collector Booster Box Cost]] + v_Item_Shipping_Cost_In) / tbl_MTG_Set[[#This Row],[Collector Booster Box Size]]</f>
        <v/>
      </c>
      <c r="AY616" s="10">
        <f t="array" ref="AY6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6" s="10" t="n"/>
      <c r="BA6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6" s="17">
        <f>tbl_MTG_Set[[#This Row],[Collector Booster CardMarket Profit]]/tbl_MTG_Set[[#This Row],[Collector Booster Cost]]</f>
        <v/>
      </c>
      <c r="BC616" s="10" t="n"/>
      <c r="BF616" s="10">
        <f>tbl_MTG_Set[[#This Row],[Play Booster Sell Price CardMarket]]*tbl_MTG_Set[[#This Row],[Play Booster Expected Market Value]]/tbl_MTG_Set[[#This Row],[Play Boost Sealed Market Value]]</f>
        <v/>
      </c>
      <c r="BG6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6" s="10">
        <f>tbl_MTG_Set[[#This Row],[Play Singles CardMarket Profit]]/tbl_MTG_Set[[#This Row],[Play Booster Cost]]</f>
        <v/>
      </c>
      <c r="BI616" s="10">
        <f>tbl_MTG_Set[[#This Row],[Play Singles CardMarket Profit]]&gt;0</f>
        <v/>
      </c>
      <c r="BJ616" s="10" t="n"/>
      <c r="BK616" s="10" t="n"/>
      <c r="BL616" s="10">
        <f>tbl_MTG_Set[[#This Row],[Collector Booster Sell Price CardMarket]]*tbl_MTG_Set[[#This Row],[Collector Booster Expected Market Value]]/tbl_MTG_Set[[#This Row],[Collector Boost Sealed Market Value]]</f>
        <v/>
      </c>
      <c r="BM6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6" s="10">
        <f>tbl_MTG_Set[[#This Row],[Collector Singles CardMarket Profit]]/tbl_MTG_Set[[#This Row],[Collector Booster Cost]]</f>
        <v/>
      </c>
      <c r="BO616" s="10">
        <f>tbl_MTG_Set[[#This Row],[Collector Singles CardMarket Profit]]&gt;0</f>
        <v/>
      </c>
      <c r="BP6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7">
      <c r="A617" t="n">
        <v>615</v>
      </c>
      <c r="B617" t="inlineStr">
        <is>
          <t>Duel Decks Anthology: Elves vs. Goblins Tokens TEVG</t>
        </is>
      </c>
      <c r="C617" t="n">
        <v>3</v>
      </c>
      <c r="D617" s="3" t="n">
        <v>41978</v>
      </c>
      <c r="F617" t="inlineStr">
        <is>
          <t>en es fr de it pt ja ko ru 汉语 漢語</t>
        </is>
      </c>
      <c r="G617" t="n">
        <v>1176</v>
      </c>
      <c r="H617">
        <f>MONTH(NOW())+12*YEAR(NOW())-MONTH(tbl_MTG_Set[[#This Row],[Released On]])-12*YEAR(tbl_MTG_Set[[#This Row],[Released On]])</f>
        <v/>
      </c>
      <c r="I617">
        <f>_xlfn.XLOOKUP(tbl_MTG_Set[[#This Row],[Type Name]], tbl_MTG_Set_Type[Set Type], tbl_MTG_Set_Type[Index], "(Set Type not found)")</f>
        <v/>
      </c>
      <c r="J617">
        <f>_xlfn.XLOOKUP(tbl_MTG_Set[[#This Row],[Type Name]], tbl_MTG_Set_Type[Set Type], tbl_MTG_Set_Type[Buy Window Month Start], "(Set Type not found)")</f>
        <v/>
      </c>
      <c r="K617" s="3">
        <f>tbl_MTG_Set[[#This Row],[Released On]]+tbl_MTG_Set[[#This Row],[Buy Window Month Start]]*365.25/12</f>
        <v/>
      </c>
      <c r="L617">
        <f>_xlfn.XLOOKUP(tbl_MTG_Set[[#This Row],[Type Name]], tbl_MTG_Set_Type[Set Type], tbl_MTG_Set_Type[Buy Window Month End], "(Set Type not found)", 0, 1)</f>
        <v/>
      </c>
      <c r="M617" s="3">
        <f>tbl_MTG_Set[[#This Row],[Released On]]+tbl_MTG_Set[[#This Row],[Buy Window Month End]]*365.25/12</f>
        <v/>
      </c>
      <c r="N617" s="3">
        <f>AND(NOW()&gt;=tbl_MTG_Set[[#This Row],[Buy Window Start]], NOW()&lt;=tbl_MTG_Set[[#This Row],[Buy Window End]])</f>
        <v/>
      </c>
      <c r="O617">
        <f>_xlfn.XLOOKUP(tbl_MTG_Set[[#This Row],[Type Name]], tbl_MTG_Set_Type[Set Type], tbl_MTG_Set_Type[Heavy Printing Window Month Start], "(Set Type not found)", 0, 1)</f>
        <v/>
      </c>
      <c r="P617" s="3">
        <f>tbl_MTG_Set[[#This Row],[Released On]]+tbl_MTG_Set[[#This Row],[Heavy Printing Window Month Start]]*365.25/12</f>
        <v/>
      </c>
      <c r="Q617">
        <f>_xlfn.XLOOKUP(tbl_MTG_Set[[#This Row],[Type Name]], tbl_MTG_Set_Type[Set Type], tbl_MTG_Set_Type[Heavy Printing Window Month End], "(Set Type not found)", 0, 1)</f>
        <v/>
      </c>
      <c r="R617" s="3">
        <f>tbl_MTG_Set[[#This Row],[Released On]]+tbl_MTG_Set[[#This Row],[Heavy Printing Window Month End]]*365.25/12</f>
        <v/>
      </c>
      <c r="S617" s="3">
        <f>AND(NOW()&gt;=tbl_MTG_Set[[#This Row],[Heavy Printing Window Start]], NOW()&lt;=tbl_MTG_Set[[#This Row],[Heavy Printing Window End]])</f>
        <v/>
      </c>
      <c r="T617">
        <f>_xlfn.XLOOKUP(tbl_MTG_Set[[#This Row],[Type Name]], tbl_MTG_Set_Type[Set Type], tbl_MTG_Set_Type[Sell Window Month Start], "(Set Type not found)", 0, 1)</f>
        <v/>
      </c>
      <c r="U617" s="3">
        <f>tbl_MTG_Set[[#This Row],[Released On]]+tbl_MTG_Set[[#This Row],[Sell Window Month Start]]*365.25/12</f>
        <v/>
      </c>
      <c r="V617">
        <f>_xlfn.XLOOKUP(tbl_MTG_Set[[#This Row],[Type Name]], tbl_MTG_Set_Type[Set Type], tbl_MTG_Set_Type[Sell Window Month End], "(Set Type not found)", 0, 1)</f>
        <v/>
      </c>
      <c r="W617" s="3">
        <f>tbl_MTG_Set[[#This Row],[Released On]]+tbl_MTG_Set[[#This Row],[Sell Window Month End]]*365.25/12</f>
        <v/>
      </c>
      <c r="X617" s="3">
        <f>AND(NOW()&gt;=tbl_MTG_Set[[#This Row],[Sell Window Start]], NOW()&lt;=tbl_MTG_Set[[#This Row],[Sell Window End]])</f>
        <v/>
      </c>
      <c r="AG617" s="10" t="n"/>
      <c r="AH617" s="10" t="n"/>
      <c r="AM617" s="10">
        <f t="array" ref="AM6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7" s="10">
        <f t="array" ref="AN6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7" s="4">
        <f>_xlfn.XLOOKUP(tbl_MTG_Set[[#This Row],[Play Booster Box Product Id]], tbl_Product[Product Id], tbl_Product[Pack Size])</f>
        <v/>
      </c>
      <c r="AP617" s="10">
        <f>(tbl_MTG_Set[[#This Row],[Play Booster Box Cost]]+v_Item_Shipping_Cost_In)/tbl_MTG_Set[[#This Row],[Play Booster Box Size]]</f>
        <v/>
      </c>
      <c r="AQ617" s="10">
        <f t="array" ref="AQ6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7" s="10" t="n"/>
      <c r="AS617" s="10" t="n"/>
      <c r="AT617" s="17">
        <f>tbl_MTG_Set[[#This Row],[Play Booster CardMarket Profit]]/tbl_MTG_Set[[#This Row],[Play Booster Cost]]</f>
        <v/>
      </c>
      <c r="AU617" s="10">
        <f>_xlfn.XLOOKUP(tbl_MTG_Set[[#This Row],[Collector Booster Box Product Id]], tbl_Product[Product Id], tbl_Product[Min Cost])</f>
        <v/>
      </c>
      <c r="AV617" s="10">
        <f>_xlfn.XLOOKUP(tbl_MTG_Set[[#This Row],[Collector Booster Box Product Id]], tbl_Product[Product Id], tbl_Product[Best Source])</f>
        <v/>
      </c>
      <c r="AW617" s="4">
        <f>_xlfn.XLOOKUP(tbl_MTG_Set[[#This Row],[Collector Booster Box Product Id]], tbl_Product[Product Id], tbl_Product[Pack Size])</f>
        <v/>
      </c>
      <c r="AX617" s="10">
        <f>(tbl_MTG_Set[[#This Row],[Collector Booster Box Cost]] + v_Item_Shipping_Cost_In) / tbl_MTG_Set[[#This Row],[Collector Booster Box Size]]</f>
        <v/>
      </c>
      <c r="AY617" s="10">
        <f t="array" ref="AY6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7" s="10" t="n"/>
      <c r="BA6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7" s="17">
        <f>tbl_MTG_Set[[#This Row],[Collector Booster CardMarket Profit]]/tbl_MTG_Set[[#This Row],[Collector Booster Cost]]</f>
        <v/>
      </c>
      <c r="BC617" s="10" t="n"/>
      <c r="BF617" s="10">
        <f>tbl_MTG_Set[[#This Row],[Play Booster Sell Price CardMarket]]*tbl_MTG_Set[[#This Row],[Play Booster Expected Market Value]]/tbl_MTG_Set[[#This Row],[Play Boost Sealed Market Value]]</f>
        <v/>
      </c>
      <c r="BG6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7" s="10">
        <f>tbl_MTG_Set[[#This Row],[Play Singles CardMarket Profit]]/tbl_MTG_Set[[#This Row],[Play Booster Cost]]</f>
        <v/>
      </c>
      <c r="BI617" s="10">
        <f>tbl_MTG_Set[[#This Row],[Play Singles CardMarket Profit]]&gt;0</f>
        <v/>
      </c>
      <c r="BJ617" s="10" t="n"/>
      <c r="BK617" s="10" t="n"/>
      <c r="BL617" s="10">
        <f>tbl_MTG_Set[[#This Row],[Collector Booster Sell Price CardMarket]]*tbl_MTG_Set[[#This Row],[Collector Booster Expected Market Value]]/tbl_MTG_Set[[#This Row],[Collector Boost Sealed Market Value]]</f>
        <v/>
      </c>
      <c r="BM6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7" s="10">
        <f>tbl_MTG_Set[[#This Row],[Collector Singles CardMarket Profit]]/tbl_MTG_Set[[#This Row],[Collector Booster Cost]]</f>
        <v/>
      </c>
      <c r="BO617" s="10">
        <f>tbl_MTG_Set[[#This Row],[Collector Singles CardMarket Profit]]&gt;0</f>
        <v/>
      </c>
      <c r="BP6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8">
      <c r="A618" t="n">
        <v>616</v>
      </c>
      <c r="B618" t="inlineStr">
        <is>
          <t>Duel Decks Anthology: Garruk vs. Liliana GVL</t>
        </is>
      </c>
      <c r="C618" t="n">
        <v>63</v>
      </c>
      <c r="D618" s="3" t="n">
        <v>41978</v>
      </c>
      <c r="F618" t="inlineStr">
        <is>
          <t>en es fr de it pt ja ko ru 汉语 漢語</t>
        </is>
      </c>
      <c r="G618" t="n">
        <v>1178</v>
      </c>
      <c r="H618">
        <f>MONTH(NOW())+12*YEAR(NOW())-MONTH(tbl_MTG_Set[[#This Row],[Released On]])-12*YEAR(tbl_MTG_Set[[#This Row],[Released On]])</f>
        <v/>
      </c>
      <c r="I618">
        <f>_xlfn.XLOOKUP(tbl_MTG_Set[[#This Row],[Type Name]], tbl_MTG_Set_Type[Set Type], tbl_MTG_Set_Type[Index], "(Set Type not found)")</f>
        <v/>
      </c>
      <c r="J618">
        <f>_xlfn.XLOOKUP(tbl_MTG_Set[[#This Row],[Type Name]], tbl_MTG_Set_Type[Set Type], tbl_MTG_Set_Type[Buy Window Month Start], "(Set Type not found)")</f>
        <v/>
      </c>
      <c r="K618" s="3">
        <f>tbl_MTG_Set[[#This Row],[Released On]]+tbl_MTG_Set[[#This Row],[Buy Window Month Start]]*365.25/12</f>
        <v/>
      </c>
      <c r="L618">
        <f>_xlfn.XLOOKUP(tbl_MTG_Set[[#This Row],[Type Name]], tbl_MTG_Set_Type[Set Type], tbl_MTG_Set_Type[Buy Window Month End], "(Set Type not found)", 0, 1)</f>
        <v/>
      </c>
      <c r="M618" s="3">
        <f>tbl_MTG_Set[[#This Row],[Released On]]+tbl_MTG_Set[[#This Row],[Buy Window Month End]]*365.25/12</f>
        <v/>
      </c>
      <c r="N618" s="3">
        <f>AND(NOW()&gt;=tbl_MTG_Set[[#This Row],[Buy Window Start]], NOW()&lt;=tbl_MTG_Set[[#This Row],[Buy Window End]])</f>
        <v/>
      </c>
      <c r="O618">
        <f>_xlfn.XLOOKUP(tbl_MTG_Set[[#This Row],[Type Name]], tbl_MTG_Set_Type[Set Type], tbl_MTG_Set_Type[Heavy Printing Window Month Start], "(Set Type not found)", 0, 1)</f>
        <v/>
      </c>
      <c r="P618" s="3">
        <f>tbl_MTG_Set[[#This Row],[Released On]]+tbl_MTG_Set[[#This Row],[Heavy Printing Window Month Start]]*365.25/12</f>
        <v/>
      </c>
      <c r="Q618">
        <f>_xlfn.XLOOKUP(tbl_MTG_Set[[#This Row],[Type Name]], tbl_MTG_Set_Type[Set Type], tbl_MTG_Set_Type[Heavy Printing Window Month End], "(Set Type not found)", 0, 1)</f>
        <v/>
      </c>
      <c r="R618" s="3">
        <f>tbl_MTG_Set[[#This Row],[Released On]]+tbl_MTG_Set[[#This Row],[Heavy Printing Window Month End]]*365.25/12</f>
        <v/>
      </c>
      <c r="S618" s="3">
        <f>AND(NOW()&gt;=tbl_MTG_Set[[#This Row],[Heavy Printing Window Start]], NOW()&lt;=tbl_MTG_Set[[#This Row],[Heavy Printing Window End]])</f>
        <v/>
      </c>
      <c r="T618">
        <f>_xlfn.XLOOKUP(tbl_MTG_Set[[#This Row],[Type Name]], tbl_MTG_Set_Type[Set Type], tbl_MTG_Set_Type[Sell Window Month Start], "(Set Type not found)", 0, 1)</f>
        <v/>
      </c>
      <c r="U618" s="3">
        <f>tbl_MTG_Set[[#This Row],[Released On]]+tbl_MTG_Set[[#This Row],[Sell Window Month Start]]*365.25/12</f>
        <v/>
      </c>
      <c r="V618">
        <f>_xlfn.XLOOKUP(tbl_MTG_Set[[#This Row],[Type Name]], tbl_MTG_Set_Type[Set Type], tbl_MTG_Set_Type[Sell Window Month End], "(Set Type not found)", 0, 1)</f>
        <v/>
      </c>
      <c r="W618" s="3">
        <f>tbl_MTG_Set[[#This Row],[Released On]]+tbl_MTG_Set[[#This Row],[Sell Window Month End]]*365.25/12</f>
        <v/>
      </c>
      <c r="X618" s="3">
        <f>AND(NOW()&gt;=tbl_MTG_Set[[#This Row],[Sell Window Start]], NOW()&lt;=tbl_MTG_Set[[#This Row],[Sell Window End]])</f>
        <v/>
      </c>
      <c r="AG618" s="10" t="n"/>
      <c r="AH618" s="10" t="n"/>
      <c r="AM618" s="10">
        <f t="array" ref="AM6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8" s="10">
        <f t="array" ref="AN6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8" s="4">
        <f>_xlfn.XLOOKUP(tbl_MTG_Set[[#This Row],[Play Booster Box Product Id]], tbl_Product[Product Id], tbl_Product[Pack Size])</f>
        <v/>
      </c>
      <c r="AP618" s="10">
        <f>(tbl_MTG_Set[[#This Row],[Play Booster Box Cost]]+v_Item_Shipping_Cost_In)/tbl_MTG_Set[[#This Row],[Play Booster Box Size]]</f>
        <v/>
      </c>
      <c r="AQ618" s="10">
        <f t="array" ref="AQ6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8" s="10" t="n"/>
      <c r="AS618" s="10" t="n"/>
      <c r="AT618" s="17">
        <f>tbl_MTG_Set[[#This Row],[Play Booster CardMarket Profit]]/tbl_MTG_Set[[#This Row],[Play Booster Cost]]</f>
        <v/>
      </c>
      <c r="AU618" s="10">
        <f>_xlfn.XLOOKUP(tbl_MTG_Set[[#This Row],[Collector Booster Box Product Id]], tbl_Product[Product Id], tbl_Product[Min Cost])</f>
        <v/>
      </c>
      <c r="AV618" s="10">
        <f>_xlfn.XLOOKUP(tbl_MTG_Set[[#This Row],[Collector Booster Box Product Id]], tbl_Product[Product Id], tbl_Product[Best Source])</f>
        <v/>
      </c>
      <c r="AW618" s="4">
        <f>_xlfn.XLOOKUP(tbl_MTG_Set[[#This Row],[Collector Booster Box Product Id]], tbl_Product[Product Id], tbl_Product[Pack Size])</f>
        <v/>
      </c>
      <c r="AX618" s="10">
        <f>(tbl_MTG_Set[[#This Row],[Collector Booster Box Cost]] + v_Item_Shipping_Cost_In) / tbl_MTG_Set[[#This Row],[Collector Booster Box Size]]</f>
        <v/>
      </c>
      <c r="AY618" s="10">
        <f t="array" ref="AY6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8" s="10" t="n"/>
      <c r="BA6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8" s="17">
        <f>tbl_MTG_Set[[#This Row],[Collector Booster CardMarket Profit]]/tbl_MTG_Set[[#This Row],[Collector Booster Cost]]</f>
        <v/>
      </c>
      <c r="BC618" s="10" t="n"/>
      <c r="BF618" s="10">
        <f>tbl_MTG_Set[[#This Row],[Play Booster Sell Price CardMarket]]*tbl_MTG_Set[[#This Row],[Play Booster Expected Market Value]]/tbl_MTG_Set[[#This Row],[Play Boost Sealed Market Value]]</f>
        <v/>
      </c>
      <c r="BG6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8" s="10">
        <f>tbl_MTG_Set[[#This Row],[Play Singles CardMarket Profit]]/tbl_MTG_Set[[#This Row],[Play Booster Cost]]</f>
        <v/>
      </c>
      <c r="BI618" s="10">
        <f>tbl_MTG_Set[[#This Row],[Play Singles CardMarket Profit]]&gt;0</f>
        <v/>
      </c>
      <c r="BJ618" s="10" t="n"/>
      <c r="BK618" s="10" t="n"/>
      <c r="BL618" s="10">
        <f>tbl_MTG_Set[[#This Row],[Collector Booster Sell Price CardMarket]]*tbl_MTG_Set[[#This Row],[Collector Booster Expected Market Value]]/tbl_MTG_Set[[#This Row],[Collector Boost Sealed Market Value]]</f>
        <v/>
      </c>
      <c r="BM6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8" s="10">
        <f>tbl_MTG_Set[[#This Row],[Collector Singles CardMarket Profit]]/tbl_MTG_Set[[#This Row],[Collector Booster Cost]]</f>
        <v/>
      </c>
      <c r="BO618" s="10">
        <f>tbl_MTG_Set[[#This Row],[Collector Singles CardMarket Profit]]&gt;0</f>
        <v/>
      </c>
      <c r="BP6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9">
      <c r="A619" t="n">
        <v>617</v>
      </c>
      <c r="B619" t="inlineStr">
        <is>
          <t>Duel Decks Anthology: Garruk vs. Liliana Tokens TGVL</t>
        </is>
      </c>
      <c r="C619" t="n">
        <v>4</v>
      </c>
      <c r="D619" s="3" t="n">
        <v>41978</v>
      </c>
      <c r="F619" t="inlineStr">
        <is>
          <t>en es fr de it pt ja ko ru 汉语 漢語</t>
        </is>
      </c>
      <c r="G619" t="n">
        <v>1180</v>
      </c>
      <c r="H619">
        <f>MONTH(NOW())+12*YEAR(NOW())-MONTH(tbl_MTG_Set[[#This Row],[Released On]])-12*YEAR(tbl_MTG_Set[[#This Row],[Released On]])</f>
        <v/>
      </c>
      <c r="I619">
        <f>_xlfn.XLOOKUP(tbl_MTG_Set[[#This Row],[Type Name]], tbl_MTG_Set_Type[Set Type], tbl_MTG_Set_Type[Index], "(Set Type not found)")</f>
        <v/>
      </c>
      <c r="J619">
        <f>_xlfn.XLOOKUP(tbl_MTG_Set[[#This Row],[Type Name]], tbl_MTG_Set_Type[Set Type], tbl_MTG_Set_Type[Buy Window Month Start], "(Set Type not found)")</f>
        <v/>
      </c>
      <c r="K619" s="3">
        <f>tbl_MTG_Set[[#This Row],[Released On]]+tbl_MTG_Set[[#This Row],[Buy Window Month Start]]*365.25/12</f>
        <v/>
      </c>
      <c r="L619">
        <f>_xlfn.XLOOKUP(tbl_MTG_Set[[#This Row],[Type Name]], tbl_MTG_Set_Type[Set Type], tbl_MTG_Set_Type[Buy Window Month End], "(Set Type not found)", 0, 1)</f>
        <v/>
      </c>
      <c r="M619" s="3">
        <f>tbl_MTG_Set[[#This Row],[Released On]]+tbl_MTG_Set[[#This Row],[Buy Window Month End]]*365.25/12</f>
        <v/>
      </c>
      <c r="N619" s="3">
        <f>AND(NOW()&gt;=tbl_MTG_Set[[#This Row],[Buy Window Start]], NOW()&lt;=tbl_MTG_Set[[#This Row],[Buy Window End]])</f>
        <v/>
      </c>
      <c r="O619">
        <f>_xlfn.XLOOKUP(tbl_MTG_Set[[#This Row],[Type Name]], tbl_MTG_Set_Type[Set Type], tbl_MTG_Set_Type[Heavy Printing Window Month Start], "(Set Type not found)", 0, 1)</f>
        <v/>
      </c>
      <c r="P619" s="3">
        <f>tbl_MTG_Set[[#This Row],[Released On]]+tbl_MTG_Set[[#This Row],[Heavy Printing Window Month Start]]*365.25/12</f>
        <v/>
      </c>
      <c r="Q619">
        <f>_xlfn.XLOOKUP(tbl_MTG_Set[[#This Row],[Type Name]], tbl_MTG_Set_Type[Set Type], tbl_MTG_Set_Type[Heavy Printing Window Month End], "(Set Type not found)", 0, 1)</f>
        <v/>
      </c>
      <c r="R619" s="3">
        <f>tbl_MTG_Set[[#This Row],[Released On]]+tbl_MTG_Set[[#This Row],[Heavy Printing Window Month End]]*365.25/12</f>
        <v/>
      </c>
      <c r="S619" s="3">
        <f>AND(NOW()&gt;=tbl_MTG_Set[[#This Row],[Heavy Printing Window Start]], NOW()&lt;=tbl_MTG_Set[[#This Row],[Heavy Printing Window End]])</f>
        <v/>
      </c>
      <c r="T619">
        <f>_xlfn.XLOOKUP(tbl_MTG_Set[[#This Row],[Type Name]], tbl_MTG_Set_Type[Set Type], tbl_MTG_Set_Type[Sell Window Month Start], "(Set Type not found)", 0, 1)</f>
        <v/>
      </c>
      <c r="U619" s="3">
        <f>tbl_MTG_Set[[#This Row],[Released On]]+tbl_MTG_Set[[#This Row],[Sell Window Month Start]]*365.25/12</f>
        <v/>
      </c>
      <c r="V619">
        <f>_xlfn.XLOOKUP(tbl_MTG_Set[[#This Row],[Type Name]], tbl_MTG_Set_Type[Set Type], tbl_MTG_Set_Type[Sell Window Month End], "(Set Type not found)", 0, 1)</f>
        <v/>
      </c>
      <c r="W619" s="3">
        <f>tbl_MTG_Set[[#This Row],[Released On]]+tbl_MTG_Set[[#This Row],[Sell Window Month End]]*365.25/12</f>
        <v/>
      </c>
      <c r="X619" s="3">
        <f>AND(NOW()&gt;=tbl_MTG_Set[[#This Row],[Sell Window Start]], NOW()&lt;=tbl_MTG_Set[[#This Row],[Sell Window End]])</f>
        <v/>
      </c>
      <c r="AG619" s="10" t="n"/>
      <c r="AH619" s="10" t="n"/>
      <c r="AM619" s="10">
        <f t="array" ref="AM6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9" s="10">
        <f t="array" ref="AN6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9" s="4">
        <f>_xlfn.XLOOKUP(tbl_MTG_Set[[#This Row],[Play Booster Box Product Id]], tbl_Product[Product Id], tbl_Product[Pack Size])</f>
        <v/>
      </c>
      <c r="AP619" s="10">
        <f>(tbl_MTG_Set[[#This Row],[Play Booster Box Cost]]+v_Item_Shipping_Cost_In)/tbl_MTG_Set[[#This Row],[Play Booster Box Size]]</f>
        <v/>
      </c>
      <c r="AQ619" s="10">
        <f t="array" ref="AQ6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19" s="10" t="n"/>
      <c r="AS619" s="10" t="n"/>
      <c r="AT619" s="17">
        <f>tbl_MTG_Set[[#This Row],[Play Booster CardMarket Profit]]/tbl_MTG_Set[[#This Row],[Play Booster Cost]]</f>
        <v/>
      </c>
      <c r="AU619" s="10">
        <f>_xlfn.XLOOKUP(tbl_MTG_Set[[#This Row],[Collector Booster Box Product Id]], tbl_Product[Product Id], tbl_Product[Min Cost])</f>
        <v/>
      </c>
      <c r="AV619" s="10">
        <f>_xlfn.XLOOKUP(tbl_MTG_Set[[#This Row],[Collector Booster Box Product Id]], tbl_Product[Product Id], tbl_Product[Best Source])</f>
        <v/>
      </c>
      <c r="AW619" s="4">
        <f>_xlfn.XLOOKUP(tbl_MTG_Set[[#This Row],[Collector Booster Box Product Id]], tbl_Product[Product Id], tbl_Product[Pack Size])</f>
        <v/>
      </c>
      <c r="AX619" s="10">
        <f>(tbl_MTG_Set[[#This Row],[Collector Booster Box Cost]] + v_Item_Shipping_Cost_In) / tbl_MTG_Set[[#This Row],[Collector Booster Box Size]]</f>
        <v/>
      </c>
      <c r="AY619" s="10">
        <f t="array" ref="AY6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19" s="10" t="n"/>
      <c r="BA6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9" s="17">
        <f>tbl_MTG_Set[[#This Row],[Collector Booster CardMarket Profit]]/tbl_MTG_Set[[#This Row],[Collector Booster Cost]]</f>
        <v/>
      </c>
      <c r="BC619" s="10" t="n"/>
      <c r="BF619" s="10">
        <f>tbl_MTG_Set[[#This Row],[Play Booster Sell Price CardMarket]]*tbl_MTG_Set[[#This Row],[Play Booster Expected Market Value]]/tbl_MTG_Set[[#This Row],[Play Boost Sealed Market Value]]</f>
        <v/>
      </c>
      <c r="BG6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9" s="10">
        <f>tbl_MTG_Set[[#This Row],[Play Singles CardMarket Profit]]/tbl_MTG_Set[[#This Row],[Play Booster Cost]]</f>
        <v/>
      </c>
      <c r="BI619" s="10">
        <f>tbl_MTG_Set[[#This Row],[Play Singles CardMarket Profit]]&gt;0</f>
        <v/>
      </c>
      <c r="BJ619" s="10" t="n"/>
      <c r="BK619" s="10" t="n"/>
      <c r="BL619" s="10">
        <f>tbl_MTG_Set[[#This Row],[Collector Booster Sell Price CardMarket]]*tbl_MTG_Set[[#This Row],[Collector Booster Expected Market Value]]/tbl_MTG_Set[[#This Row],[Collector Boost Sealed Market Value]]</f>
        <v/>
      </c>
      <c r="BM6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9" s="10">
        <f>tbl_MTG_Set[[#This Row],[Collector Singles CardMarket Profit]]/tbl_MTG_Set[[#This Row],[Collector Booster Cost]]</f>
        <v/>
      </c>
      <c r="BO619" s="10">
        <f>tbl_MTG_Set[[#This Row],[Collector Singles CardMarket Profit]]&gt;0</f>
        <v/>
      </c>
      <c r="BP6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0">
      <c r="A620" t="n">
        <v>618</v>
      </c>
      <c r="B620" t="inlineStr">
        <is>
          <t>Duel Decks Anthology: Jace vs. Chandra JVC</t>
        </is>
      </c>
      <c r="C620" t="n">
        <v>62</v>
      </c>
      <c r="D620" s="3" t="n">
        <v>41978</v>
      </c>
      <c r="F620" t="inlineStr">
        <is>
          <t>en es fr de it pt ja ko ru 汉语 漢語</t>
        </is>
      </c>
      <c r="G620" t="n">
        <v>1182</v>
      </c>
      <c r="H620">
        <f>MONTH(NOW())+12*YEAR(NOW())-MONTH(tbl_MTG_Set[[#This Row],[Released On]])-12*YEAR(tbl_MTG_Set[[#This Row],[Released On]])</f>
        <v/>
      </c>
      <c r="I620">
        <f>_xlfn.XLOOKUP(tbl_MTG_Set[[#This Row],[Type Name]], tbl_MTG_Set_Type[Set Type], tbl_MTG_Set_Type[Index], "(Set Type not found)")</f>
        <v/>
      </c>
      <c r="J620">
        <f>_xlfn.XLOOKUP(tbl_MTG_Set[[#This Row],[Type Name]], tbl_MTG_Set_Type[Set Type], tbl_MTG_Set_Type[Buy Window Month Start], "(Set Type not found)")</f>
        <v/>
      </c>
      <c r="K620" s="3">
        <f>tbl_MTG_Set[[#This Row],[Released On]]+tbl_MTG_Set[[#This Row],[Buy Window Month Start]]*365.25/12</f>
        <v/>
      </c>
      <c r="L620">
        <f>_xlfn.XLOOKUP(tbl_MTG_Set[[#This Row],[Type Name]], tbl_MTG_Set_Type[Set Type], tbl_MTG_Set_Type[Buy Window Month End], "(Set Type not found)", 0, 1)</f>
        <v/>
      </c>
      <c r="M620" s="3">
        <f>tbl_MTG_Set[[#This Row],[Released On]]+tbl_MTG_Set[[#This Row],[Buy Window Month End]]*365.25/12</f>
        <v/>
      </c>
      <c r="N620" s="3">
        <f>AND(NOW()&gt;=tbl_MTG_Set[[#This Row],[Buy Window Start]], NOW()&lt;=tbl_MTG_Set[[#This Row],[Buy Window End]])</f>
        <v/>
      </c>
      <c r="O620">
        <f>_xlfn.XLOOKUP(tbl_MTG_Set[[#This Row],[Type Name]], tbl_MTG_Set_Type[Set Type], tbl_MTG_Set_Type[Heavy Printing Window Month Start], "(Set Type not found)", 0, 1)</f>
        <v/>
      </c>
      <c r="P620" s="3">
        <f>tbl_MTG_Set[[#This Row],[Released On]]+tbl_MTG_Set[[#This Row],[Heavy Printing Window Month Start]]*365.25/12</f>
        <v/>
      </c>
      <c r="Q620">
        <f>_xlfn.XLOOKUP(tbl_MTG_Set[[#This Row],[Type Name]], tbl_MTG_Set_Type[Set Type], tbl_MTG_Set_Type[Heavy Printing Window Month End], "(Set Type not found)", 0, 1)</f>
        <v/>
      </c>
      <c r="R620" s="3">
        <f>tbl_MTG_Set[[#This Row],[Released On]]+tbl_MTG_Set[[#This Row],[Heavy Printing Window Month End]]*365.25/12</f>
        <v/>
      </c>
      <c r="S620" s="3">
        <f>AND(NOW()&gt;=tbl_MTG_Set[[#This Row],[Heavy Printing Window Start]], NOW()&lt;=tbl_MTG_Set[[#This Row],[Heavy Printing Window End]])</f>
        <v/>
      </c>
      <c r="T620">
        <f>_xlfn.XLOOKUP(tbl_MTG_Set[[#This Row],[Type Name]], tbl_MTG_Set_Type[Set Type], tbl_MTG_Set_Type[Sell Window Month Start], "(Set Type not found)", 0, 1)</f>
        <v/>
      </c>
      <c r="U620" s="3">
        <f>tbl_MTG_Set[[#This Row],[Released On]]+tbl_MTG_Set[[#This Row],[Sell Window Month Start]]*365.25/12</f>
        <v/>
      </c>
      <c r="V620">
        <f>_xlfn.XLOOKUP(tbl_MTG_Set[[#This Row],[Type Name]], tbl_MTG_Set_Type[Set Type], tbl_MTG_Set_Type[Sell Window Month End], "(Set Type not found)", 0, 1)</f>
        <v/>
      </c>
      <c r="W620" s="3">
        <f>tbl_MTG_Set[[#This Row],[Released On]]+tbl_MTG_Set[[#This Row],[Sell Window Month End]]*365.25/12</f>
        <v/>
      </c>
      <c r="X620" s="3">
        <f>AND(NOW()&gt;=tbl_MTG_Set[[#This Row],[Sell Window Start]], NOW()&lt;=tbl_MTG_Set[[#This Row],[Sell Window End]])</f>
        <v/>
      </c>
      <c r="AG620" s="10" t="n"/>
      <c r="AH620" s="10" t="n"/>
      <c r="AM620" s="10">
        <f t="array" ref="AM6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0" s="10">
        <f t="array" ref="AN6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0" s="4">
        <f>_xlfn.XLOOKUP(tbl_MTG_Set[[#This Row],[Play Booster Box Product Id]], tbl_Product[Product Id], tbl_Product[Pack Size])</f>
        <v/>
      </c>
      <c r="AP620" s="10">
        <f>(tbl_MTG_Set[[#This Row],[Play Booster Box Cost]]+v_Item_Shipping_Cost_In)/tbl_MTG_Set[[#This Row],[Play Booster Box Size]]</f>
        <v/>
      </c>
      <c r="AQ620" s="10">
        <f t="array" ref="AQ6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0" s="10" t="n"/>
      <c r="AS620" s="10" t="n"/>
      <c r="AT620" s="17">
        <f>tbl_MTG_Set[[#This Row],[Play Booster CardMarket Profit]]/tbl_MTG_Set[[#This Row],[Play Booster Cost]]</f>
        <v/>
      </c>
      <c r="AU620" s="10">
        <f>_xlfn.XLOOKUP(tbl_MTG_Set[[#This Row],[Collector Booster Box Product Id]], tbl_Product[Product Id], tbl_Product[Min Cost])</f>
        <v/>
      </c>
      <c r="AV620" s="10">
        <f>_xlfn.XLOOKUP(tbl_MTG_Set[[#This Row],[Collector Booster Box Product Id]], tbl_Product[Product Id], tbl_Product[Best Source])</f>
        <v/>
      </c>
      <c r="AW620" s="4">
        <f>_xlfn.XLOOKUP(tbl_MTG_Set[[#This Row],[Collector Booster Box Product Id]], tbl_Product[Product Id], tbl_Product[Pack Size])</f>
        <v/>
      </c>
      <c r="AX620" s="10">
        <f>(tbl_MTG_Set[[#This Row],[Collector Booster Box Cost]] + v_Item_Shipping_Cost_In) / tbl_MTG_Set[[#This Row],[Collector Booster Box Size]]</f>
        <v/>
      </c>
      <c r="AY620" s="10">
        <f t="array" ref="AY6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0" s="10" t="n"/>
      <c r="BA6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0" s="17">
        <f>tbl_MTG_Set[[#This Row],[Collector Booster CardMarket Profit]]/tbl_MTG_Set[[#This Row],[Collector Booster Cost]]</f>
        <v/>
      </c>
      <c r="BC620" s="10" t="n"/>
      <c r="BF620" s="10">
        <f>tbl_MTG_Set[[#This Row],[Play Booster Sell Price CardMarket]]*tbl_MTG_Set[[#This Row],[Play Booster Expected Market Value]]/tbl_MTG_Set[[#This Row],[Play Boost Sealed Market Value]]</f>
        <v/>
      </c>
      <c r="BG6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0" s="10">
        <f>tbl_MTG_Set[[#This Row],[Play Singles CardMarket Profit]]/tbl_MTG_Set[[#This Row],[Play Booster Cost]]</f>
        <v/>
      </c>
      <c r="BI620" s="10">
        <f>tbl_MTG_Set[[#This Row],[Play Singles CardMarket Profit]]&gt;0</f>
        <v/>
      </c>
      <c r="BJ620" s="10" t="n"/>
      <c r="BK620" s="10" t="n"/>
      <c r="BL620" s="10">
        <f>tbl_MTG_Set[[#This Row],[Collector Booster Sell Price CardMarket]]*tbl_MTG_Set[[#This Row],[Collector Booster Expected Market Value]]/tbl_MTG_Set[[#This Row],[Collector Boost Sealed Market Value]]</f>
        <v/>
      </c>
      <c r="BM6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0" s="10">
        <f>tbl_MTG_Set[[#This Row],[Collector Singles CardMarket Profit]]/tbl_MTG_Set[[#This Row],[Collector Booster Cost]]</f>
        <v/>
      </c>
      <c r="BO620" s="10">
        <f>tbl_MTG_Set[[#This Row],[Collector Singles CardMarket Profit]]&gt;0</f>
        <v/>
      </c>
      <c r="BP6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1">
      <c r="A621" t="n">
        <v>619</v>
      </c>
      <c r="B621" t="inlineStr">
        <is>
          <t>Duel Decks Anthology: Jace vs. Chandra Tokens TJVC</t>
        </is>
      </c>
      <c r="C621" t="n">
        <v>1</v>
      </c>
      <c r="D621" s="3" t="n">
        <v>41978</v>
      </c>
      <c r="F621" t="inlineStr">
        <is>
          <t>en es fr de it pt ja ko ru 汉语 漢語</t>
        </is>
      </c>
      <c r="G621" t="n">
        <v>1184</v>
      </c>
      <c r="H621">
        <f>MONTH(NOW())+12*YEAR(NOW())-MONTH(tbl_MTG_Set[[#This Row],[Released On]])-12*YEAR(tbl_MTG_Set[[#This Row],[Released On]])</f>
        <v/>
      </c>
      <c r="I621">
        <f>_xlfn.XLOOKUP(tbl_MTG_Set[[#This Row],[Type Name]], tbl_MTG_Set_Type[Set Type], tbl_MTG_Set_Type[Index], "(Set Type not found)")</f>
        <v/>
      </c>
      <c r="J621">
        <f>_xlfn.XLOOKUP(tbl_MTG_Set[[#This Row],[Type Name]], tbl_MTG_Set_Type[Set Type], tbl_MTG_Set_Type[Buy Window Month Start], "(Set Type not found)")</f>
        <v/>
      </c>
      <c r="K621" s="3">
        <f>tbl_MTG_Set[[#This Row],[Released On]]+tbl_MTG_Set[[#This Row],[Buy Window Month Start]]*365.25/12</f>
        <v/>
      </c>
      <c r="L621">
        <f>_xlfn.XLOOKUP(tbl_MTG_Set[[#This Row],[Type Name]], tbl_MTG_Set_Type[Set Type], tbl_MTG_Set_Type[Buy Window Month End], "(Set Type not found)", 0, 1)</f>
        <v/>
      </c>
      <c r="M621" s="3">
        <f>tbl_MTG_Set[[#This Row],[Released On]]+tbl_MTG_Set[[#This Row],[Buy Window Month End]]*365.25/12</f>
        <v/>
      </c>
      <c r="N621" s="3">
        <f>AND(NOW()&gt;=tbl_MTG_Set[[#This Row],[Buy Window Start]], NOW()&lt;=tbl_MTG_Set[[#This Row],[Buy Window End]])</f>
        <v/>
      </c>
      <c r="O621">
        <f>_xlfn.XLOOKUP(tbl_MTG_Set[[#This Row],[Type Name]], tbl_MTG_Set_Type[Set Type], tbl_MTG_Set_Type[Heavy Printing Window Month Start], "(Set Type not found)", 0, 1)</f>
        <v/>
      </c>
      <c r="P621" s="3">
        <f>tbl_MTG_Set[[#This Row],[Released On]]+tbl_MTG_Set[[#This Row],[Heavy Printing Window Month Start]]*365.25/12</f>
        <v/>
      </c>
      <c r="Q621">
        <f>_xlfn.XLOOKUP(tbl_MTG_Set[[#This Row],[Type Name]], tbl_MTG_Set_Type[Set Type], tbl_MTG_Set_Type[Heavy Printing Window Month End], "(Set Type not found)", 0, 1)</f>
        <v/>
      </c>
      <c r="R621" s="3">
        <f>tbl_MTG_Set[[#This Row],[Released On]]+tbl_MTG_Set[[#This Row],[Heavy Printing Window Month End]]*365.25/12</f>
        <v/>
      </c>
      <c r="S621" s="3">
        <f>AND(NOW()&gt;=tbl_MTG_Set[[#This Row],[Heavy Printing Window Start]], NOW()&lt;=tbl_MTG_Set[[#This Row],[Heavy Printing Window End]])</f>
        <v/>
      </c>
      <c r="T621">
        <f>_xlfn.XLOOKUP(tbl_MTG_Set[[#This Row],[Type Name]], tbl_MTG_Set_Type[Set Type], tbl_MTG_Set_Type[Sell Window Month Start], "(Set Type not found)", 0, 1)</f>
        <v/>
      </c>
      <c r="U621" s="3">
        <f>tbl_MTG_Set[[#This Row],[Released On]]+tbl_MTG_Set[[#This Row],[Sell Window Month Start]]*365.25/12</f>
        <v/>
      </c>
      <c r="V621">
        <f>_xlfn.XLOOKUP(tbl_MTG_Set[[#This Row],[Type Name]], tbl_MTG_Set_Type[Set Type], tbl_MTG_Set_Type[Sell Window Month End], "(Set Type not found)", 0, 1)</f>
        <v/>
      </c>
      <c r="W621" s="3">
        <f>tbl_MTG_Set[[#This Row],[Released On]]+tbl_MTG_Set[[#This Row],[Sell Window Month End]]*365.25/12</f>
        <v/>
      </c>
      <c r="X621" s="3">
        <f>AND(NOW()&gt;=tbl_MTG_Set[[#This Row],[Sell Window Start]], NOW()&lt;=tbl_MTG_Set[[#This Row],[Sell Window End]])</f>
        <v/>
      </c>
      <c r="AG621" s="10" t="n"/>
      <c r="AH621" s="10" t="n"/>
      <c r="AM621" s="10">
        <f t="array" ref="AM6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1" s="10">
        <f t="array" ref="AN6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1" s="4">
        <f>_xlfn.XLOOKUP(tbl_MTG_Set[[#This Row],[Play Booster Box Product Id]], tbl_Product[Product Id], tbl_Product[Pack Size])</f>
        <v/>
      </c>
      <c r="AP621" s="10">
        <f>(tbl_MTG_Set[[#This Row],[Play Booster Box Cost]]+v_Item_Shipping_Cost_In)/tbl_MTG_Set[[#This Row],[Play Booster Box Size]]</f>
        <v/>
      </c>
      <c r="AQ621" s="10">
        <f t="array" ref="AQ6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1" s="10" t="n"/>
      <c r="AS621" s="10" t="n"/>
      <c r="AT621" s="17">
        <f>tbl_MTG_Set[[#This Row],[Play Booster CardMarket Profit]]/tbl_MTG_Set[[#This Row],[Play Booster Cost]]</f>
        <v/>
      </c>
      <c r="AU621" s="10">
        <f>_xlfn.XLOOKUP(tbl_MTG_Set[[#This Row],[Collector Booster Box Product Id]], tbl_Product[Product Id], tbl_Product[Min Cost])</f>
        <v/>
      </c>
      <c r="AV621" s="10">
        <f>_xlfn.XLOOKUP(tbl_MTG_Set[[#This Row],[Collector Booster Box Product Id]], tbl_Product[Product Id], tbl_Product[Best Source])</f>
        <v/>
      </c>
      <c r="AW621" s="4">
        <f>_xlfn.XLOOKUP(tbl_MTG_Set[[#This Row],[Collector Booster Box Product Id]], tbl_Product[Product Id], tbl_Product[Pack Size])</f>
        <v/>
      </c>
      <c r="AX621" s="10">
        <f>(tbl_MTG_Set[[#This Row],[Collector Booster Box Cost]] + v_Item_Shipping_Cost_In) / tbl_MTG_Set[[#This Row],[Collector Booster Box Size]]</f>
        <v/>
      </c>
      <c r="AY621" s="10">
        <f t="array" ref="AY6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1" s="10" t="n"/>
      <c r="BA6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1" s="17">
        <f>tbl_MTG_Set[[#This Row],[Collector Booster CardMarket Profit]]/tbl_MTG_Set[[#This Row],[Collector Booster Cost]]</f>
        <v/>
      </c>
      <c r="BC621" s="10" t="n"/>
      <c r="BF621" s="10">
        <f>tbl_MTG_Set[[#This Row],[Play Booster Sell Price CardMarket]]*tbl_MTG_Set[[#This Row],[Play Booster Expected Market Value]]/tbl_MTG_Set[[#This Row],[Play Boost Sealed Market Value]]</f>
        <v/>
      </c>
      <c r="BG6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1" s="10">
        <f>tbl_MTG_Set[[#This Row],[Play Singles CardMarket Profit]]/tbl_MTG_Set[[#This Row],[Play Booster Cost]]</f>
        <v/>
      </c>
      <c r="BI621" s="10">
        <f>tbl_MTG_Set[[#This Row],[Play Singles CardMarket Profit]]&gt;0</f>
        <v/>
      </c>
      <c r="BJ621" s="10" t="n"/>
      <c r="BK621" s="10" t="n"/>
      <c r="BL621" s="10">
        <f>tbl_MTG_Set[[#This Row],[Collector Booster Sell Price CardMarket]]*tbl_MTG_Set[[#This Row],[Collector Booster Expected Market Value]]/tbl_MTG_Set[[#This Row],[Collector Boost Sealed Market Value]]</f>
        <v/>
      </c>
      <c r="BM6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1" s="10">
        <f>tbl_MTG_Set[[#This Row],[Collector Singles CardMarket Profit]]/tbl_MTG_Set[[#This Row],[Collector Booster Cost]]</f>
        <v/>
      </c>
      <c r="BO621" s="10">
        <f>tbl_MTG_Set[[#This Row],[Collector Singles CardMarket Profit]]&gt;0</f>
        <v/>
      </c>
      <c r="BP6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2">
      <c r="A622" t="n">
        <v>620</v>
      </c>
      <c r="B622" t="inlineStr">
        <is>
          <t>Duel Decks Anthology: Divine vs. Demonic DVD</t>
        </is>
      </c>
      <c r="C622" t="n">
        <v>62</v>
      </c>
      <c r="D622" s="3" t="n">
        <v>41978</v>
      </c>
      <c r="F622" t="inlineStr">
        <is>
          <t>en es fr de it pt ja ko ru 汉语 漢語</t>
        </is>
      </c>
      <c r="G622" t="n">
        <v>1186</v>
      </c>
      <c r="H622">
        <f>MONTH(NOW())+12*YEAR(NOW())-MONTH(tbl_MTG_Set[[#This Row],[Released On]])-12*YEAR(tbl_MTG_Set[[#This Row],[Released On]])</f>
        <v/>
      </c>
      <c r="I622">
        <f>_xlfn.XLOOKUP(tbl_MTG_Set[[#This Row],[Type Name]], tbl_MTG_Set_Type[Set Type], tbl_MTG_Set_Type[Index], "(Set Type not found)")</f>
        <v/>
      </c>
      <c r="J622">
        <f>_xlfn.XLOOKUP(tbl_MTG_Set[[#This Row],[Type Name]], tbl_MTG_Set_Type[Set Type], tbl_MTG_Set_Type[Buy Window Month Start], "(Set Type not found)")</f>
        <v/>
      </c>
      <c r="K622" s="3">
        <f>tbl_MTG_Set[[#This Row],[Released On]]+tbl_MTG_Set[[#This Row],[Buy Window Month Start]]*365.25/12</f>
        <v/>
      </c>
      <c r="L622">
        <f>_xlfn.XLOOKUP(tbl_MTG_Set[[#This Row],[Type Name]], tbl_MTG_Set_Type[Set Type], tbl_MTG_Set_Type[Buy Window Month End], "(Set Type not found)", 0, 1)</f>
        <v/>
      </c>
      <c r="M622" s="3">
        <f>tbl_MTG_Set[[#This Row],[Released On]]+tbl_MTG_Set[[#This Row],[Buy Window Month End]]*365.25/12</f>
        <v/>
      </c>
      <c r="N622" s="3">
        <f>AND(NOW()&gt;=tbl_MTG_Set[[#This Row],[Buy Window Start]], NOW()&lt;=tbl_MTG_Set[[#This Row],[Buy Window End]])</f>
        <v/>
      </c>
      <c r="O622">
        <f>_xlfn.XLOOKUP(tbl_MTG_Set[[#This Row],[Type Name]], tbl_MTG_Set_Type[Set Type], tbl_MTG_Set_Type[Heavy Printing Window Month Start], "(Set Type not found)", 0, 1)</f>
        <v/>
      </c>
      <c r="P622" s="3">
        <f>tbl_MTG_Set[[#This Row],[Released On]]+tbl_MTG_Set[[#This Row],[Heavy Printing Window Month Start]]*365.25/12</f>
        <v/>
      </c>
      <c r="Q622">
        <f>_xlfn.XLOOKUP(tbl_MTG_Set[[#This Row],[Type Name]], tbl_MTG_Set_Type[Set Type], tbl_MTG_Set_Type[Heavy Printing Window Month End], "(Set Type not found)", 0, 1)</f>
        <v/>
      </c>
      <c r="R622" s="3">
        <f>tbl_MTG_Set[[#This Row],[Released On]]+tbl_MTG_Set[[#This Row],[Heavy Printing Window Month End]]*365.25/12</f>
        <v/>
      </c>
      <c r="S622" s="3">
        <f>AND(NOW()&gt;=tbl_MTG_Set[[#This Row],[Heavy Printing Window Start]], NOW()&lt;=tbl_MTG_Set[[#This Row],[Heavy Printing Window End]])</f>
        <v/>
      </c>
      <c r="T622">
        <f>_xlfn.XLOOKUP(tbl_MTG_Set[[#This Row],[Type Name]], tbl_MTG_Set_Type[Set Type], tbl_MTG_Set_Type[Sell Window Month Start], "(Set Type not found)", 0, 1)</f>
        <v/>
      </c>
      <c r="U622" s="3">
        <f>tbl_MTG_Set[[#This Row],[Released On]]+tbl_MTG_Set[[#This Row],[Sell Window Month Start]]*365.25/12</f>
        <v/>
      </c>
      <c r="V622">
        <f>_xlfn.XLOOKUP(tbl_MTG_Set[[#This Row],[Type Name]], tbl_MTG_Set_Type[Set Type], tbl_MTG_Set_Type[Sell Window Month End], "(Set Type not found)", 0, 1)</f>
        <v/>
      </c>
      <c r="W622" s="3">
        <f>tbl_MTG_Set[[#This Row],[Released On]]+tbl_MTG_Set[[#This Row],[Sell Window Month End]]*365.25/12</f>
        <v/>
      </c>
      <c r="X622" s="3">
        <f>AND(NOW()&gt;=tbl_MTG_Set[[#This Row],[Sell Window Start]], NOW()&lt;=tbl_MTG_Set[[#This Row],[Sell Window End]])</f>
        <v/>
      </c>
      <c r="AG622" s="10" t="n"/>
      <c r="AH622" s="10" t="n"/>
      <c r="AM622" s="10">
        <f t="array" ref="AM6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2" s="10">
        <f t="array" ref="AN6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2" s="4">
        <f>_xlfn.XLOOKUP(tbl_MTG_Set[[#This Row],[Play Booster Box Product Id]], tbl_Product[Product Id], tbl_Product[Pack Size])</f>
        <v/>
      </c>
      <c r="AP622" s="10">
        <f>(tbl_MTG_Set[[#This Row],[Play Booster Box Cost]]+v_Item_Shipping_Cost_In)/tbl_MTG_Set[[#This Row],[Play Booster Box Size]]</f>
        <v/>
      </c>
      <c r="AQ622" s="10">
        <f t="array" ref="AQ6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2" s="10" t="n"/>
      <c r="AS622" s="10" t="n"/>
      <c r="AT622" s="17">
        <f>tbl_MTG_Set[[#This Row],[Play Booster CardMarket Profit]]/tbl_MTG_Set[[#This Row],[Play Booster Cost]]</f>
        <v/>
      </c>
      <c r="AU622" s="10">
        <f>_xlfn.XLOOKUP(tbl_MTG_Set[[#This Row],[Collector Booster Box Product Id]], tbl_Product[Product Id], tbl_Product[Min Cost])</f>
        <v/>
      </c>
      <c r="AV622" s="10">
        <f>_xlfn.XLOOKUP(tbl_MTG_Set[[#This Row],[Collector Booster Box Product Id]], tbl_Product[Product Id], tbl_Product[Best Source])</f>
        <v/>
      </c>
      <c r="AW622" s="4">
        <f>_xlfn.XLOOKUP(tbl_MTG_Set[[#This Row],[Collector Booster Box Product Id]], tbl_Product[Product Id], tbl_Product[Pack Size])</f>
        <v/>
      </c>
      <c r="AX622" s="10">
        <f>(tbl_MTG_Set[[#This Row],[Collector Booster Box Cost]] + v_Item_Shipping_Cost_In) / tbl_MTG_Set[[#This Row],[Collector Booster Box Size]]</f>
        <v/>
      </c>
      <c r="AY622" s="10">
        <f t="array" ref="AY6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2" s="10" t="n"/>
      <c r="BA6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2" s="17">
        <f>tbl_MTG_Set[[#This Row],[Collector Booster CardMarket Profit]]/tbl_MTG_Set[[#This Row],[Collector Booster Cost]]</f>
        <v/>
      </c>
      <c r="BC622" s="10" t="n"/>
      <c r="BF622" s="10">
        <f>tbl_MTG_Set[[#This Row],[Play Booster Sell Price CardMarket]]*tbl_MTG_Set[[#This Row],[Play Booster Expected Market Value]]/tbl_MTG_Set[[#This Row],[Play Boost Sealed Market Value]]</f>
        <v/>
      </c>
      <c r="BG6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2" s="10">
        <f>tbl_MTG_Set[[#This Row],[Play Singles CardMarket Profit]]/tbl_MTG_Set[[#This Row],[Play Booster Cost]]</f>
        <v/>
      </c>
      <c r="BI622" s="10">
        <f>tbl_MTG_Set[[#This Row],[Play Singles CardMarket Profit]]&gt;0</f>
        <v/>
      </c>
      <c r="BJ622" s="10" t="n"/>
      <c r="BK622" s="10" t="n"/>
      <c r="BL622" s="10">
        <f>tbl_MTG_Set[[#This Row],[Collector Booster Sell Price CardMarket]]*tbl_MTG_Set[[#This Row],[Collector Booster Expected Market Value]]/tbl_MTG_Set[[#This Row],[Collector Boost Sealed Market Value]]</f>
        <v/>
      </c>
      <c r="BM6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2" s="10">
        <f>tbl_MTG_Set[[#This Row],[Collector Singles CardMarket Profit]]/tbl_MTG_Set[[#This Row],[Collector Booster Cost]]</f>
        <v/>
      </c>
      <c r="BO622" s="10">
        <f>tbl_MTG_Set[[#This Row],[Collector Singles CardMarket Profit]]&gt;0</f>
        <v/>
      </c>
      <c r="BP6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3">
      <c r="A623" t="n">
        <v>621</v>
      </c>
      <c r="B623" t="inlineStr">
        <is>
          <t>Duel Decks Anthology: Divine vs. Demonic Tokens TDVD</t>
        </is>
      </c>
      <c r="C623" t="n">
        <v>3</v>
      </c>
      <c r="D623" s="3" t="n">
        <v>41978</v>
      </c>
      <c r="F623" t="inlineStr">
        <is>
          <t>en es fr de it pt ja ko ru 汉语 漢語</t>
        </is>
      </c>
      <c r="G623" t="n">
        <v>1188</v>
      </c>
      <c r="H623">
        <f>MONTH(NOW())+12*YEAR(NOW())-MONTH(tbl_MTG_Set[[#This Row],[Released On]])-12*YEAR(tbl_MTG_Set[[#This Row],[Released On]])</f>
        <v/>
      </c>
      <c r="I623">
        <f>_xlfn.XLOOKUP(tbl_MTG_Set[[#This Row],[Type Name]], tbl_MTG_Set_Type[Set Type], tbl_MTG_Set_Type[Index], "(Set Type not found)")</f>
        <v/>
      </c>
      <c r="J623">
        <f>_xlfn.XLOOKUP(tbl_MTG_Set[[#This Row],[Type Name]], tbl_MTG_Set_Type[Set Type], tbl_MTG_Set_Type[Buy Window Month Start], "(Set Type not found)")</f>
        <v/>
      </c>
      <c r="K623" s="3">
        <f>tbl_MTG_Set[[#This Row],[Released On]]+tbl_MTG_Set[[#This Row],[Buy Window Month Start]]*365.25/12</f>
        <v/>
      </c>
      <c r="L623">
        <f>_xlfn.XLOOKUP(tbl_MTG_Set[[#This Row],[Type Name]], tbl_MTG_Set_Type[Set Type], tbl_MTG_Set_Type[Buy Window Month End], "(Set Type not found)", 0, 1)</f>
        <v/>
      </c>
      <c r="M623" s="3">
        <f>tbl_MTG_Set[[#This Row],[Released On]]+tbl_MTG_Set[[#This Row],[Buy Window Month End]]*365.25/12</f>
        <v/>
      </c>
      <c r="N623" s="3">
        <f>AND(NOW()&gt;=tbl_MTG_Set[[#This Row],[Buy Window Start]], NOW()&lt;=tbl_MTG_Set[[#This Row],[Buy Window End]])</f>
        <v/>
      </c>
      <c r="O623">
        <f>_xlfn.XLOOKUP(tbl_MTG_Set[[#This Row],[Type Name]], tbl_MTG_Set_Type[Set Type], tbl_MTG_Set_Type[Heavy Printing Window Month Start], "(Set Type not found)", 0, 1)</f>
        <v/>
      </c>
      <c r="P623" s="3">
        <f>tbl_MTG_Set[[#This Row],[Released On]]+tbl_MTG_Set[[#This Row],[Heavy Printing Window Month Start]]*365.25/12</f>
        <v/>
      </c>
      <c r="Q623">
        <f>_xlfn.XLOOKUP(tbl_MTG_Set[[#This Row],[Type Name]], tbl_MTG_Set_Type[Set Type], tbl_MTG_Set_Type[Heavy Printing Window Month End], "(Set Type not found)", 0, 1)</f>
        <v/>
      </c>
      <c r="R623" s="3">
        <f>tbl_MTG_Set[[#This Row],[Released On]]+tbl_MTG_Set[[#This Row],[Heavy Printing Window Month End]]*365.25/12</f>
        <v/>
      </c>
      <c r="S623" s="3">
        <f>AND(NOW()&gt;=tbl_MTG_Set[[#This Row],[Heavy Printing Window Start]], NOW()&lt;=tbl_MTG_Set[[#This Row],[Heavy Printing Window End]])</f>
        <v/>
      </c>
      <c r="T623">
        <f>_xlfn.XLOOKUP(tbl_MTG_Set[[#This Row],[Type Name]], tbl_MTG_Set_Type[Set Type], tbl_MTG_Set_Type[Sell Window Month Start], "(Set Type not found)", 0, 1)</f>
        <v/>
      </c>
      <c r="U623" s="3">
        <f>tbl_MTG_Set[[#This Row],[Released On]]+tbl_MTG_Set[[#This Row],[Sell Window Month Start]]*365.25/12</f>
        <v/>
      </c>
      <c r="V623">
        <f>_xlfn.XLOOKUP(tbl_MTG_Set[[#This Row],[Type Name]], tbl_MTG_Set_Type[Set Type], tbl_MTG_Set_Type[Sell Window Month End], "(Set Type not found)", 0, 1)</f>
        <v/>
      </c>
      <c r="W623" s="3">
        <f>tbl_MTG_Set[[#This Row],[Released On]]+tbl_MTG_Set[[#This Row],[Sell Window Month End]]*365.25/12</f>
        <v/>
      </c>
      <c r="X623" s="3">
        <f>AND(NOW()&gt;=tbl_MTG_Set[[#This Row],[Sell Window Start]], NOW()&lt;=tbl_MTG_Set[[#This Row],[Sell Window End]])</f>
        <v/>
      </c>
      <c r="AG623" s="10" t="n"/>
      <c r="AH623" s="10" t="n"/>
      <c r="AM623" s="10">
        <f t="array" ref="AM6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3" s="10">
        <f t="array" ref="AN6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3" s="4">
        <f>_xlfn.XLOOKUP(tbl_MTG_Set[[#This Row],[Play Booster Box Product Id]], tbl_Product[Product Id], tbl_Product[Pack Size])</f>
        <v/>
      </c>
      <c r="AP623" s="10">
        <f>(tbl_MTG_Set[[#This Row],[Play Booster Box Cost]]+v_Item_Shipping_Cost_In)/tbl_MTG_Set[[#This Row],[Play Booster Box Size]]</f>
        <v/>
      </c>
      <c r="AQ623" s="10">
        <f t="array" ref="AQ6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3" s="10" t="n"/>
      <c r="AS623" s="10" t="n"/>
      <c r="AT623" s="17">
        <f>tbl_MTG_Set[[#This Row],[Play Booster CardMarket Profit]]/tbl_MTG_Set[[#This Row],[Play Booster Cost]]</f>
        <v/>
      </c>
      <c r="AU623" s="10">
        <f>_xlfn.XLOOKUP(tbl_MTG_Set[[#This Row],[Collector Booster Box Product Id]], tbl_Product[Product Id], tbl_Product[Min Cost])</f>
        <v/>
      </c>
      <c r="AV623" s="10">
        <f>_xlfn.XLOOKUP(tbl_MTG_Set[[#This Row],[Collector Booster Box Product Id]], tbl_Product[Product Id], tbl_Product[Best Source])</f>
        <v/>
      </c>
      <c r="AW623" s="4">
        <f>_xlfn.XLOOKUP(tbl_MTG_Set[[#This Row],[Collector Booster Box Product Id]], tbl_Product[Product Id], tbl_Product[Pack Size])</f>
        <v/>
      </c>
      <c r="AX623" s="10">
        <f>(tbl_MTG_Set[[#This Row],[Collector Booster Box Cost]] + v_Item_Shipping_Cost_In) / tbl_MTG_Set[[#This Row],[Collector Booster Box Size]]</f>
        <v/>
      </c>
      <c r="AY623" s="10">
        <f t="array" ref="AY6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3" s="10" t="n"/>
      <c r="BA6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3" s="17">
        <f>tbl_MTG_Set[[#This Row],[Collector Booster CardMarket Profit]]/tbl_MTG_Set[[#This Row],[Collector Booster Cost]]</f>
        <v/>
      </c>
      <c r="BC623" s="10" t="n"/>
      <c r="BF623" s="10">
        <f>tbl_MTG_Set[[#This Row],[Play Booster Sell Price CardMarket]]*tbl_MTG_Set[[#This Row],[Play Booster Expected Market Value]]/tbl_MTG_Set[[#This Row],[Play Boost Sealed Market Value]]</f>
        <v/>
      </c>
      <c r="BG6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3" s="10">
        <f>tbl_MTG_Set[[#This Row],[Play Singles CardMarket Profit]]/tbl_MTG_Set[[#This Row],[Play Booster Cost]]</f>
        <v/>
      </c>
      <c r="BI623" s="10">
        <f>tbl_MTG_Set[[#This Row],[Play Singles CardMarket Profit]]&gt;0</f>
        <v/>
      </c>
      <c r="BJ623" s="10" t="n"/>
      <c r="BK623" s="10" t="n"/>
      <c r="BL623" s="10">
        <f>tbl_MTG_Set[[#This Row],[Collector Booster Sell Price CardMarket]]*tbl_MTG_Set[[#This Row],[Collector Booster Expected Market Value]]/tbl_MTG_Set[[#This Row],[Collector Boost Sealed Market Value]]</f>
        <v/>
      </c>
      <c r="BM6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3" s="10">
        <f>tbl_MTG_Set[[#This Row],[Collector Singles CardMarket Profit]]/tbl_MTG_Set[[#This Row],[Collector Booster Cost]]</f>
        <v/>
      </c>
      <c r="BO623" s="10">
        <f>tbl_MTG_Set[[#This Row],[Collector Singles CardMarket Profit]]&gt;0</f>
        <v/>
      </c>
      <c r="BP6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4">
      <c r="A624" t="n">
        <v>622</v>
      </c>
      <c r="B624" t="inlineStr">
        <is>
          <t>Commander 2014 C14</t>
        </is>
      </c>
      <c r="C624" t="n">
        <v>337</v>
      </c>
      <c r="D624" s="3" t="n">
        <v>41950</v>
      </c>
      <c r="F624" t="inlineStr">
        <is>
          <t>en es fr de it pt ja ko ru 汉语 漢語</t>
        </is>
      </c>
      <c r="G624" t="n">
        <v>1190</v>
      </c>
      <c r="H624">
        <f>MONTH(NOW())+12*YEAR(NOW())-MONTH(tbl_MTG_Set[[#This Row],[Released On]])-12*YEAR(tbl_MTG_Set[[#This Row],[Released On]])</f>
        <v/>
      </c>
      <c r="I624">
        <f>_xlfn.XLOOKUP(tbl_MTG_Set[[#This Row],[Type Name]], tbl_MTG_Set_Type[Set Type], tbl_MTG_Set_Type[Index], "(Set Type not found)")</f>
        <v/>
      </c>
      <c r="J624">
        <f>_xlfn.XLOOKUP(tbl_MTG_Set[[#This Row],[Type Name]], tbl_MTG_Set_Type[Set Type], tbl_MTG_Set_Type[Buy Window Month Start], "(Set Type not found)")</f>
        <v/>
      </c>
      <c r="K624" s="3">
        <f>tbl_MTG_Set[[#This Row],[Released On]]+tbl_MTG_Set[[#This Row],[Buy Window Month Start]]*365.25/12</f>
        <v/>
      </c>
      <c r="L624">
        <f>_xlfn.XLOOKUP(tbl_MTG_Set[[#This Row],[Type Name]], tbl_MTG_Set_Type[Set Type], tbl_MTG_Set_Type[Buy Window Month End], "(Set Type not found)", 0, 1)</f>
        <v/>
      </c>
      <c r="M624" s="3">
        <f>tbl_MTG_Set[[#This Row],[Released On]]+tbl_MTG_Set[[#This Row],[Buy Window Month End]]*365.25/12</f>
        <v/>
      </c>
      <c r="N624" s="3">
        <f>AND(NOW()&gt;=tbl_MTG_Set[[#This Row],[Buy Window Start]], NOW()&lt;=tbl_MTG_Set[[#This Row],[Buy Window End]])</f>
        <v/>
      </c>
      <c r="O624">
        <f>_xlfn.XLOOKUP(tbl_MTG_Set[[#This Row],[Type Name]], tbl_MTG_Set_Type[Set Type], tbl_MTG_Set_Type[Heavy Printing Window Month Start], "(Set Type not found)", 0, 1)</f>
        <v/>
      </c>
      <c r="P624" s="3">
        <f>tbl_MTG_Set[[#This Row],[Released On]]+tbl_MTG_Set[[#This Row],[Heavy Printing Window Month Start]]*365.25/12</f>
        <v/>
      </c>
      <c r="Q624">
        <f>_xlfn.XLOOKUP(tbl_MTG_Set[[#This Row],[Type Name]], tbl_MTG_Set_Type[Set Type], tbl_MTG_Set_Type[Heavy Printing Window Month End], "(Set Type not found)", 0, 1)</f>
        <v/>
      </c>
      <c r="R624" s="3">
        <f>tbl_MTG_Set[[#This Row],[Released On]]+tbl_MTG_Set[[#This Row],[Heavy Printing Window Month End]]*365.25/12</f>
        <v/>
      </c>
      <c r="S624" s="3">
        <f>AND(NOW()&gt;=tbl_MTG_Set[[#This Row],[Heavy Printing Window Start]], NOW()&lt;=tbl_MTG_Set[[#This Row],[Heavy Printing Window End]])</f>
        <v/>
      </c>
      <c r="T624">
        <f>_xlfn.XLOOKUP(tbl_MTG_Set[[#This Row],[Type Name]], tbl_MTG_Set_Type[Set Type], tbl_MTG_Set_Type[Sell Window Month Start], "(Set Type not found)", 0, 1)</f>
        <v/>
      </c>
      <c r="U624" s="3">
        <f>tbl_MTG_Set[[#This Row],[Released On]]+tbl_MTG_Set[[#This Row],[Sell Window Month Start]]*365.25/12</f>
        <v/>
      </c>
      <c r="V624">
        <f>_xlfn.XLOOKUP(tbl_MTG_Set[[#This Row],[Type Name]], tbl_MTG_Set_Type[Set Type], tbl_MTG_Set_Type[Sell Window Month End], "(Set Type not found)", 0, 1)</f>
        <v/>
      </c>
      <c r="W624" s="3">
        <f>tbl_MTG_Set[[#This Row],[Released On]]+tbl_MTG_Set[[#This Row],[Sell Window Month End]]*365.25/12</f>
        <v/>
      </c>
      <c r="X624" s="3">
        <f>AND(NOW()&gt;=tbl_MTG_Set[[#This Row],[Sell Window Start]], NOW()&lt;=tbl_MTG_Set[[#This Row],[Sell Window End]])</f>
        <v/>
      </c>
      <c r="AG624" s="10" t="n"/>
      <c r="AH624" s="10" t="n"/>
      <c r="AM624" s="10">
        <f t="array" ref="AM6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4" s="10">
        <f t="array" ref="AN6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4" s="4">
        <f>_xlfn.XLOOKUP(tbl_MTG_Set[[#This Row],[Play Booster Box Product Id]], tbl_Product[Product Id], tbl_Product[Pack Size])</f>
        <v/>
      </c>
      <c r="AP624" s="10">
        <f>(tbl_MTG_Set[[#This Row],[Play Booster Box Cost]]+v_Item_Shipping_Cost_In)/tbl_MTG_Set[[#This Row],[Play Booster Box Size]]</f>
        <v/>
      </c>
      <c r="AQ624" s="10">
        <f t="array" ref="AQ6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4" s="10" t="n"/>
      <c r="AS624" s="10" t="n"/>
      <c r="AT624" s="17">
        <f>tbl_MTG_Set[[#This Row],[Play Booster CardMarket Profit]]/tbl_MTG_Set[[#This Row],[Play Booster Cost]]</f>
        <v/>
      </c>
      <c r="AU624" s="10">
        <f>_xlfn.XLOOKUP(tbl_MTG_Set[[#This Row],[Collector Booster Box Product Id]], tbl_Product[Product Id], tbl_Product[Min Cost])</f>
        <v/>
      </c>
      <c r="AV624" s="10">
        <f>_xlfn.XLOOKUP(tbl_MTG_Set[[#This Row],[Collector Booster Box Product Id]], tbl_Product[Product Id], tbl_Product[Best Source])</f>
        <v/>
      </c>
      <c r="AW624" s="4">
        <f>_xlfn.XLOOKUP(tbl_MTG_Set[[#This Row],[Collector Booster Box Product Id]], tbl_Product[Product Id], tbl_Product[Pack Size])</f>
        <v/>
      </c>
      <c r="AX624" s="10">
        <f>(tbl_MTG_Set[[#This Row],[Collector Booster Box Cost]] + v_Item_Shipping_Cost_In) / tbl_MTG_Set[[#This Row],[Collector Booster Box Size]]</f>
        <v/>
      </c>
      <c r="AY624" s="10">
        <f t="array" ref="AY6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4" s="10" t="n"/>
      <c r="BA6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4" s="17">
        <f>tbl_MTG_Set[[#This Row],[Collector Booster CardMarket Profit]]/tbl_MTG_Set[[#This Row],[Collector Booster Cost]]</f>
        <v/>
      </c>
      <c r="BC624" s="10" t="n"/>
      <c r="BF624" s="10">
        <f>tbl_MTG_Set[[#This Row],[Play Booster Sell Price CardMarket]]*tbl_MTG_Set[[#This Row],[Play Booster Expected Market Value]]/tbl_MTG_Set[[#This Row],[Play Boost Sealed Market Value]]</f>
        <v/>
      </c>
      <c r="BG6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4" s="10">
        <f>tbl_MTG_Set[[#This Row],[Play Singles CardMarket Profit]]/tbl_MTG_Set[[#This Row],[Play Booster Cost]]</f>
        <v/>
      </c>
      <c r="BI624" s="10">
        <f>tbl_MTG_Set[[#This Row],[Play Singles CardMarket Profit]]&gt;0</f>
        <v/>
      </c>
      <c r="BJ624" s="10" t="n"/>
      <c r="BK624" s="10" t="n"/>
      <c r="BL624" s="10">
        <f>tbl_MTG_Set[[#This Row],[Collector Booster Sell Price CardMarket]]*tbl_MTG_Set[[#This Row],[Collector Booster Expected Market Value]]/tbl_MTG_Set[[#This Row],[Collector Boost Sealed Market Value]]</f>
        <v/>
      </c>
      <c r="BM6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4" s="10">
        <f>tbl_MTG_Set[[#This Row],[Collector Singles CardMarket Profit]]/tbl_MTG_Set[[#This Row],[Collector Booster Cost]]</f>
        <v/>
      </c>
      <c r="BO624" s="10">
        <f>tbl_MTG_Set[[#This Row],[Collector Singles CardMarket Profit]]&gt;0</f>
        <v/>
      </c>
      <c r="BP6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5">
      <c r="A625" t="n">
        <v>623</v>
      </c>
      <c r="B625" t="inlineStr">
        <is>
          <t>Commander 2014 Tokens TC14</t>
        </is>
      </c>
      <c r="C625" t="n">
        <v>36</v>
      </c>
      <c r="D625" s="3" t="n">
        <v>41950</v>
      </c>
      <c r="F625" t="inlineStr">
        <is>
          <t>en es fr de it pt ja ko ru 汉语 漢語</t>
        </is>
      </c>
      <c r="G625" t="n">
        <v>1192</v>
      </c>
      <c r="H625">
        <f>MONTH(NOW())+12*YEAR(NOW())-MONTH(tbl_MTG_Set[[#This Row],[Released On]])-12*YEAR(tbl_MTG_Set[[#This Row],[Released On]])</f>
        <v/>
      </c>
      <c r="I625">
        <f>_xlfn.XLOOKUP(tbl_MTG_Set[[#This Row],[Type Name]], tbl_MTG_Set_Type[Set Type], tbl_MTG_Set_Type[Index], "(Set Type not found)")</f>
        <v/>
      </c>
      <c r="J625">
        <f>_xlfn.XLOOKUP(tbl_MTG_Set[[#This Row],[Type Name]], tbl_MTG_Set_Type[Set Type], tbl_MTG_Set_Type[Buy Window Month Start], "(Set Type not found)")</f>
        <v/>
      </c>
      <c r="K625" s="3">
        <f>tbl_MTG_Set[[#This Row],[Released On]]+tbl_MTG_Set[[#This Row],[Buy Window Month Start]]*365.25/12</f>
        <v/>
      </c>
      <c r="L625">
        <f>_xlfn.XLOOKUP(tbl_MTG_Set[[#This Row],[Type Name]], tbl_MTG_Set_Type[Set Type], tbl_MTG_Set_Type[Buy Window Month End], "(Set Type not found)", 0, 1)</f>
        <v/>
      </c>
      <c r="M625" s="3">
        <f>tbl_MTG_Set[[#This Row],[Released On]]+tbl_MTG_Set[[#This Row],[Buy Window Month End]]*365.25/12</f>
        <v/>
      </c>
      <c r="N625" s="3">
        <f>AND(NOW()&gt;=tbl_MTG_Set[[#This Row],[Buy Window Start]], NOW()&lt;=tbl_MTG_Set[[#This Row],[Buy Window End]])</f>
        <v/>
      </c>
      <c r="O625">
        <f>_xlfn.XLOOKUP(tbl_MTG_Set[[#This Row],[Type Name]], tbl_MTG_Set_Type[Set Type], tbl_MTG_Set_Type[Heavy Printing Window Month Start], "(Set Type not found)", 0, 1)</f>
        <v/>
      </c>
      <c r="P625" s="3">
        <f>tbl_MTG_Set[[#This Row],[Released On]]+tbl_MTG_Set[[#This Row],[Heavy Printing Window Month Start]]*365.25/12</f>
        <v/>
      </c>
      <c r="Q625">
        <f>_xlfn.XLOOKUP(tbl_MTG_Set[[#This Row],[Type Name]], tbl_MTG_Set_Type[Set Type], tbl_MTG_Set_Type[Heavy Printing Window Month End], "(Set Type not found)", 0, 1)</f>
        <v/>
      </c>
      <c r="R625" s="3">
        <f>tbl_MTG_Set[[#This Row],[Released On]]+tbl_MTG_Set[[#This Row],[Heavy Printing Window Month End]]*365.25/12</f>
        <v/>
      </c>
      <c r="S625" s="3">
        <f>AND(NOW()&gt;=tbl_MTG_Set[[#This Row],[Heavy Printing Window Start]], NOW()&lt;=tbl_MTG_Set[[#This Row],[Heavy Printing Window End]])</f>
        <v/>
      </c>
      <c r="T625">
        <f>_xlfn.XLOOKUP(tbl_MTG_Set[[#This Row],[Type Name]], tbl_MTG_Set_Type[Set Type], tbl_MTG_Set_Type[Sell Window Month Start], "(Set Type not found)", 0, 1)</f>
        <v/>
      </c>
      <c r="U625" s="3">
        <f>tbl_MTG_Set[[#This Row],[Released On]]+tbl_MTG_Set[[#This Row],[Sell Window Month Start]]*365.25/12</f>
        <v/>
      </c>
      <c r="V625">
        <f>_xlfn.XLOOKUP(tbl_MTG_Set[[#This Row],[Type Name]], tbl_MTG_Set_Type[Set Type], tbl_MTG_Set_Type[Sell Window Month End], "(Set Type not found)", 0, 1)</f>
        <v/>
      </c>
      <c r="W625" s="3">
        <f>tbl_MTG_Set[[#This Row],[Released On]]+tbl_MTG_Set[[#This Row],[Sell Window Month End]]*365.25/12</f>
        <v/>
      </c>
      <c r="X625" s="3">
        <f>AND(NOW()&gt;=tbl_MTG_Set[[#This Row],[Sell Window Start]], NOW()&lt;=tbl_MTG_Set[[#This Row],[Sell Window End]])</f>
        <v/>
      </c>
      <c r="AG625" s="10" t="n"/>
      <c r="AH625" s="10" t="n"/>
      <c r="AM625" s="10">
        <f t="array" ref="AM6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5" s="10">
        <f t="array" ref="AN6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5" s="4">
        <f>_xlfn.XLOOKUP(tbl_MTG_Set[[#This Row],[Play Booster Box Product Id]], tbl_Product[Product Id], tbl_Product[Pack Size])</f>
        <v/>
      </c>
      <c r="AP625" s="10">
        <f>(tbl_MTG_Set[[#This Row],[Play Booster Box Cost]]+v_Item_Shipping_Cost_In)/tbl_MTG_Set[[#This Row],[Play Booster Box Size]]</f>
        <v/>
      </c>
      <c r="AQ625" s="10">
        <f t="array" ref="AQ6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5" s="10" t="n"/>
      <c r="AS625" s="10" t="n"/>
      <c r="AT625" s="17">
        <f>tbl_MTG_Set[[#This Row],[Play Booster CardMarket Profit]]/tbl_MTG_Set[[#This Row],[Play Booster Cost]]</f>
        <v/>
      </c>
      <c r="AU625" s="10">
        <f>_xlfn.XLOOKUP(tbl_MTG_Set[[#This Row],[Collector Booster Box Product Id]], tbl_Product[Product Id], tbl_Product[Min Cost])</f>
        <v/>
      </c>
      <c r="AV625" s="10">
        <f>_xlfn.XLOOKUP(tbl_MTG_Set[[#This Row],[Collector Booster Box Product Id]], tbl_Product[Product Id], tbl_Product[Best Source])</f>
        <v/>
      </c>
      <c r="AW625" s="4">
        <f>_xlfn.XLOOKUP(tbl_MTG_Set[[#This Row],[Collector Booster Box Product Id]], tbl_Product[Product Id], tbl_Product[Pack Size])</f>
        <v/>
      </c>
      <c r="AX625" s="10">
        <f>(tbl_MTG_Set[[#This Row],[Collector Booster Box Cost]] + v_Item_Shipping_Cost_In) / tbl_MTG_Set[[#This Row],[Collector Booster Box Size]]</f>
        <v/>
      </c>
      <c r="AY625" s="10">
        <f t="array" ref="AY6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5" s="10" t="n"/>
      <c r="BA6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5" s="17">
        <f>tbl_MTG_Set[[#This Row],[Collector Booster CardMarket Profit]]/tbl_MTG_Set[[#This Row],[Collector Booster Cost]]</f>
        <v/>
      </c>
      <c r="BC625" s="10" t="n"/>
      <c r="BF625" s="10">
        <f>tbl_MTG_Set[[#This Row],[Play Booster Sell Price CardMarket]]*tbl_MTG_Set[[#This Row],[Play Booster Expected Market Value]]/tbl_MTG_Set[[#This Row],[Play Boost Sealed Market Value]]</f>
        <v/>
      </c>
      <c r="BG6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5" s="10">
        <f>tbl_MTG_Set[[#This Row],[Play Singles CardMarket Profit]]/tbl_MTG_Set[[#This Row],[Play Booster Cost]]</f>
        <v/>
      </c>
      <c r="BI625" s="10">
        <f>tbl_MTG_Set[[#This Row],[Play Singles CardMarket Profit]]&gt;0</f>
        <v/>
      </c>
      <c r="BJ625" s="10" t="n"/>
      <c r="BK625" s="10" t="n"/>
      <c r="BL625" s="10">
        <f>tbl_MTG_Set[[#This Row],[Collector Booster Sell Price CardMarket]]*tbl_MTG_Set[[#This Row],[Collector Booster Expected Market Value]]/tbl_MTG_Set[[#This Row],[Collector Boost Sealed Market Value]]</f>
        <v/>
      </c>
      <c r="BM6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5" s="10">
        <f>tbl_MTG_Set[[#This Row],[Collector Singles CardMarket Profit]]/tbl_MTG_Set[[#This Row],[Collector Booster Cost]]</f>
        <v/>
      </c>
      <c r="BO625" s="10">
        <f>tbl_MTG_Set[[#This Row],[Collector Singles CardMarket Profit]]&gt;0</f>
        <v/>
      </c>
      <c r="BP6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6">
      <c r="A626" t="n">
        <v>624</v>
      </c>
      <c r="B626" t="inlineStr">
        <is>
          <t>Commander 2014 Oversized OC14</t>
        </is>
      </c>
      <c r="C626" t="n">
        <v>5</v>
      </c>
      <c r="D626" s="3" t="n">
        <v>41950</v>
      </c>
      <c r="F626" t="inlineStr">
        <is>
          <t>en es fr de it pt ja ko ru 汉语 漢語</t>
        </is>
      </c>
      <c r="G626" t="n">
        <v>1194</v>
      </c>
      <c r="H626">
        <f>MONTH(NOW())+12*YEAR(NOW())-MONTH(tbl_MTG_Set[[#This Row],[Released On]])-12*YEAR(tbl_MTG_Set[[#This Row],[Released On]])</f>
        <v/>
      </c>
      <c r="I626">
        <f>_xlfn.XLOOKUP(tbl_MTG_Set[[#This Row],[Type Name]], tbl_MTG_Set_Type[Set Type], tbl_MTG_Set_Type[Index], "(Set Type not found)")</f>
        <v/>
      </c>
      <c r="J626">
        <f>_xlfn.XLOOKUP(tbl_MTG_Set[[#This Row],[Type Name]], tbl_MTG_Set_Type[Set Type], tbl_MTG_Set_Type[Buy Window Month Start], "(Set Type not found)")</f>
        <v/>
      </c>
      <c r="K626" s="3">
        <f>tbl_MTG_Set[[#This Row],[Released On]]+tbl_MTG_Set[[#This Row],[Buy Window Month Start]]*365.25/12</f>
        <v/>
      </c>
      <c r="L626">
        <f>_xlfn.XLOOKUP(tbl_MTG_Set[[#This Row],[Type Name]], tbl_MTG_Set_Type[Set Type], tbl_MTG_Set_Type[Buy Window Month End], "(Set Type not found)", 0, 1)</f>
        <v/>
      </c>
      <c r="M626" s="3">
        <f>tbl_MTG_Set[[#This Row],[Released On]]+tbl_MTG_Set[[#This Row],[Buy Window Month End]]*365.25/12</f>
        <v/>
      </c>
      <c r="N626" s="3">
        <f>AND(NOW()&gt;=tbl_MTG_Set[[#This Row],[Buy Window Start]], NOW()&lt;=tbl_MTG_Set[[#This Row],[Buy Window End]])</f>
        <v/>
      </c>
      <c r="O626">
        <f>_xlfn.XLOOKUP(tbl_MTG_Set[[#This Row],[Type Name]], tbl_MTG_Set_Type[Set Type], tbl_MTG_Set_Type[Heavy Printing Window Month Start], "(Set Type not found)", 0, 1)</f>
        <v/>
      </c>
      <c r="P626" s="3">
        <f>tbl_MTG_Set[[#This Row],[Released On]]+tbl_MTG_Set[[#This Row],[Heavy Printing Window Month Start]]*365.25/12</f>
        <v/>
      </c>
      <c r="Q626">
        <f>_xlfn.XLOOKUP(tbl_MTG_Set[[#This Row],[Type Name]], tbl_MTG_Set_Type[Set Type], tbl_MTG_Set_Type[Heavy Printing Window Month End], "(Set Type not found)", 0, 1)</f>
        <v/>
      </c>
      <c r="R626" s="3">
        <f>tbl_MTG_Set[[#This Row],[Released On]]+tbl_MTG_Set[[#This Row],[Heavy Printing Window Month End]]*365.25/12</f>
        <v/>
      </c>
      <c r="S626" s="3">
        <f>AND(NOW()&gt;=tbl_MTG_Set[[#This Row],[Heavy Printing Window Start]], NOW()&lt;=tbl_MTG_Set[[#This Row],[Heavy Printing Window End]])</f>
        <v/>
      </c>
      <c r="T626">
        <f>_xlfn.XLOOKUP(tbl_MTG_Set[[#This Row],[Type Name]], tbl_MTG_Set_Type[Set Type], tbl_MTG_Set_Type[Sell Window Month Start], "(Set Type not found)", 0, 1)</f>
        <v/>
      </c>
      <c r="U626" s="3">
        <f>tbl_MTG_Set[[#This Row],[Released On]]+tbl_MTG_Set[[#This Row],[Sell Window Month Start]]*365.25/12</f>
        <v/>
      </c>
      <c r="V626">
        <f>_xlfn.XLOOKUP(tbl_MTG_Set[[#This Row],[Type Name]], tbl_MTG_Set_Type[Set Type], tbl_MTG_Set_Type[Sell Window Month End], "(Set Type not found)", 0, 1)</f>
        <v/>
      </c>
      <c r="W626" s="3">
        <f>tbl_MTG_Set[[#This Row],[Released On]]+tbl_MTG_Set[[#This Row],[Sell Window Month End]]*365.25/12</f>
        <v/>
      </c>
      <c r="X626" s="3">
        <f>AND(NOW()&gt;=tbl_MTG_Set[[#This Row],[Sell Window Start]], NOW()&lt;=tbl_MTG_Set[[#This Row],[Sell Window End]])</f>
        <v/>
      </c>
      <c r="AG626" s="10" t="n"/>
      <c r="AH626" s="10" t="n"/>
      <c r="AM626" s="10">
        <f t="array" ref="AM6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6" s="10">
        <f t="array" ref="AN6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6" s="4">
        <f>_xlfn.XLOOKUP(tbl_MTG_Set[[#This Row],[Play Booster Box Product Id]], tbl_Product[Product Id], tbl_Product[Pack Size])</f>
        <v/>
      </c>
      <c r="AP626" s="10">
        <f>(tbl_MTG_Set[[#This Row],[Play Booster Box Cost]]+v_Item_Shipping_Cost_In)/tbl_MTG_Set[[#This Row],[Play Booster Box Size]]</f>
        <v/>
      </c>
      <c r="AQ626" s="10">
        <f t="array" ref="AQ6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6" s="10" t="n"/>
      <c r="AS626" s="10" t="n"/>
      <c r="AT626" s="17">
        <f>tbl_MTG_Set[[#This Row],[Play Booster CardMarket Profit]]/tbl_MTG_Set[[#This Row],[Play Booster Cost]]</f>
        <v/>
      </c>
      <c r="AU626" s="10">
        <f>_xlfn.XLOOKUP(tbl_MTG_Set[[#This Row],[Collector Booster Box Product Id]], tbl_Product[Product Id], tbl_Product[Min Cost])</f>
        <v/>
      </c>
      <c r="AV626" s="10">
        <f>_xlfn.XLOOKUP(tbl_MTG_Set[[#This Row],[Collector Booster Box Product Id]], tbl_Product[Product Id], tbl_Product[Best Source])</f>
        <v/>
      </c>
      <c r="AW626" s="4">
        <f>_xlfn.XLOOKUP(tbl_MTG_Set[[#This Row],[Collector Booster Box Product Id]], tbl_Product[Product Id], tbl_Product[Pack Size])</f>
        <v/>
      </c>
      <c r="AX626" s="10">
        <f>(tbl_MTG_Set[[#This Row],[Collector Booster Box Cost]] + v_Item_Shipping_Cost_In) / tbl_MTG_Set[[#This Row],[Collector Booster Box Size]]</f>
        <v/>
      </c>
      <c r="AY626" s="10">
        <f t="array" ref="AY6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6" s="10" t="n"/>
      <c r="BA6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6" s="17">
        <f>tbl_MTG_Set[[#This Row],[Collector Booster CardMarket Profit]]/tbl_MTG_Set[[#This Row],[Collector Booster Cost]]</f>
        <v/>
      </c>
      <c r="BC626" s="10" t="n"/>
      <c r="BF626" s="10">
        <f>tbl_MTG_Set[[#This Row],[Play Booster Sell Price CardMarket]]*tbl_MTG_Set[[#This Row],[Play Booster Expected Market Value]]/tbl_MTG_Set[[#This Row],[Play Boost Sealed Market Value]]</f>
        <v/>
      </c>
      <c r="BG6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6" s="10">
        <f>tbl_MTG_Set[[#This Row],[Play Singles CardMarket Profit]]/tbl_MTG_Set[[#This Row],[Play Booster Cost]]</f>
        <v/>
      </c>
      <c r="BI626" s="10">
        <f>tbl_MTG_Set[[#This Row],[Play Singles CardMarket Profit]]&gt;0</f>
        <v/>
      </c>
      <c r="BJ626" s="10" t="n"/>
      <c r="BK626" s="10" t="n"/>
      <c r="BL626" s="10">
        <f>tbl_MTG_Set[[#This Row],[Collector Booster Sell Price CardMarket]]*tbl_MTG_Set[[#This Row],[Collector Booster Expected Market Value]]/tbl_MTG_Set[[#This Row],[Collector Boost Sealed Market Value]]</f>
        <v/>
      </c>
      <c r="BM6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6" s="10">
        <f>tbl_MTG_Set[[#This Row],[Collector Singles CardMarket Profit]]/tbl_MTG_Set[[#This Row],[Collector Booster Cost]]</f>
        <v/>
      </c>
      <c r="BO626" s="10">
        <f>tbl_MTG_Set[[#This Row],[Collector Singles CardMarket Profit]]&gt;0</f>
        <v/>
      </c>
      <c r="BP6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7">
      <c r="A627" t="n">
        <v>625</v>
      </c>
      <c r="B627" t="inlineStr">
        <is>
          <t>Khans of Tarkir KTK</t>
        </is>
      </c>
      <c r="C627" t="n">
        <v>293</v>
      </c>
      <c r="D627" s="3" t="n">
        <v>41908</v>
      </c>
      <c r="F627" t="inlineStr">
        <is>
          <t>en es fr de it pt ja ko ru 汉语 漢語</t>
        </is>
      </c>
      <c r="G627" t="n">
        <v>1196</v>
      </c>
      <c r="H627">
        <f>MONTH(NOW())+12*YEAR(NOW())-MONTH(tbl_MTG_Set[[#This Row],[Released On]])-12*YEAR(tbl_MTG_Set[[#This Row],[Released On]])</f>
        <v/>
      </c>
      <c r="I627">
        <f>_xlfn.XLOOKUP(tbl_MTG_Set[[#This Row],[Type Name]], tbl_MTG_Set_Type[Set Type], tbl_MTG_Set_Type[Index], "(Set Type not found)")</f>
        <v/>
      </c>
      <c r="J627">
        <f>_xlfn.XLOOKUP(tbl_MTG_Set[[#This Row],[Type Name]], tbl_MTG_Set_Type[Set Type], tbl_MTG_Set_Type[Buy Window Month Start], "(Set Type not found)")</f>
        <v/>
      </c>
      <c r="K627" s="3">
        <f>tbl_MTG_Set[[#This Row],[Released On]]+tbl_MTG_Set[[#This Row],[Buy Window Month Start]]*365.25/12</f>
        <v/>
      </c>
      <c r="L627">
        <f>_xlfn.XLOOKUP(tbl_MTG_Set[[#This Row],[Type Name]], tbl_MTG_Set_Type[Set Type], tbl_MTG_Set_Type[Buy Window Month End], "(Set Type not found)", 0, 1)</f>
        <v/>
      </c>
      <c r="M627" s="3">
        <f>tbl_MTG_Set[[#This Row],[Released On]]+tbl_MTG_Set[[#This Row],[Buy Window Month End]]*365.25/12</f>
        <v/>
      </c>
      <c r="N627" s="3">
        <f>AND(NOW()&gt;=tbl_MTG_Set[[#This Row],[Buy Window Start]], NOW()&lt;=tbl_MTG_Set[[#This Row],[Buy Window End]])</f>
        <v/>
      </c>
      <c r="O627">
        <f>_xlfn.XLOOKUP(tbl_MTG_Set[[#This Row],[Type Name]], tbl_MTG_Set_Type[Set Type], tbl_MTG_Set_Type[Heavy Printing Window Month Start], "(Set Type not found)", 0, 1)</f>
        <v/>
      </c>
      <c r="P627" s="3">
        <f>tbl_MTG_Set[[#This Row],[Released On]]+tbl_MTG_Set[[#This Row],[Heavy Printing Window Month Start]]*365.25/12</f>
        <v/>
      </c>
      <c r="Q627">
        <f>_xlfn.XLOOKUP(tbl_MTG_Set[[#This Row],[Type Name]], tbl_MTG_Set_Type[Set Type], tbl_MTG_Set_Type[Heavy Printing Window Month End], "(Set Type not found)", 0, 1)</f>
        <v/>
      </c>
      <c r="R627" s="3">
        <f>tbl_MTG_Set[[#This Row],[Released On]]+tbl_MTG_Set[[#This Row],[Heavy Printing Window Month End]]*365.25/12</f>
        <v/>
      </c>
      <c r="S627" s="3">
        <f>AND(NOW()&gt;=tbl_MTG_Set[[#This Row],[Heavy Printing Window Start]], NOW()&lt;=tbl_MTG_Set[[#This Row],[Heavy Printing Window End]])</f>
        <v/>
      </c>
      <c r="T627">
        <f>_xlfn.XLOOKUP(tbl_MTG_Set[[#This Row],[Type Name]], tbl_MTG_Set_Type[Set Type], tbl_MTG_Set_Type[Sell Window Month Start], "(Set Type not found)", 0, 1)</f>
        <v/>
      </c>
      <c r="U627" s="3">
        <f>tbl_MTG_Set[[#This Row],[Released On]]+tbl_MTG_Set[[#This Row],[Sell Window Month Start]]*365.25/12</f>
        <v/>
      </c>
      <c r="V627">
        <f>_xlfn.XLOOKUP(tbl_MTG_Set[[#This Row],[Type Name]], tbl_MTG_Set_Type[Set Type], tbl_MTG_Set_Type[Sell Window Month End], "(Set Type not found)", 0, 1)</f>
        <v/>
      </c>
      <c r="W627" s="3">
        <f>tbl_MTG_Set[[#This Row],[Released On]]+tbl_MTG_Set[[#This Row],[Sell Window Month End]]*365.25/12</f>
        <v/>
      </c>
      <c r="X627" s="3">
        <f>AND(NOW()&gt;=tbl_MTG_Set[[#This Row],[Sell Window Start]], NOW()&lt;=tbl_MTG_Set[[#This Row],[Sell Window End]])</f>
        <v/>
      </c>
      <c r="AG627" s="10" t="n"/>
      <c r="AH627" s="10" t="n"/>
      <c r="AM627" s="10">
        <f t="array" ref="AM6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7" s="10">
        <f t="array" ref="AN6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7" s="4">
        <f>_xlfn.XLOOKUP(tbl_MTG_Set[[#This Row],[Play Booster Box Product Id]], tbl_Product[Product Id], tbl_Product[Pack Size])</f>
        <v/>
      </c>
      <c r="AP627" s="10">
        <f>(tbl_MTG_Set[[#This Row],[Play Booster Box Cost]]+v_Item_Shipping_Cost_In)/tbl_MTG_Set[[#This Row],[Play Booster Box Size]]</f>
        <v/>
      </c>
      <c r="AQ627" s="10">
        <f t="array" ref="AQ6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7" s="10" t="n"/>
      <c r="AS627" s="10" t="n"/>
      <c r="AT627" s="17">
        <f>tbl_MTG_Set[[#This Row],[Play Booster CardMarket Profit]]/tbl_MTG_Set[[#This Row],[Play Booster Cost]]</f>
        <v/>
      </c>
      <c r="AU627" s="10">
        <f>_xlfn.XLOOKUP(tbl_MTG_Set[[#This Row],[Collector Booster Box Product Id]], tbl_Product[Product Id], tbl_Product[Min Cost])</f>
        <v/>
      </c>
      <c r="AV627" s="10">
        <f>_xlfn.XLOOKUP(tbl_MTG_Set[[#This Row],[Collector Booster Box Product Id]], tbl_Product[Product Id], tbl_Product[Best Source])</f>
        <v/>
      </c>
      <c r="AW627" s="4">
        <f>_xlfn.XLOOKUP(tbl_MTG_Set[[#This Row],[Collector Booster Box Product Id]], tbl_Product[Product Id], tbl_Product[Pack Size])</f>
        <v/>
      </c>
      <c r="AX627" s="10">
        <f>(tbl_MTG_Set[[#This Row],[Collector Booster Box Cost]] + v_Item_Shipping_Cost_In) / tbl_MTG_Set[[#This Row],[Collector Booster Box Size]]</f>
        <v/>
      </c>
      <c r="AY627" s="10">
        <f t="array" ref="AY6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7" s="10" t="n"/>
      <c r="BA6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7" s="17">
        <f>tbl_MTG_Set[[#This Row],[Collector Booster CardMarket Profit]]/tbl_MTG_Set[[#This Row],[Collector Booster Cost]]</f>
        <v/>
      </c>
      <c r="BC627" s="10" t="n"/>
      <c r="BF627" s="10">
        <f>tbl_MTG_Set[[#This Row],[Play Booster Sell Price CardMarket]]*tbl_MTG_Set[[#This Row],[Play Booster Expected Market Value]]/tbl_MTG_Set[[#This Row],[Play Boost Sealed Market Value]]</f>
        <v/>
      </c>
      <c r="BG6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7" s="10">
        <f>tbl_MTG_Set[[#This Row],[Play Singles CardMarket Profit]]/tbl_MTG_Set[[#This Row],[Play Booster Cost]]</f>
        <v/>
      </c>
      <c r="BI627" s="10">
        <f>tbl_MTG_Set[[#This Row],[Play Singles CardMarket Profit]]&gt;0</f>
        <v/>
      </c>
      <c r="BJ627" s="10" t="n"/>
      <c r="BK627" s="10" t="n"/>
      <c r="BL627" s="10">
        <f>tbl_MTG_Set[[#This Row],[Collector Booster Sell Price CardMarket]]*tbl_MTG_Set[[#This Row],[Collector Booster Expected Market Value]]/tbl_MTG_Set[[#This Row],[Collector Boost Sealed Market Value]]</f>
        <v/>
      </c>
      <c r="BM6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7" s="10">
        <f>tbl_MTG_Set[[#This Row],[Collector Singles CardMarket Profit]]/tbl_MTG_Set[[#This Row],[Collector Booster Cost]]</f>
        <v/>
      </c>
      <c r="BO627" s="10">
        <f>tbl_MTG_Set[[#This Row],[Collector Singles CardMarket Profit]]&gt;0</f>
        <v/>
      </c>
      <c r="BP6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8">
      <c r="A628" t="n">
        <v>626</v>
      </c>
      <c r="B628" t="inlineStr">
        <is>
          <t>Khans of Tarkir Promos PKTK</t>
        </is>
      </c>
      <c r="C628" t="n">
        <v>56</v>
      </c>
      <c r="D628" s="3" t="n">
        <v>41908</v>
      </c>
      <c r="F628" t="inlineStr">
        <is>
          <t>en es fr de it pt ja ko ru 汉语 漢語</t>
        </is>
      </c>
      <c r="G628" t="n">
        <v>1198</v>
      </c>
      <c r="H628">
        <f>MONTH(NOW())+12*YEAR(NOW())-MONTH(tbl_MTG_Set[[#This Row],[Released On]])-12*YEAR(tbl_MTG_Set[[#This Row],[Released On]])</f>
        <v/>
      </c>
      <c r="I628">
        <f>_xlfn.XLOOKUP(tbl_MTG_Set[[#This Row],[Type Name]], tbl_MTG_Set_Type[Set Type], tbl_MTG_Set_Type[Index], "(Set Type not found)")</f>
        <v/>
      </c>
      <c r="J628">
        <f>_xlfn.XLOOKUP(tbl_MTG_Set[[#This Row],[Type Name]], tbl_MTG_Set_Type[Set Type], tbl_MTG_Set_Type[Buy Window Month Start], "(Set Type not found)")</f>
        <v/>
      </c>
      <c r="K628" s="3">
        <f>tbl_MTG_Set[[#This Row],[Released On]]+tbl_MTG_Set[[#This Row],[Buy Window Month Start]]*365.25/12</f>
        <v/>
      </c>
      <c r="L628">
        <f>_xlfn.XLOOKUP(tbl_MTG_Set[[#This Row],[Type Name]], tbl_MTG_Set_Type[Set Type], tbl_MTG_Set_Type[Buy Window Month End], "(Set Type not found)", 0, 1)</f>
        <v/>
      </c>
      <c r="M628" s="3">
        <f>tbl_MTG_Set[[#This Row],[Released On]]+tbl_MTG_Set[[#This Row],[Buy Window Month End]]*365.25/12</f>
        <v/>
      </c>
      <c r="N628" s="3">
        <f>AND(NOW()&gt;=tbl_MTG_Set[[#This Row],[Buy Window Start]], NOW()&lt;=tbl_MTG_Set[[#This Row],[Buy Window End]])</f>
        <v/>
      </c>
      <c r="O628">
        <f>_xlfn.XLOOKUP(tbl_MTG_Set[[#This Row],[Type Name]], tbl_MTG_Set_Type[Set Type], tbl_MTG_Set_Type[Heavy Printing Window Month Start], "(Set Type not found)", 0, 1)</f>
        <v/>
      </c>
      <c r="P628" s="3">
        <f>tbl_MTG_Set[[#This Row],[Released On]]+tbl_MTG_Set[[#This Row],[Heavy Printing Window Month Start]]*365.25/12</f>
        <v/>
      </c>
      <c r="Q628">
        <f>_xlfn.XLOOKUP(tbl_MTG_Set[[#This Row],[Type Name]], tbl_MTG_Set_Type[Set Type], tbl_MTG_Set_Type[Heavy Printing Window Month End], "(Set Type not found)", 0, 1)</f>
        <v/>
      </c>
      <c r="R628" s="3">
        <f>tbl_MTG_Set[[#This Row],[Released On]]+tbl_MTG_Set[[#This Row],[Heavy Printing Window Month End]]*365.25/12</f>
        <v/>
      </c>
      <c r="S628" s="3">
        <f>AND(NOW()&gt;=tbl_MTG_Set[[#This Row],[Heavy Printing Window Start]], NOW()&lt;=tbl_MTG_Set[[#This Row],[Heavy Printing Window End]])</f>
        <v/>
      </c>
      <c r="T628">
        <f>_xlfn.XLOOKUP(tbl_MTG_Set[[#This Row],[Type Name]], tbl_MTG_Set_Type[Set Type], tbl_MTG_Set_Type[Sell Window Month Start], "(Set Type not found)", 0, 1)</f>
        <v/>
      </c>
      <c r="U628" s="3">
        <f>tbl_MTG_Set[[#This Row],[Released On]]+tbl_MTG_Set[[#This Row],[Sell Window Month Start]]*365.25/12</f>
        <v/>
      </c>
      <c r="V628">
        <f>_xlfn.XLOOKUP(tbl_MTG_Set[[#This Row],[Type Name]], tbl_MTG_Set_Type[Set Type], tbl_MTG_Set_Type[Sell Window Month End], "(Set Type not found)", 0, 1)</f>
        <v/>
      </c>
      <c r="W628" s="3">
        <f>tbl_MTG_Set[[#This Row],[Released On]]+tbl_MTG_Set[[#This Row],[Sell Window Month End]]*365.25/12</f>
        <v/>
      </c>
      <c r="X628" s="3">
        <f>AND(NOW()&gt;=tbl_MTG_Set[[#This Row],[Sell Window Start]], NOW()&lt;=tbl_MTG_Set[[#This Row],[Sell Window End]])</f>
        <v/>
      </c>
      <c r="AG628" s="10" t="n"/>
      <c r="AH628" s="10" t="n"/>
      <c r="AM628" s="10">
        <f t="array" ref="AM6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8" s="10">
        <f t="array" ref="AN6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8" s="4">
        <f>_xlfn.XLOOKUP(tbl_MTG_Set[[#This Row],[Play Booster Box Product Id]], tbl_Product[Product Id], tbl_Product[Pack Size])</f>
        <v/>
      </c>
      <c r="AP628" s="10">
        <f>(tbl_MTG_Set[[#This Row],[Play Booster Box Cost]]+v_Item_Shipping_Cost_In)/tbl_MTG_Set[[#This Row],[Play Booster Box Size]]</f>
        <v/>
      </c>
      <c r="AQ628" s="10">
        <f t="array" ref="AQ6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8" s="10" t="n"/>
      <c r="AS628" s="10" t="n"/>
      <c r="AT628" s="17">
        <f>tbl_MTG_Set[[#This Row],[Play Booster CardMarket Profit]]/tbl_MTG_Set[[#This Row],[Play Booster Cost]]</f>
        <v/>
      </c>
      <c r="AU628" s="10">
        <f>_xlfn.XLOOKUP(tbl_MTG_Set[[#This Row],[Collector Booster Box Product Id]], tbl_Product[Product Id], tbl_Product[Min Cost])</f>
        <v/>
      </c>
      <c r="AV628" s="10">
        <f>_xlfn.XLOOKUP(tbl_MTG_Set[[#This Row],[Collector Booster Box Product Id]], tbl_Product[Product Id], tbl_Product[Best Source])</f>
        <v/>
      </c>
      <c r="AW628" s="4">
        <f>_xlfn.XLOOKUP(tbl_MTG_Set[[#This Row],[Collector Booster Box Product Id]], tbl_Product[Product Id], tbl_Product[Pack Size])</f>
        <v/>
      </c>
      <c r="AX628" s="10">
        <f>(tbl_MTG_Set[[#This Row],[Collector Booster Box Cost]] + v_Item_Shipping_Cost_In) / tbl_MTG_Set[[#This Row],[Collector Booster Box Size]]</f>
        <v/>
      </c>
      <c r="AY628" s="10">
        <f t="array" ref="AY6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8" s="10" t="n"/>
      <c r="BA6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8" s="17">
        <f>tbl_MTG_Set[[#This Row],[Collector Booster CardMarket Profit]]/tbl_MTG_Set[[#This Row],[Collector Booster Cost]]</f>
        <v/>
      </c>
      <c r="BC628" s="10" t="n"/>
      <c r="BF628" s="10">
        <f>tbl_MTG_Set[[#This Row],[Play Booster Sell Price CardMarket]]*tbl_MTG_Set[[#This Row],[Play Booster Expected Market Value]]/tbl_MTG_Set[[#This Row],[Play Boost Sealed Market Value]]</f>
        <v/>
      </c>
      <c r="BG6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8" s="10">
        <f>tbl_MTG_Set[[#This Row],[Play Singles CardMarket Profit]]/tbl_MTG_Set[[#This Row],[Play Booster Cost]]</f>
        <v/>
      </c>
      <c r="BI628" s="10">
        <f>tbl_MTG_Set[[#This Row],[Play Singles CardMarket Profit]]&gt;0</f>
        <v/>
      </c>
      <c r="BJ628" s="10" t="n"/>
      <c r="BK628" s="10" t="n"/>
      <c r="BL628" s="10">
        <f>tbl_MTG_Set[[#This Row],[Collector Booster Sell Price CardMarket]]*tbl_MTG_Set[[#This Row],[Collector Booster Expected Market Value]]/tbl_MTG_Set[[#This Row],[Collector Boost Sealed Market Value]]</f>
        <v/>
      </c>
      <c r="BM6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8" s="10">
        <f>tbl_MTG_Set[[#This Row],[Collector Singles CardMarket Profit]]/tbl_MTG_Set[[#This Row],[Collector Booster Cost]]</f>
        <v/>
      </c>
      <c r="BO628" s="10">
        <f>tbl_MTG_Set[[#This Row],[Collector Singles CardMarket Profit]]&gt;0</f>
        <v/>
      </c>
      <c r="BP6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9">
      <c r="A629" t="n">
        <v>627</v>
      </c>
      <c r="B629" t="inlineStr">
        <is>
          <t>Khans of Tarkir Tokens TKTK</t>
        </is>
      </c>
      <c r="C629" t="n">
        <v>13</v>
      </c>
      <c r="D629" s="3" t="n">
        <v>41908</v>
      </c>
      <c r="F629" t="inlineStr">
        <is>
          <t>en es fr de it pt ja ko ru 汉语 漢語</t>
        </is>
      </c>
      <c r="G629" t="n">
        <v>1200</v>
      </c>
      <c r="H629">
        <f>MONTH(NOW())+12*YEAR(NOW())-MONTH(tbl_MTG_Set[[#This Row],[Released On]])-12*YEAR(tbl_MTG_Set[[#This Row],[Released On]])</f>
        <v/>
      </c>
      <c r="I629">
        <f>_xlfn.XLOOKUP(tbl_MTG_Set[[#This Row],[Type Name]], tbl_MTG_Set_Type[Set Type], tbl_MTG_Set_Type[Index], "(Set Type not found)")</f>
        <v/>
      </c>
      <c r="J629">
        <f>_xlfn.XLOOKUP(tbl_MTG_Set[[#This Row],[Type Name]], tbl_MTG_Set_Type[Set Type], tbl_MTG_Set_Type[Buy Window Month Start], "(Set Type not found)")</f>
        <v/>
      </c>
      <c r="K629" s="3">
        <f>tbl_MTG_Set[[#This Row],[Released On]]+tbl_MTG_Set[[#This Row],[Buy Window Month Start]]*365.25/12</f>
        <v/>
      </c>
      <c r="L629">
        <f>_xlfn.XLOOKUP(tbl_MTG_Set[[#This Row],[Type Name]], tbl_MTG_Set_Type[Set Type], tbl_MTG_Set_Type[Buy Window Month End], "(Set Type not found)", 0, 1)</f>
        <v/>
      </c>
      <c r="M629" s="3">
        <f>tbl_MTG_Set[[#This Row],[Released On]]+tbl_MTG_Set[[#This Row],[Buy Window Month End]]*365.25/12</f>
        <v/>
      </c>
      <c r="N629" s="3">
        <f>AND(NOW()&gt;=tbl_MTG_Set[[#This Row],[Buy Window Start]], NOW()&lt;=tbl_MTG_Set[[#This Row],[Buy Window End]])</f>
        <v/>
      </c>
      <c r="O629">
        <f>_xlfn.XLOOKUP(tbl_MTG_Set[[#This Row],[Type Name]], tbl_MTG_Set_Type[Set Type], tbl_MTG_Set_Type[Heavy Printing Window Month Start], "(Set Type not found)", 0, 1)</f>
        <v/>
      </c>
      <c r="P629" s="3">
        <f>tbl_MTG_Set[[#This Row],[Released On]]+tbl_MTG_Set[[#This Row],[Heavy Printing Window Month Start]]*365.25/12</f>
        <v/>
      </c>
      <c r="Q629">
        <f>_xlfn.XLOOKUP(tbl_MTG_Set[[#This Row],[Type Name]], tbl_MTG_Set_Type[Set Type], tbl_MTG_Set_Type[Heavy Printing Window Month End], "(Set Type not found)", 0, 1)</f>
        <v/>
      </c>
      <c r="R629" s="3">
        <f>tbl_MTG_Set[[#This Row],[Released On]]+tbl_MTG_Set[[#This Row],[Heavy Printing Window Month End]]*365.25/12</f>
        <v/>
      </c>
      <c r="S629" s="3">
        <f>AND(NOW()&gt;=tbl_MTG_Set[[#This Row],[Heavy Printing Window Start]], NOW()&lt;=tbl_MTG_Set[[#This Row],[Heavy Printing Window End]])</f>
        <v/>
      </c>
      <c r="T629">
        <f>_xlfn.XLOOKUP(tbl_MTG_Set[[#This Row],[Type Name]], tbl_MTG_Set_Type[Set Type], tbl_MTG_Set_Type[Sell Window Month Start], "(Set Type not found)", 0, 1)</f>
        <v/>
      </c>
      <c r="U629" s="3">
        <f>tbl_MTG_Set[[#This Row],[Released On]]+tbl_MTG_Set[[#This Row],[Sell Window Month Start]]*365.25/12</f>
        <v/>
      </c>
      <c r="V629">
        <f>_xlfn.XLOOKUP(tbl_MTG_Set[[#This Row],[Type Name]], tbl_MTG_Set_Type[Set Type], tbl_MTG_Set_Type[Sell Window Month End], "(Set Type not found)", 0, 1)</f>
        <v/>
      </c>
      <c r="W629" s="3">
        <f>tbl_MTG_Set[[#This Row],[Released On]]+tbl_MTG_Set[[#This Row],[Sell Window Month End]]*365.25/12</f>
        <v/>
      </c>
      <c r="X629" s="3">
        <f>AND(NOW()&gt;=tbl_MTG_Set[[#This Row],[Sell Window Start]], NOW()&lt;=tbl_MTG_Set[[#This Row],[Sell Window End]])</f>
        <v/>
      </c>
      <c r="AG629" s="10" t="n"/>
      <c r="AH629" s="10" t="n"/>
      <c r="AM629" s="10">
        <f t="array" ref="AM6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9" s="10">
        <f t="array" ref="AN6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9" s="4">
        <f>_xlfn.XLOOKUP(tbl_MTG_Set[[#This Row],[Play Booster Box Product Id]], tbl_Product[Product Id], tbl_Product[Pack Size])</f>
        <v/>
      </c>
      <c r="AP629" s="10">
        <f>(tbl_MTG_Set[[#This Row],[Play Booster Box Cost]]+v_Item_Shipping_Cost_In)/tbl_MTG_Set[[#This Row],[Play Booster Box Size]]</f>
        <v/>
      </c>
      <c r="AQ629" s="10">
        <f t="array" ref="AQ6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29" s="10" t="n"/>
      <c r="AS629" s="10" t="n"/>
      <c r="AT629" s="17">
        <f>tbl_MTG_Set[[#This Row],[Play Booster CardMarket Profit]]/tbl_MTG_Set[[#This Row],[Play Booster Cost]]</f>
        <v/>
      </c>
      <c r="AU629" s="10">
        <f>_xlfn.XLOOKUP(tbl_MTG_Set[[#This Row],[Collector Booster Box Product Id]], tbl_Product[Product Id], tbl_Product[Min Cost])</f>
        <v/>
      </c>
      <c r="AV629" s="10">
        <f>_xlfn.XLOOKUP(tbl_MTG_Set[[#This Row],[Collector Booster Box Product Id]], tbl_Product[Product Id], tbl_Product[Best Source])</f>
        <v/>
      </c>
      <c r="AW629" s="4">
        <f>_xlfn.XLOOKUP(tbl_MTG_Set[[#This Row],[Collector Booster Box Product Id]], tbl_Product[Product Id], tbl_Product[Pack Size])</f>
        <v/>
      </c>
      <c r="AX629" s="10">
        <f>(tbl_MTG_Set[[#This Row],[Collector Booster Box Cost]] + v_Item_Shipping_Cost_In) / tbl_MTG_Set[[#This Row],[Collector Booster Box Size]]</f>
        <v/>
      </c>
      <c r="AY629" s="10">
        <f t="array" ref="AY6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29" s="10" t="n"/>
      <c r="BA6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9" s="17">
        <f>tbl_MTG_Set[[#This Row],[Collector Booster CardMarket Profit]]/tbl_MTG_Set[[#This Row],[Collector Booster Cost]]</f>
        <v/>
      </c>
      <c r="BC629" s="10" t="n"/>
      <c r="BF629" s="10">
        <f>tbl_MTG_Set[[#This Row],[Play Booster Sell Price CardMarket]]*tbl_MTG_Set[[#This Row],[Play Booster Expected Market Value]]/tbl_MTG_Set[[#This Row],[Play Boost Sealed Market Value]]</f>
        <v/>
      </c>
      <c r="BG6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9" s="10">
        <f>tbl_MTG_Set[[#This Row],[Play Singles CardMarket Profit]]/tbl_MTG_Set[[#This Row],[Play Booster Cost]]</f>
        <v/>
      </c>
      <c r="BI629" s="10">
        <f>tbl_MTG_Set[[#This Row],[Play Singles CardMarket Profit]]&gt;0</f>
        <v/>
      </c>
      <c r="BJ629" s="10" t="n"/>
      <c r="BK629" s="10" t="n"/>
      <c r="BL629" s="10">
        <f>tbl_MTG_Set[[#This Row],[Collector Booster Sell Price CardMarket]]*tbl_MTG_Set[[#This Row],[Collector Booster Expected Market Value]]/tbl_MTG_Set[[#This Row],[Collector Boost Sealed Market Value]]</f>
        <v/>
      </c>
      <c r="BM6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9" s="10">
        <f>tbl_MTG_Set[[#This Row],[Collector Singles CardMarket Profit]]/tbl_MTG_Set[[#This Row],[Collector Booster Cost]]</f>
        <v/>
      </c>
      <c r="BO629" s="10">
        <f>tbl_MTG_Set[[#This Row],[Collector Singles CardMarket Profit]]&gt;0</f>
        <v/>
      </c>
      <c r="BP6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0">
      <c r="A630" t="n">
        <v>628</v>
      </c>
      <c r="B630" t="inlineStr">
        <is>
          <t>Duel Decks: Speed vs. Cunning DDN</t>
        </is>
      </c>
      <c r="C630" t="n">
        <v>82</v>
      </c>
      <c r="D630" s="3" t="n">
        <v>41887</v>
      </c>
      <c r="F630" t="inlineStr">
        <is>
          <t>en es fr de it pt ja ko ru 汉语 漢語</t>
        </is>
      </c>
      <c r="G630" t="n">
        <v>1202</v>
      </c>
      <c r="H630">
        <f>MONTH(NOW())+12*YEAR(NOW())-MONTH(tbl_MTG_Set[[#This Row],[Released On]])-12*YEAR(tbl_MTG_Set[[#This Row],[Released On]])</f>
        <v/>
      </c>
      <c r="I630">
        <f>_xlfn.XLOOKUP(tbl_MTG_Set[[#This Row],[Type Name]], tbl_MTG_Set_Type[Set Type], tbl_MTG_Set_Type[Index], "(Set Type not found)")</f>
        <v/>
      </c>
      <c r="J630">
        <f>_xlfn.XLOOKUP(tbl_MTG_Set[[#This Row],[Type Name]], tbl_MTG_Set_Type[Set Type], tbl_MTG_Set_Type[Buy Window Month Start], "(Set Type not found)")</f>
        <v/>
      </c>
      <c r="K630" s="3">
        <f>tbl_MTG_Set[[#This Row],[Released On]]+tbl_MTG_Set[[#This Row],[Buy Window Month Start]]*365.25/12</f>
        <v/>
      </c>
      <c r="L630">
        <f>_xlfn.XLOOKUP(tbl_MTG_Set[[#This Row],[Type Name]], tbl_MTG_Set_Type[Set Type], tbl_MTG_Set_Type[Buy Window Month End], "(Set Type not found)", 0, 1)</f>
        <v/>
      </c>
      <c r="M630" s="3">
        <f>tbl_MTG_Set[[#This Row],[Released On]]+tbl_MTG_Set[[#This Row],[Buy Window Month End]]*365.25/12</f>
        <v/>
      </c>
      <c r="N630" s="3">
        <f>AND(NOW()&gt;=tbl_MTG_Set[[#This Row],[Buy Window Start]], NOW()&lt;=tbl_MTG_Set[[#This Row],[Buy Window End]])</f>
        <v/>
      </c>
      <c r="O630">
        <f>_xlfn.XLOOKUP(tbl_MTG_Set[[#This Row],[Type Name]], tbl_MTG_Set_Type[Set Type], tbl_MTG_Set_Type[Heavy Printing Window Month Start], "(Set Type not found)", 0, 1)</f>
        <v/>
      </c>
      <c r="P630" s="3">
        <f>tbl_MTG_Set[[#This Row],[Released On]]+tbl_MTG_Set[[#This Row],[Heavy Printing Window Month Start]]*365.25/12</f>
        <v/>
      </c>
      <c r="Q630">
        <f>_xlfn.XLOOKUP(tbl_MTG_Set[[#This Row],[Type Name]], tbl_MTG_Set_Type[Set Type], tbl_MTG_Set_Type[Heavy Printing Window Month End], "(Set Type not found)", 0, 1)</f>
        <v/>
      </c>
      <c r="R630" s="3">
        <f>tbl_MTG_Set[[#This Row],[Released On]]+tbl_MTG_Set[[#This Row],[Heavy Printing Window Month End]]*365.25/12</f>
        <v/>
      </c>
      <c r="S630" s="3">
        <f>AND(NOW()&gt;=tbl_MTG_Set[[#This Row],[Heavy Printing Window Start]], NOW()&lt;=tbl_MTG_Set[[#This Row],[Heavy Printing Window End]])</f>
        <v/>
      </c>
      <c r="T630">
        <f>_xlfn.XLOOKUP(tbl_MTG_Set[[#This Row],[Type Name]], tbl_MTG_Set_Type[Set Type], tbl_MTG_Set_Type[Sell Window Month Start], "(Set Type not found)", 0, 1)</f>
        <v/>
      </c>
      <c r="U630" s="3">
        <f>tbl_MTG_Set[[#This Row],[Released On]]+tbl_MTG_Set[[#This Row],[Sell Window Month Start]]*365.25/12</f>
        <v/>
      </c>
      <c r="V630">
        <f>_xlfn.XLOOKUP(tbl_MTG_Set[[#This Row],[Type Name]], tbl_MTG_Set_Type[Set Type], tbl_MTG_Set_Type[Sell Window Month End], "(Set Type not found)", 0, 1)</f>
        <v/>
      </c>
      <c r="W630" s="3">
        <f>tbl_MTG_Set[[#This Row],[Released On]]+tbl_MTG_Set[[#This Row],[Sell Window Month End]]*365.25/12</f>
        <v/>
      </c>
      <c r="X630" s="3">
        <f>AND(NOW()&gt;=tbl_MTG_Set[[#This Row],[Sell Window Start]], NOW()&lt;=tbl_MTG_Set[[#This Row],[Sell Window End]])</f>
        <v/>
      </c>
      <c r="AG630" s="10" t="n"/>
      <c r="AH630" s="10" t="n"/>
      <c r="AM630" s="10">
        <f t="array" ref="AM6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0" s="10">
        <f t="array" ref="AN6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0" s="4">
        <f>_xlfn.XLOOKUP(tbl_MTG_Set[[#This Row],[Play Booster Box Product Id]], tbl_Product[Product Id], tbl_Product[Pack Size])</f>
        <v/>
      </c>
      <c r="AP630" s="10">
        <f>(tbl_MTG_Set[[#This Row],[Play Booster Box Cost]]+v_Item_Shipping_Cost_In)/tbl_MTG_Set[[#This Row],[Play Booster Box Size]]</f>
        <v/>
      </c>
      <c r="AQ630" s="10">
        <f t="array" ref="AQ6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0" s="10" t="n"/>
      <c r="AS630" s="10" t="n"/>
      <c r="AT630" s="17">
        <f>tbl_MTG_Set[[#This Row],[Play Booster CardMarket Profit]]/tbl_MTG_Set[[#This Row],[Play Booster Cost]]</f>
        <v/>
      </c>
      <c r="AU630" s="10">
        <f>_xlfn.XLOOKUP(tbl_MTG_Set[[#This Row],[Collector Booster Box Product Id]], tbl_Product[Product Id], tbl_Product[Min Cost])</f>
        <v/>
      </c>
      <c r="AV630" s="10">
        <f>_xlfn.XLOOKUP(tbl_MTG_Set[[#This Row],[Collector Booster Box Product Id]], tbl_Product[Product Id], tbl_Product[Best Source])</f>
        <v/>
      </c>
      <c r="AW630" s="4">
        <f>_xlfn.XLOOKUP(tbl_MTG_Set[[#This Row],[Collector Booster Box Product Id]], tbl_Product[Product Id], tbl_Product[Pack Size])</f>
        <v/>
      </c>
      <c r="AX630" s="10">
        <f>(tbl_MTG_Set[[#This Row],[Collector Booster Box Cost]] + v_Item_Shipping_Cost_In) / tbl_MTG_Set[[#This Row],[Collector Booster Box Size]]</f>
        <v/>
      </c>
      <c r="AY630" s="10">
        <f t="array" ref="AY6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0" s="10" t="n"/>
      <c r="BA6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0" s="17">
        <f>tbl_MTG_Set[[#This Row],[Collector Booster CardMarket Profit]]/tbl_MTG_Set[[#This Row],[Collector Booster Cost]]</f>
        <v/>
      </c>
      <c r="BC630" s="10" t="n"/>
      <c r="BF630" s="10">
        <f>tbl_MTG_Set[[#This Row],[Play Booster Sell Price CardMarket]]*tbl_MTG_Set[[#This Row],[Play Booster Expected Market Value]]/tbl_MTG_Set[[#This Row],[Play Boost Sealed Market Value]]</f>
        <v/>
      </c>
      <c r="BG6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0" s="10">
        <f>tbl_MTG_Set[[#This Row],[Play Singles CardMarket Profit]]/tbl_MTG_Set[[#This Row],[Play Booster Cost]]</f>
        <v/>
      </c>
      <c r="BI630" s="10">
        <f>tbl_MTG_Set[[#This Row],[Play Singles CardMarket Profit]]&gt;0</f>
        <v/>
      </c>
      <c r="BJ630" s="10" t="n"/>
      <c r="BK630" s="10" t="n"/>
      <c r="BL630" s="10">
        <f>tbl_MTG_Set[[#This Row],[Collector Booster Sell Price CardMarket]]*tbl_MTG_Set[[#This Row],[Collector Booster Expected Market Value]]/tbl_MTG_Set[[#This Row],[Collector Boost Sealed Market Value]]</f>
        <v/>
      </c>
      <c r="BM6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0" s="10">
        <f>tbl_MTG_Set[[#This Row],[Collector Singles CardMarket Profit]]/tbl_MTG_Set[[#This Row],[Collector Booster Cost]]</f>
        <v/>
      </c>
      <c r="BO630" s="10">
        <f>tbl_MTG_Set[[#This Row],[Collector Singles CardMarket Profit]]&gt;0</f>
        <v/>
      </c>
      <c r="BP6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1">
      <c r="A631" t="n">
        <v>629</v>
      </c>
      <c r="B631" t="inlineStr">
        <is>
          <t>From the Vault: Annihilation V14</t>
        </is>
      </c>
      <c r="C631" t="n">
        <v>15</v>
      </c>
      <c r="D631" s="3" t="n">
        <v>41873</v>
      </c>
      <c r="F631" t="inlineStr">
        <is>
          <t>en es fr de it pt ja ko ru 汉语 漢語</t>
        </is>
      </c>
      <c r="G631" t="n">
        <v>1204</v>
      </c>
      <c r="H631">
        <f>MONTH(NOW())+12*YEAR(NOW())-MONTH(tbl_MTG_Set[[#This Row],[Released On]])-12*YEAR(tbl_MTG_Set[[#This Row],[Released On]])</f>
        <v/>
      </c>
      <c r="I631">
        <f>_xlfn.XLOOKUP(tbl_MTG_Set[[#This Row],[Type Name]], tbl_MTG_Set_Type[Set Type], tbl_MTG_Set_Type[Index], "(Set Type not found)")</f>
        <v/>
      </c>
      <c r="J631">
        <f>_xlfn.XLOOKUP(tbl_MTG_Set[[#This Row],[Type Name]], tbl_MTG_Set_Type[Set Type], tbl_MTG_Set_Type[Buy Window Month Start], "(Set Type not found)")</f>
        <v/>
      </c>
      <c r="K631" s="3">
        <f>tbl_MTG_Set[[#This Row],[Released On]]+tbl_MTG_Set[[#This Row],[Buy Window Month Start]]*365.25/12</f>
        <v/>
      </c>
      <c r="L631">
        <f>_xlfn.XLOOKUP(tbl_MTG_Set[[#This Row],[Type Name]], tbl_MTG_Set_Type[Set Type], tbl_MTG_Set_Type[Buy Window Month End], "(Set Type not found)", 0, 1)</f>
        <v/>
      </c>
      <c r="M631" s="3">
        <f>tbl_MTG_Set[[#This Row],[Released On]]+tbl_MTG_Set[[#This Row],[Buy Window Month End]]*365.25/12</f>
        <v/>
      </c>
      <c r="N631" s="3">
        <f>AND(NOW()&gt;=tbl_MTG_Set[[#This Row],[Buy Window Start]], NOW()&lt;=tbl_MTG_Set[[#This Row],[Buy Window End]])</f>
        <v/>
      </c>
      <c r="O631">
        <f>_xlfn.XLOOKUP(tbl_MTG_Set[[#This Row],[Type Name]], tbl_MTG_Set_Type[Set Type], tbl_MTG_Set_Type[Heavy Printing Window Month Start], "(Set Type not found)", 0, 1)</f>
        <v/>
      </c>
      <c r="P631" s="3">
        <f>tbl_MTG_Set[[#This Row],[Released On]]+tbl_MTG_Set[[#This Row],[Heavy Printing Window Month Start]]*365.25/12</f>
        <v/>
      </c>
      <c r="Q631">
        <f>_xlfn.XLOOKUP(tbl_MTG_Set[[#This Row],[Type Name]], tbl_MTG_Set_Type[Set Type], tbl_MTG_Set_Type[Heavy Printing Window Month End], "(Set Type not found)", 0, 1)</f>
        <v/>
      </c>
      <c r="R631" s="3">
        <f>tbl_MTG_Set[[#This Row],[Released On]]+tbl_MTG_Set[[#This Row],[Heavy Printing Window Month End]]*365.25/12</f>
        <v/>
      </c>
      <c r="S631" s="3">
        <f>AND(NOW()&gt;=tbl_MTG_Set[[#This Row],[Heavy Printing Window Start]], NOW()&lt;=tbl_MTG_Set[[#This Row],[Heavy Printing Window End]])</f>
        <v/>
      </c>
      <c r="T631">
        <f>_xlfn.XLOOKUP(tbl_MTG_Set[[#This Row],[Type Name]], tbl_MTG_Set_Type[Set Type], tbl_MTG_Set_Type[Sell Window Month Start], "(Set Type not found)", 0, 1)</f>
        <v/>
      </c>
      <c r="U631" s="3">
        <f>tbl_MTG_Set[[#This Row],[Released On]]+tbl_MTG_Set[[#This Row],[Sell Window Month Start]]*365.25/12</f>
        <v/>
      </c>
      <c r="V631">
        <f>_xlfn.XLOOKUP(tbl_MTG_Set[[#This Row],[Type Name]], tbl_MTG_Set_Type[Set Type], tbl_MTG_Set_Type[Sell Window Month End], "(Set Type not found)", 0, 1)</f>
        <v/>
      </c>
      <c r="W631" s="3">
        <f>tbl_MTG_Set[[#This Row],[Released On]]+tbl_MTG_Set[[#This Row],[Sell Window Month End]]*365.25/12</f>
        <v/>
      </c>
      <c r="X631" s="3">
        <f>AND(NOW()&gt;=tbl_MTG_Set[[#This Row],[Sell Window Start]], NOW()&lt;=tbl_MTG_Set[[#This Row],[Sell Window End]])</f>
        <v/>
      </c>
      <c r="AG631" s="10" t="n"/>
      <c r="AH631" s="10" t="n"/>
      <c r="AM631" s="10">
        <f t="array" ref="AM6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1" s="10">
        <f t="array" ref="AN6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1" s="4">
        <f>_xlfn.XLOOKUP(tbl_MTG_Set[[#This Row],[Play Booster Box Product Id]], tbl_Product[Product Id], tbl_Product[Pack Size])</f>
        <v/>
      </c>
      <c r="AP631" s="10">
        <f>(tbl_MTG_Set[[#This Row],[Play Booster Box Cost]]+v_Item_Shipping_Cost_In)/tbl_MTG_Set[[#This Row],[Play Booster Box Size]]</f>
        <v/>
      </c>
      <c r="AQ631" s="10">
        <f t="array" ref="AQ6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1" s="10" t="n"/>
      <c r="AS631" s="10" t="n"/>
      <c r="AT631" s="17">
        <f>tbl_MTG_Set[[#This Row],[Play Booster CardMarket Profit]]/tbl_MTG_Set[[#This Row],[Play Booster Cost]]</f>
        <v/>
      </c>
      <c r="AU631" s="10">
        <f>_xlfn.XLOOKUP(tbl_MTG_Set[[#This Row],[Collector Booster Box Product Id]], tbl_Product[Product Id], tbl_Product[Min Cost])</f>
        <v/>
      </c>
      <c r="AV631" s="10">
        <f>_xlfn.XLOOKUP(tbl_MTG_Set[[#This Row],[Collector Booster Box Product Id]], tbl_Product[Product Id], tbl_Product[Best Source])</f>
        <v/>
      </c>
      <c r="AW631" s="4">
        <f>_xlfn.XLOOKUP(tbl_MTG_Set[[#This Row],[Collector Booster Box Product Id]], tbl_Product[Product Id], tbl_Product[Pack Size])</f>
        <v/>
      </c>
      <c r="AX631" s="10">
        <f>(tbl_MTG_Set[[#This Row],[Collector Booster Box Cost]] + v_Item_Shipping_Cost_In) / tbl_MTG_Set[[#This Row],[Collector Booster Box Size]]</f>
        <v/>
      </c>
      <c r="AY631" s="10">
        <f t="array" ref="AY6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1" s="10" t="n"/>
      <c r="BA6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1" s="17">
        <f>tbl_MTG_Set[[#This Row],[Collector Booster CardMarket Profit]]/tbl_MTG_Set[[#This Row],[Collector Booster Cost]]</f>
        <v/>
      </c>
      <c r="BC631" s="10" t="n"/>
      <c r="BF631" s="10">
        <f>tbl_MTG_Set[[#This Row],[Play Booster Sell Price CardMarket]]*tbl_MTG_Set[[#This Row],[Play Booster Expected Market Value]]/tbl_MTG_Set[[#This Row],[Play Boost Sealed Market Value]]</f>
        <v/>
      </c>
      <c r="BG6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1" s="10">
        <f>tbl_MTG_Set[[#This Row],[Play Singles CardMarket Profit]]/tbl_MTG_Set[[#This Row],[Play Booster Cost]]</f>
        <v/>
      </c>
      <c r="BI631" s="10">
        <f>tbl_MTG_Set[[#This Row],[Play Singles CardMarket Profit]]&gt;0</f>
        <v/>
      </c>
      <c r="BJ631" s="10" t="n"/>
      <c r="BK631" s="10" t="n"/>
      <c r="BL631" s="10">
        <f>tbl_MTG_Set[[#This Row],[Collector Booster Sell Price CardMarket]]*tbl_MTG_Set[[#This Row],[Collector Booster Expected Market Value]]/tbl_MTG_Set[[#This Row],[Collector Boost Sealed Market Value]]</f>
        <v/>
      </c>
      <c r="BM6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1" s="10">
        <f>tbl_MTG_Set[[#This Row],[Collector Singles CardMarket Profit]]/tbl_MTG_Set[[#This Row],[Collector Booster Cost]]</f>
        <v/>
      </c>
      <c r="BO631" s="10">
        <f>tbl_MTG_Set[[#This Row],[Collector Singles CardMarket Profit]]&gt;0</f>
        <v/>
      </c>
      <c r="BP6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2">
      <c r="A632" t="n">
        <v>630</v>
      </c>
      <c r="B632" t="inlineStr">
        <is>
          <t>Magic 2015 M15</t>
        </is>
      </c>
      <c r="C632" t="n">
        <v>284</v>
      </c>
      <c r="D632" s="3" t="n">
        <v>41838</v>
      </c>
      <c r="F632" t="inlineStr">
        <is>
          <t>en es fr de it pt ja ko ru 汉语 漢語</t>
        </is>
      </c>
      <c r="G632" t="n">
        <v>1206</v>
      </c>
      <c r="H632">
        <f>MONTH(NOW())+12*YEAR(NOW())-MONTH(tbl_MTG_Set[[#This Row],[Released On]])-12*YEAR(tbl_MTG_Set[[#This Row],[Released On]])</f>
        <v/>
      </c>
      <c r="I632">
        <f>_xlfn.XLOOKUP(tbl_MTG_Set[[#This Row],[Type Name]], tbl_MTG_Set_Type[Set Type], tbl_MTG_Set_Type[Index], "(Set Type not found)")</f>
        <v/>
      </c>
      <c r="J632">
        <f>_xlfn.XLOOKUP(tbl_MTG_Set[[#This Row],[Type Name]], tbl_MTG_Set_Type[Set Type], tbl_MTG_Set_Type[Buy Window Month Start], "(Set Type not found)")</f>
        <v/>
      </c>
      <c r="K632" s="3">
        <f>tbl_MTG_Set[[#This Row],[Released On]]+tbl_MTG_Set[[#This Row],[Buy Window Month Start]]*365.25/12</f>
        <v/>
      </c>
      <c r="L632">
        <f>_xlfn.XLOOKUP(tbl_MTG_Set[[#This Row],[Type Name]], tbl_MTG_Set_Type[Set Type], tbl_MTG_Set_Type[Buy Window Month End], "(Set Type not found)", 0, 1)</f>
        <v/>
      </c>
      <c r="M632" s="3">
        <f>tbl_MTG_Set[[#This Row],[Released On]]+tbl_MTG_Set[[#This Row],[Buy Window Month End]]*365.25/12</f>
        <v/>
      </c>
      <c r="N632" s="3">
        <f>AND(NOW()&gt;=tbl_MTG_Set[[#This Row],[Buy Window Start]], NOW()&lt;=tbl_MTG_Set[[#This Row],[Buy Window End]])</f>
        <v/>
      </c>
      <c r="O632">
        <f>_xlfn.XLOOKUP(tbl_MTG_Set[[#This Row],[Type Name]], tbl_MTG_Set_Type[Set Type], tbl_MTG_Set_Type[Heavy Printing Window Month Start], "(Set Type not found)", 0, 1)</f>
        <v/>
      </c>
      <c r="P632" s="3">
        <f>tbl_MTG_Set[[#This Row],[Released On]]+tbl_MTG_Set[[#This Row],[Heavy Printing Window Month Start]]*365.25/12</f>
        <v/>
      </c>
      <c r="Q632">
        <f>_xlfn.XLOOKUP(tbl_MTG_Set[[#This Row],[Type Name]], tbl_MTG_Set_Type[Set Type], tbl_MTG_Set_Type[Heavy Printing Window Month End], "(Set Type not found)", 0, 1)</f>
        <v/>
      </c>
      <c r="R632" s="3">
        <f>tbl_MTG_Set[[#This Row],[Released On]]+tbl_MTG_Set[[#This Row],[Heavy Printing Window Month End]]*365.25/12</f>
        <v/>
      </c>
      <c r="S632" s="3">
        <f>AND(NOW()&gt;=tbl_MTG_Set[[#This Row],[Heavy Printing Window Start]], NOW()&lt;=tbl_MTG_Set[[#This Row],[Heavy Printing Window End]])</f>
        <v/>
      </c>
      <c r="T632">
        <f>_xlfn.XLOOKUP(tbl_MTG_Set[[#This Row],[Type Name]], tbl_MTG_Set_Type[Set Type], tbl_MTG_Set_Type[Sell Window Month Start], "(Set Type not found)", 0, 1)</f>
        <v/>
      </c>
      <c r="U632" s="3">
        <f>tbl_MTG_Set[[#This Row],[Released On]]+tbl_MTG_Set[[#This Row],[Sell Window Month Start]]*365.25/12</f>
        <v/>
      </c>
      <c r="V632">
        <f>_xlfn.XLOOKUP(tbl_MTG_Set[[#This Row],[Type Name]], tbl_MTG_Set_Type[Set Type], tbl_MTG_Set_Type[Sell Window Month End], "(Set Type not found)", 0, 1)</f>
        <v/>
      </c>
      <c r="W632" s="3">
        <f>tbl_MTG_Set[[#This Row],[Released On]]+tbl_MTG_Set[[#This Row],[Sell Window Month End]]*365.25/12</f>
        <v/>
      </c>
      <c r="X632" s="3">
        <f>AND(NOW()&gt;=tbl_MTG_Set[[#This Row],[Sell Window Start]], NOW()&lt;=tbl_MTG_Set[[#This Row],[Sell Window End]])</f>
        <v/>
      </c>
      <c r="AG632" s="10" t="n"/>
      <c r="AH632" s="10" t="n"/>
      <c r="AM632" s="10">
        <f t="array" ref="AM6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2" s="10">
        <f t="array" ref="AN6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2" s="4">
        <f>_xlfn.XLOOKUP(tbl_MTG_Set[[#This Row],[Play Booster Box Product Id]], tbl_Product[Product Id], tbl_Product[Pack Size])</f>
        <v/>
      </c>
      <c r="AP632" s="10">
        <f>(tbl_MTG_Set[[#This Row],[Play Booster Box Cost]]+v_Item_Shipping_Cost_In)/tbl_MTG_Set[[#This Row],[Play Booster Box Size]]</f>
        <v/>
      </c>
      <c r="AQ632" s="10">
        <f t="array" ref="AQ6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2" s="10" t="n"/>
      <c r="AS632" s="10" t="n"/>
      <c r="AT632" s="17">
        <f>tbl_MTG_Set[[#This Row],[Play Booster CardMarket Profit]]/tbl_MTG_Set[[#This Row],[Play Booster Cost]]</f>
        <v/>
      </c>
      <c r="AU632" s="10">
        <f>_xlfn.XLOOKUP(tbl_MTG_Set[[#This Row],[Collector Booster Box Product Id]], tbl_Product[Product Id], tbl_Product[Min Cost])</f>
        <v/>
      </c>
      <c r="AV632" s="10">
        <f>_xlfn.XLOOKUP(tbl_MTG_Set[[#This Row],[Collector Booster Box Product Id]], tbl_Product[Product Id], tbl_Product[Best Source])</f>
        <v/>
      </c>
      <c r="AW632" s="4">
        <f>_xlfn.XLOOKUP(tbl_MTG_Set[[#This Row],[Collector Booster Box Product Id]], tbl_Product[Product Id], tbl_Product[Pack Size])</f>
        <v/>
      </c>
      <c r="AX632" s="10">
        <f>(tbl_MTG_Set[[#This Row],[Collector Booster Box Cost]] + v_Item_Shipping_Cost_In) / tbl_MTG_Set[[#This Row],[Collector Booster Box Size]]</f>
        <v/>
      </c>
      <c r="AY632" s="10">
        <f t="array" ref="AY6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2" s="10" t="n"/>
      <c r="BA6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2" s="17">
        <f>tbl_MTG_Set[[#This Row],[Collector Booster CardMarket Profit]]/tbl_MTG_Set[[#This Row],[Collector Booster Cost]]</f>
        <v/>
      </c>
      <c r="BC632" s="10" t="n"/>
      <c r="BF632" s="10">
        <f>tbl_MTG_Set[[#This Row],[Play Booster Sell Price CardMarket]]*tbl_MTG_Set[[#This Row],[Play Booster Expected Market Value]]/tbl_MTG_Set[[#This Row],[Play Boost Sealed Market Value]]</f>
        <v/>
      </c>
      <c r="BG6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2" s="10">
        <f>tbl_MTG_Set[[#This Row],[Play Singles CardMarket Profit]]/tbl_MTG_Set[[#This Row],[Play Booster Cost]]</f>
        <v/>
      </c>
      <c r="BI632" s="10">
        <f>tbl_MTG_Set[[#This Row],[Play Singles CardMarket Profit]]&gt;0</f>
        <v/>
      </c>
      <c r="BJ632" s="10" t="n"/>
      <c r="BK632" s="10" t="n"/>
      <c r="BL632" s="10">
        <f>tbl_MTG_Set[[#This Row],[Collector Booster Sell Price CardMarket]]*tbl_MTG_Set[[#This Row],[Collector Booster Expected Market Value]]/tbl_MTG_Set[[#This Row],[Collector Boost Sealed Market Value]]</f>
        <v/>
      </c>
      <c r="BM6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2" s="10">
        <f>tbl_MTG_Set[[#This Row],[Collector Singles CardMarket Profit]]/tbl_MTG_Set[[#This Row],[Collector Booster Cost]]</f>
        <v/>
      </c>
      <c r="BO632" s="10">
        <f>tbl_MTG_Set[[#This Row],[Collector Singles CardMarket Profit]]&gt;0</f>
        <v/>
      </c>
      <c r="BP6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3">
      <c r="A633" t="n">
        <v>631</v>
      </c>
      <c r="B633" t="inlineStr">
        <is>
          <t>Magic 2015 Promos PM15</t>
        </is>
      </c>
      <c r="C633" t="n">
        <v>14</v>
      </c>
      <c r="D633" s="3" t="n">
        <v>41837</v>
      </c>
      <c r="F633" t="inlineStr">
        <is>
          <t>en es fr de it pt ja ko ru 汉语 漢語</t>
        </is>
      </c>
      <c r="G633" t="n">
        <v>1208</v>
      </c>
      <c r="H633">
        <f>MONTH(NOW())+12*YEAR(NOW())-MONTH(tbl_MTG_Set[[#This Row],[Released On]])-12*YEAR(tbl_MTG_Set[[#This Row],[Released On]])</f>
        <v/>
      </c>
      <c r="I633">
        <f>_xlfn.XLOOKUP(tbl_MTG_Set[[#This Row],[Type Name]], tbl_MTG_Set_Type[Set Type], tbl_MTG_Set_Type[Index], "(Set Type not found)")</f>
        <v/>
      </c>
      <c r="J633">
        <f>_xlfn.XLOOKUP(tbl_MTG_Set[[#This Row],[Type Name]], tbl_MTG_Set_Type[Set Type], tbl_MTG_Set_Type[Buy Window Month Start], "(Set Type not found)")</f>
        <v/>
      </c>
      <c r="K633" s="3">
        <f>tbl_MTG_Set[[#This Row],[Released On]]+tbl_MTG_Set[[#This Row],[Buy Window Month Start]]*365.25/12</f>
        <v/>
      </c>
      <c r="L633">
        <f>_xlfn.XLOOKUP(tbl_MTG_Set[[#This Row],[Type Name]], tbl_MTG_Set_Type[Set Type], tbl_MTG_Set_Type[Buy Window Month End], "(Set Type not found)", 0, 1)</f>
        <v/>
      </c>
      <c r="M633" s="3">
        <f>tbl_MTG_Set[[#This Row],[Released On]]+tbl_MTG_Set[[#This Row],[Buy Window Month End]]*365.25/12</f>
        <v/>
      </c>
      <c r="N633" s="3">
        <f>AND(NOW()&gt;=tbl_MTG_Set[[#This Row],[Buy Window Start]], NOW()&lt;=tbl_MTG_Set[[#This Row],[Buy Window End]])</f>
        <v/>
      </c>
      <c r="O633">
        <f>_xlfn.XLOOKUP(tbl_MTG_Set[[#This Row],[Type Name]], tbl_MTG_Set_Type[Set Type], tbl_MTG_Set_Type[Heavy Printing Window Month Start], "(Set Type not found)", 0, 1)</f>
        <v/>
      </c>
      <c r="P633" s="3">
        <f>tbl_MTG_Set[[#This Row],[Released On]]+tbl_MTG_Set[[#This Row],[Heavy Printing Window Month Start]]*365.25/12</f>
        <v/>
      </c>
      <c r="Q633">
        <f>_xlfn.XLOOKUP(tbl_MTG_Set[[#This Row],[Type Name]], tbl_MTG_Set_Type[Set Type], tbl_MTG_Set_Type[Heavy Printing Window Month End], "(Set Type not found)", 0, 1)</f>
        <v/>
      </c>
      <c r="R633" s="3">
        <f>tbl_MTG_Set[[#This Row],[Released On]]+tbl_MTG_Set[[#This Row],[Heavy Printing Window Month End]]*365.25/12</f>
        <v/>
      </c>
      <c r="S633" s="3">
        <f>AND(NOW()&gt;=tbl_MTG_Set[[#This Row],[Heavy Printing Window Start]], NOW()&lt;=tbl_MTG_Set[[#This Row],[Heavy Printing Window End]])</f>
        <v/>
      </c>
      <c r="T633">
        <f>_xlfn.XLOOKUP(tbl_MTG_Set[[#This Row],[Type Name]], tbl_MTG_Set_Type[Set Type], tbl_MTG_Set_Type[Sell Window Month Start], "(Set Type not found)", 0, 1)</f>
        <v/>
      </c>
      <c r="U633" s="3">
        <f>tbl_MTG_Set[[#This Row],[Released On]]+tbl_MTG_Set[[#This Row],[Sell Window Month Start]]*365.25/12</f>
        <v/>
      </c>
      <c r="V633">
        <f>_xlfn.XLOOKUP(tbl_MTG_Set[[#This Row],[Type Name]], tbl_MTG_Set_Type[Set Type], tbl_MTG_Set_Type[Sell Window Month End], "(Set Type not found)", 0, 1)</f>
        <v/>
      </c>
      <c r="W633" s="3">
        <f>tbl_MTG_Set[[#This Row],[Released On]]+tbl_MTG_Set[[#This Row],[Sell Window Month End]]*365.25/12</f>
        <v/>
      </c>
      <c r="X633" s="3">
        <f>AND(NOW()&gt;=tbl_MTG_Set[[#This Row],[Sell Window Start]], NOW()&lt;=tbl_MTG_Set[[#This Row],[Sell Window End]])</f>
        <v/>
      </c>
      <c r="AG633" s="10" t="n"/>
      <c r="AH633" s="10" t="n"/>
      <c r="AM633" s="10">
        <f t="array" ref="AM6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3" s="10">
        <f t="array" ref="AN6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3" s="4">
        <f>_xlfn.XLOOKUP(tbl_MTG_Set[[#This Row],[Play Booster Box Product Id]], tbl_Product[Product Id], tbl_Product[Pack Size])</f>
        <v/>
      </c>
      <c r="AP633" s="10">
        <f>(tbl_MTG_Set[[#This Row],[Play Booster Box Cost]]+v_Item_Shipping_Cost_In)/tbl_MTG_Set[[#This Row],[Play Booster Box Size]]</f>
        <v/>
      </c>
      <c r="AQ633" s="10">
        <f t="array" ref="AQ6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3" s="10" t="n"/>
      <c r="AS633" s="10" t="n"/>
      <c r="AT633" s="17">
        <f>tbl_MTG_Set[[#This Row],[Play Booster CardMarket Profit]]/tbl_MTG_Set[[#This Row],[Play Booster Cost]]</f>
        <v/>
      </c>
      <c r="AU633" s="10">
        <f>_xlfn.XLOOKUP(tbl_MTG_Set[[#This Row],[Collector Booster Box Product Id]], tbl_Product[Product Id], tbl_Product[Min Cost])</f>
        <v/>
      </c>
      <c r="AV633" s="10">
        <f>_xlfn.XLOOKUP(tbl_MTG_Set[[#This Row],[Collector Booster Box Product Id]], tbl_Product[Product Id], tbl_Product[Best Source])</f>
        <v/>
      </c>
      <c r="AW633" s="4">
        <f>_xlfn.XLOOKUP(tbl_MTG_Set[[#This Row],[Collector Booster Box Product Id]], tbl_Product[Product Id], tbl_Product[Pack Size])</f>
        <v/>
      </c>
      <c r="AX633" s="10">
        <f>(tbl_MTG_Set[[#This Row],[Collector Booster Box Cost]] + v_Item_Shipping_Cost_In) / tbl_MTG_Set[[#This Row],[Collector Booster Box Size]]</f>
        <v/>
      </c>
      <c r="AY633" s="10">
        <f t="array" ref="AY6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3" s="10" t="n"/>
      <c r="BA6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3" s="17">
        <f>tbl_MTG_Set[[#This Row],[Collector Booster CardMarket Profit]]/tbl_MTG_Set[[#This Row],[Collector Booster Cost]]</f>
        <v/>
      </c>
      <c r="BC633" s="10" t="n"/>
      <c r="BF633" s="10">
        <f>tbl_MTG_Set[[#This Row],[Play Booster Sell Price CardMarket]]*tbl_MTG_Set[[#This Row],[Play Booster Expected Market Value]]/tbl_MTG_Set[[#This Row],[Play Boost Sealed Market Value]]</f>
        <v/>
      </c>
      <c r="BG6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3" s="10">
        <f>tbl_MTG_Set[[#This Row],[Play Singles CardMarket Profit]]/tbl_MTG_Set[[#This Row],[Play Booster Cost]]</f>
        <v/>
      </c>
      <c r="BI633" s="10">
        <f>tbl_MTG_Set[[#This Row],[Play Singles CardMarket Profit]]&gt;0</f>
        <v/>
      </c>
      <c r="BJ633" s="10" t="n"/>
      <c r="BK633" s="10" t="n"/>
      <c r="BL633" s="10">
        <f>tbl_MTG_Set[[#This Row],[Collector Booster Sell Price CardMarket]]*tbl_MTG_Set[[#This Row],[Collector Booster Expected Market Value]]/tbl_MTG_Set[[#This Row],[Collector Boost Sealed Market Value]]</f>
        <v/>
      </c>
      <c r="BM6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3" s="10">
        <f>tbl_MTG_Set[[#This Row],[Collector Singles CardMarket Profit]]/tbl_MTG_Set[[#This Row],[Collector Booster Cost]]</f>
        <v/>
      </c>
      <c r="BO633" s="10">
        <f>tbl_MTG_Set[[#This Row],[Collector Singles CardMarket Profit]]&gt;0</f>
        <v/>
      </c>
      <c r="BP6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4">
      <c r="A634" t="n">
        <v>632</v>
      </c>
      <c r="B634" t="inlineStr">
        <is>
          <t>Magic 2015 Tokens TM15</t>
        </is>
      </c>
      <c r="C634" t="n">
        <v>14</v>
      </c>
      <c r="D634" s="3" t="n">
        <v>41838</v>
      </c>
      <c r="F634" t="inlineStr">
        <is>
          <t>en es fr de it pt ja ko ru 汉语 漢語</t>
        </is>
      </c>
      <c r="G634" t="n">
        <v>1210</v>
      </c>
      <c r="H634">
        <f>MONTH(NOW())+12*YEAR(NOW())-MONTH(tbl_MTG_Set[[#This Row],[Released On]])-12*YEAR(tbl_MTG_Set[[#This Row],[Released On]])</f>
        <v/>
      </c>
      <c r="I634">
        <f>_xlfn.XLOOKUP(tbl_MTG_Set[[#This Row],[Type Name]], tbl_MTG_Set_Type[Set Type], tbl_MTG_Set_Type[Index], "(Set Type not found)")</f>
        <v/>
      </c>
      <c r="J634">
        <f>_xlfn.XLOOKUP(tbl_MTG_Set[[#This Row],[Type Name]], tbl_MTG_Set_Type[Set Type], tbl_MTG_Set_Type[Buy Window Month Start], "(Set Type not found)")</f>
        <v/>
      </c>
      <c r="K634" s="3">
        <f>tbl_MTG_Set[[#This Row],[Released On]]+tbl_MTG_Set[[#This Row],[Buy Window Month Start]]*365.25/12</f>
        <v/>
      </c>
      <c r="L634">
        <f>_xlfn.XLOOKUP(tbl_MTG_Set[[#This Row],[Type Name]], tbl_MTG_Set_Type[Set Type], tbl_MTG_Set_Type[Buy Window Month End], "(Set Type not found)", 0, 1)</f>
        <v/>
      </c>
      <c r="M634" s="3">
        <f>tbl_MTG_Set[[#This Row],[Released On]]+tbl_MTG_Set[[#This Row],[Buy Window Month End]]*365.25/12</f>
        <v/>
      </c>
      <c r="N634" s="3">
        <f>AND(NOW()&gt;=tbl_MTG_Set[[#This Row],[Buy Window Start]], NOW()&lt;=tbl_MTG_Set[[#This Row],[Buy Window End]])</f>
        <v/>
      </c>
      <c r="O634">
        <f>_xlfn.XLOOKUP(tbl_MTG_Set[[#This Row],[Type Name]], tbl_MTG_Set_Type[Set Type], tbl_MTG_Set_Type[Heavy Printing Window Month Start], "(Set Type not found)", 0, 1)</f>
        <v/>
      </c>
      <c r="P634" s="3">
        <f>tbl_MTG_Set[[#This Row],[Released On]]+tbl_MTG_Set[[#This Row],[Heavy Printing Window Month Start]]*365.25/12</f>
        <v/>
      </c>
      <c r="Q634">
        <f>_xlfn.XLOOKUP(tbl_MTG_Set[[#This Row],[Type Name]], tbl_MTG_Set_Type[Set Type], tbl_MTG_Set_Type[Heavy Printing Window Month End], "(Set Type not found)", 0, 1)</f>
        <v/>
      </c>
      <c r="R634" s="3">
        <f>tbl_MTG_Set[[#This Row],[Released On]]+tbl_MTG_Set[[#This Row],[Heavy Printing Window Month End]]*365.25/12</f>
        <v/>
      </c>
      <c r="S634" s="3">
        <f>AND(NOW()&gt;=tbl_MTG_Set[[#This Row],[Heavy Printing Window Start]], NOW()&lt;=tbl_MTG_Set[[#This Row],[Heavy Printing Window End]])</f>
        <v/>
      </c>
      <c r="T634">
        <f>_xlfn.XLOOKUP(tbl_MTG_Set[[#This Row],[Type Name]], tbl_MTG_Set_Type[Set Type], tbl_MTG_Set_Type[Sell Window Month Start], "(Set Type not found)", 0, 1)</f>
        <v/>
      </c>
      <c r="U634" s="3">
        <f>tbl_MTG_Set[[#This Row],[Released On]]+tbl_MTG_Set[[#This Row],[Sell Window Month Start]]*365.25/12</f>
        <v/>
      </c>
      <c r="V634">
        <f>_xlfn.XLOOKUP(tbl_MTG_Set[[#This Row],[Type Name]], tbl_MTG_Set_Type[Set Type], tbl_MTG_Set_Type[Sell Window Month End], "(Set Type not found)", 0, 1)</f>
        <v/>
      </c>
      <c r="W634" s="3">
        <f>tbl_MTG_Set[[#This Row],[Released On]]+tbl_MTG_Set[[#This Row],[Sell Window Month End]]*365.25/12</f>
        <v/>
      </c>
      <c r="X634" s="3">
        <f>AND(NOW()&gt;=tbl_MTG_Set[[#This Row],[Sell Window Start]], NOW()&lt;=tbl_MTG_Set[[#This Row],[Sell Window End]])</f>
        <v/>
      </c>
      <c r="AG634" s="10" t="n"/>
      <c r="AH634" s="10" t="n"/>
      <c r="AM634" s="10">
        <f t="array" ref="AM6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4" s="10">
        <f t="array" ref="AN6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4" s="4">
        <f>_xlfn.XLOOKUP(tbl_MTG_Set[[#This Row],[Play Booster Box Product Id]], tbl_Product[Product Id], tbl_Product[Pack Size])</f>
        <v/>
      </c>
      <c r="AP634" s="10">
        <f>(tbl_MTG_Set[[#This Row],[Play Booster Box Cost]]+v_Item_Shipping_Cost_In)/tbl_MTG_Set[[#This Row],[Play Booster Box Size]]</f>
        <v/>
      </c>
      <c r="AQ634" s="10">
        <f t="array" ref="AQ6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4" s="10" t="n"/>
      <c r="AS634" s="10" t="n"/>
      <c r="AT634" s="17">
        <f>tbl_MTG_Set[[#This Row],[Play Booster CardMarket Profit]]/tbl_MTG_Set[[#This Row],[Play Booster Cost]]</f>
        <v/>
      </c>
      <c r="AU634" s="10">
        <f>_xlfn.XLOOKUP(tbl_MTG_Set[[#This Row],[Collector Booster Box Product Id]], tbl_Product[Product Id], tbl_Product[Min Cost])</f>
        <v/>
      </c>
      <c r="AV634" s="10">
        <f>_xlfn.XLOOKUP(tbl_MTG_Set[[#This Row],[Collector Booster Box Product Id]], tbl_Product[Product Id], tbl_Product[Best Source])</f>
        <v/>
      </c>
      <c r="AW634" s="4">
        <f>_xlfn.XLOOKUP(tbl_MTG_Set[[#This Row],[Collector Booster Box Product Id]], tbl_Product[Product Id], tbl_Product[Pack Size])</f>
        <v/>
      </c>
      <c r="AX634" s="10">
        <f>(tbl_MTG_Set[[#This Row],[Collector Booster Box Cost]] + v_Item_Shipping_Cost_In) / tbl_MTG_Set[[#This Row],[Collector Booster Box Size]]</f>
        <v/>
      </c>
      <c r="AY634" s="10">
        <f t="array" ref="AY6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4" s="10" t="n"/>
      <c r="BA6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4" s="17">
        <f>tbl_MTG_Set[[#This Row],[Collector Booster CardMarket Profit]]/tbl_MTG_Set[[#This Row],[Collector Booster Cost]]</f>
        <v/>
      </c>
      <c r="BC634" s="10" t="n"/>
      <c r="BF634" s="10">
        <f>tbl_MTG_Set[[#This Row],[Play Booster Sell Price CardMarket]]*tbl_MTG_Set[[#This Row],[Play Booster Expected Market Value]]/tbl_MTG_Set[[#This Row],[Play Boost Sealed Market Value]]</f>
        <v/>
      </c>
      <c r="BG6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4" s="10">
        <f>tbl_MTG_Set[[#This Row],[Play Singles CardMarket Profit]]/tbl_MTG_Set[[#This Row],[Play Booster Cost]]</f>
        <v/>
      </c>
      <c r="BI634" s="10">
        <f>tbl_MTG_Set[[#This Row],[Play Singles CardMarket Profit]]&gt;0</f>
        <v/>
      </c>
      <c r="BJ634" s="10" t="n"/>
      <c r="BK634" s="10" t="n"/>
      <c r="BL634" s="10">
        <f>tbl_MTG_Set[[#This Row],[Collector Booster Sell Price CardMarket]]*tbl_MTG_Set[[#This Row],[Collector Booster Expected Market Value]]/tbl_MTG_Set[[#This Row],[Collector Boost Sealed Market Value]]</f>
        <v/>
      </c>
      <c r="BM6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4" s="10">
        <f>tbl_MTG_Set[[#This Row],[Collector Singles CardMarket Profit]]/tbl_MTG_Set[[#This Row],[Collector Booster Cost]]</f>
        <v/>
      </c>
      <c r="BO634" s="10">
        <f>tbl_MTG_Set[[#This Row],[Collector Singles CardMarket Profit]]&gt;0</f>
        <v/>
      </c>
      <c r="BP6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5">
      <c r="A635" t="n">
        <v>633</v>
      </c>
      <c r="B635" t="inlineStr">
        <is>
          <t>Magic 2015 Clash Pack CP1</t>
        </is>
      </c>
      <c r="C635" t="n">
        <v>6</v>
      </c>
      <c r="D635" s="3" t="n">
        <v>41838</v>
      </c>
      <c r="F635" t="inlineStr">
        <is>
          <t>en es fr de it pt ja ko ru 汉语 漢語</t>
        </is>
      </c>
      <c r="G635" t="n">
        <v>1212</v>
      </c>
      <c r="H635">
        <f>MONTH(NOW())+12*YEAR(NOW())-MONTH(tbl_MTG_Set[[#This Row],[Released On]])-12*YEAR(tbl_MTG_Set[[#This Row],[Released On]])</f>
        <v/>
      </c>
      <c r="I635">
        <f>_xlfn.XLOOKUP(tbl_MTG_Set[[#This Row],[Type Name]], tbl_MTG_Set_Type[Set Type], tbl_MTG_Set_Type[Index], "(Set Type not found)")</f>
        <v/>
      </c>
      <c r="J635">
        <f>_xlfn.XLOOKUP(tbl_MTG_Set[[#This Row],[Type Name]], tbl_MTG_Set_Type[Set Type], tbl_MTG_Set_Type[Buy Window Month Start], "(Set Type not found)")</f>
        <v/>
      </c>
      <c r="K635" s="3">
        <f>tbl_MTG_Set[[#This Row],[Released On]]+tbl_MTG_Set[[#This Row],[Buy Window Month Start]]*365.25/12</f>
        <v/>
      </c>
      <c r="L635">
        <f>_xlfn.XLOOKUP(tbl_MTG_Set[[#This Row],[Type Name]], tbl_MTG_Set_Type[Set Type], tbl_MTG_Set_Type[Buy Window Month End], "(Set Type not found)", 0, 1)</f>
        <v/>
      </c>
      <c r="M635" s="3">
        <f>tbl_MTG_Set[[#This Row],[Released On]]+tbl_MTG_Set[[#This Row],[Buy Window Month End]]*365.25/12</f>
        <v/>
      </c>
      <c r="N635" s="3">
        <f>AND(NOW()&gt;=tbl_MTG_Set[[#This Row],[Buy Window Start]], NOW()&lt;=tbl_MTG_Set[[#This Row],[Buy Window End]])</f>
        <v/>
      </c>
      <c r="O635">
        <f>_xlfn.XLOOKUP(tbl_MTG_Set[[#This Row],[Type Name]], tbl_MTG_Set_Type[Set Type], tbl_MTG_Set_Type[Heavy Printing Window Month Start], "(Set Type not found)", 0, 1)</f>
        <v/>
      </c>
      <c r="P635" s="3">
        <f>tbl_MTG_Set[[#This Row],[Released On]]+tbl_MTG_Set[[#This Row],[Heavy Printing Window Month Start]]*365.25/12</f>
        <v/>
      </c>
      <c r="Q635">
        <f>_xlfn.XLOOKUP(tbl_MTG_Set[[#This Row],[Type Name]], tbl_MTG_Set_Type[Set Type], tbl_MTG_Set_Type[Heavy Printing Window Month End], "(Set Type not found)", 0, 1)</f>
        <v/>
      </c>
      <c r="R635" s="3">
        <f>tbl_MTG_Set[[#This Row],[Released On]]+tbl_MTG_Set[[#This Row],[Heavy Printing Window Month End]]*365.25/12</f>
        <v/>
      </c>
      <c r="S635" s="3">
        <f>AND(NOW()&gt;=tbl_MTG_Set[[#This Row],[Heavy Printing Window Start]], NOW()&lt;=tbl_MTG_Set[[#This Row],[Heavy Printing Window End]])</f>
        <v/>
      </c>
      <c r="T635">
        <f>_xlfn.XLOOKUP(tbl_MTG_Set[[#This Row],[Type Name]], tbl_MTG_Set_Type[Set Type], tbl_MTG_Set_Type[Sell Window Month Start], "(Set Type not found)", 0, 1)</f>
        <v/>
      </c>
      <c r="U635" s="3">
        <f>tbl_MTG_Set[[#This Row],[Released On]]+tbl_MTG_Set[[#This Row],[Sell Window Month Start]]*365.25/12</f>
        <v/>
      </c>
      <c r="V635">
        <f>_xlfn.XLOOKUP(tbl_MTG_Set[[#This Row],[Type Name]], tbl_MTG_Set_Type[Set Type], tbl_MTG_Set_Type[Sell Window Month End], "(Set Type not found)", 0, 1)</f>
        <v/>
      </c>
      <c r="W635" s="3">
        <f>tbl_MTG_Set[[#This Row],[Released On]]+tbl_MTG_Set[[#This Row],[Sell Window Month End]]*365.25/12</f>
        <v/>
      </c>
      <c r="X635" s="3">
        <f>AND(NOW()&gt;=tbl_MTG_Set[[#This Row],[Sell Window Start]], NOW()&lt;=tbl_MTG_Set[[#This Row],[Sell Window End]])</f>
        <v/>
      </c>
      <c r="AG635" s="10" t="n"/>
      <c r="AH635" s="10" t="n"/>
      <c r="AM635" s="10">
        <f t="array" ref="AM6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5" s="10">
        <f t="array" ref="AN6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5" s="4">
        <f>_xlfn.XLOOKUP(tbl_MTG_Set[[#This Row],[Play Booster Box Product Id]], tbl_Product[Product Id], tbl_Product[Pack Size])</f>
        <v/>
      </c>
      <c r="AP635" s="10">
        <f>(tbl_MTG_Set[[#This Row],[Play Booster Box Cost]]+v_Item_Shipping_Cost_In)/tbl_MTG_Set[[#This Row],[Play Booster Box Size]]</f>
        <v/>
      </c>
      <c r="AQ635" s="10">
        <f t="array" ref="AQ6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5" s="10" t="n"/>
      <c r="AS635" s="10" t="n"/>
      <c r="AT635" s="17">
        <f>tbl_MTG_Set[[#This Row],[Play Booster CardMarket Profit]]/tbl_MTG_Set[[#This Row],[Play Booster Cost]]</f>
        <v/>
      </c>
      <c r="AU635" s="10">
        <f>_xlfn.XLOOKUP(tbl_MTG_Set[[#This Row],[Collector Booster Box Product Id]], tbl_Product[Product Id], tbl_Product[Min Cost])</f>
        <v/>
      </c>
      <c r="AV635" s="10">
        <f>_xlfn.XLOOKUP(tbl_MTG_Set[[#This Row],[Collector Booster Box Product Id]], tbl_Product[Product Id], tbl_Product[Best Source])</f>
        <v/>
      </c>
      <c r="AW635" s="4">
        <f>_xlfn.XLOOKUP(tbl_MTG_Set[[#This Row],[Collector Booster Box Product Id]], tbl_Product[Product Id], tbl_Product[Pack Size])</f>
        <v/>
      </c>
      <c r="AX635" s="10">
        <f>(tbl_MTG_Set[[#This Row],[Collector Booster Box Cost]] + v_Item_Shipping_Cost_In) / tbl_MTG_Set[[#This Row],[Collector Booster Box Size]]</f>
        <v/>
      </c>
      <c r="AY635" s="10">
        <f t="array" ref="AY6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5" s="10" t="n"/>
      <c r="BA6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5" s="17">
        <f>tbl_MTG_Set[[#This Row],[Collector Booster CardMarket Profit]]/tbl_MTG_Set[[#This Row],[Collector Booster Cost]]</f>
        <v/>
      </c>
      <c r="BC635" s="10" t="n"/>
      <c r="BF635" s="10">
        <f>tbl_MTG_Set[[#This Row],[Play Booster Sell Price CardMarket]]*tbl_MTG_Set[[#This Row],[Play Booster Expected Market Value]]/tbl_MTG_Set[[#This Row],[Play Boost Sealed Market Value]]</f>
        <v/>
      </c>
      <c r="BG6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5" s="10">
        <f>tbl_MTG_Set[[#This Row],[Play Singles CardMarket Profit]]/tbl_MTG_Set[[#This Row],[Play Booster Cost]]</f>
        <v/>
      </c>
      <c r="BI635" s="10">
        <f>tbl_MTG_Set[[#This Row],[Play Singles CardMarket Profit]]&gt;0</f>
        <v/>
      </c>
      <c r="BJ635" s="10" t="n"/>
      <c r="BK635" s="10" t="n"/>
      <c r="BL635" s="10">
        <f>tbl_MTG_Set[[#This Row],[Collector Booster Sell Price CardMarket]]*tbl_MTG_Set[[#This Row],[Collector Booster Expected Market Value]]/tbl_MTG_Set[[#This Row],[Collector Boost Sealed Market Value]]</f>
        <v/>
      </c>
      <c r="BM6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5" s="10">
        <f>tbl_MTG_Set[[#This Row],[Collector Singles CardMarket Profit]]/tbl_MTG_Set[[#This Row],[Collector Booster Cost]]</f>
        <v/>
      </c>
      <c r="BO635" s="10">
        <f>tbl_MTG_Set[[#This Row],[Collector Singles CardMarket Profit]]&gt;0</f>
        <v/>
      </c>
      <c r="BP6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6">
      <c r="A636" t="n">
        <v>634</v>
      </c>
      <c r="B636" t="inlineStr">
        <is>
          <t>M15 Prerelease Challenge PPC1</t>
        </is>
      </c>
      <c r="C636" t="n">
        <v>2</v>
      </c>
      <c r="D636" s="3" t="n">
        <v>41832</v>
      </c>
      <c r="F636" t="inlineStr">
        <is>
          <t>en es fr de it pt ja ko ru 汉语 漢語</t>
        </is>
      </c>
      <c r="G636" t="n">
        <v>1214</v>
      </c>
      <c r="H636">
        <f>MONTH(NOW())+12*YEAR(NOW())-MONTH(tbl_MTG_Set[[#This Row],[Released On]])-12*YEAR(tbl_MTG_Set[[#This Row],[Released On]])</f>
        <v/>
      </c>
      <c r="I636">
        <f>_xlfn.XLOOKUP(tbl_MTG_Set[[#This Row],[Type Name]], tbl_MTG_Set_Type[Set Type], tbl_MTG_Set_Type[Index], "(Set Type not found)")</f>
        <v/>
      </c>
      <c r="J636">
        <f>_xlfn.XLOOKUP(tbl_MTG_Set[[#This Row],[Type Name]], tbl_MTG_Set_Type[Set Type], tbl_MTG_Set_Type[Buy Window Month Start], "(Set Type not found)")</f>
        <v/>
      </c>
      <c r="K636" s="3">
        <f>tbl_MTG_Set[[#This Row],[Released On]]+tbl_MTG_Set[[#This Row],[Buy Window Month Start]]*365.25/12</f>
        <v/>
      </c>
      <c r="L636">
        <f>_xlfn.XLOOKUP(tbl_MTG_Set[[#This Row],[Type Name]], tbl_MTG_Set_Type[Set Type], tbl_MTG_Set_Type[Buy Window Month End], "(Set Type not found)", 0, 1)</f>
        <v/>
      </c>
      <c r="M636" s="3">
        <f>tbl_MTG_Set[[#This Row],[Released On]]+tbl_MTG_Set[[#This Row],[Buy Window Month End]]*365.25/12</f>
        <v/>
      </c>
      <c r="N636" s="3">
        <f>AND(NOW()&gt;=tbl_MTG_Set[[#This Row],[Buy Window Start]], NOW()&lt;=tbl_MTG_Set[[#This Row],[Buy Window End]])</f>
        <v/>
      </c>
      <c r="O636">
        <f>_xlfn.XLOOKUP(tbl_MTG_Set[[#This Row],[Type Name]], tbl_MTG_Set_Type[Set Type], tbl_MTG_Set_Type[Heavy Printing Window Month Start], "(Set Type not found)", 0, 1)</f>
        <v/>
      </c>
      <c r="P636" s="3">
        <f>tbl_MTG_Set[[#This Row],[Released On]]+tbl_MTG_Set[[#This Row],[Heavy Printing Window Month Start]]*365.25/12</f>
        <v/>
      </c>
      <c r="Q636">
        <f>_xlfn.XLOOKUP(tbl_MTG_Set[[#This Row],[Type Name]], tbl_MTG_Set_Type[Set Type], tbl_MTG_Set_Type[Heavy Printing Window Month End], "(Set Type not found)", 0, 1)</f>
        <v/>
      </c>
      <c r="R636" s="3">
        <f>tbl_MTG_Set[[#This Row],[Released On]]+tbl_MTG_Set[[#This Row],[Heavy Printing Window Month End]]*365.25/12</f>
        <v/>
      </c>
      <c r="S636" s="3">
        <f>AND(NOW()&gt;=tbl_MTG_Set[[#This Row],[Heavy Printing Window Start]], NOW()&lt;=tbl_MTG_Set[[#This Row],[Heavy Printing Window End]])</f>
        <v/>
      </c>
      <c r="T636">
        <f>_xlfn.XLOOKUP(tbl_MTG_Set[[#This Row],[Type Name]], tbl_MTG_Set_Type[Set Type], tbl_MTG_Set_Type[Sell Window Month Start], "(Set Type not found)", 0, 1)</f>
        <v/>
      </c>
      <c r="U636" s="3">
        <f>tbl_MTG_Set[[#This Row],[Released On]]+tbl_MTG_Set[[#This Row],[Sell Window Month Start]]*365.25/12</f>
        <v/>
      </c>
      <c r="V636">
        <f>_xlfn.XLOOKUP(tbl_MTG_Set[[#This Row],[Type Name]], tbl_MTG_Set_Type[Set Type], tbl_MTG_Set_Type[Sell Window Month End], "(Set Type not found)", 0, 1)</f>
        <v/>
      </c>
      <c r="W636" s="3">
        <f>tbl_MTG_Set[[#This Row],[Released On]]+tbl_MTG_Set[[#This Row],[Sell Window Month End]]*365.25/12</f>
        <v/>
      </c>
      <c r="X636" s="3">
        <f>AND(NOW()&gt;=tbl_MTG_Set[[#This Row],[Sell Window Start]], NOW()&lt;=tbl_MTG_Set[[#This Row],[Sell Window End]])</f>
        <v/>
      </c>
      <c r="AG636" s="10" t="n"/>
      <c r="AH636" s="10" t="n"/>
      <c r="AM636" s="10">
        <f t="array" ref="AM6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6" s="10">
        <f t="array" ref="AN6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6" s="4">
        <f>_xlfn.XLOOKUP(tbl_MTG_Set[[#This Row],[Play Booster Box Product Id]], tbl_Product[Product Id], tbl_Product[Pack Size])</f>
        <v/>
      </c>
      <c r="AP636" s="10">
        <f>(tbl_MTG_Set[[#This Row],[Play Booster Box Cost]]+v_Item_Shipping_Cost_In)/tbl_MTG_Set[[#This Row],[Play Booster Box Size]]</f>
        <v/>
      </c>
      <c r="AQ636" s="10">
        <f t="array" ref="AQ6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6" s="10" t="n"/>
      <c r="AS636" s="10" t="n"/>
      <c r="AT636" s="17">
        <f>tbl_MTG_Set[[#This Row],[Play Booster CardMarket Profit]]/tbl_MTG_Set[[#This Row],[Play Booster Cost]]</f>
        <v/>
      </c>
      <c r="AU636" s="10">
        <f>_xlfn.XLOOKUP(tbl_MTG_Set[[#This Row],[Collector Booster Box Product Id]], tbl_Product[Product Id], tbl_Product[Min Cost])</f>
        <v/>
      </c>
      <c r="AV636" s="10">
        <f>_xlfn.XLOOKUP(tbl_MTG_Set[[#This Row],[Collector Booster Box Product Id]], tbl_Product[Product Id], tbl_Product[Best Source])</f>
        <v/>
      </c>
      <c r="AW636" s="4">
        <f>_xlfn.XLOOKUP(tbl_MTG_Set[[#This Row],[Collector Booster Box Product Id]], tbl_Product[Product Id], tbl_Product[Pack Size])</f>
        <v/>
      </c>
      <c r="AX636" s="10">
        <f>(tbl_MTG_Set[[#This Row],[Collector Booster Box Cost]] + v_Item_Shipping_Cost_In) / tbl_MTG_Set[[#This Row],[Collector Booster Box Size]]</f>
        <v/>
      </c>
      <c r="AY636" s="10">
        <f t="array" ref="AY6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6" s="10" t="n"/>
      <c r="BA6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6" s="17">
        <f>tbl_MTG_Set[[#This Row],[Collector Booster CardMarket Profit]]/tbl_MTG_Set[[#This Row],[Collector Booster Cost]]</f>
        <v/>
      </c>
      <c r="BC636" s="10" t="n"/>
      <c r="BF636" s="10">
        <f>tbl_MTG_Set[[#This Row],[Play Booster Sell Price CardMarket]]*tbl_MTG_Set[[#This Row],[Play Booster Expected Market Value]]/tbl_MTG_Set[[#This Row],[Play Boost Sealed Market Value]]</f>
        <v/>
      </c>
      <c r="BG6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6" s="10">
        <f>tbl_MTG_Set[[#This Row],[Play Singles CardMarket Profit]]/tbl_MTG_Set[[#This Row],[Play Booster Cost]]</f>
        <v/>
      </c>
      <c r="BI636" s="10">
        <f>tbl_MTG_Set[[#This Row],[Play Singles CardMarket Profit]]&gt;0</f>
        <v/>
      </c>
      <c r="BJ636" s="10" t="n"/>
      <c r="BK636" s="10" t="n"/>
      <c r="BL636" s="10">
        <f>tbl_MTG_Set[[#This Row],[Collector Booster Sell Price CardMarket]]*tbl_MTG_Set[[#This Row],[Collector Booster Expected Market Value]]/tbl_MTG_Set[[#This Row],[Collector Boost Sealed Market Value]]</f>
        <v/>
      </c>
      <c r="BM6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6" s="10">
        <f>tbl_MTG_Set[[#This Row],[Collector Singles CardMarket Profit]]/tbl_MTG_Set[[#This Row],[Collector Booster Cost]]</f>
        <v/>
      </c>
      <c r="BO636" s="10">
        <f>tbl_MTG_Set[[#This Row],[Collector Singles CardMarket Profit]]&gt;0</f>
        <v/>
      </c>
      <c r="BP6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7">
      <c r="A637" t="n">
        <v>635</v>
      </c>
      <c r="B637" t="inlineStr">
        <is>
          <t>Duels of the Planeswalkers 2015 Promos PDP15</t>
        </is>
      </c>
      <c r="C637" t="n">
        <v>2</v>
      </c>
      <c r="D637" s="3" t="n">
        <v>41829</v>
      </c>
      <c r="F637" t="inlineStr">
        <is>
          <t>en es fr de it pt ja ko ru 汉语 漢語</t>
        </is>
      </c>
      <c r="G637" t="n">
        <v>1216</v>
      </c>
      <c r="H637">
        <f>MONTH(NOW())+12*YEAR(NOW())-MONTH(tbl_MTG_Set[[#This Row],[Released On]])-12*YEAR(tbl_MTG_Set[[#This Row],[Released On]])</f>
        <v/>
      </c>
      <c r="I637">
        <f>_xlfn.XLOOKUP(tbl_MTG_Set[[#This Row],[Type Name]], tbl_MTG_Set_Type[Set Type], tbl_MTG_Set_Type[Index], "(Set Type not found)")</f>
        <v/>
      </c>
      <c r="J637">
        <f>_xlfn.XLOOKUP(tbl_MTG_Set[[#This Row],[Type Name]], tbl_MTG_Set_Type[Set Type], tbl_MTG_Set_Type[Buy Window Month Start], "(Set Type not found)")</f>
        <v/>
      </c>
      <c r="K637" s="3">
        <f>tbl_MTG_Set[[#This Row],[Released On]]+tbl_MTG_Set[[#This Row],[Buy Window Month Start]]*365.25/12</f>
        <v/>
      </c>
      <c r="L637">
        <f>_xlfn.XLOOKUP(tbl_MTG_Set[[#This Row],[Type Name]], tbl_MTG_Set_Type[Set Type], tbl_MTG_Set_Type[Buy Window Month End], "(Set Type not found)", 0, 1)</f>
        <v/>
      </c>
      <c r="M637" s="3">
        <f>tbl_MTG_Set[[#This Row],[Released On]]+tbl_MTG_Set[[#This Row],[Buy Window Month End]]*365.25/12</f>
        <v/>
      </c>
      <c r="N637" s="3">
        <f>AND(NOW()&gt;=tbl_MTG_Set[[#This Row],[Buy Window Start]], NOW()&lt;=tbl_MTG_Set[[#This Row],[Buy Window End]])</f>
        <v/>
      </c>
      <c r="O637">
        <f>_xlfn.XLOOKUP(tbl_MTG_Set[[#This Row],[Type Name]], tbl_MTG_Set_Type[Set Type], tbl_MTG_Set_Type[Heavy Printing Window Month Start], "(Set Type not found)", 0, 1)</f>
        <v/>
      </c>
      <c r="P637" s="3">
        <f>tbl_MTG_Set[[#This Row],[Released On]]+tbl_MTG_Set[[#This Row],[Heavy Printing Window Month Start]]*365.25/12</f>
        <v/>
      </c>
      <c r="Q637">
        <f>_xlfn.XLOOKUP(tbl_MTG_Set[[#This Row],[Type Name]], tbl_MTG_Set_Type[Set Type], tbl_MTG_Set_Type[Heavy Printing Window Month End], "(Set Type not found)", 0, 1)</f>
        <v/>
      </c>
      <c r="R637" s="3">
        <f>tbl_MTG_Set[[#This Row],[Released On]]+tbl_MTG_Set[[#This Row],[Heavy Printing Window Month End]]*365.25/12</f>
        <v/>
      </c>
      <c r="S637" s="3">
        <f>AND(NOW()&gt;=tbl_MTG_Set[[#This Row],[Heavy Printing Window Start]], NOW()&lt;=tbl_MTG_Set[[#This Row],[Heavy Printing Window End]])</f>
        <v/>
      </c>
      <c r="T637">
        <f>_xlfn.XLOOKUP(tbl_MTG_Set[[#This Row],[Type Name]], tbl_MTG_Set_Type[Set Type], tbl_MTG_Set_Type[Sell Window Month Start], "(Set Type not found)", 0, 1)</f>
        <v/>
      </c>
      <c r="U637" s="3">
        <f>tbl_MTG_Set[[#This Row],[Released On]]+tbl_MTG_Set[[#This Row],[Sell Window Month Start]]*365.25/12</f>
        <v/>
      </c>
      <c r="V637">
        <f>_xlfn.XLOOKUP(tbl_MTG_Set[[#This Row],[Type Name]], tbl_MTG_Set_Type[Set Type], tbl_MTG_Set_Type[Sell Window Month End], "(Set Type not found)", 0, 1)</f>
        <v/>
      </c>
      <c r="W637" s="3">
        <f>tbl_MTG_Set[[#This Row],[Released On]]+tbl_MTG_Set[[#This Row],[Sell Window Month End]]*365.25/12</f>
        <v/>
      </c>
      <c r="X637" s="3">
        <f>AND(NOW()&gt;=tbl_MTG_Set[[#This Row],[Sell Window Start]], NOW()&lt;=tbl_MTG_Set[[#This Row],[Sell Window End]])</f>
        <v/>
      </c>
      <c r="AG637" s="10" t="n"/>
      <c r="AH637" s="10" t="n"/>
      <c r="AM637" s="10">
        <f t="array" ref="AM6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7" s="10">
        <f t="array" ref="AN6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7" s="4">
        <f>_xlfn.XLOOKUP(tbl_MTG_Set[[#This Row],[Play Booster Box Product Id]], tbl_Product[Product Id], tbl_Product[Pack Size])</f>
        <v/>
      </c>
      <c r="AP637" s="10">
        <f>(tbl_MTG_Set[[#This Row],[Play Booster Box Cost]]+v_Item_Shipping_Cost_In)/tbl_MTG_Set[[#This Row],[Play Booster Box Size]]</f>
        <v/>
      </c>
      <c r="AQ637" s="10">
        <f t="array" ref="AQ6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7" s="10" t="n"/>
      <c r="AS637" s="10" t="n"/>
      <c r="AT637" s="17">
        <f>tbl_MTG_Set[[#This Row],[Play Booster CardMarket Profit]]/tbl_MTG_Set[[#This Row],[Play Booster Cost]]</f>
        <v/>
      </c>
      <c r="AU637" s="10">
        <f>_xlfn.XLOOKUP(tbl_MTG_Set[[#This Row],[Collector Booster Box Product Id]], tbl_Product[Product Id], tbl_Product[Min Cost])</f>
        <v/>
      </c>
      <c r="AV637" s="10">
        <f>_xlfn.XLOOKUP(tbl_MTG_Set[[#This Row],[Collector Booster Box Product Id]], tbl_Product[Product Id], tbl_Product[Best Source])</f>
        <v/>
      </c>
      <c r="AW637" s="4">
        <f>_xlfn.XLOOKUP(tbl_MTG_Set[[#This Row],[Collector Booster Box Product Id]], tbl_Product[Product Id], tbl_Product[Pack Size])</f>
        <v/>
      </c>
      <c r="AX637" s="10">
        <f>(tbl_MTG_Set[[#This Row],[Collector Booster Box Cost]] + v_Item_Shipping_Cost_In) / tbl_MTG_Set[[#This Row],[Collector Booster Box Size]]</f>
        <v/>
      </c>
      <c r="AY637" s="10">
        <f t="array" ref="AY6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7" s="10" t="n"/>
      <c r="BA6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7" s="17">
        <f>tbl_MTG_Set[[#This Row],[Collector Booster CardMarket Profit]]/tbl_MTG_Set[[#This Row],[Collector Booster Cost]]</f>
        <v/>
      </c>
      <c r="BC637" s="10" t="n"/>
      <c r="BF637" s="10">
        <f>tbl_MTG_Set[[#This Row],[Play Booster Sell Price CardMarket]]*tbl_MTG_Set[[#This Row],[Play Booster Expected Market Value]]/tbl_MTG_Set[[#This Row],[Play Boost Sealed Market Value]]</f>
        <v/>
      </c>
      <c r="BG6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7" s="10">
        <f>tbl_MTG_Set[[#This Row],[Play Singles CardMarket Profit]]/tbl_MTG_Set[[#This Row],[Play Booster Cost]]</f>
        <v/>
      </c>
      <c r="BI637" s="10">
        <f>tbl_MTG_Set[[#This Row],[Play Singles CardMarket Profit]]&gt;0</f>
        <v/>
      </c>
      <c r="BJ637" s="10" t="n"/>
      <c r="BK637" s="10" t="n"/>
      <c r="BL637" s="10">
        <f>tbl_MTG_Set[[#This Row],[Collector Booster Sell Price CardMarket]]*tbl_MTG_Set[[#This Row],[Collector Booster Expected Market Value]]/tbl_MTG_Set[[#This Row],[Collector Boost Sealed Market Value]]</f>
        <v/>
      </c>
      <c r="BM6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7" s="10">
        <f>tbl_MTG_Set[[#This Row],[Collector Singles CardMarket Profit]]/tbl_MTG_Set[[#This Row],[Collector Booster Cost]]</f>
        <v/>
      </c>
      <c r="BO637" s="10">
        <f>tbl_MTG_Set[[#This Row],[Collector Singles CardMarket Profit]]&gt;0</f>
        <v/>
      </c>
      <c r="BP6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8">
      <c r="A638" t="n">
        <v>636</v>
      </c>
      <c r="B638" t="inlineStr">
        <is>
          <t>San Diego Comic-Con 2014 PS14</t>
        </is>
      </c>
      <c r="C638" t="n">
        <v>6</v>
      </c>
      <c r="D638" s="3" t="n">
        <v>41828</v>
      </c>
      <c r="F638" t="inlineStr">
        <is>
          <t>en es fr de it pt ja ko ru 汉语 漢語</t>
        </is>
      </c>
      <c r="G638" t="n">
        <v>1218</v>
      </c>
      <c r="H638">
        <f>MONTH(NOW())+12*YEAR(NOW())-MONTH(tbl_MTG_Set[[#This Row],[Released On]])-12*YEAR(tbl_MTG_Set[[#This Row],[Released On]])</f>
        <v/>
      </c>
      <c r="I638">
        <f>_xlfn.XLOOKUP(tbl_MTG_Set[[#This Row],[Type Name]], tbl_MTG_Set_Type[Set Type], tbl_MTG_Set_Type[Index], "(Set Type not found)")</f>
        <v/>
      </c>
      <c r="J638">
        <f>_xlfn.XLOOKUP(tbl_MTG_Set[[#This Row],[Type Name]], tbl_MTG_Set_Type[Set Type], tbl_MTG_Set_Type[Buy Window Month Start], "(Set Type not found)")</f>
        <v/>
      </c>
      <c r="K638" s="3">
        <f>tbl_MTG_Set[[#This Row],[Released On]]+tbl_MTG_Set[[#This Row],[Buy Window Month Start]]*365.25/12</f>
        <v/>
      </c>
      <c r="L638">
        <f>_xlfn.XLOOKUP(tbl_MTG_Set[[#This Row],[Type Name]], tbl_MTG_Set_Type[Set Type], tbl_MTG_Set_Type[Buy Window Month End], "(Set Type not found)", 0, 1)</f>
        <v/>
      </c>
      <c r="M638" s="3">
        <f>tbl_MTG_Set[[#This Row],[Released On]]+tbl_MTG_Set[[#This Row],[Buy Window Month End]]*365.25/12</f>
        <v/>
      </c>
      <c r="N638" s="3">
        <f>AND(NOW()&gt;=tbl_MTG_Set[[#This Row],[Buy Window Start]], NOW()&lt;=tbl_MTG_Set[[#This Row],[Buy Window End]])</f>
        <v/>
      </c>
      <c r="O638">
        <f>_xlfn.XLOOKUP(tbl_MTG_Set[[#This Row],[Type Name]], tbl_MTG_Set_Type[Set Type], tbl_MTG_Set_Type[Heavy Printing Window Month Start], "(Set Type not found)", 0, 1)</f>
        <v/>
      </c>
      <c r="P638" s="3">
        <f>tbl_MTG_Set[[#This Row],[Released On]]+tbl_MTG_Set[[#This Row],[Heavy Printing Window Month Start]]*365.25/12</f>
        <v/>
      </c>
      <c r="Q638">
        <f>_xlfn.XLOOKUP(tbl_MTG_Set[[#This Row],[Type Name]], tbl_MTG_Set_Type[Set Type], tbl_MTG_Set_Type[Heavy Printing Window Month End], "(Set Type not found)", 0, 1)</f>
        <v/>
      </c>
      <c r="R638" s="3">
        <f>tbl_MTG_Set[[#This Row],[Released On]]+tbl_MTG_Set[[#This Row],[Heavy Printing Window Month End]]*365.25/12</f>
        <v/>
      </c>
      <c r="S638" s="3">
        <f>AND(NOW()&gt;=tbl_MTG_Set[[#This Row],[Heavy Printing Window Start]], NOW()&lt;=tbl_MTG_Set[[#This Row],[Heavy Printing Window End]])</f>
        <v/>
      </c>
      <c r="T638">
        <f>_xlfn.XLOOKUP(tbl_MTG_Set[[#This Row],[Type Name]], tbl_MTG_Set_Type[Set Type], tbl_MTG_Set_Type[Sell Window Month Start], "(Set Type not found)", 0, 1)</f>
        <v/>
      </c>
      <c r="U638" s="3">
        <f>tbl_MTG_Set[[#This Row],[Released On]]+tbl_MTG_Set[[#This Row],[Sell Window Month Start]]*365.25/12</f>
        <v/>
      </c>
      <c r="V638">
        <f>_xlfn.XLOOKUP(tbl_MTG_Set[[#This Row],[Type Name]], tbl_MTG_Set_Type[Set Type], tbl_MTG_Set_Type[Sell Window Month End], "(Set Type not found)", 0, 1)</f>
        <v/>
      </c>
      <c r="W638" s="3">
        <f>tbl_MTG_Set[[#This Row],[Released On]]+tbl_MTG_Set[[#This Row],[Sell Window Month End]]*365.25/12</f>
        <v/>
      </c>
      <c r="X638" s="3">
        <f>AND(NOW()&gt;=tbl_MTG_Set[[#This Row],[Sell Window Start]], NOW()&lt;=tbl_MTG_Set[[#This Row],[Sell Window End]])</f>
        <v/>
      </c>
      <c r="AG638" s="10" t="n"/>
      <c r="AH638" s="10" t="n"/>
      <c r="AM638" s="10">
        <f t="array" ref="AM6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8" s="10">
        <f t="array" ref="AN6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8" s="4">
        <f>_xlfn.XLOOKUP(tbl_MTG_Set[[#This Row],[Play Booster Box Product Id]], tbl_Product[Product Id], tbl_Product[Pack Size])</f>
        <v/>
      </c>
      <c r="AP638" s="10">
        <f>(tbl_MTG_Set[[#This Row],[Play Booster Box Cost]]+v_Item_Shipping_Cost_In)/tbl_MTG_Set[[#This Row],[Play Booster Box Size]]</f>
        <v/>
      </c>
      <c r="AQ638" s="10">
        <f t="array" ref="AQ6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8" s="10" t="n"/>
      <c r="AS638" s="10" t="n"/>
      <c r="AT638" s="17">
        <f>tbl_MTG_Set[[#This Row],[Play Booster CardMarket Profit]]/tbl_MTG_Set[[#This Row],[Play Booster Cost]]</f>
        <v/>
      </c>
      <c r="AU638" s="10">
        <f>_xlfn.XLOOKUP(tbl_MTG_Set[[#This Row],[Collector Booster Box Product Id]], tbl_Product[Product Id], tbl_Product[Min Cost])</f>
        <v/>
      </c>
      <c r="AV638" s="10">
        <f>_xlfn.XLOOKUP(tbl_MTG_Set[[#This Row],[Collector Booster Box Product Id]], tbl_Product[Product Id], tbl_Product[Best Source])</f>
        <v/>
      </c>
      <c r="AW638" s="4">
        <f>_xlfn.XLOOKUP(tbl_MTG_Set[[#This Row],[Collector Booster Box Product Id]], tbl_Product[Product Id], tbl_Product[Pack Size])</f>
        <v/>
      </c>
      <c r="AX638" s="10">
        <f>(tbl_MTG_Set[[#This Row],[Collector Booster Box Cost]] + v_Item_Shipping_Cost_In) / tbl_MTG_Set[[#This Row],[Collector Booster Box Size]]</f>
        <v/>
      </c>
      <c r="AY638" s="10">
        <f t="array" ref="AY6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8" s="10" t="n"/>
      <c r="BA6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8" s="17">
        <f>tbl_MTG_Set[[#This Row],[Collector Booster CardMarket Profit]]/tbl_MTG_Set[[#This Row],[Collector Booster Cost]]</f>
        <v/>
      </c>
      <c r="BC638" s="10" t="n"/>
      <c r="BF638" s="10">
        <f>tbl_MTG_Set[[#This Row],[Play Booster Sell Price CardMarket]]*tbl_MTG_Set[[#This Row],[Play Booster Expected Market Value]]/tbl_MTG_Set[[#This Row],[Play Boost Sealed Market Value]]</f>
        <v/>
      </c>
      <c r="BG6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8" s="10">
        <f>tbl_MTG_Set[[#This Row],[Play Singles CardMarket Profit]]/tbl_MTG_Set[[#This Row],[Play Booster Cost]]</f>
        <v/>
      </c>
      <c r="BI638" s="10">
        <f>tbl_MTG_Set[[#This Row],[Play Singles CardMarket Profit]]&gt;0</f>
        <v/>
      </c>
      <c r="BJ638" s="10" t="n"/>
      <c r="BK638" s="10" t="n"/>
      <c r="BL638" s="10">
        <f>tbl_MTG_Set[[#This Row],[Collector Booster Sell Price CardMarket]]*tbl_MTG_Set[[#This Row],[Collector Booster Expected Market Value]]/tbl_MTG_Set[[#This Row],[Collector Boost Sealed Market Value]]</f>
        <v/>
      </c>
      <c r="BM6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8" s="10">
        <f>tbl_MTG_Set[[#This Row],[Collector Singles CardMarket Profit]]/tbl_MTG_Set[[#This Row],[Collector Booster Cost]]</f>
        <v/>
      </c>
      <c r="BO638" s="10">
        <f>tbl_MTG_Set[[#This Row],[Collector Singles CardMarket Profit]]&gt;0</f>
        <v/>
      </c>
      <c r="BP6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9">
      <c r="A639" t="n">
        <v>637</v>
      </c>
      <c r="B639" t="inlineStr">
        <is>
          <t>Vintage Masters VMA</t>
        </is>
      </c>
      <c r="C639" t="n">
        <v>325</v>
      </c>
      <c r="D639" s="3" t="n">
        <v>41806</v>
      </c>
      <c r="F639" t="inlineStr">
        <is>
          <t>en es fr de it pt ja ko ru 汉语 漢語</t>
        </is>
      </c>
      <c r="G639" t="n">
        <v>1220</v>
      </c>
      <c r="H639">
        <f>MONTH(NOW())+12*YEAR(NOW())-MONTH(tbl_MTG_Set[[#This Row],[Released On]])-12*YEAR(tbl_MTG_Set[[#This Row],[Released On]])</f>
        <v/>
      </c>
      <c r="I639">
        <f>_xlfn.XLOOKUP(tbl_MTG_Set[[#This Row],[Type Name]], tbl_MTG_Set_Type[Set Type], tbl_MTG_Set_Type[Index], "(Set Type not found)")</f>
        <v/>
      </c>
      <c r="J639">
        <f>_xlfn.XLOOKUP(tbl_MTG_Set[[#This Row],[Type Name]], tbl_MTG_Set_Type[Set Type], tbl_MTG_Set_Type[Buy Window Month Start], "(Set Type not found)")</f>
        <v/>
      </c>
      <c r="K639" s="3">
        <f>tbl_MTG_Set[[#This Row],[Released On]]+tbl_MTG_Set[[#This Row],[Buy Window Month Start]]*365.25/12</f>
        <v/>
      </c>
      <c r="L639">
        <f>_xlfn.XLOOKUP(tbl_MTG_Set[[#This Row],[Type Name]], tbl_MTG_Set_Type[Set Type], tbl_MTG_Set_Type[Buy Window Month End], "(Set Type not found)", 0, 1)</f>
        <v/>
      </c>
      <c r="M639" s="3">
        <f>tbl_MTG_Set[[#This Row],[Released On]]+tbl_MTG_Set[[#This Row],[Buy Window Month End]]*365.25/12</f>
        <v/>
      </c>
      <c r="N639" s="3">
        <f>AND(NOW()&gt;=tbl_MTG_Set[[#This Row],[Buy Window Start]], NOW()&lt;=tbl_MTG_Set[[#This Row],[Buy Window End]])</f>
        <v/>
      </c>
      <c r="O639">
        <f>_xlfn.XLOOKUP(tbl_MTG_Set[[#This Row],[Type Name]], tbl_MTG_Set_Type[Set Type], tbl_MTG_Set_Type[Heavy Printing Window Month Start], "(Set Type not found)", 0, 1)</f>
        <v/>
      </c>
      <c r="P639" s="3">
        <f>tbl_MTG_Set[[#This Row],[Released On]]+tbl_MTG_Set[[#This Row],[Heavy Printing Window Month Start]]*365.25/12</f>
        <v/>
      </c>
      <c r="Q639">
        <f>_xlfn.XLOOKUP(tbl_MTG_Set[[#This Row],[Type Name]], tbl_MTG_Set_Type[Set Type], tbl_MTG_Set_Type[Heavy Printing Window Month End], "(Set Type not found)", 0, 1)</f>
        <v/>
      </c>
      <c r="R639" s="3">
        <f>tbl_MTG_Set[[#This Row],[Released On]]+tbl_MTG_Set[[#This Row],[Heavy Printing Window Month End]]*365.25/12</f>
        <v/>
      </c>
      <c r="S639" s="3">
        <f>AND(NOW()&gt;=tbl_MTG_Set[[#This Row],[Heavy Printing Window Start]], NOW()&lt;=tbl_MTG_Set[[#This Row],[Heavy Printing Window End]])</f>
        <v/>
      </c>
      <c r="T639">
        <f>_xlfn.XLOOKUP(tbl_MTG_Set[[#This Row],[Type Name]], tbl_MTG_Set_Type[Set Type], tbl_MTG_Set_Type[Sell Window Month Start], "(Set Type not found)", 0, 1)</f>
        <v/>
      </c>
      <c r="U639" s="3">
        <f>tbl_MTG_Set[[#This Row],[Released On]]+tbl_MTG_Set[[#This Row],[Sell Window Month Start]]*365.25/12</f>
        <v/>
      </c>
      <c r="V639">
        <f>_xlfn.XLOOKUP(tbl_MTG_Set[[#This Row],[Type Name]], tbl_MTG_Set_Type[Set Type], tbl_MTG_Set_Type[Sell Window Month End], "(Set Type not found)", 0, 1)</f>
        <v/>
      </c>
      <c r="W639" s="3">
        <f>tbl_MTG_Set[[#This Row],[Released On]]+tbl_MTG_Set[[#This Row],[Sell Window Month End]]*365.25/12</f>
        <v/>
      </c>
      <c r="X639" s="3">
        <f>AND(NOW()&gt;=tbl_MTG_Set[[#This Row],[Sell Window Start]], NOW()&lt;=tbl_MTG_Set[[#This Row],[Sell Window End]])</f>
        <v/>
      </c>
      <c r="AG639" s="10" t="n"/>
      <c r="AH639" s="10" t="n"/>
      <c r="AM639" s="10">
        <f t="array" ref="AM6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9" s="10">
        <f t="array" ref="AN6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9" s="4">
        <f>_xlfn.XLOOKUP(tbl_MTG_Set[[#This Row],[Play Booster Box Product Id]], tbl_Product[Product Id], tbl_Product[Pack Size])</f>
        <v/>
      </c>
      <c r="AP639" s="10">
        <f>(tbl_MTG_Set[[#This Row],[Play Booster Box Cost]]+v_Item_Shipping_Cost_In)/tbl_MTG_Set[[#This Row],[Play Booster Box Size]]</f>
        <v/>
      </c>
      <c r="AQ639" s="10">
        <f t="array" ref="AQ6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39" s="10" t="n"/>
      <c r="AS639" s="10" t="n"/>
      <c r="AT639" s="17">
        <f>tbl_MTG_Set[[#This Row],[Play Booster CardMarket Profit]]/tbl_MTG_Set[[#This Row],[Play Booster Cost]]</f>
        <v/>
      </c>
      <c r="AU639" s="10">
        <f>_xlfn.XLOOKUP(tbl_MTG_Set[[#This Row],[Collector Booster Box Product Id]], tbl_Product[Product Id], tbl_Product[Min Cost])</f>
        <v/>
      </c>
      <c r="AV639" s="10">
        <f>_xlfn.XLOOKUP(tbl_MTG_Set[[#This Row],[Collector Booster Box Product Id]], tbl_Product[Product Id], tbl_Product[Best Source])</f>
        <v/>
      </c>
      <c r="AW639" s="4">
        <f>_xlfn.XLOOKUP(tbl_MTG_Set[[#This Row],[Collector Booster Box Product Id]], tbl_Product[Product Id], tbl_Product[Pack Size])</f>
        <v/>
      </c>
      <c r="AX639" s="10">
        <f>(tbl_MTG_Set[[#This Row],[Collector Booster Box Cost]] + v_Item_Shipping_Cost_In) / tbl_MTG_Set[[#This Row],[Collector Booster Box Size]]</f>
        <v/>
      </c>
      <c r="AY639" s="10">
        <f t="array" ref="AY6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39" s="10" t="n"/>
      <c r="BA6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9" s="17">
        <f>tbl_MTG_Set[[#This Row],[Collector Booster CardMarket Profit]]/tbl_MTG_Set[[#This Row],[Collector Booster Cost]]</f>
        <v/>
      </c>
      <c r="BC639" s="10" t="n"/>
      <c r="BF639" s="10">
        <f>tbl_MTG_Set[[#This Row],[Play Booster Sell Price CardMarket]]*tbl_MTG_Set[[#This Row],[Play Booster Expected Market Value]]/tbl_MTG_Set[[#This Row],[Play Boost Sealed Market Value]]</f>
        <v/>
      </c>
      <c r="BG6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9" s="10">
        <f>tbl_MTG_Set[[#This Row],[Play Singles CardMarket Profit]]/tbl_MTG_Set[[#This Row],[Play Booster Cost]]</f>
        <v/>
      </c>
      <c r="BI639" s="10">
        <f>tbl_MTG_Set[[#This Row],[Play Singles CardMarket Profit]]&gt;0</f>
        <v/>
      </c>
      <c r="BJ639" s="10" t="n"/>
      <c r="BK639" s="10" t="n"/>
      <c r="BL639" s="10">
        <f>tbl_MTG_Set[[#This Row],[Collector Booster Sell Price CardMarket]]*tbl_MTG_Set[[#This Row],[Collector Booster Expected Market Value]]/tbl_MTG_Set[[#This Row],[Collector Boost Sealed Market Value]]</f>
        <v/>
      </c>
      <c r="BM6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9" s="10">
        <f>tbl_MTG_Set[[#This Row],[Collector Singles CardMarket Profit]]/tbl_MTG_Set[[#This Row],[Collector Booster Cost]]</f>
        <v/>
      </c>
      <c r="BO639" s="10">
        <f>tbl_MTG_Set[[#This Row],[Collector Singles CardMarket Profit]]&gt;0</f>
        <v/>
      </c>
      <c r="BP6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0">
      <c r="A640" t="n">
        <v>638</v>
      </c>
      <c r="B640" t="inlineStr">
        <is>
          <t>Conspiracy CNS</t>
        </is>
      </c>
      <c r="C640" t="n">
        <v>210</v>
      </c>
      <c r="D640" s="3" t="n">
        <v>41796</v>
      </c>
      <c r="F640" t="inlineStr">
        <is>
          <t>en es fr de it pt ja ko ru 汉语 漢語</t>
        </is>
      </c>
      <c r="G640" t="n">
        <v>1222</v>
      </c>
      <c r="H640">
        <f>MONTH(NOW())+12*YEAR(NOW())-MONTH(tbl_MTG_Set[[#This Row],[Released On]])-12*YEAR(tbl_MTG_Set[[#This Row],[Released On]])</f>
        <v/>
      </c>
      <c r="I640">
        <f>_xlfn.XLOOKUP(tbl_MTG_Set[[#This Row],[Type Name]], tbl_MTG_Set_Type[Set Type], tbl_MTG_Set_Type[Index], "(Set Type not found)")</f>
        <v/>
      </c>
      <c r="J640">
        <f>_xlfn.XLOOKUP(tbl_MTG_Set[[#This Row],[Type Name]], tbl_MTG_Set_Type[Set Type], tbl_MTG_Set_Type[Buy Window Month Start], "(Set Type not found)")</f>
        <v/>
      </c>
      <c r="K640" s="3">
        <f>tbl_MTG_Set[[#This Row],[Released On]]+tbl_MTG_Set[[#This Row],[Buy Window Month Start]]*365.25/12</f>
        <v/>
      </c>
      <c r="L640">
        <f>_xlfn.XLOOKUP(tbl_MTG_Set[[#This Row],[Type Name]], tbl_MTG_Set_Type[Set Type], tbl_MTG_Set_Type[Buy Window Month End], "(Set Type not found)", 0, 1)</f>
        <v/>
      </c>
      <c r="M640" s="3">
        <f>tbl_MTG_Set[[#This Row],[Released On]]+tbl_MTG_Set[[#This Row],[Buy Window Month End]]*365.25/12</f>
        <v/>
      </c>
      <c r="N640" s="3">
        <f>AND(NOW()&gt;=tbl_MTG_Set[[#This Row],[Buy Window Start]], NOW()&lt;=tbl_MTG_Set[[#This Row],[Buy Window End]])</f>
        <v/>
      </c>
      <c r="O640">
        <f>_xlfn.XLOOKUP(tbl_MTG_Set[[#This Row],[Type Name]], tbl_MTG_Set_Type[Set Type], tbl_MTG_Set_Type[Heavy Printing Window Month Start], "(Set Type not found)", 0, 1)</f>
        <v/>
      </c>
      <c r="P640" s="3">
        <f>tbl_MTG_Set[[#This Row],[Released On]]+tbl_MTG_Set[[#This Row],[Heavy Printing Window Month Start]]*365.25/12</f>
        <v/>
      </c>
      <c r="Q640">
        <f>_xlfn.XLOOKUP(tbl_MTG_Set[[#This Row],[Type Name]], tbl_MTG_Set_Type[Set Type], tbl_MTG_Set_Type[Heavy Printing Window Month End], "(Set Type not found)", 0, 1)</f>
        <v/>
      </c>
      <c r="R640" s="3">
        <f>tbl_MTG_Set[[#This Row],[Released On]]+tbl_MTG_Set[[#This Row],[Heavy Printing Window Month End]]*365.25/12</f>
        <v/>
      </c>
      <c r="S640" s="3">
        <f>AND(NOW()&gt;=tbl_MTG_Set[[#This Row],[Heavy Printing Window Start]], NOW()&lt;=tbl_MTG_Set[[#This Row],[Heavy Printing Window End]])</f>
        <v/>
      </c>
      <c r="T640">
        <f>_xlfn.XLOOKUP(tbl_MTG_Set[[#This Row],[Type Name]], tbl_MTG_Set_Type[Set Type], tbl_MTG_Set_Type[Sell Window Month Start], "(Set Type not found)", 0, 1)</f>
        <v/>
      </c>
      <c r="U640" s="3">
        <f>tbl_MTG_Set[[#This Row],[Released On]]+tbl_MTG_Set[[#This Row],[Sell Window Month Start]]*365.25/12</f>
        <v/>
      </c>
      <c r="V640">
        <f>_xlfn.XLOOKUP(tbl_MTG_Set[[#This Row],[Type Name]], tbl_MTG_Set_Type[Set Type], tbl_MTG_Set_Type[Sell Window Month End], "(Set Type not found)", 0, 1)</f>
        <v/>
      </c>
      <c r="W640" s="3">
        <f>tbl_MTG_Set[[#This Row],[Released On]]+tbl_MTG_Set[[#This Row],[Sell Window Month End]]*365.25/12</f>
        <v/>
      </c>
      <c r="X640" s="3">
        <f>AND(NOW()&gt;=tbl_MTG_Set[[#This Row],[Sell Window Start]], NOW()&lt;=tbl_MTG_Set[[#This Row],[Sell Window End]])</f>
        <v/>
      </c>
      <c r="AG640" s="10" t="n"/>
      <c r="AH640" s="10" t="n"/>
      <c r="AM640" s="10">
        <f t="array" ref="AM6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0" s="10">
        <f t="array" ref="AN6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0" s="4">
        <f>_xlfn.XLOOKUP(tbl_MTG_Set[[#This Row],[Play Booster Box Product Id]], tbl_Product[Product Id], tbl_Product[Pack Size])</f>
        <v/>
      </c>
      <c r="AP640" s="10">
        <f>(tbl_MTG_Set[[#This Row],[Play Booster Box Cost]]+v_Item_Shipping_Cost_In)/tbl_MTG_Set[[#This Row],[Play Booster Box Size]]</f>
        <v/>
      </c>
      <c r="AQ640" s="10">
        <f t="array" ref="AQ6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0" s="10" t="n"/>
      <c r="AS640" s="10" t="n"/>
      <c r="AT640" s="17">
        <f>tbl_MTG_Set[[#This Row],[Play Booster CardMarket Profit]]/tbl_MTG_Set[[#This Row],[Play Booster Cost]]</f>
        <v/>
      </c>
      <c r="AU640" s="10">
        <f>_xlfn.XLOOKUP(tbl_MTG_Set[[#This Row],[Collector Booster Box Product Id]], tbl_Product[Product Id], tbl_Product[Min Cost])</f>
        <v/>
      </c>
      <c r="AV640" s="10">
        <f>_xlfn.XLOOKUP(tbl_MTG_Set[[#This Row],[Collector Booster Box Product Id]], tbl_Product[Product Id], tbl_Product[Best Source])</f>
        <v/>
      </c>
      <c r="AW640" s="4">
        <f>_xlfn.XLOOKUP(tbl_MTG_Set[[#This Row],[Collector Booster Box Product Id]], tbl_Product[Product Id], tbl_Product[Pack Size])</f>
        <v/>
      </c>
      <c r="AX640" s="10">
        <f>(tbl_MTG_Set[[#This Row],[Collector Booster Box Cost]] + v_Item_Shipping_Cost_In) / tbl_MTG_Set[[#This Row],[Collector Booster Box Size]]</f>
        <v/>
      </c>
      <c r="AY640" s="10">
        <f t="array" ref="AY6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0" s="10" t="n"/>
      <c r="BA6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0" s="17">
        <f>tbl_MTG_Set[[#This Row],[Collector Booster CardMarket Profit]]/tbl_MTG_Set[[#This Row],[Collector Booster Cost]]</f>
        <v/>
      </c>
      <c r="BC640" s="10" t="n"/>
      <c r="BF640" s="10">
        <f>tbl_MTG_Set[[#This Row],[Play Booster Sell Price CardMarket]]*tbl_MTG_Set[[#This Row],[Play Booster Expected Market Value]]/tbl_MTG_Set[[#This Row],[Play Boost Sealed Market Value]]</f>
        <v/>
      </c>
      <c r="BG6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0" s="10">
        <f>tbl_MTG_Set[[#This Row],[Play Singles CardMarket Profit]]/tbl_MTG_Set[[#This Row],[Play Booster Cost]]</f>
        <v/>
      </c>
      <c r="BI640" s="10">
        <f>tbl_MTG_Set[[#This Row],[Play Singles CardMarket Profit]]&gt;0</f>
        <v/>
      </c>
      <c r="BJ640" s="10" t="n"/>
      <c r="BK640" s="10" t="n"/>
      <c r="BL640" s="10">
        <f>tbl_MTG_Set[[#This Row],[Collector Booster Sell Price CardMarket]]*tbl_MTG_Set[[#This Row],[Collector Booster Expected Market Value]]/tbl_MTG_Set[[#This Row],[Collector Boost Sealed Market Value]]</f>
        <v/>
      </c>
      <c r="BM6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0" s="10">
        <f>tbl_MTG_Set[[#This Row],[Collector Singles CardMarket Profit]]/tbl_MTG_Set[[#This Row],[Collector Booster Cost]]</f>
        <v/>
      </c>
      <c r="BO640" s="10">
        <f>tbl_MTG_Set[[#This Row],[Collector Singles CardMarket Profit]]&gt;0</f>
        <v/>
      </c>
      <c r="BP6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1">
      <c r="A641" t="n">
        <v>639</v>
      </c>
      <c r="B641" t="inlineStr">
        <is>
          <t>Conspiracy Promos PCNS</t>
        </is>
      </c>
      <c r="C641" t="n">
        <v>1</v>
      </c>
      <c r="D641" s="3" t="n">
        <v>41796</v>
      </c>
      <c r="F641" t="inlineStr">
        <is>
          <t>en es fr de it pt ja ko ru 汉语 漢語</t>
        </is>
      </c>
      <c r="G641" t="n">
        <v>1224</v>
      </c>
      <c r="H641">
        <f>MONTH(NOW())+12*YEAR(NOW())-MONTH(tbl_MTG_Set[[#This Row],[Released On]])-12*YEAR(tbl_MTG_Set[[#This Row],[Released On]])</f>
        <v/>
      </c>
      <c r="I641">
        <f>_xlfn.XLOOKUP(tbl_MTG_Set[[#This Row],[Type Name]], tbl_MTG_Set_Type[Set Type], tbl_MTG_Set_Type[Index], "(Set Type not found)")</f>
        <v/>
      </c>
      <c r="J641">
        <f>_xlfn.XLOOKUP(tbl_MTG_Set[[#This Row],[Type Name]], tbl_MTG_Set_Type[Set Type], tbl_MTG_Set_Type[Buy Window Month Start], "(Set Type not found)")</f>
        <v/>
      </c>
      <c r="K641" s="3">
        <f>tbl_MTG_Set[[#This Row],[Released On]]+tbl_MTG_Set[[#This Row],[Buy Window Month Start]]*365.25/12</f>
        <v/>
      </c>
      <c r="L641">
        <f>_xlfn.XLOOKUP(tbl_MTG_Set[[#This Row],[Type Name]], tbl_MTG_Set_Type[Set Type], tbl_MTG_Set_Type[Buy Window Month End], "(Set Type not found)", 0, 1)</f>
        <v/>
      </c>
      <c r="M641" s="3">
        <f>tbl_MTG_Set[[#This Row],[Released On]]+tbl_MTG_Set[[#This Row],[Buy Window Month End]]*365.25/12</f>
        <v/>
      </c>
      <c r="N641" s="3">
        <f>AND(NOW()&gt;=tbl_MTG_Set[[#This Row],[Buy Window Start]], NOW()&lt;=tbl_MTG_Set[[#This Row],[Buy Window End]])</f>
        <v/>
      </c>
      <c r="O641">
        <f>_xlfn.XLOOKUP(tbl_MTG_Set[[#This Row],[Type Name]], tbl_MTG_Set_Type[Set Type], tbl_MTG_Set_Type[Heavy Printing Window Month Start], "(Set Type not found)", 0, 1)</f>
        <v/>
      </c>
      <c r="P641" s="3">
        <f>tbl_MTG_Set[[#This Row],[Released On]]+tbl_MTG_Set[[#This Row],[Heavy Printing Window Month Start]]*365.25/12</f>
        <v/>
      </c>
      <c r="Q641">
        <f>_xlfn.XLOOKUP(tbl_MTG_Set[[#This Row],[Type Name]], tbl_MTG_Set_Type[Set Type], tbl_MTG_Set_Type[Heavy Printing Window Month End], "(Set Type not found)", 0, 1)</f>
        <v/>
      </c>
      <c r="R641" s="3">
        <f>tbl_MTG_Set[[#This Row],[Released On]]+tbl_MTG_Set[[#This Row],[Heavy Printing Window Month End]]*365.25/12</f>
        <v/>
      </c>
      <c r="S641" s="3">
        <f>AND(NOW()&gt;=tbl_MTG_Set[[#This Row],[Heavy Printing Window Start]], NOW()&lt;=tbl_MTG_Set[[#This Row],[Heavy Printing Window End]])</f>
        <v/>
      </c>
      <c r="T641">
        <f>_xlfn.XLOOKUP(tbl_MTG_Set[[#This Row],[Type Name]], tbl_MTG_Set_Type[Set Type], tbl_MTG_Set_Type[Sell Window Month Start], "(Set Type not found)", 0, 1)</f>
        <v/>
      </c>
      <c r="U641" s="3">
        <f>tbl_MTG_Set[[#This Row],[Released On]]+tbl_MTG_Set[[#This Row],[Sell Window Month Start]]*365.25/12</f>
        <v/>
      </c>
      <c r="V641">
        <f>_xlfn.XLOOKUP(tbl_MTG_Set[[#This Row],[Type Name]], tbl_MTG_Set_Type[Set Type], tbl_MTG_Set_Type[Sell Window Month End], "(Set Type not found)", 0, 1)</f>
        <v/>
      </c>
      <c r="W641" s="3">
        <f>tbl_MTG_Set[[#This Row],[Released On]]+tbl_MTG_Set[[#This Row],[Sell Window Month End]]*365.25/12</f>
        <v/>
      </c>
      <c r="X641" s="3">
        <f>AND(NOW()&gt;=tbl_MTG_Set[[#This Row],[Sell Window Start]], NOW()&lt;=tbl_MTG_Set[[#This Row],[Sell Window End]])</f>
        <v/>
      </c>
      <c r="AG641" s="10" t="n"/>
      <c r="AH641" s="10" t="n"/>
      <c r="AM641" s="10">
        <f t="array" ref="AM6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1" s="10">
        <f t="array" ref="AN6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1" s="4">
        <f>_xlfn.XLOOKUP(tbl_MTG_Set[[#This Row],[Play Booster Box Product Id]], tbl_Product[Product Id], tbl_Product[Pack Size])</f>
        <v/>
      </c>
      <c r="AP641" s="10">
        <f>(tbl_MTG_Set[[#This Row],[Play Booster Box Cost]]+v_Item_Shipping_Cost_In)/tbl_MTG_Set[[#This Row],[Play Booster Box Size]]</f>
        <v/>
      </c>
      <c r="AQ641" s="10">
        <f t="array" ref="AQ6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1" s="10" t="n"/>
      <c r="AS641" s="10" t="n"/>
      <c r="AT641" s="17">
        <f>tbl_MTG_Set[[#This Row],[Play Booster CardMarket Profit]]/tbl_MTG_Set[[#This Row],[Play Booster Cost]]</f>
        <v/>
      </c>
      <c r="AU641" s="10">
        <f>_xlfn.XLOOKUP(tbl_MTG_Set[[#This Row],[Collector Booster Box Product Id]], tbl_Product[Product Id], tbl_Product[Min Cost])</f>
        <v/>
      </c>
      <c r="AV641" s="10">
        <f>_xlfn.XLOOKUP(tbl_MTG_Set[[#This Row],[Collector Booster Box Product Id]], tbl_Product[Product Id], tbl_Product[Best Source])</f>
        <v/>
      </c>
      <c r="AW641" s="4">
        <f>_xlfn.XLOOKUP(tbl_MTG_Set[[#This Row],[Collector Booster Box Product Id]], tbl_Product[Product Id], tbl_Product[Pack Size])</f>
        <v/>
      </c>
      <c r="AX641" s="10">
        <f>(tbl_MTG_Set[[#This Row],[Collector Booster Box Cost]] + v_Item_Shipping_Cost_In) / tbl_MTG_Set[[#This Row],[Collector Booster Box Size]]</f>
        <v/>
      </c>
      <c r="AY641" s="10">
        <f t="array" ref="AY6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1" s="10" t="n"/>
      <c r="BA6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1" s="17">
        <f>tbl_MTG_Set[[#This Row],[Collector Booster CardMarket Profit]]/tbl_MTG_Set[[#This Row],[Collector Booster Cost]]</f>
        <v/>
      </c>
      <c r="BC641" s="10" t="n"/>
      <c r="BF641" s="10">
        <f>tbl_MTG_Set[[#This Row],[Play Booster Sell Price CardMarket]]*tbl_MTG_Set[[#This Row],[Play Booster Expected Market Value]]/tbl_MTG_Set[[#This Row],[Play Boost Sealed Market Value]]</f>
        <v/>
      </c>
      <c r="BG6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1" s="10">
        <f>tbl_MTG_Set[[#This Row],[Play Singles CardMarket Profit]]/tbl_MTG_Set[[#This Row],[Play Booster Cost]]</f>
        <v/>
      </c>
      <c r="BI641" s="10">
        <f>tbl_MTG_Set[[#This Row],[Play Singles CardMarket Profit]]&gt;0</f>
        <v/>
      </c>
      <c r="BJ641" s="10" t="n"/>
      <c r="BK641" s="10" t="n"/>
      <c r="BL641" s="10">
        <f>tbl_MTG_Set[[#This Row],[Collector Booster Sell Price CardMarket]]*tbl_MTG_Set[[#This Row],[Collector Booster Expected Market Value]]/tbl_MTG_Set[[#This Row],[Collector Boost Sealed Market Value]]</f>
        <v/>
      </c>
      <c r="BM6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1" s="10">
        <f>tbl_MTG_Set[[#This Row],[Collector Singles CardMarket Profit]]/tbl_MTG_Set[[#This Row],[Collector Booster Cost]]</f>
        <v/>
      </c>
      <c r="BO641" s="10">
        <f>tbl_MTG_Set[[#This Row],[Collector Singles CardMarket Profit]]&gt;0</f>
        <v/>
      </c>
      <c r="BP6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2">
      <c r="A642" t="n">
        <v>640</v>
      </c>
      <c r="B642" t="inlineStr">
        <is>
          <t>Conspiracy Tokens TCNS</t>
        </is>
      </c>
      <c r="C642" t="n">
        <v>9</v>
      </c>
      <c r="D642" s="3" t="n">
        <v>41796</v>
      </c>
      <c r="F642" t="inlineStr">
        <is>
          <t>en es fr de it pt ja ko ru 汉语 漢語</t>
        </is>
      </c>
      <c r="G642" t="n">
        <v>1226</v>
      </c>
      <c r="H642">
        <f>MONTH(NOW())+12*YEAR(NOW())-MONTH(tbl_MTG_Set[[#This Row],[Released On]])-12*YEAR(tbl_MTG_Set[[#This Row],[Released On]])</f>
        <v/>
      </c>
      <c r="I642">
        <f>_xlfn.XLOOKUP(tbl_MTG_Set[[#This Row],[Type Name]], tbl_MTG_Set_Type[Set Type], tbl_MTG_Set_Type[Index], "(Set Type not found)")</f>
        <v/>
      </c>
      <c r="J642">
        <f>_xlfn.XLOOKUP(tbl_MTG_Set[[#This Row],[Type Name]], tbl_MTG_Set_Type[Set Type], tbl_MTG_Set_Type[Buy Window Month Start], "(Set Type not found)")</f>
        <v/>
      </c>
      <c r="K642" s="3">
        <f>tbl_MTG_Set[[#This Row],[Released On]]+tbl_MTG_Set[[#This Row],[Buy Window Month Start]]*365.25/12</f>
        <v/>
      </c>
      <c r="L642">
        <f>_xlfn.XLOOKUP(tbl_MTG_Set[[#This Row],[Type Name]], tbl_MTG_Set_Type[Set Type], tbl_MTG_Set_Type[Buy Window Month End], "(Set Type not found)", 0, 1)</f>
        <v/>
      </c>
      <c r="M642" s="3">
        <f>tbl_MTG_Set[[#This Row],[Released On]]+tbl_MTG_Set[[#This Row],[Buy Window Month End]]*365.25/12</f>
        <v/>
      </c>
      <c r="N642" s="3">
        <f>AND(NOW()&gt;=tbl_MTG_Set[[#This Row],[Buy Window Start]], NOW()&lt;=tbl_MTG_Set[[#This Row],[Buy Window End]])</f>
        <v/>
      </c>
      <c r="O642">
        <f>_xlfn.XLOOKUP(tbl_MTG_Set[[#This Row],[Type Name]], tbl_MTG_Set_Type[Set Type], tbl_MTG_Set_Type[Heavy Printing Window Month Start], "(Set Type not found)", 0, 1)</f>
        <v/>
      </c>
      <c r="P642" s="3">
        <f>tbl_MTG_Set[[#This Row],[Released On]]+tbl_MTG_Set[[#This Row],[Heavy Printing Window Month Start]]*365.25/12</f>
        <v/>
      </c>
      <c r="Q642">
        <f>_xlfn.XLOOKUP(tbl_MTG_Set[[#This Row],[Type Name]], tbl_MTG_Set_Type[Set Type], tbl_MTG_Set_Type[Heavy Printing Window Month End], "(Set Type not found)", 0, 1)</f>
        <v/>
      </c>
      <c r="R642" s="3">
        <f>tbl_MTG_Set[[#This Row],[Released On]]+tbl_MTG_Set[[#This Row],[Heavy Printing Window Month End]]*365.25/12</f>
        <v/>
      </c>
      <c r="S642" s="3">
        <f>AND(NOW()&gt;=tbl_MTG_Set[[#This Row],[Heavy Printing Window Start]], NOW()&lt;=tbl_MTG_Set[[#This Row],[Heavy Printing Window End]])</f>
        <v/>
      </c>
      <c r="T642">
        <f>_xlfn.XLOOKUP(tbl_MTG_Set[[#This Row],[Type Name]], tbl_MTG_Set_Type[Set Type], tbl_MTG_Set_Type[Sell Window Month Start], "(Set Type not found)", 0, 1)</f>
        <v/>
      </c>
      <c r="U642" s="3">
        <f>tbl_MTG_Set[[#This Row],[Released On]]+tbl_MTG_Set[[#This Row],[Sell Window Month Start]]*365.25/12</f>
        <v/>
      </c>
      <c r="V642">
        <f>_xlfn.XLOOKUP(tbl_MTG_Set[[#This Row],[Type Name]], tbl_MTG_Set_Type[Set Type], tbl_MTG_Set_Type[Sell Window Month End], "(Set Type not found)", 0, 1)</f>
        <v/>
      </c>
      <c r="W642" s="3">
        <f>tbl_MTG_Set[[#This Row],[Released On]]+tbl_MTG_Set[[#This Row],[Sell Window Month End]]*365.25/12</f>
        <v/>
      </c>
      <c r="X642" s="3">
        <f>AND(NOW()&gt;=tbl_MTG_Set[[#This Row],[Sell Window Start]], NOW()&lt;=tbl_MTG_Set[[#This Row],[Sell Window End]])</f>
        <v/>
      </c>
      <c r="AG642" s="10" t="n"/>
      <c r="AH642" s="10" t="n"/>
      <c r="AM642" s="10">
        <f t="array" ref="AM6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2" s="10">
        <f t="array" ref="AN6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2" s="4">
        <f>_xlfn.XLOOKUP(tbl_MTG_Set[[#This Row],[Play Booster Box Product Id]], tbl_Product[Product Id], tbl_Product[Pack Size])</f>
        <v/>
      </c>
      <c r="AP642" s="10">
        <f>(tbl_MTG_Set[[#This Row],[Play Booster Box Cost]]+v_Item_Shipping_Cost_In)/tbl_MTG_Set[[#This Row],[Play Booster Box Size]]</f>
        <v/>
      </c>
      <c r="AQ642" s="10">
        <f t="array" ref="AQ6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2" s="10" t="n"/>
      <c r="AS642" s="10" t="n"/>
      <c r="AT642" s="17">
        <f>tbl_MTG_Set[[#This Row],[Play Booster CardMarket Profit]]/tbl_MTG_Set[[#This Row],[Play Booster Cost]]</f>
        <v/>
      </c>
      <c r="AU642" s="10">
        <f>_xlfn.XLOOKUP(tbl_MTG_Set[[#This Row],[Collector Booster Box Product Id]], tbl_Product[Product Id], tbl_Product[Min Cost])</f>
        <v/>
      </c>
      <c r="AV642" s="10">
        <f>_xlfn.XLOOKUP(tbl_MTG_Set[[#This Row],[Collector Booster Box Product Id]], tbl_Product[Product Id], tbl_Product[Best Source])</f>
        <v/>
      </c>
      <c r="AW642" s="4">
        <f>_xlfn.XLOOKUP(tbl_MTG_Set[[#This Row],[Collector Booster Box Product Id]], tbl_Product[Product Id], tbl_Product[Pack Size])</f>
        <v/>
      </c>
      <c r="AX642" s="10">
        <f>(tbl_MTG_Set[[#This Row],[Collector Booster Box Cost]] + v_Item_Shipping_Cost_In) / tbl_MTG_Set[[#This Row],[Collector Booster Box Size]]</f>
        <v/>
      </c>
      <c r="AY642" s="10">
        <f t="array" ref="AY6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2" s="10" t="n"/>
      <c r="BA6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2" s="17">
        <f>tbl_MTG_Set[[#This Row],[Collector Booster CardMarket Profit]]/tbl_MTG_Set[[#This Row],[Collector Booster Cost]]</f>
        <v/>
      </c>
      <c r="BC642" s="10" t="n"/>
      <c r="BF642" s="10">
        <f>tbl_MTG_Set[[#This Row],[Play Booster Sell Price CardMarket]]*tbl_MTG_Set[[#This Row],[Play Booster Expected Market Value]]/tbl_MTG_Set[[#This Row],[Play Boost Sealed Market Value]]</f>
        <v/>
      </c>
      <c r="BG6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2" s="10">
        <f>tbl_MTG_Set[[#This Row],[Play Singles CardMarket Profit]]/tbl_MTG_Set[[#This Row],[Play Booster Cost]]</f>
        <v/>
      </c>
      <c r="BI642" s="10">
        <f>tbl_MTG_Set[[#This Row],[Play Singles CardMarket Profit]]&gt;0</f>
        <v/>
      </c>
      <c r="BJ642" s="10" t="n"/>
      <c r="BK642" s="10" t="n"/>
      <c r="BL642" s="10">
        <f>tbl_MTG_Set[[#This Row],[Collector Booster Sell Price CardMarket]]*tbl_MTG_Set[[#This Row],[Collector Booster Expected Market Value]]/tbl_MTG_Set[[#This Row],[Collector Boost Sealed Market Value]]</f>
        <v/>
      </c>
      <c r="BM6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2" s="10">
        <f>tbl_MTG_Set[[#This Row],[Collector Singles CardMarket Profit]]/tbl_MTG_Set[[#This Row],[Collector Booster Cost]]</f>
        <v/>
      </c>
      <c r="BO642" s="10">
        <f>tbl_MTG_Set[[#This Row],[Collector Singles CardMarket Profit]]&gt;0</f>
        <v/>
      </c>
      <c r="BP6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3">
      <c r="A643" t="n">
        <v>641</v>
      </c>
      <c r="B643" t="inlineStr">
        <is>
          <t>Modern Event Deck 2014 MD1</t>
        </is>
      </c>
      <c r="C643" t="n">
        <v>26</v>
      </c>
      <c r="D643" s="3" t="n">
        <v>41789</v>
      </c>
      <c r="F643" t="inlineStr">
        <is>
          <t>en es fr de it pt ja ko ru 汉语 漢語</t>
        </is>
      </c>
      <c r="G643" t="n">
        <v>1228</v>
      </c>
      <c r="H643">
        <f>MONTH(NOW())+12*YEAR(NOW())-MONTH(tbl_MTG_Set[[#This Row],[Released On]])-12*YEAR(tbl_MTG_Set[[#This Row],[Released On]])</f>
        <v/>
      </c>
      <c r="I643">
        <f>_xlfn.XLOOKUP(tbl_MTG_Set[[#This Row],[Type Name]], tbl_MTG_Set_Type[Set Type], tbl_MTG_Set_Type[Index], "(Set Type not found)")</f>
        <v/>
      </c>
      <c r="J643">
        <f>_xlfn.XLOOKUP(tbl_MTG_Set[[#This Row],[Type Name]], tbl_MTG_Set_Type[Set Type], tbl_MTG_Set_Type[Buy Window Month Start], "(Set Type not found)")</f>
        <v/>
      </c>
      <c r="K643" s="3">
        <f>tbl_MTG_Set[[#This Row],[Released On]]+tbl_MTG_Set[[#This Row],[Buy Window Month Start]]*365.25/12</f>
        <v/>
      </c>
      <c r="L643">
        <f>_xlfn.XLOOKUP(tbl_MTG_Set[[#This Row],[Type Name]], tbl_MTG_Set_Type[Set Type], tbl_MTG_Set_Type[Buy Window Month End], "(Set Type not found)", 0, 1)</f>
        <v/>
      </c>
      <c r="M643" s="3">
        <f>tbl_MTG_Set[[#This Row],[Released On]]+tbl_MTG_Set[[#This Row],[Buy Window Month End]]*365.25/12</f>
        <v/>
      </c>
      <c r="N643" s="3">
        <f>AND(NOW()&gt;=tbl_MTG_Set[[#This Row],[Buy Window Start]], NOW()&lt;=tbl_MTG_Set[[#This Row],[Buy Window End]])</f>
        <v/>
      </c>
      <c r="O643">
        <f>_xlfn.XLOOKUP(tbl_MTG_Set[[#This Row],[Type Name]], tbl_MTG_Set_Type[Set Type], tbl_MTG_Set_Type[Heavy Printing Window Month Start], "(Set Type not found)", 0, 1)</f>
        <v/>
      </c>
      <c r="P643" s="3">
        <f>tbl_MTG_Set[[#This Row],[Released On]]+tbl_MTG_Set[[#This Row],[Heavy Printing Window Month Start]]*365.25/12</f>
        <v/>
      </c>
      <c r="Q643">
        <f>_xlfn.XLOOKUP(tbl_MTG_Set[[#This Row],[Type Name]], tbl_MTG_Set_Type[Set Type], tbl_MTG_Set_Type[Heavy Printing Window Month End], "(Set Type not found)", 0, 1)</f>
        <v/>
      </c>
      <c r="R643" s="3">
        <f>tbl_MTG_Set[[#This Row],[Released On]]+tbl_MTG_Set[[#This Row],[Heavy Printing Window Month End]]*365.25/12</f>
        <v/>
      </c>
      <c r="S643" s="3">
        <f>AND(NOW()&gt;=tbl_MTG_Set[[#This Row],[Heavy Printing Window Start]], NOW()&lt;=tbl_MTG_Set[[#This Row],[Heavy Printing Window End]])</f>
        <v/>
      </c>
      <c r="T643">
        <f>_xlfn.XLOOKUP(tbl_MTG_Set[[#This Row],[Type Name]], tbl_MTG_Set_Type[Set Type], tbl_MTG_Set_Type[Sell Window Month Start], "(Set Type not found)", 0, 1)</f>
        <v/>
      </c>
      <c r="U643" s="3">
        <f>tbl_MTG_Set[[#This Row],[Released On]]+tbl_MTG_Set[[#This Row],[Sell Window Month Start]]*365.25/12</f>
        <v/>
      </c>
      <c r="V643">
        <f>_xlfn.XLOOKUP(tbl_MTG_Set[[#This Row],[Type Name]], tbl_MTG_Set_Type[Set Type], tbl_MTG_Set_Type[Sell Window Month End], "(Set Type not found)", 0, 1)</f>
        <v/>
      </c>
      <c r="W643" s="3">
        <f>tbl_MTG_Set[[#This Row],[Released On]]+tbl_MTG_Set[[#This Row],[Sell Window Month End]]*365.25/12</f>
        <v/>
      </c>
      <c r="X643" s="3">
        <f>AND(NOW()&gt;=tbl_MTG_Set[[#This Row],[Sell Window Start]], NOW()&lt;=tbl_MTG_Set[[#This Row],[Sell Window End]])</f>
        <v/>
      </c>
      <c r="AG643" s="10" t="n"/>
      <c r="AH643" s="10" t="n"/>
      <c r="AM643" s="10">
        <f t="array" ref="AM6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3" s="10">
        <f t="array" ref="AN6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3" s="4">
        <f>_xlfn.XLOOKUP(tbl_MTG_Set[[#This Row],[Play Booster Box Product Id]], tbl_Product[Product Id], tbl_Product[Pack Size])</f>
        <v/>
      </c>
      <c r="AP643" s="10">
        <f>(tbl_MTG_Set[[#This Row],[Play Booster Box Cost]]+v_Item_Shipping_Cost_In)/tbl_MTG_Set[[#This Row],[Play Booster Box Size]]</f>
        <v/>
      </c>
      <c r="AQ643" s="10">
        <f t="array" ref="AQ6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3" s="10" t="n"/>
      <c r="AS643" s="10" t="n"/>
      <c r="AT643" s="17">
        <f>tbl_MTG_Set[[#This Row],[Play Booster CardMarket Profit]]/tbl_MTG_Set[[#This Row],[Play Booster Cost]]</f>
        <v/>
      </c>
      <c r="AU643" s="10">
        <f>_xlfn.XLOOKUP(tbl_MTG_Set[[#This Row],[Collector Booster Box Product Id]], tbl_Product[Product Id], tbl_Product[Min Cost])</f>
        <v/>
      </c>
      <c r="AV643" s="10">
        <f>_xlfn.XLOOKUP(tbl_MTG_Set[[#This Row],[Collector Booster Box Product Id]], tbl_Product[Product Id], tbl_Product[Best Source])</f>
        <v/>
      </c>
      <c r="AW643" s="4">
        <f>_xlfn.XLOOKUP(tbl_MTG_Set[[#This Row],[Collector Booster Box Product Id]], tbl_Product[Product Id], tbl_Product[Pack Size])</f>
        <v/>
      </c>
      <c r="AX643" s="10">
        <f>(tbl_MTG_Set[[#This Row],[Collector Booster Box Cost]] + v_Item_Shipping_Cost_In) / tbl_MTG_Set[[#This Row],[Collector Booster Box Size]]</f>
        <v/>
      </c>
      <c r="AY643" s="10">
        <f t="array" ref="AY6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3" s="10" t="n"/>
      <c r="BA6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3" s="17">
        <f>tbl_MTG_Set[[#This Row],[Collector Booster CardMarket Profit]]/tbl_MTG_Set[[#This Row],[Collector Booster Cost]]</f>
        <v/>
      </c>
      <c r="BC643" s="10" t="n"/>
      <c r="BF643" s="10">
        <f>tbl_MTG_Set[[#This Row],[Play Booster Sell Price CardMarket]]*tbl_MTG_Set[[#This Row],[Play Booster Expected Market Value]]/tbl_MTG_Set[[#This Row],[Play Boost Sealed Market Value]]</f>
        <v/>
      </c>
      <c r="BG6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3" s="10">
        <f>tbl_MTG_Set[[#This Row],[Play Singles CardMarket Profit]]/tbl_MTG_Set[[#This Row],[Play Booster Cost]]</f>
        <v/>
      </c>
      <c r="BI643" s="10">
        <f>tbl_MTG_Set[[#This Row],[Play Singles CardMarket Profit]]&gt;0</f>
        <v/>
      </c>
      <c r="BJ643" s="10" t="n"/>
      <c r="BK643" s="10" t="n"/>
      <c r="BL643" s="10">
        <f>tbl_MTG_Set[[#This Row],[Collector Booster Sell Price CardMarket]]*tbl_MTG_Set[[#This Row],[Collector Booster Expected Market Value]]/tbl_MTG_Set[[#This Row],[Collector Boost Sealed Market Value]]</f>
        <v/>
      </c>
      <c r="BM6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3" s="10">
        <f>tbl_MTG_Set[[#This Row],[Collector Singles CardMarket Profit]]/tbl_MTG_Set[[#This Row],[Collector Booster Cost]]</f>
        <v/>
      </c>
      <c r="BO643" s="10">
        <f>tbl_MTG_Set[[#This Row],[Collector Singles CardMarket Profit]]&gt;0</f>
        <v/>
      </c>
      <c r="BP6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4">
      <c r="A644" t="n">
        <v>642</v>
      </c>
      <c r="B644" t="inlineStr">
        <is>
          <t>Modern Event Deck 2014 Tokens TMD1</t>
        </is>
      </c>
      <c r="C644" t="n">
        <v>4</v>
      </c>
      <c r="D644" s="3" t="n">
        <v>41789</v>
      </c>
      <c r="F644" t="inlineStr">
        <is>
          <t>en es fr de it pt ja ko ru 汉语 漢語</t>
        </is>
      </c>
      <c r="G644" t="n">
        <v>1230</v>
      </c>
      <c r="H644">
        <f>MONTH(NOW())+12*YEAR(NOW())-MONTH(tbl_MTG_Set[[#This Row],[Released On]])-12*YEAR(tbl_MTG_Set[[#This Row],[Released On]])</f>
        <v/>
      </c>
      <c r="I644">
        <f>_xlfn.XLOOKUP(tbl_MTG_Set[[#This Row],[Type Name]], tbl_MTG_Set_Type[Set Type], tbl_MTG_Set_Type[Index], "(Set Type not found)")</f>
        <v/>
      </c>
      <c r="J644">
        <f>_xlfn.XLOOKUP(tbl_MTG_Set[[#This Row],[Type Name]], tbl_MTG_Set_Type[Set Type], tbl_MTG_Set_Type[Buy Window Month Start], "(Set Type not found)")</f>
        <v/>
      </c>
      <c r="K644" s="3">
        <f>tbl_MTG_Set[[#This Row],[Released On]]+tbl_MTG_Set[[#This Row],[Buy Window Month Start]]*365.25/12</f>
        <v/>
      </c>
      <c r="L644">
        <f>_xlfn.XLOOKUP(tbl_MTG_Set[[#This Row],[Type Name]], tbl_MTG_Set_Type[Set Type], tbl_MTG_Set_Type[Buy Window Month End], "(Set Type not found)", 0, 1)</f>
        <v/>
      </c>
      <c r="M644" s="3">
        <f>tbl_MTG_Set[[#This Row],[Released On]]+tbl_MTG_Set[[#This Row],[Buy Window Month End]]*365.25/12</f>
        <v/>
      </c>
      <c r="N644" s="3">
        <f>AND(NOW()&gt;=tbl_MTG_Set[[#This Row],[Buy Window Start]], NOW()&lt;=tbl_MTG_Set[[#This Row],[Buy Window End]])</f>
        <v/>
      </c>
      <c r="O644">
        <f>_xlfn.XLOOKUP(tbl_MTG_Set[[#This Row],[Type Name]], tbl_MTG_Set_Type[Set Type], tbl_MTG_Set_Type[Heavy Printing Window Month Start], "(Set Type not found)", 0, 1)</f>
        <v/>
      </c>
      <c r="P644" s="3">
        <f>tbl_MTG_Set[[#This Row],[Released On]]+tbl_MTG_Set[[#This Row],[Heavy Printing Window Month Start]]*365.25/12</f>
        <v/>
      </c>
      <c r="Q644">
        <f>_xlfn.XLOOKUP(tbl_MTG_Set[[#This Row],[Type Name]], tbl_MTG_Set_Type[Set Type], tbl_MTG_Set_Type[Heavy Printing Window Month End], "(Set Type not found)", 0, 1)</f>
        <v/>
      </c>
      <c r="R644" s="3">
        <f>tbl_MTG_Set[[#This Row],[Released On]]+tbl_MTG_Set[[#This Row],[Heavy Printing Window Month End]]*365.25/12</f>
        <v/>
      </c>
      <c r="S644" s="3">
        <f>AND(NOW()&gt;=tbl_MTG_Set[[#This Row],[Heavy Printing Window Start]], NOW()&lt;=tbl_MTG_Set[[#This Row],[Heavy Printing Window End]])</f>
        <v/>
      </c>
      <c r="T644">
        <f>_xlfn.XLOOKUP(tbl_MTG_Set[[#This Row],[Type Name]], tbl_MTG_Set_Type[Set Type], tbl_MTG_Set_Type[Sell Window Month Start], "(Set Type not found)", 0, 1)</f>
        <v/>
      </c>
      <c r="U644" s="3">
        <f>tbl_MTG_Set[[#This Row],[Released On]]+tbl_MTG_Set[[#This Row],[Sell Window Month Start]]*365.25/12</f>
        <v/>
      </c>
      <c r="V644">
        <f>_xlfn.XLOOKUP(tbl_MTG_Set[[#This Row],[Type Name]], tbl_MTG_Set_Type[Set Type], tbl_MTG_Set_Type[Sell Window Month End], "(Set Type not found)", 0, 1)</f>
        <v/>
      </c>
      <c r="W644" s="3">
        <f>tbl_MTG_Set[[#This Row],[Released On]]+tbl_MTG_Set[[#This Row],[Sell Window Month End]]*365.25/12</f>
        <v/>
      </c>
      <c r="X644" s="3">
        <f>AND(NOW()&gt;=tbl_MTG_Set[[#This Row],[Sell Window Start]], NOW()&lt;=tbl_MTG_Set[[#This Row],[Sell Window End]])</f>
        <v/>
      </c>
      <c r="AG644" s="10" t="n"/>
      <c r="AH644" s="10" t="n"/>
      <c r="AM644" s="10">
        <f t="array" ref="AM6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4" s="10">
        <f t="array" ref="AN6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4" s="4">
        <f>_xlfn.XLOOKUP(tbl_MTG_Set[[#This Row],[Play Booster Box Product Id]], tbl_Product[Product Id], tbl_Product[Pack Size])</f>
        <v/>
      </c>
      <c r="AP644" s="10">
        <f>(tbl_MTG_Set[[#This Row],[Play Booster Box Cost]]+v_Item_Shipping_Cost_In)/tbl_MTG_Set[[#This Row],[Play Booster Box Size]]</f>
        <v/>
      </c>
      <c r="AQ644" s="10">
        <f t="array" ref="AQ6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4" s="10" t="n"/>
      <c r="AS644" s="10" t="n"/>
      <c r="AT644" s="17">
        <f>tbl_MTG_Set[[#This Row],[Play Booster CardMarket Profit]]/tbl_MTG_Set[[#This Row],[Play Booster Cost]]</f>
        <v/>
      </c>
      <c r="AU644" s="10">
        <f>_xlfn.XLOOKUP(tbl_MTG_Set[[#This Row],[Collector Booster Box Product Id]], tbl_Product[Product Id], tbl_Product[Min Cost])</f>
        <v/>
      </c>
      <c r="AV644" s="10">
        <f>_xlfn.XLOOKUP(tbl_MTG_Set[[#This Row],[Collector Booster Box Product Id]], tbl_Product[Product Id], tbl_Product[Best Source])</f>
        <v/>
      </c>
      <c r="AW644" s="4">
        <f>_xlfn.XLOOKUP(tbl_MTG_Set[[#This Row],[Collector Booster Box Product Id]], tbl_Product[Product Id], tbl_Product[Pack Size])</f>
        <v/>
      </c>
      <c r="AX644" s="10">
        <f>(tbl_MTG_Set[[#This Row],[Collector Booster Box Cost]] + v_Item_Shipping_Cost_In) / tbl_MTG_Set[[#This Row],[Collector Booster Box Size]]</f>
        <v/>
      </c>
      <c r="AY644" s="10">
        <f t="array" ref="AY6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4" s="10" t="n"/>
      <c r="BA6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4" s="17">
        <f>tbl_MTG_Set[[#This Row],[Collector Booster CardMarket Profit]]/tbl_MTG_Set[[#This Row],[Collector Booster Cost]]</f>
        <v/>
      </c>
      <c r="BC644" s="10" t="n"/>
      <c r="BF644" s="10">
        <f>tbl_MTG_Set[[#This Row],[Play Booster Sell Price CardMarket]]*tbl_MTG_Set[[#This Row],[Play Booster Expected Market Value]]/tbl_MTG_Set[[#This Row],[Play Boost Sealed Market Value]]</f>
        <v/>
      </c>
      <c r="BG6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4" s="10">
        <f>tbl_MTG_Set[[#This Row],[Play Singles CardMarket Profit]]/tbl_MTG_Set[[#This Row],[Play Booster Cost]]</f>
        <v/>
      </c>
      <c r="BI644" s="10">
        <f>tbl_MTG_Set[[#This Row],[Play Singles CardMarket Profit]]&gt;0</f>
        <v/>
      </c>
      <c r="BJ644" s="10" t="n"/>
      <c r="BK644" s="10" t="n"/>
      <c r="BL644" s="10">
        <f>tbl_MTG_Set[[#This Row],[Collector Booster Sell Price CardMarket]]*tbl_MTG_Set[[#This Row],[Collector Booster Expected Market Value]]/tbl_MTG_Set[[#This Row],[Collector Boost Sealed Market Value]]</f>
        <v/>
      </c>
      <c r="BM6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4" s="10">
        <f>tbl_MTG_Set[[#This Row],[Collector Singles CardMarket Profit]]/tbl_MTG_Set[[#This Row],[Collector Booster Cost]]</f>
        <v/>
      </c>
      <c r="BO644" s="10">
        <f>tbl_MTG_Set[[#This Row],[Collector Singles CardMarket Profit]]&gt;0</f>
        <v/>
      </c>
      <c r="BP6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5">
      <c r="A645" t="n">
        <v>643</v>
      </c>
      <c r="B645" t="inlineStr">
        <is>
          <t>Journey into Nyx JOU</t>
        </is>
      </c>
      <c r="C645" t="n">
        <v>165</v>
      </c>
      <c r="D645" s="3" t="n">
        <v>41761</v>
      </c>
      <c r="F645" t="inlineStr">
        <is>
          <t>en es fr de it pt ja ko ru 汉语 漢語</t>
        </is>
      </c>
      <c r="G645" t="n">
        <v>1232</v>
      </c>
      <c r="H645">
        <f>MONTH(NOW())+12*YEAR(NOW())-MONTH(tbl_MTG_Set[[#This Row],[Released On]])-12*YEAR(tbl_MTG_Set[[#This Row],[Released On]])</f>
        <v/>
      </c>
      <c r="I645">
        <f>_xlfn.XLOOKUP(tbl_MTG_Set[[#This Row],[Type Name]], tbl_MTG_Set_Type[Set Type], tbl_MTG_Set_Type[Index], "(Set Type not found)")</f>
        <v/>
      </c>
      <c r="J645">
        <f>_xlfn.XLOOKUP(tbl_MTG_Set[[#This Row],[Type Name]], tbl_MTG_Set_Type[Set Type], tbl_MTG_Set_Type[Buy Window Month Start], "(Set Type not found)")</f>
        <v/>
      </c>
      <c r="K645" s="3">
        <f>tbl_MTG_Set[[#This Row],[Released On]]+tbl_MTG_Set[[#This Row],[Buy Window Month Start]]*365.25/12</f>
        <v/>
      </c>
      <c r="L645">
        <f>_xlfn.XLOOKUP(tbl_MTG_Set[[#This Row],[Type Name]], tbl_MTG_Set_Type[Set Type], tbl_MTG_Set_Type[Buy Window Month End], "(Set Type not found)", 0, 1)</f>
        <v/>
      </c>
      <c r="M645" s="3">
        <f>tbl_MTG_Set[[#This Row],[Released On]]+tbl_MTG_Set[[#This Row],[Buy Window Month End]]*365.25/12</f>
        <v/>
      </c>
      <c r="N645" s="3">
        <f>AND(NOW()&gt;=tbl_MTG_Set[[#This Row],[Buy Window Start]], NOW()&lt;=tbl_MTG_Set[[#This Row],[Buy Window End]])</f>
        <v/>
      </c>
      <c r="O645">
        <f>_xlfn.XLOOKUP(tbl_MTG_Set[[#This Row],[Type Name]], tbl_MTG_Set_Type[Set Type], tbl_MTG_Set_Type[Heavy Printing Window Month Start], "(Set Type not found)", 0, 1)</f>
        <v/>
      </c>
      <c r="P645" s="3">
        <f>tbl_MTG_Set[[#This Row],[Released On]]+tbl_MTG_Set[[#This Row],[Heavy Printing Window Month Start]]*365.25/12</f>
        <v/>
      </c>
      <c r="Q645">
        <f>_xlfn.XLOOKUP(tbl_MTG_Set[[#This Row],[Type Name]], tbl_MTG_Set_Type[Set Type], tbl_MTG_Set_Type[Heavy Printing Window Month End], "(Set Type not found)", 0, 1)</f>
        <v/>
      </c>
      <c r="R645" s="3">
        <f>tbl_MTG_Set[[#This Row],[Released On]]+tbl_MTG_Set[[#This Row],[Heavy Printing Window Month End]]*365.25/12</f>
        <v/>
      </c>
      <c r="S645" s="3">
        <f>AND(NOW()&gt;=tbl_MTG_Set[[#This Row],[Heavy Printing Window Start]], NOW()&lt;=tbl_MTG_Set[[#This Row],[Heavy Printing Window End]])</f>
        <v/>
      </c>
      <c r="T645">
        <f>_xlfn.XLOOKUP(tbl_MTG_Set[[#This Row],[Type Name]], tbl_MTG_Set_Type[Set Type], tbl_MTG_Set_Type[Sell Window Month Start], "(Set Type not found)", 0, 1)</f>
        <v/>
      </c>
      <c r="U645" s="3">
        <f>tbl_MTG_Set[[#This Row],[Released On]]+tbl_MTG_Set[[#This Row],[Sell Window Month Start]]*365.25/12</f>
        <v/>
      </c>
      <c r="V645">
        <f>_xlfn.XLOOKUP(tbl_MTG_Set[[#This Row],[Type Name]], tbl_MTG_Set_Type[Set Type], tbl_MTG_Set_Type[Sell Window Month End], "(Set Type not found)", 0, 1)</f>
        <v/>
      </c>
      <c r="W645" s="3">
        <f>tbl_MTG_Set[[#This Row],[Released On]]+tbl_MTG_Set[[#This Row],[Sell Window Month End]]*365.25/12</f>
        <v/>
      </c>
      <c r="X645" s="3">
        <f>AND(NOW()&gt;=tbl_MTG_Set[[#This Row],[Sell Window Start]], NOW()&lt;=tbl_MTG_Set[[#This Row],[Sell Window End]])</f>
        <v/>
      </c>
      <c r="AG645" s="10" t="n"/>
      <c r="AH645" s="10" t="n"/>
      <c r="AM645" s="10">
        <f t="array" ref="AM6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5" s="10">
        <f t="array" ref="AN6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5" s="4">
        <f>_xlfn.XLOOKUP(tbl_MTG_Set[[#This Row],[Play Booster Box Product Id]], tbl_Product[Product Id], tbl_Product[Pack Size])</f>
        <v/>
      </c>
      <c r="AP645" s="10">
        <f>(tbl_MTG_Set[[#This Row],[Play Booster Box Cost]]+v_Item_Shipping_Cost_In)/tbl_MTG_Set[[#This Row],[Play Booster Box Size]]</f>
        <v/>
      </c>
      <c r="AQ645" s="10">
        <f t="array" ref="AQ6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5" s="10" t="n"/>
      <c r="AS645" s="10" t="n"/>
      <c r="AT645" s="17">
        <f>tbl_MTG_Set[[#This Row],[Play Booster CardMarket Profit]]/tbl_MTG_Set[[#This Row],[Play Booster Cost]]</f>
        <v/>
      </c>
      <c r="AU645" s="10">
        <f>_xlfn.XLOOKUP(tbl_MTG_Set[[#This Row],[Collector Booster Box Product Id]], tbl_Product[Product Id], tbl_Product[Min Cost])</f>
        <v/>
      </c>
      <c r="AV645" s="10">
        <f>_xlfn.XLOOKUP(tbl_MTG_Set[[#This Row],[Collector Booster Box Product Id]], tbl_Product[Product Id], tbl_Product[Best Source])</f>
        <v/>
      </c>
      <c r="AW645" s="4">
        <f>_xlfn.XLOOKUP(tbl_MTG_Set[[#This Row],[Collector Booster Box Product Id]], tbl_Product[Product Id], tbl_Product[Pack Size])</f>
        <v/>
      </c>
      <c r="AX645" s="10">
        <f>(tbl_MTG_Set[[#This Row],[Collector Booster Box Cost]] + v_Item_Shipping_Cost_In) / tbl_MTG_Set[[#This Row],[Collector Booster Box Size]]</f>
        <v/>
      </c>
      <c r="AY645" s="10">
        <f t="array" ref="AY6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5" s="10" t="n"/>
      <c r="BA6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5" s="17">
        <f>tbl_MTG_Set[[#This Row],[Collector Booster CardMarket Profit]]/tbl_MTG_Set[[#This Row],[Collector Booster Cost]]</f>
        <v/>
      </c>
      <c r="BC645" s="10" t="n"/>
      <c r="BF645" s="10">
        <f>tbl_MTG_Set[[#This Row],[Play Booster Sell Price CardMarket]]*tbl_MTG_Set[[#This Row],[Play Booster Expected Market Value]]/tbl_MTG_Set[[#This Row],[Play Boost Sealed Market Value]]</f>
        <v/>
      </c>
      <c r="BG6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5" s="10">
        <f>tbl_MTG_Set[[#This Row],[Play Singles CardMarket Profit]]/tbl_MTG_Set[[#This Row],[Play Booster Cost]]</f>
        <v/>
      </c>
      <c r="BI645" s="10">
        <f>tbl_MTG_Set[[#This Row],[Play Singles CardMarket Profit]]&gt;0</f>
        <v/>
      </c>
      <c r="BJ645" s="10" t="n"/>
      <c r="BK645" s="10" t="n"/>
      <c r="BL645" s="10">
        <f>tbl_MTG_Set[[#This Row],[Collector Booster Sell Price CardMarket]]*tbl_MTG_Set[[#This Row],[Collector Booster Expected Market Value]]/tbl_MTG_Set[[#This Row],[Collector Boost Sealed Market Value]]</f>
        <v/>
      </c>
      <c r="BM6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5" s="10">
        <f>tbl_MTG_Set[[#This Row],[Collector Singles CardMarket Profit]]/tbl_MTG_Set[[#This Row],[Collector Booster Cost]]</f>
        <v/>
      </c>
      <c r="BO645" s="10">
        <f>tbl_MTG_Set[[#This Row],[Collector Singles CardMarket Profit]]&gt;0</f>
        <v/>
      </c>
      <c r="BP6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6">
      <c r="A646" t="n">
        <v>644</v>
      </c>
      <c r="B646" t="inlineStr">
        <is>
          <t>Journey into Nyx Promos PJOU</t>
        </is>
      </c>
      <c r="C646" t="n">
        <v>10</v>
      </c>
      <c r="D646" s="3" t="n">
        <v>41755</v>
      </c>
      <c r="F646" t="inlineStr">
        <is>
          <t>en es fr de it pt ja ko ru 汉语 漢語</t>
        </is>
      </c>
      <c r="G646" t="n">
        <v>1234</v>
      </c>
      <c r="H646">
        <f>MONTH(NOW())+12*YEAR(NOW())-MONTH(tbl_MTG_Set[[#This Row],[Released On]])-12*YEAR(tbl_MTG_Set[[#This Row],[Released On]])</f>
        <v/>
      </c>
      <c r="I646">
        <f>_xlfn.XLOOKUP(tbl_MTG_Set[[#This Row],[Type Name]], tbl_MTG_Set_Type[Set Type], tbl_MTG_Set_Type[Index], "(Set Type not found)")</f>
        <v/>
      </c>
      <c r="J646">
        <f>_xlfn.XLOOKUP(tbl_MTG_Set[[#This Row],[Type Name]], tbl_MTG_Set_Type[Set Type], tbl_MTG_Set_Type[Buy Window Month Start], "(Set Type not found)")</f>
        <v/>
      </c>
      <c r="K646" s="3">
        <f>tbl_MTG_Set[[#This Row],[Released On]]+tbl_MTG_Set[[#This Row],[Buy Window Month Start]]*365.25/12</f>
        <v/>
      </c>
      <c r="L646">
        <f>_xlfn.XLOOKUP(tbl_MTG_Set[[#This Row],[Type Name]], tbl_MTG_Set_Type[Set Type], tbl_MTG_Set_Type[Buy Window Month End], "(Set Type not found)", 0, 1)</f>
        <v/>
      </c>
      <c r="M646" s="3">
        <f>tbl_MTG_Set[[#This Row],[Released On]]+tbl_MTG_Set[[#This Row],[Buy Window Month End]]*365.25/12</f>
        <v/>
      </c>
      <c r="N646" s="3">
        <f>AND(NOW()&gt;=tbl_MTG_Set[[#This Row],[Buy Window Start]], NOW()&lt;=tbl_MTG_Set[[#This Row],[Buy Window End]])</f>
        <v/>
      </c>
      <c r="O646">
        <f>_xlfn.XLOOKUP(tbl_MTG_Set[[#This Row],[Type Name]], tbl_MTG_Set_Type[Set Type], tbl_MTG_Set_Type[Heavy Printing Window Month Start], "(Set Type not found)", 0, 1)</f>
        <v/>
      </c>
      <c r="P646" s="3">
        <f>tbl_MTG_Set[[#This Row],[Released On]]+tbl_MTG_Set[[#This Row],[Heavy Printing Window Month Start]]*365.25/12</f>
        <v/>
      </c>
      <c r="Q646">
        <f>_xlfn.XLOOKUP(tbl_MTG_Set[[#This Row],[Type Name]], tbl_MTG_Set_Type[Set Type], tbl_MTG_Set_Type[Heavy Printing Window Month End], "(Set Type not found)", 0, 1)</f>
        <v/>
      </c>
      <c r="R646" s="3">
        <f>tbl_MTG_Set[[#This Row],[Released On]]+tbl_MTG_Set[[#This Row],[Heavy Printing Window Month End]]*365.25/12</f>
        <v/>
      </c>
      <c r="S646" s="3">
        <f>AND(NOW()&gt;=tbl_MTG_Set[[#This Row],[Heavy Printing Window Start]], NOW()&lt;=tbl_MTG_Set[[#This Row],[Heavy Printing Window End]])</f>
        <v/>
      </c>
      <c r="T646">
        <f>_xlfn.XLOOKUP(tbl_MTG_Set[[#This Row],[Type Name]], tbl_MTG_Set_Type[Set Type], tbl_MTG_Set_Type[Sell Window Month Start], "(Set Type not found)", 0, 1)</f>
        <v/>
      </c>
      <c r="U646" s="3">
        <f>tbl_MTG_Set[[#This Row],[Released On]]+tbl_MTG_Set[[#This Row],[Sell Window Month Start]]*365.25/12</f>
        <v/>
      </c>
      <c r="V646">
        <f>_xlfn.XLOOKUP(tbl_MTG_Set[[#This Row],[Type Name]], tbl_MTG_Set_Type[Set Type], tbl_MTG_Set_Type[Sell Window Month End], "(Set Type not found)", 0, 1)</f>
        <v/>
      </c>
      <c r="W646" s="3">
        <f>tbl_MTG_Set[[#This Row],[Released On]]+tbl_MTG_Set[[#This Row],[Sell Window Month End]]*365.25/12</f>
        <v/>
      </c>
      <c r="X646" s="3">
        <f>AND(NOW()&gt;=tbl_MTG_Set[[#This Row],[Sell Window Start]], NOW()&lt;=tbl_MTG_Set[[#This Row],[Sell Window End]])</f>
        <v/>
      </c>
      <c r="AG646" s="10" t="n"/>
      <c r="AH646" s="10" t="n"/>
      <c r="AM646" s="10">
        <f t="array" ref="AM6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6" s="10">
        <f t="array" ref="AN6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6" s="4">
        <f>_xlfn.XLOOKUP(tbl_MTG_Set[[#This Row],[Play Booster Box Product Id]], tbl_Product[Product Id], tbl_Product[Pack Size])</f>
        <v/>
      </c>
      <c r="AP646" s="10">
        <f>(tbl_MTG_Set[[#This Row],[Play Booster Box Cost]]+v_Item_Shipping_Cost_In)/tbl_MTG_Set[[#This Row],[Play Booster Box Size]]</f>
        <v/>
      </c>
      <c r="AQ646" s="10">
        <f t="array" ref="AQ6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6" s="10" t="n"/>
      <c r="AS646" s="10" t="n"/>
      <c r="AT646" s="17">
        <f>tbl_MTG_Set[[#This Row],[Play Booster CardMarket Profit]]/tbl_MTG_Set[[#This Row],[Play Booster Cost]]</f>
        <v/>
      </c>
      <c r="AU646" s="10">
        <f>_xlfn.XLOOKUP(tbl_MTG_Set[[#This Row],[Collector Booster Box Product Id]], tbl_Product[Product Id], tbl_Product[Min Cost])</f>
        <v/>
      </c>
      <c r="AV646" s="10">
        <f>_xlfn.XLOOKUP(tbl_MTG_Set[[#This Row],[Collector Booster Box Product Id]], tbl_Product[Product Id], tbl_Product[Best Source])</f>
        <v/>
      </c>
      <c r="AW646" s="4">
        <f>_xlfn.XLOOKUP(tbl_MTG_Set[[#This Row],[Collector Booster Box Product Id]], tbl_Product[Product Id], tbl_Product[Pack Size])</f>
        <v/>
      </c>
      <c r="AX646" s="10">
        <f>(tbl_MTG_Set[[#This Row],[Collector Booster Box Cost]] + v_Item_Shipping_Cost_In) / tbl_MTG_Set[[#This Row],[Collector Booster Box Size]]</f>
        <v/>
      </c>
      <c r="AY646" s="10">
        <f t="array" ref="AY6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6" s="10" t="n"/>
      <c r="BA6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6" s="17">
        <f>tbl_MTG_Set[[#This Row],[Collector Booster CardMarket Profit]]/tbl_MTG_Set[[#This Row],[Collector Booster Cost]]</f>
        <v/>
      </c>
      <c r="BC646" s="10" t="n"/>
      <c r="BF646" s="10">
        <f>tbl_MTG_Set[[#This Row],[Play Booster Sell Price CardMarket]]*tbl_MTG_Set[[#This Row],[Play Booster Expected Market Value]]/tbl_MTG_Set[[#This Row],[Play Boost Sealed Market Value]]</f>
        <v/>
      </c>
      <c r="BG6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6" s="10">
        <f>tbl_MTG_Set[[#This Row],[Play Singles CardMarket Profit]]/tbl_MTG_Set[[#This Row],[Play Booster Cost]]</f>
        <v/>
      </c>
      <c r="BI646" s="10">
        <f>tbl_MTG_Set[[#This Row],[Play Singles CardMarket Profit]]&gt;0</f>
        <v/>
      </c>
      <c r="BJ646" s="10" t="n"/>
      <c r="BK646" s="10" t="n"/>
      <c r="BL646" s="10">
        <f>tbl_MTG_Set[[#This Row],[Collector Booster Sell Price CardMarket]]*tbl_MTG_Set[[#This Row],[Collector Booster Expected Market Value]]/tbl_MTG_Set[[#This Row],[Collector Boost Sealed Market Value]]</f>
        <v/>
      </c>
      <c r="BM6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6" s="10">
        <f>tbl_MTG_Set[[#This Row],[Collector Singles CardMarket Profit]]/tbl_MTG_Set[[#This Row],[Collector Booster Cost]]</f>
        <v/>
      </c>
      <c r="BO646" s="10">
        <f>tbl_MTG_Set[[#This Row],[Collector Singles CardMarket Profit]]&gt;0</f>
        <v/>
      </c>
      <c r="BP6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7">
      <c r="A647" t="n">
        <v>645</v>
      </c>
      <c r="B647" t="inlineStr">
        <is>
          <t>Journey into Nyx Tokens TJOU</t>
        </is>
      </c>
      <c r="C647" t="n">
        <v>6</v>
      </c>
      <c r="D647" s="3" t="n">
        <v>41761</v>
      </c>
      <c r="F647" t="inlineStr">
        <is>
          <t>en es fr de it pt ja ko ru 汉语 漢語</t>
        </is>
      </c>
      <c r="G647" t="n">
        <v>1236</v>
      </c>
      <c r="H647">
        <f>MONTH(NOW())+12*YEAR(NOW())-MONTH(tbl_MTG_Set[[#This Row],[Released On]])-12*YEAR(tbl_MTG_Set[[#This Row],[Released On]])</f>
        <v/>
      </c>
      <c r="I647">
        <f>_xlfn.XLOOKUP(tbl_MTG_Set[[#This Row],[Type Name]], tbl_MTG_Set_Type[Set Type], tbl_MTG_Set_Type[Index], "(Set Type not found)")</f>
        <v/>
      </c>
      <c r="J647">
        <f>_xlfn.XLOOKUP(tbl_MTG_Set[[#This Row],[Type Name]], tbl_MTG_Set_Type[Set Type], tbl_MTG_Set_Type[Buy Window Month Start], "(Set Type not found)")</f>
        <v/>
      </c>
      <c r="K647" s="3">
        <f>tbl_MTG_Set[[#This Row],[Released On]]+tbl_MTG_Set[[#This Row],[Buy Window Month Start]]*365.25/12</f>
        <v/>
      </c>
      <c r="L647">
        <f>_xlfn.XLOOKUP(tbl_MTG_Set[[#This Row],[Type Name]], tbl_MTG_Set_Type[Set Type], tbl_MTG_Set_Type[Buy Window Month End], "(Set Type not found)", 0, 1)</f>
        <v/>
      </c>
      <c r="M647" s="3">
        <f>tbl_MTG_Set[[#This Row],[Released On]]+tbl_MTG_Set[[#This Row],[Buy Window Month End]]*365.25/12</f>
        <v/>
      </c>
      <c r="N647" s="3">
        <f>AND(NOW()&gt;=tbl_MTG_Set[[#This Row],[Buy Window Start]], NOW()&lt;=tbl_MTG_Set[[#This Row],[Buy Window End]])</f>
        <v/>
      </c>
      <c r="O647">
        <f>_xlfn.XLOOKUP(tbl_MTG_Set[[#This Row],[Type Name]], tbl_MTG_Set_Type[Set Type], tbl_MTG_Set_Type[Heavy Printing Window Month Start], "(Set Type not found)", 0, 1)</f>
        <v/>
      </c>
      <c r="P647" s="3">
        <f>tbl_MTG_Set[[#This Row],[Released On]]+tbl_MTG_Set[[#This Row],[Heavy Printing Window Month Start]]*365.25/12</f>
        <v/>
      </c>
      <c r="Q647">
        <f>_xlfn.XLOOKUP(tbl_MTG_Set[[#This Row],[Type Name]], tbl_MTG_Set_Type[Set Type], tbl_MTG_Set_Type[Heavy Printing Window Month End], "(Set Type not found)", 0, 1)</f>
        <v/>
      </c>
      <c r="R647" s="3">
        <f>tbl_MTG_Set[[#This Row],[Released On]]+tbl_MTG_Set[[#This Row],[Heavy Printing Window Month End]]*365.25/12</f>
        <v/>
      </c>
      <c r="S647" s="3">
        <f>AND(NOW()&gt;=tbl_MTG_Set[[#This Row],[Heavy Printing Window Start]], NOW()&lt;=tbl_MTG_Set[[#This Row],[Heavy Printing Window End]])</f>
        <v/>
      </c>
      <c r="T647">
        <f>_xlfn.XLOOKUP(tbl_MTG_Set[[#This Row],[Type Name]], tbl_MTG_Set_Type[Set Type], tbl_MTG_Set_Type[Sell Window Month Start], "(Set Type not found)", 0, 1)</f>
        <v/>
      </c>
      <c r="U647" s="3">
        <f>tbl_MTG_Set[[#This Row],[Released On]]+tbl_MTG_Set[[#This Row],[Sell Window Month Start]]*365.25/12</f>
        <v/>
      </c>
      <c r="V647">
        <f>_xlfn.XLOOKUP(tbl_MTG_Set[[#This Row],[Type Name]], tbl_MTG_Set_Type[Set Type], tbl_MTG_Set_Type[Sell Window Month End], "(Set Type not found)", 0, 1)</f>
        <v/>
      </c>
      <c r="W647" s="3">
        <f>tbl_MTG_Set[[#This Row],[Released On]]+tbl_MTG_Set[[#This Row],[Sell Window Month End]]*365.25/12</f>
        <v/>
      </c>
      <c r="X647" s="3">
        <f>AND(NOW()&gt;=tbl_MTG_Set[[#This Row],[Sell Window Start]], NOW()&lt;=tbl_MTG_Set[[#This Row],[Sell Window End]])</f>
        <v/>
      </c>
      <c r="AG647" s="10" t="n"/>
      <c r="AH647" s="10" t="n"/>
      <c r="AM647" s="10">
        <f t="array" ref="AM6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7" s="10">
        <f t="array" ref="AN6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7" s="4">
        <f>_xlfn.XLOOKUP(tbl_MTG_Set[[#This Row],[Play Booster Box Product Id]], tbl_Product[Product Id], tbl_Product[Pack Size])</f>
        <v/>
      </c>
      <c r="AP647" s="10">
        <f>(tbl_MTG_Set[[#This Row],[Play Booster Box Cost]]+v_Item_Shipping_Cost_In)/tbl_MTG_Set[[#This Row],[Play Booster Box Size]]</f>
        <v/>
      </c>
      <c r="AQ647" s="10">
        <f t="array" ref="AQ6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7" s="10" t="n"/>
      <c r="AS647" s="10" t="n"/>
      <c r="AT647" s="17">
        <f>tbl_MTG_Set[[#This Row],[Play Booster CardMarket Profit]]/tbl_MTG_Set[[#This Row],[Play Booster Cost]]</f>
        <v/>
      </c>
      <c r="AU647" s="10">
        <f>_xlfn.XLOOKUP(tbl_MTG_Set[[#This Row],[Collector Booster Box Product Id]], tbl_Product[Product Id], tbl_Product[Min Cost])</f>
        <v/>
      </c>
      <c r="AV647" s="10">
        <f>_xlfn.XLOOKUP(tbl_MTG_Set[[#This Row],[Collector Booster Box Product Id]], tbl_Product[Product Id], tbl_Product[Best Source])</f>
        <v/>
      </c>
      <c r="AW647" s="4">
        <f>_xlfn.XLOOKUP(tbl_MTG_Set[[#This Row],[Collector Booster Box Product Id]], tbl_Product[Product Id], tbl_Product[Pack Size])</f>
        <v/>
      </c>
      <c r="AX647" s="10">
        <f>(tbl_MTG_Set[[#This Row],[Collector Booster Box Cost]] + v_Item_Shipping_Cost_In) / tbl_MTG_Set[[#This Row],[Collector Booster Box Size]]</f>
        <v/>
      </c>
      <c r="AY647" s="10">
        <f t="array" ref="AY6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7" s="10" t="n"/>
      <c r="BA6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7" s="17">
        <f>tbl_MTG_Set[[#This Row],[Collector Booster CardMarket Profit]]/tbl_MTG_Set[[#This Row],[Collector Booster Cost]]</f>
        <v/>
      </c>
      <c r="BC647" s="10" t="n"/>
      <c r="BF647" s="10">
        <f>tbl_MTG_Set[[#This Row],[Play Booster Sell Price CardMarket]]*tbl_MTG_Set[[#This Row],[Play Booster Expected Market Value]]/tbl_MTG_Set[[#This Row],[Play Boost Sealed Market Value]]</f>
        <v/>
      </c>
      <c r="BG6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7" s="10">
        <f>tbl_MTG_Set[[#This Row],[Play Singles CardMarket Profit]]/tbl_MTG_Set[[#This Row],[Play Booster Cost]]</f>
        <v/>
      </c>
      <c r="BI647" s="10">
        <f>tbl_MTG_Set[[#This Row],[Play Singles CardMarket Profit]]&gt;0</f>
        <v/>
      </c>
      <c r="BJ647" s="10" t="n"/>
      <c r="BK647" s="10" t="n"/>
      <c r="BL647" s="10">
        <f>tbl_MTG_Set[[#This Row],[Collector Booster Sell Price CardMarket]]*tbl_MTG_Set[[#This Row],[Collector Booster Expected Market Value]]/tbl_MTG_Set[[#This Row],[Collector Boost Sealed Market Value]]</f>
        <v/>
      </c>
      <c r="BM6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7" s="10">
        <f>tbl_MTG_Set[[#This Row],[Collector Singles CardMarket Profit]]/tbl_MTG_Set[[#This Row],[Collector Booster Cost]]</f>
        <v/>
      </c>
      <c r="BO647" s="10">
        <f>tbl_MTG_Set[[#This Row],[Collector Singles CardMarket Profit]]&gt;0</f>
        <v/>
      </c>
      <c r="BP6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8">
      <c r="A648" t="n">
        <v>646</v>
      </c>
      <c r="B648" t="inlineStr">
        <is>
          <t>Defeat a God TDAG</t>
        </is>
      </c>
      <c r="C648" t="n">
        <v>15</v>
      </c>
      <c r="D648" s="3" t="n">
        <v>41784</v>
      </c>
      <c r="F648" t="inlineStr">
        <is>
          <t>en es fr de it pt ja ko ru 汉语 漢語</t>
        </is>
      </c>
      <c r="G648" t="n">
        <v>1238</v>
      </c>
      <c r="H648">
        <f>MONTH(NOW())+12*YEAR(NOW())-MONTH(tbl_MTG_Set[[#This Row],[Released On]])-12*YEAR(tbl_MTG_Set[[#This Row],[Released On]])</f>
        <v/>
      </c>
      <c r="I648">
        <f>_xlfn.XLOOKUP(tbl_MTG_Set[[#This Row],[Type Name]], tbl_MTG_Set_Type[Set Type], tbl_MTG_Set_Type[Index], "(Set Type not found)")</f>
        <v/>
      </c>
      <c r="J648">
        <f>_xlfn.XLOOKUP(tbl_MTG_Set[[#This Row],[Type Name]], tbl_MTG_Set_Type[Set Type], tbl_MTG_Set_Type[Buy Window Month Start], "(Set Type not found)")</f>
        <v/>
      </c>
      <c r="K648" s="3">
        <f>tbl_MTG_Set[[#This Row],[Released On]]+tbl_MTG_Set[[#This Row],[Buy Window Month Start]]*365.25/12</f>
        <v/>
      </c>
      <c r="L648">
        <f>_xlfn.XLOOKUP(tbl_MTG_Set[[#This Row],[Type Name]], tbl_MTG_Set_Type[Set Type], tbl_MTG_Set_Type[Buy Window Month End], "(Set Type not found)", 0, 1)</f>
        <v/>
      </c>
      <c r="M648" s="3">
        <f>tbl_MTG_Set[[#This Row],[Released On]]+tbl_MTG_Set[[#This Row],[Buy Window Month End]]*365.25/12</f>
        <v/>
      </c>
      <c r="N648" s="3">
        <f>AND(NOW()&gt;=tbl_MTG_Set[[#This Row],[Buy Window Start]], NOW()&lt;=tbl_MTG_Set[[#This Row],[Buy Window End]])</f>
        <v/>
      </c>
      <c r="O648">
        <f>_xlfn.XLOOKUP(tbl_MTG_Set[[#This Row],[Type Name]], tbl_MTG_Set_Type[Set Type], tbl_MTG_Set_Type[Heavy Printing Window Month Start], "(Set Type not found)", 0, 1)</f>
        <v/>
      </c>
      <c r="P648" s="3">
        <f>tbl_MTG_Set[[#This Row],[Released On]]+tbl_MTG_Set[[#This Row],[Heavy Printing Window Month Start]]*365.25/12</f>
        <v/>
      </c>
      <c r="Q648">
        <f>_xlfn.XLOOKUP(tbl_MTG_Set[[#This Row],[Type Name]], tbl_MTG_Set_Type[Set Type], tbl_MTG_Set_Type[Heavy Printing Window Month End], "(Set Type not found)", 0, 1)</f>
        <v/>
      </c>
      <c r="R648" s="3">
        <f>tbl_MTG_Set[[#This Row],[Released On]]+tbl_MTG_Set[[#This Row],[Heavy Printing Window Month End]]*365.25/12</f>
        <v/>
      </c>
      <c r="S648" s="3">
        <f>AND(NOW()&gt;=tbl_MTG_Set[[#This Row],[Heavy Printing Window Start]], NOW()&lt;=tbl_MTG_Set[[#This Row],[Heavy Printing Window End]])</f>
        <v/>
      </c>
      <c r="T648">
        <f>_xlfn.XLOOKUP(tbl_MTG_Set[[#This Row],[Type Name]], tbl_MTG_Set_Type[Set Type], tbl_MTG_Set_Type[Sell Window Month Start], "(Set Type not found)", 0, 1)</f>
        <v/>
      </c>
      <c r="U648" s="3">
        <f>tbl_MTG_Set[[#This Row],[Released On]]+tbl_MTG_Set[[#This Row],[Sell Window Month Start]]*365.25/12</f>
        <v/>
      </c>
      <c r="V648">
        <f>_xlfn.XLOOKUP(tbl_MTG_Set[[#This Row],[Type Name]], tbl_MTG_Set_Type[Set Type], tbl_MTG_Set_Type[Sell Window Month End], "(Set Type not found)", 0, 1)</f>
        <v/>
      </c>
      <c r="W648" s="3">
        <f>tbl_MTG_Set[[#This Row],[Released On]]+tbl_MTG_Set[[#This Row],[Sell Window Month End]]*365.25/12</f>
        <v/>
      </c>
      <c r="X648" s="3">
        <f>AND(NOW()&gt;=tbl_MTG_Set[[#This Row],[Sell Window Start]], NOW()&lt;=tbl_MTG_Set[[#This Row],[Sell Window End]])</f>
        <v/>
      </c>
      <c r="AG648" s="10" t="n"/>
      <c r="AH648" s="10" t="n"/>
      <c r="AM648" s="10">
        <f t="array" ref="AM6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8" s="10">
        <f t="array" ref="AN6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8" s="4">
        <f>_xlfn.XLOOKUP(tbl_MTG_Set[[#This Row],[Play Booster Box Product Id]], tbl_Product[Product Id], tbl_Product[Pack Size])</f>
        <v/>
      </c>
      <c r="AP648" s="10">
        <f>(tbl_MTG_Set[[#This Row],[Play Booster Box Cost]]+v_Item_Shipping_Cost_In)/tbl_MTG_Set[[#This Row],[Play Booster Box Size]]</f>
        <v/>
      </c>
      <c r="AQ648" s="10">
        <f t="array" ref="AQ6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8" s="10" t="n"/>
      <c r="AS648" s="10" t="n"/>
      <c r="AT648" s="17">
        <f>tbl_MTG_Set[[#This Row],[Play Booster CardMarket Profit]]/tbl_MTG_Set[[#This Row],[Play Booster Cost]]</f>
        <v/>
      </c>
      <c r="AU648" s="10">
        <f>_xlfn.XLOOKUP(tbl_MTG_Set[[#This Row],[Collector Booster Box Product Id]], tbl_Product[Product Id], tbl_Product[Min Cost])</f>
        <v/>
      </c>
      <c r="AV648" s="10">
        <f>_xlfn.XLOOKUP(tbl_MTG_Set[[#This Row],[Collector Booster Box Product Id]], tbl_Product[Product Id], tbl_Product[Best Source])</f>
        <v/>
      </c>
      <c r="AW648" s="4">
        <f>_xlfn.XLOOKUP(tbl_MTG_Set[[#This Row],[Collector Booster Box Product Id]], tbl_Product[Product Id], tbl_Product[Pack Size])</f>
        <v/>
      </c>
      <c r="AX648" s="10">
        <f>(tbl_MTG_Set[[#This Row],[Collector Booster Box Cost]] + v_Item_Shipping_Cost_In) / tbl_MTG_Set[[#This Row],[Collector Booster Box Size]]</f>
        <v/>
      </c>
      <c r="AY648" s="10">
        <f t="array" ref="AY6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8" s="10" t="n"/>
      <c r="BA6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8" s="17">
        <f>tbl_MTG_Set[[#This Row],[Collector Booster CardMarket Profit]]/tbl_MTG_Set[[#This Row],[Collector Booster Cost]]</f>
        <v/>
      </c>
      <c r="BC648" s="10" t="n"/>
      <c r="BF648" s="10">
        <f>tbl_MTG_Set[[#This Row],[Play Booster Sell Price CardMarket]]*tbl_MTG_Set[[#This Row],[Play Booster Expected Market Value]]/tbl_MTG_Set[[#This Row],[Play Boost Sealed Market Value]]</f>
        <v/>
      </c>
      <c r="BG6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8" s="10">
        <f>tbl_MTG_Set[[#This Row],[Play Singles CardMarket Profit]]/tbl_MTG_Set[[#This Row],[Play Booster Cost]]</f>
        <v/>
      </c>
      <c r="BI648" s="10">
        <f>tbl_MTG_Set[[#This Row],[Play Singles CardMarket Profit]]&gt;0</f>
        <v/>
      </c>
      <c r="BJ648" s="10" t="n"/>
      <c r="BK648" s="10" t="n"/>
      <c r="BL648" s="10">
        <f>tbl_MTG_Set[[#This Row],[Collector Booster Sell Price CardMarket]]*tbl_MTG_Set[[#This Row],[Collector Booster Expected Market Value]]/tbl_MTG_Set[[#This Row],[Collector Boost Sealed Market Value]]</f>
        <v/>
      </c>
      <c r="BM6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8" s="10">
        <f>tbl_MTG_Set[[#This Row],[Collector Singles CardMarket Profit]]/tbl_MTG_Set[[#This Row],[Collector Booster Cost]]</f>
        <v/>
      </c>
      <c r="BO648" s="10">
        <f>tbl_MTG_Set[[#This Row],[Collector Singles CardMarket Profit]]&gt;0</f>
        <v/>
      </c>
      <c r="BP6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9">
      <c r="A649" t="n">
        <v>647</v>
      </c>
      <c r="B649" t="inlineStr">
        <is>
          <t>Journey into Nyx Hero's Path THP3</t>
        </is>
      </c>
      <c r="C649" t="n">
        <v>8</v>
      </c>
      <c r="D649" s="3" t="n">
        <v>41761</v>
      </c>
      <c r="F649" t="inlineStr">
        <is>
          <t>en es fr de it pt ja ko ru 汉语 漢語</t>
        </is>
      </c>
      <c r="G649" t="n">
        <v>1240</v>
      </c>
      <c r="H649">
        <f>MONTH(NOW())+12*YEAR(NOW())-MONTH(tbl_MTG_Set[[#This Row],[Released On]])-12*YEAR(tbl_MTG_Set[[#This Row],[Released On]])</f>
        <v/>
      </c>
      <c r="I649">
        <f>_xlfn.XLOOKUP(tbl_MTG_Set[[#This Row],[Type Name]], tbl_MTG_Set_Type[Set Type], tbl_MTG_Set_Type[Index], "(Set Type not found)")</f>
        <v/>
      </c>
      <c r="J649">
        <f>_xlfn.XLOOKUP(tbl_MTG_Set[[#This Row],[Type Name]], tbl_MTG_Set_Type[Set Type], tbl_MTG_Set_Type[Buy Window Month Start], "(Set Type not found)")</f>
        <v/>
      </c>
      <c r="K649" s="3">
        <f>tbl_MTG_Set[[#This Row],[Released On]]+tbl_MTG_Set[[#This Row],[Buy Window Month Start]]*365.25/12</f>
        <v/>
      </c>
      <c r="L649">
        <f>_xlfn.XLOOKUP(tbl_MTG_Set[[#This Row],[Type Name]], tbl_MTG_Set_Type[Set Type], tbl_MTG_Set_Type[Buy Window Month End], "(Set Type not found)", 0, 1)</f>
        <v/>
      </c>
      <c r="M649" s="3">
        <f>tbl_MTG_Set[[#This Row],[Released On]]+tbl_MTG_Set[[#This Row],[Buy Window Month End]]*365.25/12</f>
        <v/>
      </c>
      <c r="N649" s="3">
        <f>AND(NOW()&gt;=tbl_MTG_Set[[#This Row],[Buy Window Start]], NOW()&lt;=tbl_MTG_Set[[#This Row],[Buy Window End]])</f>
        <v/>
      </c>
      <c r="O649">
        <f>_xlfn.XLOOKUP(tbl_MTG_Set[[#This Row],[Type Name]], tbl_MTG_Set_Type[Set Type], tbl_MTG_Set_Type[Heavy Printing Window Month Start], "(Set Type not found)", 0, 1)</f>
        <v/>
      </c>
      <c r="P649" s="3">
        <f>tbl_MTG_Set[[#This Row],[Released On]]+tbl_MTG_Set[[#This Row],[Heavy Printing Window Month Start]]*365.25/12</f>
        <v/>
      </c>
      <c r="Q649">
        <f>_xlfn.XLOOKUP(tbl_MTG_Set[[#This Row],[Type Name]], tbl_MTG_Set_Type[Set Type], tbl_MTG_Set_Type[Heavy Printing Window Month End], "(Set Type not found)", 0, 1)</f>
        <v/>
      </c>
      <c r="R649" s="3">
        <f>tbl_MTG_Set[[#This Row],[Released On]]+tbl_MTG_Set[[#This Row],[Heavy Printing Window Month End]]*365.25/12</f>
        <v/>
      </c>
      <c r="S649" s="3">
        <f>AND(NOW()&gt;=tbl_MTG_Set[[#This Row],[Heavy Printing Window Start]], NOW()&lt;=tbl_MTG_Set[[#This Row],[Heavy Printing Window End]])</f>
        <v/>
      </c>
      <c r="T649">
        <f>_xlfn.XLOOKUP(tbl_MTG_Set[[#This Row],[Type Name]], tbl_MTG_Set_Type[Set Type], tbl_MTG_Set_Type[Sell Window Month Start], "(Set Type not found)", 0, 1)</f>
        <v/>
      </c>
      <c r="U649" s="3">
        <f>tbl_MTG_Set[[#This Row],[Released On]]+tbl_MTG_Set[[#This Row],[Sell Window Month Start]]*365.25/12</f>
        <v/>
      </c>
      <c r="V649">
        <f>_xlfn.XLOOKUP(tbl_MTG_Set[[#This Row],[Type Name]], tbl_MTG_Set_Type[Set Type], tbl_MTG_Set_Type[Sell Window Month End], "(Set Type not found)", 0, 1)</f>
        <v/>
      </c>
      <c r="W649" s="3">
        <f>tbl_MTG_Set[[#This Row],[Released On]]+tbl_MTG_Set[[#This Row],[Sell Window Month End]]*365.25/12</f>
        <v/>
      </c>
      <c r="X649" s="3">
        <f>AND(NOW()&gt;=tbl_MTG_Set[[#This Row],[Sell Window Start]], NOW()&lt;=tbl_MTG_Set[[#This Row],[Sell Window End]])</f>
        <v/>
      </c>
      <c r="AG649" s="10" t="n"/>
      <c r="AH649" s="10" t="n"/>
      <c r="AM649" s="10">
        <f t="array" ref="AM6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9" s="10">
        <f t="array" ref="AN6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9" s="4">
        <f>_xlfn.XLOOKUP(tbl_MTG_Set[[#This Row],[Play Booster Box Product Id]], tbl_Product[Product Id], tbl_Product[Pack Size])</f>
        <v/>
      </c>
      <c r="AP649" s="10">
        <f>(tbl_MTG_Set[[#This Row],[Play Booster Box Cost]]+v_Item_Shipping_Cost_In)/tbl_MTG_Set[[#This Row],[Play Booster Box Size]]</f>
        <v/>
      </c>
      <c r="AQ649" s="10">
        <f t="array" ref="AQ6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49" s="10" t="n"/>
      <c r="AS649" s="10" t="n"/>
      <c r="AT649" s="17">
        <f>tbl_MTG_Set[[#This Row],[Play Booster CardMarket Profit]]/tbl_MTG_Set[[#This Row],[Play Booster Cost]]</f>
        <v/>
      </c>
      <c r="AU649" s="10">
        <f>_xlfn.XLOOKUP(tbl_MTG_Set[[#This Row],[Collector Booster Box Product Id]], tbl_Product[Product Id], tbl_Product[Min Cost])</f>
        <v/>
      </c>
      <c r="AV649" s="10">
        <f>_xlfn.XLOOKUP(tbl_MTG_Set[[#This Row],[Collector Booster Box Product Id]], tbl_Product[Product Id], tbl_Product[Best Source])</f>
        <v/>
      </c>
      <c r="AW649" s="4">
        <f>_xlfn.XLOOKUP(tbl_MTG_Set[[#This Row],[Collector Booster Box Product Id]], tbl_Product[Product Id], tbl_Product[Pack Size])</f>
        <v/>
      </c>
      <c r="AX649" s="10">
        <f>(tbl_MTG_Set[[#This Row],[Collector Booster Box Cost]] + v_Item_Shipping_Cost_In) / tbl_MTG_Set[[#This Row],[Collector Booster Box Size]]</f>
        <v/>
      </c>
      <c r="AY649" s="10">
        <f t="array" ref="AY6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49" s="10" t="n"/>
      <c r="BA6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9" s="17">
        <f>tbl_MTG_Set[[#This Row],[Collector Booster CardMarket Profit]]/tbl_MTG_Set[[#This Row],[Collector Booster Cost]]</f>
        <v/>
      </c>
      <c r="BC649" s="10" t="n"/>
      <c r="BF649" s="10">
        <f>tbl_MTG_Set[[#This Row],[Play Booster Sell Price CardMarket]]*tbl_MTG_Set[[#This Row],[Play Booster Expected Market Value]]/tbl_MTG_Set[[#This Row],[Play Boost Sealed Market Value]]</f>
        <v/>
      </c>
      <c r="BG6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9" s="10">
        <f>tbl_MTG_Set[[#This Row],[Play Singles CardMarket Profit]]/tbl_MTG_Set[[#This Row],[Play Booster Cost]]</f>
        <v/>
      </c>
      <c r="BI649" s="10">
        <f>tbl_MTG_Set[[#This Row],[Play Singles CardMarket Profit]]&gt;0</f>
        <v/>
      </c>
      <c r="BJ649" s="10" t="n"/>
      <c r="BK649" s="10" t="n"/>
      <c r="BL649" s="10">
        <f>tbl_MTG_Set[[#This Row],[Collector Booster Sell Price CardMarket]]*tbl_MTG_Set[[#This Row],[Collector Booster Expected Market Value]]/tbl_MTG_Set[[#This Row],[Collector Boost Sealed Market Value]]</f>
        <v/>
      </c>
      <c r="BM6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9" s="10">
        <f>tbl_MTG_Set[[#This Row],[Collector Singles CardMarket Profit]]/tbl_MTG_Set[[#This Row],[Collector Booster Cost]]</f>
        <v/>
      </c>
      <c r="BO649" s="10">
        <f>tbl_MTG_Set[[#This Row],[Collector Singles CardMarket Profit]]&gt;0</f>
        <v/>
      </c>
      <c r="BP6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0">
      <c r="A650" t="n">
        <v>648</v>
      </c>
      <c r="B650" t="inlineStr">
        <is>
          <t>Duel Decks: Jace vs. Vraska DDM</t>
        </is>
      </c>
      <c r="C650" t="n">
        <v>88</v>
      </c>
      <c r="D650" s="3" t="n">
        <v>41712</v>
      </c>
      <c r="F650" t="inlineStr">
        <is>
          <t>en es fr de it pt ja ko ru 汉语 漢語</t>
        </is>
      </c>
      <c r="G650" t="n">
        <v>1242</v>
      </c>
      <c r="H650">
        <f>MONTH(NOW())+12*YEAR(NOW())-MONTH(tbl_MTG_Set[[#This Row],[Released On]])-12*YEAR(tbl_MTG_Set[[#This Row],[Released On]])</f>
        <v/>
      </c>
      <c r="I650">
        <f>_xlfn.XLOOKUP(tbl_MTG_Set[[#This Row],[Type Name]], tbl_MTG_Set_Type[Set Type], tbl_MTG_Set_Type[Index], "(Set Type not found)")</f>
        <v/>
      </c>
      <c r="J650">
        <f>_xlfn.XLOOKUP(tbl_MTG_Set[[#This Row],[Type Name]], tbl_MTG_Set_Type[Set Type], tbl_MTG_Set_Type[Buy Window Month Start], "(Set Type not found)")</f>
        <v/>
      </c>
      <c r="K650" s="3">
        <f>tbl_MTG_Set[[#This Row],[Released On]]+tbl_MTG_Set[[#This Row],[Buy Window Month Start]]*365.25/12</f>
        <v/>
      </c>
      <c r="L650">
        <f>_xlfn.XLOOKUP(tbl_MTG_Set[[#This Row],[Type Name]], tbl_MTG_Set_Type[Set Type], tbl_MTG_Set_Type[Buy Window Month End], "(Set Type not found)", 0, 1)</f>
        <v/>
      </c>
      <c r="M650" s="3">
        <f>tbl_MTG_Set[[#This Row],[Released On]]+tbl_MTG_Set[[#This Row],[Buy Window Month End]]*365.25/12</f>
        <v/>
      </c>
      <c r="N650" s="3">
        <f>AND(NOW()&gt;=tbl_MTG_Set[[#This Row],[Buy Window Start]], NOW()&lt;=tbl_MTG_Set[[#This Row],[Buy Window End]])</f>
        <v/>
      </c>
      <c r="O650">
        <f>_xlfn.XLOOKUP(tbl_MTG_Set[[#This Row],[Type Name]], tbl_MTG_Set_Type[Set Type], tbl_MTG_Set_Type[Heavy Printing Window Month Start], "(Set Type not found)", 0, 1)</f>
        <v/>
      </c>
      <c r="P650" s="3">
        <f>tbl_MTG_Set[[#This Row],[Released On]]+tbl_MTG_Set[[#This Row],[Heavy Printing Window Month Start]]*365.25/12</f>
        <v/>
      </c>
      <c r="Q650">
        <f>_xlfn.XLOOKUP(tbl_MTG_Set[[#This Row],[Type Name]], tbl_MTG_Set_Type[Set Type], tbl_MTG_Set_Type[Heavy Printing Window Month End], "(Set Type not found)", 0, 1)</f>
        <v/>
      </c>
      <c r="R650" s="3">
        <f>tbl_MTG_Set[[#This Row],[Released On]]+tbl_MTG_Set[[#This Row],[Heavy Printing Window Month End]]*365.25/12</f>
        <v/>
      </c>
      <c r="S650" s="3">
        <f>AND(NOW()&gt;=tbl_MTG_Set[[#This Row],[Heavy Printing Window Start]], NOW()&lt;=tbl_MTG_Set[[#This Row],[Heavy Printing Window End]])</f>
        <v/>
      </c>
      <c r="T650">
        <f>_xlfn.XLOOKUP(tbl_MTG_Set[[#This Row],[Type Name]], tbl_MTG_Set_Type[Set Type], tbl_MTG_Set_Type[Sell Window Month Start], "(Set Type not found)", 0, 1)</f>
        <v/>
      </c>
      <c r="U650" s="3">
        <f>tbl_MTG_Set[[#This Row],[Released On]]+tbl_MTG_Set[[#This Row],[Sell Window Month Start]]*365.25/12</f>
        <v/>
      </c>
      <c r="V650">
        <f>_xlfn.XLOOKUP(tbl_MTG_Set[[#This Row],[Type Name]], tbl_MTG_Set_Type[Set Type], tbl_MTG_Set_Type[Sell Window Month End], "(Set Type not found)", 0, 1)</f>
        <v/>
      </c>
      <c r="W650" s="3">
        <f>tbl_MTG_Set[[#This Row],[Released On]]+tbl_MTG_Set[[#This Row],[Sell Window Month End]]*365.25/12</f>
        <v/>
      </c>
      <c r="X650" s="3">
        <f>AND(NOW()&gt;=tbl_MTG_Set[[#This Row],[Sell Window Start]], NOW()&lt;=tbl_MTG_Set[[#This Row],[Sell Window End]])</f>
        <v/>
      </c>
      <c r="AG650" s="10" t="n"/>
      <c r="AH650" s="10" t="n"/>
      <c r="AM650" s="10">
        <f t="array" ref="AM6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0" s="10">
        <f t="array" ref="AN6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0" s="4">
        <f>_xlfn.XLOOKUP(tbl_MTG_Set[[#This Row],[Play Booster Box Product Id]], tbl_Product[Product Id], tbl_Product[Pack Size])</f>
        <v/>
      </c>
      <c r="AP650" s="10">
        <f>(tbl_MTG_Set[[#This Row],[Play Booster Box Cost]]+v_Item_Shipping_Cost_In)/tbl_MTG_Set[[#This Row],[Play Booster Box Size]]</f>
        <v/>
      </c>
      <c r="AQ650" s="10">
        <f t="array" ref="AQ6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0" s="10" t="n"/>
      <c r="AS650" s="10" t="n"/>
      <c r="AT650" s="17">
        <f>tbl_MTG_Set[[#This Row],[Play Booster CardMarket Profit]]/tbl_MTG_Set[[#This Row],[Play Booster Cost]]</f>
        <v/>
      </c>
      <c r="AU650" s="10">
        <f>_xlfn.XLOOKUP(tbl_MTG_Set[[#This Row],[Collector Booster Box Product Id]], tbl_Product[Product Id], tbl_Product[Min Cost])</f>
        <v/>
      </c>
      <c r="AV650" s="10">
        <f>_xlfn.XLOOKUP(tbl_MTG_Set[[#This Row],[Collector Booster Box Product Id]], tbl_Product[Product Id], tbl_Product[Best Source])</f>
        <v/>
      </c>
      <c r="AW650" s="4">
        <f>_xlfn.XLOOKUP(tbl_MTG_Set[[#This Row],[Collector Booster Box Product Id]], tbl_Product[Product Id], tbl_Product[Pack Size])</f>
        <v/>
      </c>
      <c r="AX650" s="10">
        <f>(tbl_MTG_Set[[#This Row],[Collector Booster Box Cost]] + v_Item_Shipping_Cost_In) / tbl_MTG_Set[[#This Row],[Collector Booster Box Size]]</f>
        <v/>
      </c>
      <c r="AY650" s="10">
        <f t="array" ref="AY6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0" s="10" t="n"/>
      <c r="BA6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0" s="17">
        <f>tbl_MTG_Set[[#This Row],[Collector Booster CardMarket Profit]]/tbl_MTG_Set[[#This Row],[Collector Booster Cost]]</f>
        <v/>
      </c>
      <c r="BC650" s="10" t="n"/>
      <c r="BF650" s="10">
        <f>tbl_MTG_Set[[#This Row],[Play Booster Sell Price CardMarket]]*tbl_MTG_Set[[#This Row],[Play Booster Expected Market Value]]/tbl_MTG_Set[[#This Row],[Play Boost Sealed Market Value]]</f>
        <v/>
      </c>
      <c r="BG6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0" s="10">
        <f>tbl_MTG_Set[[#This Row],[Play Singles CardMarket Profit]]/tbl_MTG_Set[[#This Row],[Play Booster Cost]]</f>
        <v/>
      </c>
      <c r="BI650" s="10">
        <f>tbl_MTG_Set[[#This Row],[Play Singles CardMarket Profit]]&gt;0</f>
        <v/>
      </c>
      <c r="BJ650" s="10" t="n"/>
      <c r="BK650" s="10" t="n"/>
      <c r="BL650" s="10">
        <f>tbl_MTG_Set[[#This Row],[Collector Booster Sell Price CardMarket]]*tbl_MTG_Set[[#This Row],[Collector Booster Expected Market Value]]/tbl_MTG_Set[[#This Row],[Collector Boost Sealed Market Value]]</f>
        <v/>
      </c>
      <c r="BM6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0" s="10">
        <f>tbl_MTG_Set[[#This Row],[Collector Singles CardMarket Profit]]/tbl_MTG_Set[[#This Row],[Collector Booster Cost]]</f>
        <v/>
      </c>
      <c r="BO650" s="10">
        <f>tbl_MTG_Set[[#This Row],[Collector Singles CardMarket Profit]]&gt;0</f>
        <v/>
      </c>
      <c r="BP6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1">
      <c r="A651" t="n">
        <v>649</v>
      </c>
      <c r="B651" t="inlineStr">
        <is>
          <t>Duel Decks: Jace vs. Vraska Tokens TDDM</t>
        </is>
      </c>
      <c r="C651" t="n">
        <v>1</v>
      </c>
      <c r="D651" s="3" t="n">
        <v>41712</v>
      </c>
      <c r="F651" t="inlineStr">
        <is>
          <t>en es fr de it pt ja ko ru 汉语 漢語</t>
        </is>
      </c>
      <c r="G651" t="n">
        <v>1244</v>
      </c>
      <c r="H651">
        <f>MONTH(NOW())+12*YEAR(NOW())-MONTH(tbl_MTG_Set[[#This Row],[Released On]])-12*YEAR(tbl_MTG_Set[[#This Row],[Released On]])</f>
        <v/>
      </c>
      <c r="I651">
        <f>_xlfn.XLOOKUP(tbl_MTG_Set[[#This Row],[Type Name]], tbl_MTG_Set_Type[Set Type], tbl_MTG_Set_Type[Index], "(Set Type not found)")</f>
        <v/>
      </c>
      <c r="J651">
        <f>_xlfn.XLOOKUP(tbl_MTG_Set[[#This Row],[Type Name]], tbl_MTG_Set_Type[Set Type], tbl_MTG_Set_Type[Buy Window Month Start], "(Set Type not found)")</f>
        <v/>
      </c>
      <c r="K651" s="3">
        <f>tbl_MTG_Set[[#This Row],[Released On]]+tbl_MTG_Set[[#This Row],[Buy Window Month Start]]*365.25/12</f>
        <v/>
      </c>
      <c r="L651">
        <f>_xlfn.XLOOKUP(tbl_MTG_Set[[#This Row],[Type Name]], tbl_MTG_Set_Type[Set Type], tbl_MTG_Set_Type[Buy Window Month End], "(Set Type not found)", 0, 1)</f>
        <v/>
      </c>
      <c r="M651" s="3">
        <f>tbl_MTG_Set[[#This Row],[Released On]]+tbl_MTG_Set[[#This Row],[Buy Window Month End]]*365.25/12</f>
        <v/>
      </c>
      <c r="N651" s="3">
        <f>AND(NOW()&gt;=tbl_MTG_Set[[#This Row],[Buy Window Start]], NOW()&lt;=tbl_MTG_Set[[#This Row],[Buy Window End]])</f>
        <v/>
      </c>
      <c r="O651">
        <f>_xlfn.XLOOKUP(tbl_MTG_Set[[#This Row],[Type Name]], tbl_MTG_Set_Type[Set Type], tbl_MTG_Set_Type[Heavy Printing Window Month Start], "(Set Type not found)", 0, 1)</f>
        <v/>
      </c>
      <c r="P651" s="3">
        <f>tbl_MTG_Set[[#This Row],[Released On]]+tbl_MTG_Set[[#This Row],[Heavy Printing Window Month Start]]*365.25/12</f>
        <v/>
      </c>
      <c r="Q651">
        <f>_xlfn.XLOOKUP(tbl_MTG_Set[[#This Row],[Type Name]], tbl_MTG_Set_Type[Set Type], tbl_MTG_Set_Type[Heavy Printing Window Month End], "(Set Type not found)", 0, 1)</f>
        <v/>
      </c>
      <c r="R651" s="3">
        <f>tbl_MTG_Set[[#This Row],[Released On]]+tbl_MTG_Set[[#This Row],[Heavy Printing Window Month End]]*365.25/12</f>
        <v/>
      </c>
      <c r="S651" s="3">
        <f>AND(NOW()&gt;=tbl_MTG_Set[[#This Row],[Heavy Printing Window Start]], NOW()&lt;=tbl_MTG_Set[[#This Row],[Heavy Printing Window End]])</f>
        <v/>
      </c>
      <c r="T651">
        <f>_xlfn.XLOOKUP(tbl_MTG_Set[[#This Row],[Type Name]], tbl_MTG_Set_Type[Set Type], tbl_MTG_Set_Type[Sell Window Month Start], "(Set Type not found)", 0, 1)</f>
        <v/>
      </c>
      <c r="U651" s="3">
        <f>tbl_MTG_Set[[#This Row],[Released On]]+tbl_MTG_Set[[#This Row],[Sell Window Month Start]]*365.25/12</f>
        <v/>
      </c>
      <c r="V651">
        <f>_xlfn.XLOOKUP(tbl_MTG_Set[[#This Row],[Type Name]], tbl_MTG_Set_Type[Set Type], tbl_MTG_Set_Type[Sell Window Month End], "(Set Type not found)", 0, 1)</f>
        <v/>
      </c>
      <c r="W651" s="3">
        <f>tbl_MTG_Set[[#This Row],[Released On]]+tbl_MTG_Set[[#This Row],[Sell Window Month End]]*365.25/12</f>
        <v/>
      </c>
      <c r="X651" s="3">
        <f>AND(NOW()&gt;=tbl_MTG_Set[[#This Row],[Sell Window Start]], NOW()&lt;=tbl_MTG_Set[[#This Row],[Sell Window End]])</f>
        <v/>
      </c>
      <c r="AG651" s="10" t="n"/>
      <c r="AH651" s="10" t="n"/>
      <c r="AM651" s="10">
        <f t="array" ref="AM6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1" s="10">
        <f t="array" ref="AN6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1" s="4">
        <f>_xlfn.XLOOKUP(tbl_MTG_Set[[#This Row],[Play Booster Box Product Id]], tbl_Product[Product Id], tbl_Product[Pack Size])</f>
        <v/>
      </c>
      <c r="AP651" s="10">
        <f>(tbl_MTG_Set[[#This Row],[Play Booster Box Cost]]+v_Item_Shipping_Cost_In)/tbl_MTG_Set[[#This Row],[Play Booster Box Size]]</f>
        <v/>
      </c>
      <c r="AQ651" s="10">
        <f t="array" ref="AQ6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1" s="10" t="n"/>
      <c r="AS651" s="10" t="n"/>
      <c r="AT651" s="17">
        <f>tbl_MTG_Set[[#This Row],[Play Booster CardMarket Profit]]/tbl_MTG_Set[[#This Row],[Play Booster Cost]]</f>
        <v/>
      </c>
      <c r="AU651" s="10">
        <f>_xlfn.XLOOKUP(tbl_MTG_Set[[#This Row],[Collector Booster Box Product Id]], tbl_Product[Product Id], tbl_Product[Min Cost])</f>
        <v/>
      </c>
      <c r="AV651" s="10">
        <f>_xlfn.XLOOKUP(tbl_MTG_Set[[#This Row],[Collector Booster Box Product Id]], tbl_Product[Product Id], tbl_Product[Best Source])</f>
        <v/>
      </c>
      <c r="AW651" s="4">
        <f>_xlfn.XLOOKUP(tbl_MTG_Set[[#This Row],[Collector Booster Box Product Id]], tbl_Product[Product Id], tbl_Product[Pack Size])</f>
        <v/>
      </c>
      <c r="AX651" s="10">
        <f>(tbl_MTG_Set[[#This Row],[Collector Booster Box Cost]] + v_Item_Shipping_Cost_In) / tbl_MTG_Set[[#This Row],[Collector Booster Box Size]]</f>
        <v/>
      </c>
      <c r="AY651" s="10">
        <f t="array" ref="AY6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1" s="10" t="n"/>
      <c r="BA6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1" s="17">
        <f>tbl_MTG_Set[[#This Row],[Collector Booster CardMarket Profit]]/tbl_MTG_Set[[#This Row],[Collector Booster Cost]]</f>
        <v/>
      </c>
      <c r="BC651" s="10" t="n"/>
      <c r="BF651" s="10">
        <f>tbl_MTG_Set[[#This Row],[Play Booster Sell Price CardMarket]]*tbl_MTG_Set[[#This Row],[Play Booster Expected Market Value]]/tbl_MTG_Set[[#This Row],[Play Boost Sealed Market Value]]</f>
        <v/>
      </c>
      <c r="BG6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1" s="10">
        <f>tbl_MTG_Set[[#This Row],[Play Singles CardMarket Profit]]/tbl_MTG_Set[[#This Row],[Play Booster Cost]]</f>
        <v/>
      </c>
      <c r="BI651" s="10">
        <f>tbl_MTG_Set[[#This Row],[Play Singles CardMarket Profit]]&gt;0</f>
        <v/>
      </c>
      <c r="BJ651" s="10" t="n"/>
      <c r="BK651" s="10" t="n"/>
      <c r="BL651" s="10">
        <f>tbl_MTG_Set[[#This Row],[Collector Booster Sell Price CardMarket]]*tbl_MTG_Set[[#This Row],[Collector Booster Expected Market Value]]/tbl_MTG_Set[[#This Row],[Collector Boost Sealed Market Value]]</f>
        <v/>
      </c>
      <c r="BM6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1" s="10">
        <f>tbl_MTG_Set[[#This Row],[Collector Singles CardMarket Profit]]/tbl_MTG_Set[[#This Row],[Collector Booster Cost]]</f>
        <v/>
      </c>
      <c r="BO651" s="10">
        <f>tbl_MTG_Set[[#This Row],[Collector Singles CardMarket Profit]]&gt;0</f>
        <v/>
      </c>
      <c r="BP6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2">
      <c r="A652" t="n">
        <v>650</v>
      </c>
      <c r="B652" t="inlineStr">
        <is>
          <t>Born of the Gods BNG</t>
        </is>
      </c>
      <c r="C652" t="n">
        <v>165</v>
      </c>
      <c r="D652" s="3" t="n">
        <v>41677</v>
      </c>
      <c r="F652" t="inlineStr">
        <is>
          <t>en es fr de it pt ja ko ru 汉语 漢語</t>
        </is>
      </c>
      <c r="G652" t="n">
        <v>1246</v>
      </c>
      <c r="H652">
        <f>MONTH(NOW())+12*YEAR(NOW())-MONTH(tbl_MTG_Set[[#This Row],[Released On]])-12*YEAR(tbl_MTG_Set[[#This Row],[Released On]])</f>
        <v/>
      </c>
      <c r="I652">
        <f>_xlfn.XLOOKUP(tbl_MTG_Set[[#This Row],[Type Name]], tbl_MTG_Set_Type[Set Type], tbl_MTG_Set_Type[Index], "(Set Type not found)")</f>
        <v/>
      </c>
      <c r="J652">
        <f>_xlfn.XLOOKUP(tbl_MTG_Set[[#This Row],[Type Name]], tbl_MTG_Set_Type[Set Type], tbl_MTG_Set_Type[Buy Window Month Start], "(Set Type not found)")</f>
        <v/>
      </c>
      <c r="K652" s="3">
        <f>tbl_MTG_Set[[#This Row],[Released On]]+tbl_MTG_Set[[#This Row],[Buy Window Month Start]]*365.25/12</f>
        <v/>
      </c>
      <c r="L652">
        <f>_xlfn.XLOOKUP(tbl_MTG_Set[[#This Row],[Type Name]], tbl_MTG_Set_Type[Set Type], tbl_MTG_Set_Type[Buy Window Month End], "(Set Type not found)", 0, 1)</f>
        <v/>
      </c>
      <c r="M652" s="3">
        <f>tbl_MTG_Set[[#This Row],[Released On]]+tbl_MTG_Set[[#This Row],[Buy Window Month End]]*365.25/12</f>
        <v/>
      </c>
      <c r="N652" s="3">
        <f>AND(NOW()&gt;=tbl_MTG_Set[[#This Row],[Buy Window Start]], NOW()&lt;=tbl_MTG_Set[[#This Row],[Buy Window End]])</f>
        <v/>
      </c>
      <c r="O652">
        <f>_xlfn.XLOOKUP(tbl_MTG_Set[[#This Row],[Type Name]], tbl_MTG_Set_Type[Set Type], tbl_MTG_Set_Type[Heavy Printing Window Month Start], "(Set Type not found)", 0, 1)</f>
        <v/>
      </c>
      <c r="P652" s="3">
        <f>tbl_MTG_Set[[#This Row],[Released On]]+tbl_MTG_Set[[#This Row],[Heavy Printing Window Month Start]]*365.25/12</f>
        <v/>
      </c>
      <c r="Q652">
        <f>_xlfn.XLOOKUP(tbl_MTG_Set[[#This Row],[Type Name]], tbl_MTG_Set_Type[Set Type], tbl_MTG_Set_Type[Heavy Printing Window Month End], "(Set Type not found)", 0, 1)</f>
        <v/>
      </c>
      <c r="R652" s="3">
        <f>tbl_MTG_Set[[#This Row],[Released On]]+tbl_MTG_Set[[#This Row],[Heavy Printing Window Month End]]*365.25/12</f>
        <v/>
      </c>
      <c r="S652" s="3">
        <f>AND(NOW()&gt;=tbl_MTG_Set[[#This Row],[Heavy Printing Window Start]], NOW()&lt;=tbl_MTG_Set[[#This Row],[Heavy Printing Window End]])</f>
        <v/>
      </c>
      <c r="T652">
        <f>_xlfn.XLOOKUP(tbl_MTG_Set[[#This Row],[Type Name]], tbl_MTG_Set_Type[Set Type], tbl_MTG_Set_Type[Sell Window Month Start], "(Set Type not found)", 0, 1)</f>
        <v/>
      </c>
      <c r="U652" s="3">
        <f>tbl_MTG_Set[[#This Row],[Released On]]+tbl_MTG_Set[[#This Row],[Sell Window Month Start]]*365.25/12</f>
        <v/>
      </c>
      <c r="V652">
        <f>_xlfn.XLOOKUP(tbl_MTG_Set[[#This Row],[Type Name]], tbl_MTG_Set_Type[Set Type], tbl_MTG_Set_Type[Sell Window Month End], "(Set Type not found)", 0, 1)</f>
        <v/>
      </c>
      <c r="W652" s="3">
        <f>tbl_MTG_Set[[#This Row],[Released On]]+tbl_MTG_Set[[#This Row],[Sell Window Month End]]*365.25/12</f>
        <v/>
      </c>
      <c r="X652" s="3">
        <f>AND(NOW()&gt;=tbl_MTG_Set[[#This Row],[Sell Window Start]], NOW()&lt;=tbl_MTG_Set[[#This Row],[Sell Window End]])</f>
        <v/>
      </c>
      <c r="AG652" s="10" t="n"/>
      <c r="AH652" s="10" t="n"/>
      <c r="AM652" s="10">
        <f t="array" ref="AM6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2" s="10">
        <f t="array" ref="AN6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2" s="4">
        <f>_xlfn.XLOOKUP(tbl_MTG_Set[[#This Row],[Play Booster Box Product Id]], tbl_Product[Product Id], tbl_Product[Pack Size])</f>
        <v/>
      </c>
      <c r="AP652" s="10">
        <f>(tbl_MTG_Set[[#This Row],[Play Booster Box Cost]]+v_Item_Shipping_Cost_In)/tbl_MTG_Set[[#This Row],[Play Booster Box Size]]</f>
        <v/>
      </c>
      <c r="AQ652" s="10">
        <f t="array" ref="AQ6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2" s="10" t="n"/>
      <c r="AS652" s="10" t="n"/>
      <c r="AT652" s="17">
        <f>tbl_MTG_Set[[#This Row],[Play Booster CardMarket Profit]]/tbl_MTG_Set[[#This Row],[Play Booster Cost]]</f>
        <v/>
      </c>
      <c r="AU652" s="10">
        <f>_xlfn.XLOOKUP(tbl_MTG_Set[[#This Row],[Collector Booster Box Product Id]], tbl_Product[Product Id], tbl_Product[Min Cost])</f>
        <v/>
      </c>
      <c r="AV652" s="10">
        <f>_xlfn.XLOOKUP(tbl_MTG_Set[[#This Row],[Collector Booster Box Product Id]], tbl_Product[Product Id], tbl_Product[Best Source])</f>
        <v/>
      </c>
      <c r="AW652" s="4">
        <f>_xlfn.XLOOKUP(tbl_MTG_Set[[#This Row],[Collector Booster Box Product Id]], tbl_Product[Product Id], tbl_Product[Pack Size])</f>
        <v/>
      </c>
      <c r="AX652" s="10">
        <f>(tbl_MTG_Set[[#This Row],[Collector Booster Box Cost]] + v_Item_Shipping_Cost_In) / tbl_MTG_Set[[#This Row],[Collector Booster Box Size]]</f>
        <v/>
      </c>
      <c r="AY652" s="10">
        <f t="array" ref="AY6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2" s="10" t="n"/>
      <c r="BA6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2" s="17">
        <f>tbl_MTG_Set[[#This Row],[Collector Booster CardMarket Profit]]/tbl_MTG_Set[[#This Row],[Collector Booster Cost]]</f>
        <v/>
      </c>
      <c r="BC652" s="10" t="n"/>
      <c r="BF652" s="10">
        <f>tbl_MTG_Set[[#This Row],[Play Booster Sell Price CardMarket]]*tbl_MTG_Set[[#This Row],[Play Booster Expected Market Value]]/tbl_MTG_Set[[#This Row],[Play Boost Sealed Market Value]]</f>
        <v/>
      </c>
      <c r="BG6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2" s="10">
        <f>tbl_MTG_Set[[#This Row],[Play Singles CardMarket Profit]]/tbl_MTG_Set[[#This Row],[Play Booster Cost]]</f>
        <v/>
      </c>
      <c r="BI652" s="10">
        <f>tbl_MTG_Set[[#This Row],[Play Singles CardMarket Profit]]&gt;0</f>
        <v/>
      </c>
      <c r="BJ652" s="10" t="n"/>
      <c r="BK652" s="10" t="n"/>
      <c r="BL652" s="10">
        <f>tbl_MTG_Set[[#This Row],[Collector Booster Sell Price CardMarket]]*tbl_MTG_Set[[#This Row],[Collector Booster Expected Market Value]]/tbl_MTG_Set[[#This Row],[Collector Boost Sealed Market Value]]</f>
        <v/>
      </c>
      <c r="BM6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2" s="10">
        <f>tbl_MTG_Set[[#This Row],[Collector Singles CardMarket Profit]]/tbl_MTG_Set[[#This Row],[Collector Booster Cost]]</f>
        <v/>
      </c>
      <c r="BO652" s="10">
        <f>tbl_MTG_Set[[#This Row],[Collector Singles CardMarket Profit]]&gt;0</f>
        <v/>
      </c>
      <c r="BP6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3">
      <c r="A653" t="n">
        <v>651</v>
      </c>
      <c r="B653" t="inlineStr">
        <is>
          <t>Born of the Gods Promos PBNG</t>
        </is>
      </c>
      <c r="C653" t="n">
        <v>9</v>
      </c>
      <c r="D653" s="3" t="n">
        <v>41671</v>
      </c>
      <c r="F653" t="inlineStr">
        <is>
          <t>en es fr de it pt ja ko ru 汉语 漢語</t>
        </is>
      </c>
      <c r="G653" t="n">
        <v>1248</v>
      </c>
      <c r="H653">
        <f>MONTH(NOW())+12*YEAR(NOW())-MONTH(tbl_MTG_Set[[#This Row],[Released On]])-12*YEAR(tbl_MTG_Set[[#This Row],[Released On]])</f>
        <v/>
      </c>
      <c r="I653">
        <f>_xlfn.XLOOKUP(tbl_MTG_Set[[#This Row],[Type Name]], tbl_MTG_Set_Type[Set Type], tbl_MTG_Set_Type[Index], "(Set Type not found)")</f>
        <v/>
      </c>
      <c r="J653">
        <f>_xlfn.XLOOKUP(tbl_MTG_Set[[#This Row],[Type Name]], tbl_MTG_Set_Type[Set Type], tbl_MTG_Set_Type[Buy Window Month Start], "(Set Type not found)")</f>
        <v/>
      </c>
      <c r="K653" s="3">
        <f>tbl_MTG_Set[[#This Row],[Released On]]+tbl_MTG_Set[[#This Row],[Buy Window Month Start]]*365.25/12</f>
        <v/>
      </c>
      <c r="L653">
        <f>_xlfn.XLOOKUP(tbl_MTG_Set[[#This Row],[Type Name]], tbl_MTG_Set_Type[Set Type], tbl_MTG_Set_Type[Buy Window Month End], "(Set Type not found)", 0, 1)</f>
        <v/>
      </c>
      <c r="M653" s="3">
        <f>tbl_MTG_Set[[#This Row],[Released On]]+tbl_MTG_Set[[#This Row],[Buy Window Month End]]*365.25/12</f>
        <v/>
      </c>
      <c r="N653" s="3">
        <f>AND(NOW()&gt;=tbl_MTG_Set[[#This Row],[Buy Window Start]], NOW()&lt;=tbl_MTG_Set[[#This Row],[Buy Window End]])</f>
        <v/>
      </c>
      <c r="O653">
        <f>_xlfn.XLOOKUP(tbl_MTG_Set[[#This Row],[Type Name]], tbl_MTG_Set_Type[Set Type], tbl_MTG_Set_Type[Heavy Printing Window Month Start], "(Set Type not found)", 0, 1)</f>
        <v/>
      </c>
      <c r="P653" s="3">
        <f>tbl_MTG_Set[[#This Row],[Released On]]+tbl_MTG_Set[[#This Row],[Heavy Printing Window Month Start]]*365.25/12</f>
        <v/>
      </c>
      <c r="Q653">
        <f>_xlfn.XLOOKUP(tbl_MTG_Set[[#This Row],[Type Name]], tbl_MTG_Set_Type[Set Type], tbl_MTG_Set_Type[Heavy Printing Window Month End], "(Set Type not found)", 0, 1)</f>
        <v/>
      </c>
      <c r="R653" s="3">
        <f>tbl_MTG_Set[[#This Row],[Released On]]+tbl_MTG_Set[[#This Row],[Heavy Printing Window Month End]]*365.25/12</f>
        <v/>
      </c>
      <c r="S653" s="3">
        <f>AND(NOW()&gt;=tbl_MTG_Set[[#This Row],[Heavy Printing Window Start]], NOW()&lt;=tbl_MTG_Set[[#This Row],[Heavy Printing Window End]])</f>
        <v/>
      </c>
      <c r="T653">
        <f>_xlfn.XLOOKUP(tbl_MTG_Set[[#This Row],[Type Name]], tbl_MTG_Set_Type[Set Type], tbl_MTG_Set_Type[Sell Window Month Start], "(Set Type not found)", 0, 1)</f>
        <v/>
      </c>
      <c r="U653" s="3">
        <f>tbl_MTG_Set[[#This Row],[Released On]]+tbl_MTG_Set[[#This Row],[Sell Window Month Start]]*365.25/12</f>
        <v/>
      </c>
      <c r="V653">
        <f>_xlfn.XLOOKUP(tbl_MTG_Set[[#This Row],[Type Name]], tbl_MTG_Set_Type[Set Type], tbl_MTG_Set_Type[Sell Window Month End], "(Set Type not found)", 0, 1)</f>
        <v/>
      </c>
      <c r="W653" s="3">
        <f>tbl_MTG_Set[[#This Row],[Released On]]+tbl_MTG_Set[[#This Row],[Sell Window Month End]]*365.25/12</f>
        <v/>
      </c>
      <c r="X653" s="3">
        <f>AND(NOW()&gt;=tbl_MTG_Set[[#This Row],[Sell Window Start]], NOW()&lt;=tbl_MTG_Set[[#This Row],[Sell Window End]])</f>
        <v/>
      </c>
      <c r="AG653" s="10" t="n"/>
      <c r="AH653" s="10" t="n"/>
      <c r="AM653" s="10">
        <f t="array" ref="AM6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3" s="10">
        <f t="array" ref="AN6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3" s="4">
        <f>_xlfn.XLOOKUP(tbl_MTG_Set[[#This Row],[Play Booster Box Product Id]], tbl_Product[Product Id], tbl_Product[Pack Size])</f>
        <v/>
      </c>
      <c r="AP653" s="10">
        <f>(tbl_MTG_Set[[#This Row],[Play Booster Box Cost]]+v_Item_Shipping_Cost_In)/tbl_MTG_Set[[#This Row],[Play Booster Box Size]]</f>
        <v/>
      </c>
      <c r="AQ653" s="10">
        <f t="array" ref="AQ6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3" s="10" t="n"/>
      <c r="AS653" s="10" t="n"/>
      <c r="AT653" s="17">
        <f>tbl_MTG_Set[[#This Row],[Play Booster CardMarket Profit]]/tbl_MTG_Set[[#This Row],[Play Booster Cost]]</f>
        <v/>
      </c>
      <c r="AU653" s="10">
        <f>_xlfn.XLOOKUP(tbl_MTG_Set[[#This Row],[Collector Booster Box Product Id]], tbl_Product[Product Id], tbl_Product[Min Cost])</f>
        <v/>
      </c>
      <c r="AV653" s="10">
        <f>_xlfn.XLOOKUP(tbl_MTG_Set[[#This Row],[Collector Booster Box Product Id]], tbl_Product[Product Id], tbl_Product[Best Source])</f>
        <v/>
      </c>
      <c r="AW653" s="4">
        <f>_xlfn.XLOOKUP(tbl_MTG_Set[[#This Row],[Collector Booster Box Product Id]], tbl_Product[Product Id], tbl_Product[Pack Size])</f>
        <v/>
      </c>
      <c r="AX653" s="10">
        <f>(tbl_MTG_Set[[#This Row],[Collector Booster Box Cost]] + v_Item_Shipping_Cost_In) / tbl_MTG_Set[[#This Row],[Collector Booster Box Size]]</f>
        <v/>
      </c>
      <c r="AY653" s="10">
        <f t="array" ref="AY6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3" s="10" t="n"/>
      <c r="BA6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3" s="17">
        <f>tbl_MTG_Set[[#This Row],[Collector Booster CardMarket Profit]]/tbl_MTG_Set[[#This Row],[Collector Booster Cost]]</f>
        <v/>
      </c>
      <c r="BC653" s="10" t="n"/>
      <c r="BF653" s="10">
        <f>tbl_MTG_Set[[#This Row],[Play Booster Sell Price CardMarket]]*tbl_MTG_Set[[#This Row],[Play Booster Expected Market Value]]/tbl_MTG_Set[[#This Row],[Play Boost Sealed Market Value]]</f>
        <v/>
      </c>
      <c r="BG6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3" s="10">
        <f>tbl_MTG_Set[[#This Row],[Play Singles CardMarket Profit]]/tbl_MTG_Set[[#This Row],[Play Booster Cost]]</f>
        <v/>
      </c>
      <c r="BI653" s="10">
        <f>tbl_MTG_Set[[#This Row],[Play Singles CardMarket Profit]]&gt;0</f>
        <v/>
      </c>
      <c r="BJ653" s="10" t="n"/>
      <c r="BK653" s="10" t="n"/>
      <c r="BL653" s="10">
        <f>tbl_MTG_Set[[#This Row],[Collector Booster Sell Price CardMarket]]*tbl_MTG_Set[[#This Row],[Collector Booster Expected Market Value]]/tbl_MTG_Set[[#This Row],[Collector Boost Sealed Market Value]]</f>
        <v/>
      </c>
      <c r="BM6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3" s="10">
        <f>tbl_MTG_Set[[#This Row],[Collector Singles CardMarket Profit]]/tbl_MTG_Set[[#This Row],[Collector Booster Cost]]</f>
        <v/>
      </c>
      <c r="BO653" s="10">
        <f>tbl_MTG_Set[[#This Row],[Collector Singles CardMarket Profit]]&gt;0</f>
        <v/>
      </c>
      <c r="BP6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4">
      <c r="A654" t="n">
        <v>652</v>
      </c>
      <c r="B654" t="inlineStr">
        <is>
          <t>Born of the Gods Tokens TBNG</t>
        </is>
      </c>
      <c r="C654" t="n">
        <v>11</v>
      </c>
      <c r="D654" s="3" t="n">
        <v>41677</v>
      </c>
      <c r="F654" t="inlineStr">
        <is>
          <t>en es fr de it pt ja ko ru 汉语 漢語</t>
        </is>
      </c>
      <c r="G654" t="n">
        <v>1250</v>
      </c>
      <c r="H654">
        <f>MONTH(NOW())+12*YEAR(NOW())-MONTH(tbl_MTG_Set[[#This Row],[Released On]])-12*YEAR(tbl_MTG_Set[[#This Row],[Released On]])</f>
        <v/>
      </c>
      <c r="I654">
        <f>_xlfn.XLOOKUP(tbl_MTG_Set[[#This Row],[Type Name]], tbl_MTG_Set_Type[Set Type], tbl_MTG_Set_Type[Index], "(Set Type not found)")</f>
        <v/>
      </c>
      <c r="J654">
        <f>_xlfn.XLOOKUP(tbl_MTG_Set[[#This Row],[Type Name]], tbl_MTG_Set_Type[Set Type], tbl_MTG_Set_Type[Buy Window Month Start], "(Set Type not found)")</f>
        <v/>
      </c>
      <c r="K654" s="3">
        <f>tbl_MTG_Set[[#This Row],[Released On]]+tbl_MTG_Set[[#This Row],[Buy Window Month Start]]*365.25/12</f>
        <v/>
      </c>
      <c r="L654">
        <f>_xlfn.XLOOKUP(tbl_MTG_Set[[#This Row],[Type Name]], tbl_MTG_Set_Type[Set Type], tbl_MTG_Set_Type[Buy Window Month End], "(Set Type not found)", 0, 1)</f>
        <v/>
      </c>
      <c r="M654" s="3">
        <f>tbl_MTG_Set[[#This Row],[Released On]]+tbl_MTG_Set[[#This Row],[Buy Window Month End]]*365.25/12</f>
        <v/>
      </c>
      <c r="N654" s="3">
        <f>AND(NOW()&gt;=tbl_MTG_Set[[#This Row],[Buy Window Start]], NOW()&lt;=tbl_MTG_Set[[#This Row],[Buy Window End]])</f>
        <v/>
      </c>
      <c r="O654">
        <f>_xlfn.XLOOKUP(tbl_MTG_Set[[#This Row],[Type Name]], tbl_MTG_Set_Type[Set Type], tbl_MTG_Set_Type[Heavy Printing Window Month Start], "(Set Type not found)", 0, 1)</f>
        <v/>
      </c>
      <c r="P654" s="3">
        <f>tbl_MTG_Set[[#This Row],[Released On]]+tbl_MTG_Set[[#This Row],[Heavy Printing Window Month Start]]*365.25/12</f>
        <v/>
      </c>
      <c r="Q654">
        <f>_xlfn.XLOOKUP(tbl_MTG_Set[[#This Row],[Type Name]], tbl_MTG_Set_Type[Set Type], tbl_MTG_Set_Type[Heavy Printing Window Month End], "(Set Type not found)", 0, 1)</f>
        <v/>
      </c>
      <c r="R654" s="3">
        <f>tbl_MTG_Set[[#This Row],[Released On]]+tbl_MTG_Set[[#This Row],[Heavy Printing Window Month End]]*365.25/12</f>
        <v/>
      </c>
      <c r="S654" s="3">
        <f>AND(NOW()&gt;=tbl_MTG_Set[[#This Row],[Heavy Printing Window Start]], NOW()&lt;=tbl_MTG_Set[[#This Row],[Heavy Printing Window End]])</f>
        <v/>
      </c>
      <c r="T654">
        <f>_xlfn.XLOOKUP(tbl_MTG_Set[[#This Row],[Type Name]], tbl_MTG_Set_Type[Set Type], tbl_MTG_Set_Type[Sell Window Month Start], "(Set Type not found)", 0, 1)</f>
        <v/>
      </c>
      <c r="U654" s="3">
        <f>tbl_MTG_Set[[#This Row],[Released On]]+tbl_MTG_Set[[#This Row],[Sell Window Month Start]]*365.25/12</f>
        <v/>
      </c>
      <c r="V654">
        <f>_xlfn.XLOOKUP(tbl_MTG_Set[[#This Row],[Type Name]], tbl_MTG_Set_Type[Set Type], tbl_MTG_Set_Type[Sell Window Month End], "(Set Type not found)", 0, 1)</f>
        <v/>
      </c>
      <c r="W654" s="3">
        <f>tbl_MTG_Set[[#This Row],[Released On]]+tbl_MTG_Set[[#This Row],[Sell Window Month End]]*365.25/12</f>
        <v/>
      </c>
      <c r="X654" s="3">
        <f>AND(NOW()&gt;=tbl_MTG_Set[[#This Row],[Sell Window Start]], NOW()&lt;=tbl_MTG_Set[[#This Row],[Sell Window End]])</f>
        <v/>
      </c>
      <c r="AG654" s="10" t="n"/>
      <c r="AH654" s="10" t="n"/>
      <c r="AM654" s="10">
        <f t="array" ref="AM6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4" s="10">
        <f t="array" ref="AN6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4" s="4">
        <f>_xlfn.XLOOKUP(tbl_MTG_Set[[#This Row],[Play Booster Box Product Id]], tbl_Product[Product Id], tbl_Product[Pack Size])</f>
        <v/>
      </c>
      <c r="AP654" s="10">
        <f>(tbl_MTG_Set[[#This Row],[Play Booster Box Cost]]+v_Item_Shipping_Cost_In)/tbl_MTG_Set[[#This Row],[Play Booster Box Size]]</f>
        <v/>
      </c>
      <c r="AQ654" s="10">
        <f t="array" ref="AQ6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4" s="10" t="n"/>
      <c r="AS654" s="10" t="n"/>
      <c r="AT654" s="17">
        <f>tbl_MTG_Set[[#This Row],[Play Booster CardMarket Profit]]/tbl_MTG_Set[[#This Row],[Play Booster Cost]]</f>
        <v/>
      </c>
      <c r="AU654" s="10">
        <f>_xlfn.XLOOKUP(tbl_MTG_Set[[#This Row],[Collector Booster Box Product Id]], tbl_Product[Product Id], tbl_Product[Min Cost])</f>
        <v/>
      </c>
      <c r="AV654" s="10">
        <f>_xlfn.XLOOKUP(tbl_MTG_Set[[#This Row],[Collector Booster Box Product Id]], tbl_Product[Product Id], tbl_Product[Best Source])</f>
        <v/>
      </c>
      <c r="AW654" s="4">
        <f>_xlfn.XLOOKUP(tbl_MTG_Set[[#This Row],[Collector Booster Box Product Id]], tbl_Product[Product Id], tbl_Product[Pack Size])</f>
        <v/>
      </c>
      <c r="AX654" s="10">
        <f>(tbl_MTG_Set[[#This Row],[Collector Booster Box Cost]] + v_Item_Shipping_Cost_In) / tbl_MTG_Set[[#This Row],[Collector Booster Box Size]]</f>
        <v/>
      </c>
      <c r="AY654" s="10">
        <f t="array" ref="AY6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4" s="10" t="n"/>
      <c r="BA6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4" s="17">
        <f>tbl_MTG_Set[[#This Row],[Collector Booster CardMarket Profit]]/tbl_MTG_Set[[#This Row],[Collector Booster Cost]]</f>
        <v/>
      </c>
      <c r="BC654" s="10" t="n"/>
      <c r="BF654" s="10">
        <f>tbl_MTG_Set[[#This Row],[Play Booster Sell Price CardMarket]]*tbl_MTG_Set[[#This Row],[Play Booster Expected Market Value]]/tbl_MTG_Set[[#This Row],[Play Boost Sealed Market Value]]</f>
        <v/>
      </c>
      <c r="BG6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4" s="10">
        <f>tbl_MTG_Set[[#This Row],[Play Singles CardMarket Profit]]/tbl_MTG_Set[[#This Row],[Play Booster Cost]]</f>
        <v/>
      </c>
      <c r="BI654" s="10">
        <f>tbl_MTG_Set[[#This Row],[Play Singles CardMarket Profit]]&gt;0</f>
        <v/>
      </c>
      <c r="BJ654" s="10" t="n"/>
      <c r="BK654" s="10" t="n"/>
      <c r="BL654" s="10">
        <f>tbl_MTG_Set[[#This Row],[Collector Booster Sell Price CardMarket]]*tbl_MTG_Set[[#This Row],[Collector Booster Expected Market Value]]/tbl_MTG_Set[[#This Row],[Collector Boost Sealed Market Value]]</f>
        <v/>
      </c>
      <c r="BM6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4" s="10">
        <f>tbl_MTG_Set[[#This Row],[Collector Singles CardMarket Profit]]/tbl_MTG_Set[[#This Row],[Collector Booster Cost]]</f>
        <v/>
      </c>
      <c r="BO654" s="10">
        <f>tbl_MTG_Set[[#This Row],[Collector Singles CardMarket Profit]]&gt;0</f>
        <v/>
      </c>
      <c r="BP6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5">
      <c r="A655" t="n">
        <v>653</v>
      </c>
      <c r="B655" t="inlineStr">
        <is>
          <t>Battle the Horde TBTH</t>
        </is>
      </c>
      <c r="C655" t="n">
        <v>15</v>
      </c>
      <c r="D655" s="3" t="n">
        <v>41699</v>
      </c>
      <c r="F655" t="inlineStr">
        <is>
          <t>en es fr de it pt ja ko ru 汉语 漢語</t>
        </is>
      </c>
      <c r="G655" t="n">
        <v>1252</v>
      </c>
      <c r="H655">
        <f>MONTH(NOW())+12*YEAR(NOW())-MONTH(tbl_MTG_Set[[#This Row],[Released On]])-12*YEAR(tbl_MTG_Set[[#This Row],[Released On]])</f>
        <v/>
      </c>
      <c r="I655">
        <f>_xlfn.XLOOKUP(tbl_MTG_Set[[#This Row],[Type Name]], tbl_MTG_Set_Type[Set Type], tbl_MTG_Set_Type[Index], "(Set Type not found)")</f>
        <v/>
      </c>
      <c r="J655">
        <f>_xlfn.XLOOKUP(tbl_MTG_Set[[#This Row],[Type Name]], tbl_MTG_Set_Type[Set Type], tbl_MTG_Set_Type[Buy Window Month Start], "(Set Type not found)")</f>
        <v/>
      </c>
      <c r="K655" s="3">
        <f>tbl_MTG_Set[[#This Row],[Released On]]+tbl_MTG_Set[[#This Row],[Buy Window Month Start]]*365.25/12</f>
        <v/>
      </c>
      <c r="L655">
        <f>_xlfn.XLOOKUP(tbl_MTG_Set[[#This Row],[Type Name]], tbl_MTG_Set_Type[Set Type], tbl_MTG_Set_Type[Buy Window Month End], "(Set Type not found)", 0, 1)</f>
        <v/>
      </c>
      <c r="M655" s="3">
        <f>tbl_MTG_Set[[#This Row],[Released On]]+tbl_MTG_Set[[#This Row],[Buy Window Month End]]*365.25/12</f>
        <v/>
      </c>
      <c r="N655" s="3">
        <f>AND(NOW()&gt;=tbl_MTG_Set[[#This Row],[Buy Window Start]], NOW()&lt;=tbl_MTG_Set[[#This Row],[Buy Window End]])</f>
        <v/>
      </c>
      <c r="O655">
        <f>_xlfn.XLOOKUP(tbl_MTG_Set[[#This Row],[Type Name]], tbl_MTG_Set_Type[Set Type], tbl_MTG_Set_Type[Heavy Printing Window Month Start], "(Set Type not found)", 0, 1)</f>
        <v/>
      </c>
      <c r="P655" s="3">
        <f>tbl_MTG_Set[[#This Row],[Released On]]+tbl_MTG_Set[[#This Row],[Heavy Printing Window Month Start]]*365.25/12</f>
        <v/>
      </c>
      <c r="Q655">
        <f>_xlfn.XLOOKUP(tbl_MTG_Set[[#This Row],[Type Name]], tbl_MTG_Set_Type[Set Type], tbl_MTG_Set_Type[Heavy Printing Window Month End], "(Set Type not found)", 0, 1)</f>
        <v/>
      </c>
      <c r="R655" s="3">
        <f>tbl_MTG_Set[[#This Row],[Released On]]+tbl_MTG_Set[[#This Row],[Heavy Printing Window Month End]]*365.25/12</f>
        <v/>
      </c>
      <c r="S655" s="3">
        <f>AND(NOW()&gt;=tbl_MTG_Set[[#This Row],[Heavy Printing Window Start]], NOW()&lt;=tbl_MTG_Set[[#This Row],[Heavy Printing Window End]])</f>
        <v/>
      </c>
      <c r="T655">
        <f>_xlfn.XLOOKUP(tbl_MTG_Set[[#This Row],[Type Name]], tbl_MTG_Set_Type[Set Type], tbl_MTG_Set_Type[Sell Window Month Start], "(Set Type not found)", 0, 1)</f>
        <v/>
      </c>
      <c r="U655" s="3">
        <f>tbl_MTG_Set[[#This Row],[Released On]]+tbl_MTG_Set[[#This Row],[Sell Window Month Start]]*365.25/12</f>
        <v/>
      </c>
      <c r="V655">
        <f>_xlfn.XLOOKUP(tbl_MTG_Set[[#This Row],[Type Name]], tbl_MTG_Set_Type[Set Type], tbl_MTG_Set_Type[Sell Window Month End], "(Set Type not found)", 0, 1)</f>
        <v/>
      </c>
      <c r="W655" s="3">
        <f>tbl_MTG_Set[[#This Row],[Released On]]+tbl_MTG_Set[[#This Row],[Sell Window Month End]]*365.25/12</f>
        <v/>
      </c>
      <c r="X655" s="3">
        <f>AND(NOW()&gt;=tbl_MTG_Set[[#This Row],[Sell Window Start]], NOW()&lt;=tbl_MTG_Set[[#This Row],[Sell Window End]])</f>
        <v/>
      </c>
      <c r="AG655" s="10" t="n"/>
      <c r="AH655" s="10" t="n"/>
      <c r="AM655" s="10">
        <f t="array" ref="AM6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5" s="10">
        <f t="array" ref="AN6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5" s="4">
        <f>_xlfn.XLOOKUP(tbl_MTG_Set[[#This Row],[Play Booster Box Product Id]], tbl_Product[Product Id], tbl_Product[Pack Size])</f>
        <v/>
      </c>
      <c r="AP655" s="10">
        <f>(tbl_MTG_Set[[#This Row],[Play Booster Box Cost]]+v_Item_Shipping_Cost_In)/tbl_MTG_Set[[#This Row],[Play Booster Box Size]]</f>
        <v/>
      </c>
      <c r="AQ655" s="10">
        <f t="array" ref="AQ6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5" s="10" t="n"/>
      <c r="AS655" s="10" t="n"/>
      <c r="AT655" s="17">
        <f>tbl_MTG_Set[[#This Row],[Play Booster CardMarket Profit]]/tbl_MTG_Set[[#This Row],[Play Booster Cost]]</f>
        <v/>
      </c>
      <c r="AU655" s="10">
        <f>_xlfn.XLOOKUP(tbl_MTG_Set[[#This Row],[Collector Booster Box Product Id]], tbl_Product[Product Id], tbl_Product[Min Cost])</f>
        <v/>
      </c>
      <c r="AV655" s="10">
        <f>_xlfn.XLOOKUP(tbl_MTG_Set[[#This Row],[Collector Booster Box Product Id]], tbl_Product[Product Id], tbl_Product[Best Source])</f>
        <v/>
      </c>
      <c r="AW655" s="4">
        <f>_xlfn.XLOOKUP(tbl_MTG_Set[[#This Row],[Collector Booster Box Product Id]], tbl_Product[Product Id], tbl_Product[Pack Size])</f>
        <v/>
      </c>
      <c r="AX655" s="10">
        <f>(tbl_MTG_Set[[#This Row],[Collector Booster Box Cost]] + v_Item_Shipping_Cost_In) / tbl_MTG_Set[[#This Row],[Collector Booster Box Size]]</f>
        <v/>
      </c>
      <c r="AY655" s="10">
        <f t="array" ref="AY6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5" s="10" t="n"/>
      <c r="BA6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5" s="17">
        <f>tbl_MTG_Set[[#This Row],[Collector Booster CardMarket Profit]]/tbl_MTG_Set[[#This Row],[Collector Booster Cost]]</f>
        <v/>
      </c>
      <c r="BC655" s="10" t="n"/>
      <c r="BF655" s="10">
        <f>tbl_MTG_Set[[#This Row],[Play Booster Sell Price CardMarket]]*tbl_MTG_Set[[#This Row],[Play Booster Expected Market Value]]/tbl_MTG_Set[[#This Row],[Play Boost Sealed Market Value]]</f>
        <v/>
      </c>
      <c r="BG6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5" s="10">
        <f>tbl_MTG_Set[[#This Row],[Play Singles CardMarket Profit]]/tbl_MTG_Set[[#This Row],[Play Booster Cost]]</f>
        <v/>
      </c>
      <c r="BI655" s="10">
        <f>tbl_MTG_Set[[#This Row],[Play Singles CardMarket Profit]]&gt;0</f>
        <v/>
      </c>
      <c r="BJ655" s="10" t="n"/>
      <c r="BK655" s="10" t="n"/>
      <c r="BL655" s="10">
        <f>tbl_MTG_Set[[#This Row],[Collector Booster Sell Price CardMarket]]*tbl_MTG_Set[[#This Row],[Collector Booster Expected Market Value]]/tbl_MTG_Set[[#This Row],[Collector Boost Sealed Market Value]]</f>
        <v/>
      </c>
      <c r="BM6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5" s="10">
        <f>tbl_MTG_Set[[#This Row],[Collector Singles CardMarket Profit]]/tbl_MTG_Set[[#This Row],[Collector Booster Cost]]</f>
        <v/>
      </c>
      <c r="BO655" s="10">
        <f>tbl_MTG_Set[[#This Row],[Collector Singles CardMarket Profit]]&gt;0</f>
        <v/>
      </c>
      <c r="BP6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6">
      <c r="A656" t="n">
        <v>654</v>
      </c>
      <c r="B656" t="inlineStr">
        <is>
          <t>Born of the Gods Hero's Path THP2</t>
        </is>
      </c>
      <c r="C656" t="n">
        <v>7</v>
      </c>
      <c r="D656" s="3" t="n">
        <v>41677</v>
      </c>
      <c r="F656" t="inlineStr">
        <is>
          <t>en es fr de it pt ja ko ru 汉语 漢語</t>
        </is>
      </c>
      <c r="G656" t="n">
        <v>1254</v>
      </c>
      <c r="H656">
        <f>MONTH(NOW())+12*YEAR(NOW())-MONTH(tbl_MTG_Set[[#This Row],[Released On]])-12*YEAR(tbl_MTG_Set[[#This Row],[Released On]])</f>
        <v/>
      </c>
      <c r="I656">
        <f>_xlfn.XLOOKUP(tbl_MTG_Set[[#This Row],[Type Name]], tbl_MTG_Set_Type[Set Type], tbl_MTG_Set_Type[Index], "(Set Type not found)")</f>
        <v/>
      </c>
      <c r="J656">
        <f>_xlfn.XLOOKUP(tbl_MTG_Set[[#This Row],[Type Name]], tbl_MTG_Set_Type[Set Type], tbl_MTG_Set_Type[Buy Window Month Start], "(Set Type not found)")</f>
        <v/>
      </c>
      <c r="K656" s="3">
        <f>tbl_MTG_Set[[#This Row],[Released On]]+tbl_MTG_Set[[#This Row],[Buy Window Month Start]]*365.25/12</f>
        <v/>
      </c>
      <c r="L656">
        <f>_xlfn.XLOOKUP(tbl_MTG_Set[[#This Row],[Type Name]], tbl_MTG_Set_Type[Set Type], tbl_MTG_Set_Type[Buy Window Month End], "(Set Type not found)", 0, 1)</f>
        <v/>
      </c>
      <c r="M656" s="3">
        <f>tbl_MTG_Set[[#This Row],[Released On]]+tbl_MTG_Set[[#This Row],[Buy Window Month End]]*365.25/12</f>
        <v/>
      </c>
      <c r="N656" s="3">
        <f>AND(NOW()&gt;=tbl_MTG_Set[[#This Row],[Buy Window Start]], NOW()&lt;=tbl_MTG_Set[[#This Row],[Buy Window End]])</f>
        <v/>
      </c>
      <c r="O656">
        <f>_xlfn.XLOOKUP(tbl_MTG_Set[[#This Row],[Type Name]], tbl_MTG_Set_Type[Set Type], tbl_MTG_Set_Type[Heavy Printing Window Month Start], "(Set Type not found)", 0, 1)</f>
        <v/>
      </c>
      <c r="P656" s="3">
        <f>tbl_MTG_Set[[#This Row],[Released On]]+tbl_MTG_Set[[#This Row],[Heavy Printing Window Month Start]]*365.25/12</f>
        <v/>
      </c>
      <c r="Q656">
        <f>_xlfn.XLOOKUP(tbl_MTG_Set[[#This Row],[Type Name]], tbl_MTG_Set_Type[Set Type], tbl_MTG_Set_Type[Heavy Printing Window Month End], "(Set Type not found)", 0, 1)</f>
        <v/>
      </c>
      <c r="R656" s="3">
        <f>tbl_MTG_Set[[#This Row],[Released On]]+tbl_MTG_Set[[#This Row],[Heavy Printing Window Month End]]*365.25/12</f>
        <v/>
      </c>
      <c r="S656" s="3">
        <f>AND(NOW()&gt;=tbl_MTG_Set[[#This Row],[Heavy Printing Window Start]], NOW()&lt;=tbl_MTG_Set[[#This Row],[Heavy Printing Window End]])</f>
        <v/>
      </c>
      <c r="T656">
        <f>_xlfn.XLOOKUP(tbl_MTG_Set[[#This Row],[Type Name]], tbl_MTG_Set_Type[Set Type], tbl_MTG_Set_Type[Sell Window Month Start], "(Set Type not found)", 0, 1)</f>
        <v/>
      </c>
      <c r="U656" s="3">
        <f>tbl_MTG_Set[[#This Row],[Released On]]+tbl_MTG_Set[[#This Row],[Sell Window Month Start]]*365.25/12</f>
        <v/>
      </c>
      <c r="V656">
        <f>_xlfn.XLOOKUP(tbl_MTG_Set[[#This Row],[Type Name]], tbl_MTG_Set_Type[Set Type], tbl_MTG_Set_Type[Sell Window Month End], "(Set Type not found)", 0, 1)</f>
        <v/>
      </c>
      <c r="W656" s="3">
        <f>tbl_MTG_Set[[#This Row],[Released On]]+tbl_MTG_Set[[#This Row],[Sell Window Month End]]*365.25/12</f>
        <v/>
      </c>
      <c r="X656" s="3">
        <f>AND(NOW()&gt;=tbl_MTG_Set[[#This Row],[Sell Window Start]], NOW()&lt;=tbl_MTG_Set[[#This Row],[Sell Window End]])</f>
        <v/>
      </c>
      <c r="AG656" s="10" t="n"/>
      <c r="AH656" s="10" t="n"/>
      <c r="AM656" s="10">
        <f t="array" ref="AM6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6" s="10">
        <f t="array" ref="AN6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6" s="4">
        <f>_xlfn.XLOOKUP(tbl_MTG_Set[[#This Row],[Play Booster Box Product Id]], tbl_Product[Product Id], tbl_Product[Pack Size])</f>
        <v/>
      </c>
      <c r="AP656" s="10">
        <f>(tbl_MTG_Set[[#This Row],[Play Booster Box Cost]]+v_Item_Shipping_Cost_In)/tbl_MTG_Set[[#This Row],[Play Booster Box Size]]</f>
        <v/>
      </c>
      <c r="AQ656" s="10">
        <f t="array" ref="AQ6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6" s="10" t="n"/>
      <c r="AS656" s="10" t="n"/>
      <c r="AT656" s="17">
        <f>tbl_MTG_Set[[#This Row],[Play Booster CardMarket Profit]]/tbl_MTG_Set[[#This Row],[Play Booster Cost]]</f>
        <v/>
      </c>
      <c r="AU656" s="10">
        <f>_xlfn.XLOOKUP(tbl_MTG_Set[[#This Row],[Collector Booster Box Product Id]], tbl_Product[Product Id], tbl_Product[Min Cost])</f>
        <v/>
      </c>
      <c r="AV656" s="10">
        <f>_xlfn.XLOOKUP(tbl_MTG_Set[[#This Row],[Collector Booster Box Product Id]], tbl_Product[Product Id], tbl_Product[Best Source])</f>
        <v/>
      </c>
      <c r="AW656" s="4">
        <f>_xlfn.XLOOKUP(tbl_MTG_Set[[#This Row],[Collector Booster Box Product Id]], tbl_Product[Product Id], tbl_Product[Pack Size])</f>
        <v/>
      </c>
      <c r="AX656" s="10">
        <f>(tbl_MTG_Set[[#This Row],[Collector Booster Box Cost]] + v_Item_Shipping_Cost_In) / tbl_MTG_Set[[#This Row],[Collector Booster Box Size]]</f>
        <v/>
      </c>
      <c r="AY656" s="10">
        <f t="array" ref="AY6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6" s="10" t="n"/>
      <c r="BA6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6" s="17">
        <f>tbl_MTG_Set[[#This Row],[Collector Booster CardMarket Profit]]/tbl_MTG_Set[[#This Row],[Collector Booster Cost]]</f>
        <v/>
      </c>
      <c r="BC656" s="10" t="n"/>
      <c r="BF656" s="10">
        <f>tbl_MTG_Set[[#This Row],[Play Booster Sell Price CardMarket]]*tbl_MTG_Set[[#This Row],[Play Booster Expected Market Value]]/tbl_MTG_Set[[#This Row],[Play Boost Sealed Market Value]]</f>
        <v/>
      </c>
      <c r="BG6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6" s="10">
        <f>tbl_MTG_Set[[#This Row],[Play Singles CardMarket Profit]]/tbl_MTG_Set[[#This Row],[Play Booster Cost]]</f>
        <v/>
      </c>
      <c r="BI656" s="10">
        <f>tbl_MTG_Set[[#This Row],[Play Singles CardMarket Profit]]&gt;0</f>
        <v/>
      </c>
      <c r="BJ656" s="10" t="n"/>
      <c r="BK656" s="10" t="n"/>
      <c r="BL656" s="10">
        <f>tbl_MTG_Set[[#This Row],[Collector Booster Sell Price CardMarket]]*tbl_MTG_Set[[#This Row],[Collector Booster Expected Market Value]]/tbl_MTG_Set[[#This Row],[Collector Boost Sealed Market Value]]</f>
        <v/>
      </c>
      <c r="BM6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6" s="10">
        <f>tbl_MTG_Set[[#This Row],[Collector Singles CardMarket Profit]]/tbl_MTG_Set[[#This Row],[Collector Booster Cost]]</f>
        <v/>
      </c>
      <c r="BO656" s="10">
        <f>tbl_MTG_Set[[#This Row],[Collector Singles CardMarket Profit]]&gt;0</f>
        <v/>
      </c>
      <c r="BP6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7">
      <c r="A657" t="n">
        <v>655</v>
      </c>
      <c r="B657" t="inlineStr">
        <is>
          <t>League Tokens 2014 L14</t>
        </is>
      </c>
      <c r="C657" t="n">
        <v>4</v>
      </c>
      <c r="D657" s="3" t="n">
        <v>41640</v>
      </c>
      <c r="F657" t="inlineStr">
        <is>
          <t>en es fr de it pt ja ko ru 汉语 漢語</t>
        </is>
      </c>
      <c r="G657" t="n">
        <v>1256</v>
      </c>
      <c r="H657">
        <f>MONTH(NOW())+12*YEAR(NOW())-MONTH(tbl_MTG_Set[[#This Row],[Released On]])-12*YEAR(tbl_MTG_Set[[#This Row],[Released On]])</f>
        <v/>
      </c>
      <c r="I657">
        <f>_xlfn.XLOOKUP(tbl_MTG_Set[[#This Row],[Type Name]], tbl_MTG_Set_Type[Set Type], tbl_MTG_Set_Type[Index], "(Set Type not found)")</f>
        <v/>
      </c>
      <c r="J657">
        <f>_xlfn.XLOOKUP(tbl_MTG_Set[[#This Row],[Type Name]], tbl_MTG_Set_Type[Set Type], tbl_MTG_Set_Type[Buy Window Month Start], "(Set Type not found)")</f>
        <v/>
      </c>
      <c r="K657" s="3">
        <f>tbl_MTG_Set[[#This Row],[Released On]]+tbl_MTG_Set[[#This Row],[Buy Window Month Start]]*365.25/12</f>
        <v/>
      </c>
      <c r="L657">
        <f>_xlfn.XLOOKUP(tbl_MTG_Set[[#This Row],[Type Name]], tbl_MTG_Set_Type[Set Type], tbl_MTG_Set_Type[Buy Window Month End], "(Set Type not found)", 0, 1)</f>
        <v/>
      </c>
      <c r="M657" s="3">
        <f>tbl_MTG_Set[[#This Row],[Released On]]+tbl_MTG_Set[[#This Row],[Buy Window Month End]]*365.25/12</f>
        <v/>
      </c>
      <c r="N657" s="3">
        <f>AND(NOW()&gt;=tbl_MTG_Set[[#This Row],[Buy Window Start]], NOW()&lt;=tbl_MTG_Set[[#This Row],[Buy Window End]])</f>
        <v/>
      </c>
      <c r="O657">
        <f>_xlfn.XLOOKUP(tbl_MTG_Set[[#This Row],[Type Name]], tbl_MTG_Set_Type[Set Type], tbl_MTG_Set_Type[Heavy Printing Window Month Start], "(Set Type not found)", 0, 1)</f>
        <v/>
      </c>
      <c r="P657" s="3">
        <f>tbl_MTG_Set[[#This Row],[Released On]]+tbl_MTG_Set[[#This Row],[Heavy Printing Window Month Start]]*365.25/12</f>
        <v/>
      </c>
      <c r="Q657">
        <f>_xlfn.XLOOKUP(tbl_MTG_Set[[#This Row],[Type Name]], tbl_MTG_Set_Type[Set Type], tbl_MTG_Set_Type[Heavy Printing Window Month End], "(Set Type not found)", 0, 1)</f>
        <v/>
      </c>
      <c r="R657" s="3">
        <f>tbl_MTG_Set[[#This Row],[Released On]]+tbl_MTG_Set[[#This Row],[Heavy Printing Window Month End]]*365.25/12</f>
        <v/>
      </c>
      <c r="S657" s="3">
        <f>AND(NOW()&gt;=tbl_MTG_Set[[#This Row],[Heavy Printing Window Start]], NOW()&lt;=tbl_MTG_Set[[#This Row],[Heavy Printing Window End]])</f>
        <v/>
      </c>
      <c r="T657">
        <f>_xlfn.XLOOKUP(tbl_MTG_Set[[#This Row],[Type Name]], tbl_MTG_Set_Type[Set Type], tbl_MTG_Set_Type[Sell Window Month Start], "(Set Type not found)", 0, 1)</f>
        <v/>
      </c>
      <c r="U657" s="3">
        <f>tbl_MTG_Set[[#This Row],[Released On]]+tbl_MTG_Set[[#This Row],[Sell Window Month Start]]*365.25/12</f>
        <v/>
      </c>
      <c r="V657">
        <f>_xlfn.XLOOKUP(tbl_MTG_Set[[#This Row],[Type Name]], tbl_MTG_Set_Type[Set Type], tbl_MTG_Set_Type[Sell Window Month End], "(Set Type not found)", 0, 1)</f>
        <v/>
      </c>
      <c r="W657" s="3">
        <f>tbl_MTG_Set[[#This Row],[Released On]]+tbl_MTG_Set[[#This Row],[Sell Window Month End]]*365.25/12</f>
        <v/>
      </c>
      <c r="X657" s="3">
        <f>AND(NOW()&gt;=tbl_MTG_Set[[#This Row],[Sell Window Start]], NOW()&lt;=tbl_MTG_Set[[#This Row],[Sell Window End]])</f>
        <v/>
      </c>
      <c r="AG657" s="10" t="n"/>
      <c r="AH657" s="10" t="n"/>
      <c r="AM657" s="10">
        <f t="array" ref="AM6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7" s="10">
        <f t="array" ref="AN6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7" s="4">
        <f>_xlfn.XLOOKUP(tbl_MTG_Set[[#This Row],[Play Booster Box Product Id]], tbl_Product[Product Id], tbl_Product[Pack Size])</f>
        <v/>
      </c>
      <c r="AP657" s="10">
        <f>(tbl_MTG_Set[[#This Row],[Play Booster Box Cost]]+v_Item_Shipping_Cost_In)/tbl_MTG_Set[[#This Row],[Play Booster Box Size]]</f>
        <v/>
      </c>
      <c r="AQ657" s="10">
        <f t="array" ref="AQ6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7" s="10" t="n"/>
      <c r="AS657" s="10" t="n"/>
      <c r="AT657" s="17">
        <f>tbl_MTG_Set[[#This Row],[Play Booster CardMarket Profit]]/tbl_MTG_Set[[#This Row],[Play Booster Cost]]</f>
        <v/>
      </c>
      <c r="AU657" s="10">
        <f>_xlfn.XLOOKUP(tbl_MTG_Set[[#This Row],[Collector Booster Box Product Id]], tbl_Product[Product Id], tbl_Product[Min Cost])</f>
        <v/>
      </c>
      <c r="AV657" s="10">
        <f>_xlfn.XLOOKUP(tbl_MTG_Set[[#This Row],[Collector Booster Box Product Id]], tbl_Product[Product Id], tbl_Product[Best Source])</f>
        <v/>
      </c>
      <c r="AW657" s="4">
        <f>_xlfn.XLOOKUP(tbl_MTG_Set[[#This Row],[Collector Booster Box Product Id]], tbl_Product[Product Id], tbl_Product[Pack Size])</f>
        <v/>
      </c>
      <c r="AX657" s="10">
        <f>(tbl_MTG_Set[[#This Row],[Collector Booster Box Cost]] + v_Item_Shipping_Cost_In) / tbl_MTG_Set[[#This Row],[Collector Booster Box Size]]</f>
        <v/>
      </c>
      <c r="AY657" s="10">
        <f t="array" ref="AY6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7" s="10" t="n"/>
      <c r="BA6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7" s="17">
        <f>tbl_MTG_Set[[#This Row],[Collector Booster CardMarket Profit]]/tbl_MTG_Set[[#This Row],[Collector Booster Cost]]</f>
        <v/>
      </c>
      <c r="BC657" s="10" t="n"/>
      <c r="BF657" s="10">
        <f>tbl_MTG_Set[[#This Row],[Play Booster Sell Price CardMarket]]*tbl_MTG_Set[[#This Row],[Play Booster Expected Market Value]]/tbl_MTG_Set[[#This Row],[Play Boost Sealed Market Value]]</f>
        <v/>
      </c>
      <c r="BG6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7" s="10">
        <f>tbl_MTG_Set[[#This Row],[Play Singles CardMarket Profit]]/tbl_MTG_Set[[#This Row],[Play Booster Cost]]</f>
        <v/>
      </c>
      <c r="BI657" s="10">
        <f>tbl_MTG_Set[[#This Row],[Play Singles CardMarket Profit]]&gt;0</f>
        <v/>
      </c>
      <c r="BJ657" s="10" t="n"/>
      <c r="BK657" s="10" t="n"/>
      <c r="BL657" s="10">
        <f>tbl_MTG_Set[[#This Row],[Collector Booster Sell Price CardMarket]]*tbl_MTG_Set[[#This Row],[Collector Booster Expected Market Value]]/tbl_MTG_Set[[#This Row],[Collector Boost Sealed Market Value]]</f>
        <v/>
      </c>
      <c r="BM6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7" s="10">
        <f>tbl_MTG_Set[[#This Row],[Collector Singles CardMarket Profit]]/tbl_MTG_Set[[#This Row],[Collector Booster Cost]]</f>
        <v/>
      </c>
      <c r="BO657" s="10">
        <f>tbl_MTG_Set[[#This Row],[Collector Singles CardMarket Profit]]&gt;0</f>
        <v/>
      </c>
      <c r="BP6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8">
      <c r="A658" t="n">
        <v>656</v>
      </c>
      <c r="B658" t="inlineStr">
        <is>
          <t>Judge Gift Cards 2014 J14</t>
        </is>
      </c>
      <c r="C658" t="n">
        <v>14</v>
      </c>
      <c r="D658" s="3" t="n">
        <v>41640</v>
      </c>
      <c r="F658" t="inlineStr">
        <is>
          <t>en es fr de it pt ja ko ru 汉语 漢語</t>
        </is>
      </c>
      <c r="G658" t="n">
        <v>1258</v>
      </c>
      <c r="H658">
        <f>MONTH(NOW())+12*YEAR(NOW())-MONTH(tbl_MTG_Set[[#This Row],[Released On]])-12*YEAR(tbl_MTG_Set[[#This Row],[Released On]])</f>
        <v/>
      </c>
      <c r="I658">
        <f>_xlfn.XLOOKUP(tbl_MTG_Set[[#This Row],[Type Name]], tbl_MTG_Set_Type[Set Type], tbl_MTG_Set_Type[Index], "(Set Type not found)")</f>
        <v/>
      </c>
      <c r="J658">
        <f>_xlfn.XLOOKUP(tbl_MTG_Set[[#This Row],[Type Name]], tbl_MTG_Set_Type[Set Type], tbl_MTG_Set_Type[Buy Window Month Start], "(Set Type not found)")</f>
        <v/>
      </c>
      <c r="K658" s="3">
        <f>tbl_MTG_Set[[#This Row],[Released On]]+tbl_MTG_Set[[#This Row],[Buy Window Month Start]]*365.25/12</f>
        <v/>
      </c>
      <c r="L658">
        <f>_xlfn.XLOOKUP(tbl_MTG_Set[[#This Row],[Type Name]], tbl_MTG_Set_Type[Set Type], tbl_MTG_Set_Type[Buy Window Month End], "(Set Type not found)", 0, 1)</f>
        <v/>
      </c>
      <c r="M658" s="3">
        <f>tbl_MTG_Set[[#This Row],[Released On]]+tbl_MTG_Set[[#This Row],[Buy Window Month End]]*365.25/12</f>
        <v/>
      </c>
      <c r="N658" s="3">
        <f>AND(NOW()&gt;=tbl_MTG_Set[[#This Row],[Buy Window Start]], NOW()&lt;=tbl_MTG_Set[[#This Row],[Buy Window End]])</f>
        <v/>
      </c>
      <c r="O658">
        <f>_xlfn.XLOOKUP(tbl_MTG_Set[[#This Row],[Type Name]], tbl_MTG_Set_Type[Set Type], tbl_MTG_Set_Type[Heavy Printing Window Month Start], "(Set Type not found)", 0, 1)</f>
        <v/>
      </c>
      <c r="P658" s="3">
        <f>tbl_MTG_Set[[#This Row],[Released On]]+tbl_MTG_Set[[#This Row],[Heavy Printing Window Month Start]]*365.25/12</f>
        <v/>
      </c>
      <c r="Q658">
        <f>_xlfn.XLOOKUP(tbl_MTG_Set[[#This Row],[Type Name]], tbl_MTG_Set_Type[Set Type], tbl_MTG_Set_Type[Heavy Printing Window Month End], "(Set Type not found)", 0, 1)</f>
        <v/>
      </c>
      <c r="R658" s="3">
        <f>tbl_MTG_Set[[#This Row],[Released On]]+tbl_MTG_Set[[#This Row],[Heavy Printing Window Month End]]*365.25/12</f>
        <v/>
      </c>
      <c r="S658" s="3">
        <f>AND(NOW()&gt;=tbl_MTG_Set[[#This Row],[Heavy Printing Window Start]], NOW()&lt;=tbl_MTG_Set[[#This Row],[Heavy Printing Window End]])</f>
        <v/>
      </c>
      <c r="T658">
        <f>_xlfn.XLOOKUP(tbl_MTG_Set[[#This Row],[Type Name]], tbl_MTG_Set_Type[Set Type], tbl_MTG_Set_Type[Sell Window Month Start], "(Set Type not found)", 0, 1)</f>
        <v/>
      </c>
      <c r="U658" s="3">
        <f>tbl_MTG_Set[[#This Row],[Released On]]+tbl_MTG_Set[[#This Row],[Sell Window Month Start]]*365.25/12</f>
        <v/>
      </c>
      <c r="V658">
        <f>_xlfn.XLOOKUP(tbl_MTG_Set[[#This Row],[Type Name]], tbl_MTG_Set_Type[Set Type], tbl_MTG_Set_Type[Sell Window Month End], "(Set Type not found)", 0, 1)</f>
        <v/>
      </c>
      <c r="W658" s="3">
        <f>tbl_MTG_Set[[#This Row],[Released On]]+tbl_MTG_Set[[#This Row],[Sell Window Month End]]*365.25/12</f>
        <v/>
      </c>
      <c r="X658" s="3">
        <f>AND(NOW()&gt;=tbl_MTG_Set[[#This Row],[Sell Window Start]], NOW()&lt;=tbl_MTG_Set[[#This Row],[Sell Window End]])</f>
        <v/>
      </c>
      <c r="AG658" s="10" t="n"/>
      <c r="AH658" s="10" t="n"/>
      <c r="AM658" s="10">
        <f t="array" ref="AM6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8" s="10">
        <f t="array" ref="AN6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8" s="4">
        <f>_xlfn.XLOOKUP(tbl_MTG_Set[[#This Row],[Play Booster Box Product Id]], tbl_Product[Product Id], tbl_Product[Pack Size])</f>
        <v/>
      </c>
      <c r="AP658" s="10">
        <f>(tbl_MTG_Set[[#This Row],[Play Booster Box Cost]]+v_Item_Shipping_Cost_In)/tbl_MTG_Set[[#This Row],[Play Booster Box Size]]</f>
        <v/>
      </c>
      <c r="AQ658" s="10">
        <f t="array" ref="AQ6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8" s="10" t="n"/>
      <c r="AS658" s="10" t="n"/>
      <c r="AT658" s="17">
        <f>tbl_MTG_Set[[#This Row],[Play Booster CardMarket Profit]]/tbl_MTG_Set[[#This Row],[Play Booster Cost]]</f>
        <v/>
      </c>
      <c r="AU658" s="10">
        <f>_xlfn.XLOOKUP(tbl_MTG_Set[[#This Row],[Collector Booster Box Product Id]], tbl_Product[Product Id], tbl_Product[Min Cost])</f>
        <v/>
      </c>
      <c r="AV658" s="10">
        <f>_xlfn.XLOOKUP(tbl_MTG_Set[[#This Row],[Collector Booster Box Product Id]], tbl_Product[Product Id], tbl_Product[Best Source])</f>
        <v/>
      </c>
      <c r="AW658" s="4">
        <f>_xlfn.XLOOKUP(tbl_MTG_Set[[#This Row],[Collector Booster Box Product Id]], tbl_Product[Product Id], tbl_Product[Pack Size])</f>
        <v/>
      </c>
      <c r="AX658" s="10">
        <f>(tbl_MTG_Set[[#This Row],[Collector Booster Box Cost]] + v_Item_Shipping_Cost_In) / tbl_MTG_Set[[#This Row],[Collector Booster Box Size]]</f>
        <v/>
      </c>
      <c r="AY658" s="10">
        <f t="array" ref="AY6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8" s="10" t="n"/>
      <c r="BA6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8" s="17">
        <f>tbl_MTG_Set[[#This Row],[Collector Booster CardMarket Profit]]/tbl_MTG_Set[[#This Row],[Collector Booster Cost]]</f>
        <v/>
      </c>
      <c r="BC658" s="10" t="n"/>
      <c r="BF658" s="10">
        <f>tbl_MTG_Set[[#This Row],[Play Booster Sell Price CardMarket]]*tbl_MTG_Set[[#This Row],[Play Booster Expected Market Value]]/tbl_MTG_Set[[#This Row],[Play Boost Sealed Market Value]]</f>
        <v/>
      </c>
      <c r="BG6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8" s="10">
        <f>tbl_MTG_Set[[#This Row],[Play Singles CardMarket Profit]]/tbl_MTG_Set[[#This Row],[Play Booster Cost]]</f>
        <v/>
      </c>
      <c r="BI658" s="10">
        <f>tbl_MTG_Set[[#This Row],[Play Singles CardMarket Profit]]&gt;0</f>
        <v/>
      </c>
      <c r="BJ658" s="10" t="n"/>
      <c r="BK658" s="10" t="n"/>
      <c r="BL658" s="10">
        <f>tbl_MTG_Set[[#This Row],[Collector Booster Sell Price CardMarket]]*tbl_MTG_Set[[#This Row],[Collector Booster Expected Market Value]]/tbl_MTG_Set[[#This Row],[Collector Boost Sealed Market Value]]</f>
        <v/>
      </c>
      <c r="BM6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8" s="10">
        <f>tbl_MTG_Set[[#This Row],[Collector Singles CardMarket Profit]]/tbl_MTG_Set[[#This Row],[Collector Booster Cost]]</f>
        <v/>
      </c>
      <c r="BO658" s="10">
        <f>tbl_MTG_Set[[#This Row],[Collector Singles CardMarket Profit]]&gt;0</f>
        <v/>
      </c>
      <c r="BP6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9">
      <c r="A659" t="n">
        <v>657</v>
      </c>
      <c r="B659" t="inlineStr">
        <is>
          <t>Friday Night Magic 2014 F14</t>
        </is>
      </c>
      <c r="C659" t="n">
        <v>12</v>
      </c>
      <c r="D659" s="3" t="n">
        <v>41640</v>
      </c>
      <c r="F659" t="inlineStr">
        <is>
          <t>en es fr de it pt ja ko ru 汉语 漢語</t>
        </is>
      </c>
      <c r="G659" t="n">
        <v>1260</v>
      </c>
      <c r="H659">
        <f>MONTH(NOW())+12*YEAR(NOW())-MONTH(tbl_MTG_Set[[#This Row],[Released On]])-12*YEAR(tbl_MTG_Set[[#This Row],[Released On]])</f>
        <v/>
      </c>
      <c r="I659">
        <f>_xlfn.XLOOKUP(tbl_MTG_Set[[#This Row],[Type Name]], tbl_MTG_Set_Type[Set Type], tbl_MTG_Set_Type[Index], "(Set Type not found)")</f>
        <v/>
      </c>
      <c r="J659">
        <f>_xlfn.XLOOKUP(tbl_MTG_Set[[#This Row],[Type Name]], tbl_MTG_Set_Type[Set Type], tbl_MTG_Set_Type[Buy Window Month Start], "(Set Type not found)")</f>
        <v/>
      </c>
      <c r="K659" s="3">
        <f>tbl_MTG_Set[[#This Row],[Released On]]+tbl_MTG_Set[[#This Row],[Buy Window Month Start]]*365.25/12</f>
        <v/>
      </c>
      <c r="L659">
        <f>_xlfn.XLOOKUP(tbl_MTG_Set[[#This Row],[Type Name]], tbl_MTG_Set_Type[Set Type], tbl_MTG_Set_Type[Buy Window Month End], "(Set Type not found)", 0, 1)</f>
        <v/>
      </c>
      <c r="M659" s="3">
        <f>tbl_MTG_Set[[#This Row],[Released On]]+tbl_MTG_Set[[#This Row],[Buy Window Month End]]*365.25/12</f>
        <v/>
      </c>
      <c r="N659" s="3">
        <f>AND(NOW()&gt;=tbl_MTG_Set[[#This Row],[Buy Window Start]], NOW()&lt;=tbl_MTG_Set[[#This Row],[Buy Window End]])</f>
        <v/>
      </c>
      <c r="O659">
        <f>_xlfn.XLOOKUP(tbl_MTG_Set[[#This Row],[Type Name]], tbl_MTG_Set_Type[Set Type], tbl_MTG_Set_Type[Heavy Printing Window Month Start], "(Set Type not found)", 0, 1)</f>
        <v/>
      </c>
      <c r="P659" s="3">
        <f>tbl_MTG_Set[[#This Row],[Released On]]+tbl_MTG_Set[[#This Row],[Heavy Printing Window Month Start]]*365.25/12</f>
        <v/>
      </c>
      <c r="Q659">
        <f>_xlfn.XLOOKUP(tbl_MTG_Set[[#This Row],[Type Name]], tbl_MTG_Set_Type[Set Type], tbl_MTG_Set_Type[Heavy Printing Window Month End], "(Set Type not found)", 0, 1)</f>
        <v/>
      </c>
      <c r="R659" s="3">
        <f>tbl_MTG_Set[[#This Row],[Released On]]+tbl_MTG_Set[[#This Row],[Heavy Printing Window Month End]]*365.25/12</f>
        <v/>
      </c>
      <c r="S659" s="3">
        <f>AND(NOW()&gt;=tbl_MTG_Set[[#This Row],[Heavy Printing Window Start]], NOW()&lt;=tbl_MTG_Set[[#This Row],[Heavy Printing Window End]])</f>
        <v/>
      </c>
      <c r="T659">
        <f>_xlfn.XLOOKUP(tbl_MTG_Set[[#This Row],[Type Name]], tbl_MTG_Set_Type[Set Type], tbl_MTG_Set_Type[Sell Window Month Start], "(Set Type not found)", 0, 1)</f>
        <v/>
      </c>
      <c r="U659" s="3">
        <f>tbl_MTG_Set[[#This Row],[Released On]]+tbl_MTG_Set[[#This Row],[Sell Window Month Start]]*365.25/12</f>
        <v/>
      </c>
      <c r="V659">
        <f>_xlfn.XLOOKUP(tbl_MTG_Set[[#This Row],[Type Name]], tbl_MTG_Set_Type[Set Type], tbl_MTG_Set_Type[Sell Window Month End], "(Set Type not found)", 0, 1)</f>
        <v/>
      </c>
      <c r="W659" s="3">
        <f>tbl_MTG_Set[[#This Row],[Released On]]+tbl_MTG_Set[[#This Row],[Sell Window Month End]]*365.25/12</f>
        <v/>
      </c>
      <c r="X659" s="3">
        <f>AND(NOW()&gt;=tbl_MTG_Set[[#This Row],[Sell Window Start]], NOW()&lt;=tbl_MTG_Set[[#This Row],[Sell Window End]])</f>
        <v/>
      </c>
      <c r="AG659" s="10" t="n"/>
      <c r="AH659" s="10" t="n"/>
      <c r="AM659" s="10">
        <f t="array" ref="AM6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9" s="10">
        <f t="array" ref="AN6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9" s="4">
        <f>_xlfn.XLOOKUP(tbl_MTG_Set[[#This Row],[Play Booster Box Product Id]], tbl_Product[Product Id], tbl_Product[Pack Size])</f>
        <v/>
      </c>
      <c r="AP659" s="10">
        <f>(tbl_MTG_Set[[#This Row],[Play Booster Box Cost]]+v_Item_Shipping_Cost_In)/tbl_MTG_Set[[#This Row],[Play Booster Box Size]]</f>
        <v/>
      </c>
      <c r="AQ659" s="10">
        <f t="array" ref="AQ6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59" s="10" t="n"/>
      <c r="AS659" s="10" t="n"/>
      <c r="AT659" s="17">
        <f>tbl_MTG_Set[[#This Row],[Play Booster CardMarket Profit]]/tbl_MTG_Set[[#This Row],[Play Booster Cost]]</f>
        <v/>
      </c>
      <c r="AU659" s="10">
        <f>_xlfn.XLOOKUP(tbl_MTG_Set[[#This Row],[Collector Booster Box Product Id]], tbl_Product[Product Id], tbl_Product[Min Cost])</f>
        <v/>
      </c>
      <c r="AV659" s="10">
        <f>_xlfn.XLOOKUP(tbl_MTG_Set[[#This Row],[Collector Booster Box Product Id]], tbl_Product[Product Id], tbl_Product[Best Source])</f>
        <v/>
      </c>
      <c r="AW659" s="4">
        <f>_xlfn.XLOOKUP(tbl_MTG_Set[[#This Row],[Collector Booster Box Product Id]], tbl_Product[Product Id], tbl_Product[Pack Size])</f>
        <v/>
      </c>
      <c r="AX659" s="10">
        <f>(tbl_MTG_Set[[#This Row],[Collector Booster Box Cost]] + v_Item_Shipping_Cost_In) / tbl_MTG_Set[[#This Row],[Collector Booster Box Size]]</f>
        <v/>
      </c>
      <c r="AY659" s="10">
        <f t="array" ref="AY6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59" s="10" t="n"/>
      <c r="BA6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9" s="17">
        <f>tbl_MTG_Set[[#This Row],[Collector Booster CardMarket Profit]]/tbl_MTG_Set[[#This Row],[Collector Booster Cost]]</f>
        <v/>
      </c>
      <c r="BC659" s="10" t="n"/>
      <c r="BF659" s="10">
        <f>tbl_MTG_Set[[#This Row],[Play Booster Sell Price CardMarket]]*tbl_MTG_Set[[#This Row],[Play Booster Expected Market Value]]/tbl_MTG_Set[[#This Row],[Play Boost Sealed Market Value]]</f>
        <v/>
      </c>
      <c r="BG6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9" s="10">
        <f>tbl_MTG_Set[[#This Row],[Play Singles CardMarket Profit]]/tbl_MTG_Set[[#This Row],[Play Booster Cost]]</f>
        <v/>
      </c>
      <c r="BI659" s="10">
        <f>tbl_MTG_Set[[#This Row],[Play Singles CardMarket Profit]]&gt;0</f>
        <v/>
      </c>
      <c r="BJ659" s="10" t="n"/>
      <c r="BK659" s="10" t="n"/>
      <c r="BL659" s="10">
        <f>tbl_MTG_Set[[#This Row],[Collector Booster Sell Price CardMarket]]*tbl_MTG_Set[[#This Row],[Collector Booster Expected Market Value]]/tbl_MTG_Set[[#This Row],[Collector Boost Sealed Market Value]]</f>
        <v/>
      </c>
      <c r="BM6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9" s="10">
        <f>tbl_MTG_Set[[#This Row],[Collector Singles CardMarket Profit]]/tbl_MTG_Set[[#This Row],[Collector Booster Cost]]</f>
        <v/>
      </c>
      <c r="BO659" s="10">
        <f>tbl_MTG_Set[[#This Row],[Collector Singles CardMarket Profit]]&gt;0</f>
        <v/>
      </c>
      <c r="BP6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0">
      <c r="A660" t="n">
        <v>658</v>
      </c>
      <c r="B660" t="inlineStr">
        <is>
          <t>Commander 2013 C13</t>
        </is>
      </c>
      <c r="C660" t="n">
        <v>356</v>
      </c>
      <c r="D660" s="3" t="n">
        <v>41579</v>
      </c>
      <c r="F660" t="inlineStr">
        <is>
          <t>en es fr de it pt ja ko ru 汉语 漢語</t>
        </is>
      </c>
      <c r="G660" t="n">
        <v>1262</v>
      </c>
      <c r="H660">
        <f>MONTH(NOW())+12*YEAR(NOW())-MONTH(tbl_MTG_Set[[#This Row],[Released On]])-12*YEAR(tbl_MTG_Set[[#This Row],[Released On]])</f>
        <v/>
      </c>
      <c r="I660">
        <f>_xlfn.XLOOKUP(tbl_MTG_Set[[#This Row],[Type Name]], tbl_MTG_Set_Type[Set Type], tbl_MTG_Set_Type[Index], "(Set Type not found)")</f>
        <v/>
      </c>
      <c r="J660">
        <f>_xlfn.XLOOKUP(tbl_MTG_Set[[#This Row],[Type Name]], tbl_MTG_Set_Type[Set Type], tbl_MTG_Set_Type[Buy Window Month Start], "(Set Type not found)")</f>
        <v/>
      </c>
      <c r="K660" s="3">
        <f>tbl_MTG_Set[[#This Row],[Released On]]+tbl_MTG_Set[[#This Row],[Buy Window Month Start]]*365.25/12</f>
        <v/>
      </c>
      <c r="L660">
        <f>_xlfn.XLOOKUP(tbl_MTG_Set[[#This Row],[Type Name]], tbl_MTG_Set_Type[Set Type], tbl_MTG_Set_Type[Buy Window Month End], "(Set Type not found)", 0, 1)</f>
        <v/>
      </c>
      <c r="M660" s="3">
        <f>tbl_MTG_Set[[#This Row],[Released On]]+tbl_MTG_Set[[#This Row],[Buy Window Month End]]*365.25/12</f>
        <v/>
      </c>
      <c r="N660" s="3">
        <f>AND(NOW()&gt;=tbl_MTG_Set[[#This Row],[Buy Window Start]], NOW()&lt;=tbl_MTG_Set[[#This Row],[Buy Window End]])</f>
        <v/>
      </c>
      <c r="O660">
        <f>_xlfn.XLOOKUP(tbl_MTG_Set[[#This Row],[Type Name]], tbl_MTG_Set_Type[Set Type], tbl_MTG_Set_Type[Heavy Printing Window Month Start], "(Set Type not found)", 0, 1)</f>
        <v/>
      </c>
      <c r="P660" s="3">
        <f>tbl_MTG_Set[[#This Row],[Released On]]+tbl_MTG_Set[[#This Row],[Heavy Printing Window Month Start]]*365.25/12</f>
        <v/>
      </c>
      <c r="Q660">
        <f>_xlfn.XLOOKUP(tbl_MTG_Set[[#This Row],[Type Name]], tbl_MTG_Set_Type[Set Type], tbl_MTG_Set_Type[Heavy Printing Window Month End], "(Set Type not found)", 0, 1)</f>
        <v/>
      </c>
      <c r="R660" s="3">
        <f>tbl_MTG_Set[[#This Row],[Released On]]+tbl_MTG_Set[[#This Row],[Heavy Printing Window Month End]]*365.25/12</f>
        <v/>
      </c>
      <c r="S660" s="3">
        <f>AND(NOW()&gt;=tbl_MTG_Set[[#This Row],[Heavy Printing Window Start]], NOW()&lt;=tbl_MTG_Set[[#This Row],[Heavy Printing Window End]])</f>
        <v/>
      </c>
      <c r="T660">
        <f>_xlfn.XLOOKUP(tbl_MTG_Set[[#This Row],[Type Name]], tbl_MTG_Set_Type[Set Type], tbl_MTG_Set_Type[Sell Window Month Start], "(Set Type not found)", 0, 1)</f>
        <v/>
      </c>
      <c r="U660" s="3">
        <f>tbl_MTG_Set[[#This Row],[Released On]]+tbl_MTG_Set[[#This Row],[Sell Window Month Start]]*365.25/12</f>
        <v/>
      </c>
      <c r="V660">
        <f>_xlfn.XLOOKUP(tbl_MTG_Set[[#This Row],[Type Name]], tbl_MTG_Set_Type[Set Type], tbl_MTG_Set_Type[Sell Window Month End], "(Set Type not found)", 0, 1)</f>
        <v/>
      </c>
      <c r="W660" s="3">
        <f>tbl_MTG_Set[[#This Row],[Released On]]+tbl_MTG_Set[[#This Row],[Sell Window Month End]]*365.25/12</f>
        <v/>
      </c>
      <c r="X660" s="3">
        <f>AND(NOW()&gt;=tbl_MTG_Set[[#This Row],[Sell Window Start]], NOW()&lt;=tbl_MTG_Set[[#This Row],[Sell Window End]])</f>
        <v/>
      </c>
      <c r="AG660" s="10" t="n"/>
      <c r="AH660" s="10" t="n"/>
      <c r="AM660" s="10">
        <f t="array" ref="AM6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0" s="10">
        <f t="array" ref="AN6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0" s="4">
        <f>_xlfn.XLOOKUP(tbl_MTG_Set[[#This Row],[Play Booster Box Product Id]], tbl_Product[Product Id], tbl_Product[Pack Size])</f>
        <v/>
      </c>
      <c r="AP660" s="10">
        <f>(tbl_MTG_Set[[#This Row],[Play Booster Box Cost]]+v_Item_Shipping_Cost_In)/tbl_MTG_Set[[#This Row],[Play Booster Box Size]]</f>
        <v/>
      </c>
      <c r="AQ660" s="10">
        <f t="array" ref="AQ6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0" s="10" t="n"/>
      <c r="AS660" s="10" t="n"/>
      <c r="AT660" s="17">
        <f>tbl_MTG_Set[[#This Row],[Play Booster CardMarket Profit]]/tbl_MTG_Set[[#This Row],[Play Booster Cost]]</f>
        <v/>
      </c>
      <c r="AU660" s="10">
        <f>_xlfn.XLOOKUP(tbl_MTG_Set[[#This Row],[Collector Booster Box Product Id]], tbl_Product[Product Id], tbl_Product[Min Cost])</f>
        <v/>
      </c>
      <c r="AV660" s="10">
        <f>_xlfn.XLOOKUP(tbl_MTG_Set[[#This Row],[Collector Booster Box Product Id]], tbl_Product[Product Id], tbl_Product[Best Source])</f>
        <v/>
      </c>
      <c r="AW660" s="4">
        <f>_xlfn.XLOOKUP(tbl_MTG_Set[[#This Row],[Collector Booster Box Product Id]], tbl_Product[Product Id], tbl_Product[Pack Size])</f>
        <v/>
      </c>
      <c r="AX660" s="10">
        <f>(tbl_MTG_Set[[#This Row],[Collector Booster Box Cost]] + v_Item_Shipping_Cost_In) / tbl_MTG_Set[[#This Row],[Collector Booster Box Size]]</f>
        <v/>
      </c>
      <c r="AY660" s="10">
        <f t="array" ref="AY6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0" s="10" t="n"/>
      <c r="BA6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0" s="17">
        <f>tbl_MTG_Set[[#This Row],[Collector Booster CardMarket Profit]]/tbl_MTG_Set[[#This Row],[Collector Booster Cost]]</f>
        <v/>
      </c>
      <c r="BC660" s="10" t="n"/>
      <c r="BF660" s="10">
        <f>tbl_MTG_Set[[#This Row],[Play Booster Sell Price CardMarket]]*tbl_MTG_Set[[#This Row],[Play Booster Expected Market Value]]/tbl_MTG_Set[[#This Row],[Play Boost Sealed Market Value]]</f>
        <v/>
      </c>
      <c r="BG6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0" s="10">
        <f>tbl_MTG_Set[[#This Row],[Play Singles CardMarket Profit]]/tbl_MTG_Set[[#This Row],[Play Booster Cost]]</f>
        <v/>
      </c>
      <c r="BI660" s="10">
        <f>tbl_MTG_Set[[#This Row],[Play Singles CardMarket Profit]]&gt;0</f>
        <v/>
      </c>
      <c r="BJ660" s="10" t="n"/>
      <c r="BK660" s="10" t="n"/>
      <c r="BL660" s="10">
        <f>tbl_MTG_Set[[#This Row],[Collector Booster Sell Price CardMarket]]*tbl_MTG_Set[[#This Row],[Collector Booster Expected Market Value]]/tbl_MTG_Set[[#This Row],[Collector Boost Sealed Market Value]]</f>
        <v/>
      </c>
      <c r="BM6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0" s="10">
        <f>tbl_MTG_Set[[#This Row],[Collector Singles CardMarket Profit]]/tbl_MTG_Set[[#This Row],[Collector Booster Cost]]</f>
        <v/>
      </c>
      <c r="BO660" s="10">
        <f>tbl_MTG_Set[[#This Row],[Collector Singles CardMarket Profit]]&gt;0</f>
        <v/>
      </c>
      <c r="BP6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1">
      <c r="A661" t="n">
        <v>659</v>
      </c>
      <c r="B661" t="inlineStr">
        <is>
          <t>Commander 2013 Oversized OC13</t>
        </is>
      </c>
      <c r="C661" t="n">
        <v>15</v>
      </c>
      <c r="D661" s="3" t="n">
        <v>41579</v>
      </c>
      <c r="F661" t="inlineStr">
        <is>
          <t>en es fr de it pt ja ko ru 汉语 漢語</t>
        </is>
      </c>
      <c r="G661" t="n">
        <v>1264</v>
      </c>
      <c r="H661">
        <f>MONTH(NOW())+12*YEAR(NOW())-MONTH(tbl_MTG_Set[[#This Row],[Released On]])-12*YEAR(tbl_MTG_Set[[#This Row],[Released On]])</f>
        <v/>
      </c>
      <c r="I661">
        <f>_xlfn.XLOOKUP(tbl_MTG_Set[[#This Row],[Type Name]], tbl_MTG_Set_Type[Set Type], tbl_MTG_Set_Type[Index], "(Set Type not found)")</f>
        <v/>
      </c>
      <c r="J661">
        <f>_xlfn.XLOOKUP(tbl_MTG_Set[[#This Row],[Type Name]], tbl_MTG_Set_Type[Set Type], tbl_MTG_Set_Type[Buy Window Month Start], "(Set Type not found)")</f>
        <v/>
      </c>
      <c r="K661" s="3">
        <f>tbl_MTG_Set[[#This Row],[Released On]]+tbl_MTG_Set[[#This Row],[Buy Window Month Start]]*365.25/12</f>
        <v/>
      </c>
      <c r="L661">
        <f>_xlfn.XLOOKUP(tbl_MTG_Set[[#This Row],[Type Name]], tbl_MTG_Set_Type[Set Type], tbl_MTG_Set_Type[Buy Window Month End], "(Set Type not found)", 0, 1)</f>
        <v/>
      </c>
      <c r="M661" s="3">
        <f>tbl_MTG_Set[[#This Row],[Released On]]+tbl_MTG_Set[[#This Row],[Buy Window Month End]]*365.25/12</f>
        <v/>
      </c>
      <c r="N661" s="3">
        <f>AND(NOW()&gt;=tbl_MTG_Set[[#This Row],[Buy Window Start]], NOW()&lt;=tbl_MTG_Set[[#This Row],[Buy Window End]])</f>
        <v/>
      </c>
      <c r="O661">
        <f>_xlfn.XLOOKUP(tbl_MTG_Set[[#This Row],[Type Name]], tbl_MTG_Set_Type[Set Type], tbl_MTG_Set_Type[Heavy Printing Window Month Start], "(Set Type not found)", 0, 1)</f>
        <v/>
      </c>
      <c r="P661" s="3">
        <f>tbl_MTG_Set[[#This Row],[Released On]]+tbl_MTG_Set[[#This Row],[Heavy Printing Window Month Start]]*365.25/12</f>
        <v/>
      </c>
      <c r="Q661">
        <f>_xlfn.XLOOKUP(tbl_MTG_Set[[#This Row],[Type Name]], tbl_MTG_Set_Type[Set Type], tbl_MTG_Set_Type[Heavy Printing Window Month End], "(Set Type not found)", 0, 1)</f>
        <v/>
      </c>
      <c r="R661" s="3">
        <f>tbl_MTG_Set[[#This Row],[Released On]]+tbl_MTG_Set[[#This Row],[Heavy Printing Window Month End]]*365.25/12</f>
        <v/>
      </c>
      <c r="S661" s="3">
        <f>AND(NOW()&gt;=tbl_MTG_Set[[#This Row],[Heavy Printing Window Start]], NOW()&lt;=tbl_MTG_Set[[#This Row],[Heavy Printing Window End]])</f>
        <v/>
      </c>
      <c r="T661">
        <f>_xlfn.XLOOKUP(tbl_MTG_Set[[#This Row],[Type Name]], tbl_MTG_Set_Type[Set Type], tbl_MTG_Set_Type[Sell Window Month Start], "(Set Type not found)", 0, 1)</f>
        <v/>
      </c>
      <c r="U661" s="3">
        <f>tbl_MTG_Set[[#This Row],[Released On]]+tbl_MTG_Set[[#This Row],[Sell Window Month Start]]*365.25/12</f>
        <v/>
      </c>
      <c r="V661">
        <f>_xlfn.XLOOKUP(tbl_MTG_Set[[#This Row],[Type Name]], tbl_MTG_Set_Type[Set Type], tbl_MTG_Set_Type[Sell Window Month End], "(Set Type not found)", 0, 1)</f>
        <v/>
      </c>
      <c r="W661" s="3">
        <f>tbl_MTG_Set[[#This Row],[Released On]]+tbl_MTG_Set[[#This Row],[Sell Window Month End]]*365.25/12</f>
        <v/>
      </c>
      <c r="X661" s="3">
        <f>AND(NOW()&gt;=tbl_MTG_Set[[#This Row],[Sell Window Start]], NOW()&lt;=tbl_MTG_Set[[#This Row],[Sell Window End]])</f>
        <v/>
      </c>
      <c r="AG661" s="10" t="n"/>
      <c r="AH661" s="10" t="n"/>
      <c r="AM661" s="10">
        <f t="array" ref="AM6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1" s="10">
        <f t="array" ref="AN6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1" s="4">
        <f>_xlfn.XLOOKUP(tbl_MTG_Set[[#This Row],[Play Booster Box Product Id]], tbl_Product[Product Id], tbl_Product[Pack Size])</f>
        <v/>
      </c>
      <c r="AP661" s="10">
        <f>(tbl_MTG_Set[[#This Row],[Play Booster Box Cost]]+v_Item_Shipping_Cost_In)/tbl_MTG_Set[[#This Row],[Play Booster Box Size]]</f>
        <v/>
      </c>
      <c r="AQ661" s="10">
        <f t="array" ref="AQ6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1" s="10" t="n"/>
      <c r="AS661" s="10" t="n"/>
      <c r="AT661" s="17">
        <f>tbl_MTG_Set[[#This Row],[Play Booster CardMarket Profit]]/tbl_MTG_Set[[#This Row],[Play Booster Cost]]</f>
        <v/>
      </c>
      <c r="AU661" s="10">
        <f>_xlfn.XLOOKUP(tbl_MTG_Set[[#This Row],[Collector Booster Box Product Id]], tbl_Product[Product Id], tbl_Product[Min Cost])</f>
        <v/>
      </c>
      <c r="AV661" s="10">
        <f>_xlfn.XLOOKUP(tbl_MTG_Set[[#This Row],[Collector Booster Box Product Id]], tbl_Product[Product Id], tbl_Product[Best Source])</f>
        <v/>
      </c>
      <c r="AW661" s="4">
        <f>_xlfn.XLOOKUP(tbl_MTG_Set[[#This Row],[Collector Booster Box Product Id]], tbl_Product[Product Id], tbl_Product[Pack Size])</f>
        <v/>
      </c>
      <c r="AX661" s="10">
        <f>(tbl_MTG_Set[[#This Row],[Collector Booster Box Cost]] + v_Item_Shipping_Cost_In) / tbl_MTG_Set[[#This Row],[Collector Booster Box Size]]</f>
        <v/>
      </c>
      <c r="AY661" s="10">
        <f t="array" ref="AY6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1" s="10" t="n"/>
      <c r="BA6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1" s="17">
        <f>tbl_MTG_Set[[#This Row],[Collector Booster CardMarket Profit]]/tbl_MTG_Set[[#This Row],[Collector Booster Cost]]</f>
        <v/>
      </c>
      <c r="BC661" s="10" t="n"/>
      <c r="BF661" s="10">
        <f>tbl_MTG_Set[[#This Row],[Play Booster Sell Price CardMarket]]*tbl_MTG_Set[[#This Row],[Play Booster Expected Market Value]]/tbl_MTG_Set[[#This Row],[Play Boost Sealed Market Value]]</f>
        <v/>
      </c>
      <c r="BG6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1" s="10">
        <f>tbl_MTG_Set[[#This Row],[Play Singles CardMarket Profit]]/tbl_MTG_Set[[#This Row],[Play Booster Cost]]</f>
        <v/>
      </c>
      <c r="BI661" s="10">
        <f>tbl_MTG_Set[[#This Row],[Play Singles CardMarket Profit]]&gt;0</f>
        <v/>
      </c>
      <c r="BJ661" s="10" t="n"/>
      <c r="BK661" s="10" t="n"/>
      <c r="BL661" s="10">
        <f>tbl_MTG_Set[[#This Row],[Collector Booster Sell Price CardMarket]]*tbl_MTG_Set[[#This Row],[Collector Booster Expected Market Value]]/tbl_MTG_Set[[#This Row],[Collector Boost Sealed Market Value]]</f>
        <v/>
      </c>
      <c r="BM6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1" s="10">
        <f>tbl_MTG_Set[[#This Row],[Collector Singles CardMarket Profit]]/tbl_MTG_Set[[#This Row],[Collector Booster Cost]]</f>
        <v/>
      </c>
      <c r="BO661" s="10">
        <f>tbl_MTG_Set[[#This Row],[Collector Singles CardMarket Profit]]&gt;0</f>
        <v/>
      </c>
      <c r="BP6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2">
      <c r="A662" t="n">
        <v>660</v>
      </c>
      <c r="B662" t="inlineStr">
        <is>
          <t>Theros THS</t>
        </is>
      </c>
      <c r="C662" t="n">
        <v>249</v>
      </c>
      <c r="D662" s="3" t="n">
        <v>41544</v>
      </c>
      <c r="E662" t="inlineStr">
        <is>
          <t>Standard Expansion</t>
        </is>
      </c>
      <c r="F662" t="inlineStr">
        <is>
          <t>en es fr de it pt ja ko ru 汉语 漢語</t>
        </is>
      </c>
      <c r="G662" t="n">
        <v>1266</v>
      </c>
      <c r="H662">
        <f>MONTH(NOW())+12*YEAR(NOW())-MONTH(tbl_MTG_Set[[#This Row],[Released On]])-12*YEAR(tbl_MTG_Set[[#This Row],[Released On]])</f>
        <v/>
      </c>
      <c r="I662">
        <f>_xlfn.XLOOKUP(tbl_MTG_Set[[#This Row],[Type Name]], tbl_MTG_Set_Type[Set Type], tbl_MTG_Set_Type[Index], "(Set Type not found)")</f>
        <v/>
      </c>
      <c r="J662">
        <f>_xlfn.XLOOKUP(tbl_MTG_Set[[#This Row],[Type Name]], tbl_MTG_Set_Type[Set Type], tbl_MTG_Set_Type[Buy Window Month Start], "(Set Type not found)")</f>
        <v/>
      </c>
      <c r="K662" s="3">
        <f>tbl_MTG_Set[[#This Row],[Released On]]+tbl_MTG_Set[[#This Row],[Buy Window Month Start]]*365.25/12</f>
        <v/>
      </c>
      <c r="L662">
        <f>_xlfn.XLOOKUP(tbl_MTG_Set[[#This Row],[Type Name]], tbl_MTG_Set_Type[Set Type], tbl_MTG_Set_Type[Buy Window Month End], "(Set Type not found)", 0, 1)</f>
        <v/>
      </c>
      <c r="M662" s="3">
        <f>tbl_MTG_Set[[#This Row],[Released On]]+tbl_MTG_Set[[#This Row],[Buy Window Month End]]*365.25/12</f>
        <v/>
      </c>
      <c r="N662" s="3">
        <f>AND(NOW()&gt;=tbl_MTG_Set[[#This Row],[Buy Window Start]], NOW()&lt;=tbl_MTG_Set[[#This Row],[Buy Window End]])</f>
        <v/>
      </c>
      <c r="O662">
        <f>_xlfn.XLOOKUP(tbl_MTG_Set[[#This Row],[Type Name]], tbl_MTG_Set_Type[Set Type], tbl_MTG_Set_Type[Heavy Printing Window Month Start], "(Set Type not found)", 0, 1)</f>
        <v/>
      </c>
      <c r="P662" s="3">
        <f>tbl_MTG_Set[[#This Row],[Released On]]+tbl_MTG_Set[[#This Row],[Heavy Printing Window Month Start]]*365.25/12</f>
        <v/>
      </c>
      <c r="Q662">
        <f>_xlfn.XLOOKUP(tbl_MTG_Set[[#This Row],[Type Name]], tbl_MTG_Set_Type[Set Type], tbl_MTG_Set_Type[Heavy Printing Window Month End], "(Set Type not found)", 0, 1)</f>
        <v/>
      </c>
      <c r="R662" s="3">
        <f>tbl_MTG_Set[[#This Row],[Released On]]+tbl_MTG_Set[[#This Row],[Heavy Printing Window Month End]]*365.25/12</f>
        <v/>
      </c>
      <c r="S662" s="3">
        <f>AND(NOW()&gt;=tbl_MTG_Set[[#This Row],[Heavy Printing Window Start]], NOW()&lt;=tbl_MTG_Set[[#This Row],[Heavy Printing Window End]])</f>
        <v/>
      </c>
      <c r="T662">
        <f>_xlfn.XLOOKUP(tbl_MTG_Set[[#This Row],[Type Name]], tbl_MTG_Set_Type[Set Type], tbl_MTG_Set_Type[Sell Window Month Start], "(Set Type not found)", 0, 1)</f>
        <v/>
      </c>
      <c r="U662" s="3">
        <f>tbl_MTG_Set[[#This Row],[Released On]]+tbl_MTG_Set[[#This Row],[Sell Window Month Start]]*365.25/12</f>
        <v/>
      </c>
      <c r="V662">
        <f>_xlfn.XLOOKUP(tbl_MTG_Set[[#This Row],[Type Name]], tbl_MTG_Set_Type[Set Type], tbl_MTG_Set_Type[Sell Window Month End], "(Set Type not found)", 0, 1)</f>
        <v/>
      </c>
      <c r="W662" s="3">
        <f>tbl_MTG_Set[[#This Row],[Released On]]+tbl_MTG_Set[[#This Row],[Sell Window Month End]]*365.25/12</f>
        <v/>
      </c>
      <c r="X662" s="3">
        <f>AND(NOW()&gt;=tbl_MTG_Set[[#This Row],[Sell Window Start]], NOW()&lt;=tbl_MTG_Set[[#This Row],[Sell Window End]])</f>
        <v/>
      </c>
      <c r="AG662" s="10" t="n"/>
      <c r="AH662" s="10" t="n"/>
      <c r="AM662" s="10">
        <f t="array" ref="AM6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2" s="10">
        <f t="array" ref="AN6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2" s="4">
        <f>_xlfn.XLOOKUP(tbl_MTG_Set[[#This Row],[Play Booster Box Product Id]], tbl_Product[Product Id], tbl_Product[Pack Size])</f>
        <v/>
      </c>
      <c r="AP662" s="10">
        <f>(tbl_MTG_Set[[#This Row],[Play Booster Box Cost]]+v_Item_Shipping_Cost_In)/tbl_MTG_Set[[#This Row],[Play Booster Box Size]]</f>
        <v/>
      </c>
      <c r="AQ662" s="10">
        <f t="array" ref="AQ6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2" s="10" t="n"/>
      <c r="AS662" s="10" t="n"/>
      <c r="AT662" s="17">
        <f>tbl_MTG_Set[[#This Row],[Play Booster CardMarket Profit]]/tbl_MTG_Set[[#This Row],[Play Booster Cost]]</f>
        <v/>
      </c>
      <c r="AU662" s="10">
        <f>_xlfn.XLOOKUP(tbl_MTG_Set[[#This Row],[Collector Booster Box Product Id]], tbl_Product[Product Id], tbl_Product[Min Cost])</f>
        <v/>
      </c>
      <c r="AV662" s="10">
        <f>_xlfn.XLOOKUP(tbl_MTG_Set[[#This Row],[Collector Booster Box Product Id]], tbl_Product[Product Id], tbl_Product[Best Source])</f>
        <v/>
      </c>
      <c r="AW662" s="4">
        <f>_xlfn.XLOOKUP(tbl_MTG_Set[[#This Row],[Collector Booster Box Product Id]], tbl_Product[Product Id], tbl_Product[Pack Size])</f>
        <v/>
      </c>
      <c r="AX662" s="10">
        <f>(tbl_MTG_Set[[#This Row],[Collector Booster Box Cost]] + v_Item_Shipping_Cost_In) / tbl_MTG_Set[[#This Row],[Collector Booster Box Size]]</f>
        <v/>
      </c>
      <c r="AY662" s="10">
        <f t="array" ref="AY6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2" s="10" t="n"/>
      <c r="BA6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2" s="17">
        <f>tbl_MTG_Set[[#This Row],[Collector Booster CardMarket Profit]]/tbl_MTG_Set[[#This Row],[Collector Booster Cost]]</f>
        <v/>
      </c>
      <c r="BC662" s="10" t="n"/>
      <c r="BF662" s="10">
        <f>tbl_MTG_Set[[#This Row],[Play Booster Sell Price CardMarket]]*tbl_MTG_Set[[#This Row],[Play Booster Expected Market Value]]/tbl_MTG_Set[[#This Row],[Play Boost Sealed Market Value]]</f>
        <v/>
      </c>
      <c r="BG6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2" s="10">
        <f>tbl_MTG_Set[[#This Row],[Play Singles CardMarket Profit]]/tbl_MTG_Set[[#This Row],[Play Booster Cost]]</f>
        <v/>
      </c>
      <c r="BI662" s="10">
        <f>tbl_MTG_Set[[#This Row],[Play Singles CardMarket Profit]]&gt;0</f>
        <v/>
      </c>
      <c r="BJ662" s="10" t="n"/>
      <c r="BK662" s="10" t="n"/>
      <c r="BL662" s="10">
        <f>tbl_MTG_Set[[#This Row],[Collector Booster Sell Price CardMarket]]*tbl_MTG_Set[[#This Row],[Collector Booster Expected Market Value]]/tbl_MTG_Set[[#This Row],[Collector Boost Sealed Market Value]]</f>
        <v/>
      </c>
      <c r="BM6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2" s="10">
        <f>tbl_MTG_Set[[#This Row],[Collector Singles CardMarket Profit]]/tbl_MTG_Set[[#This Row],[Collector Booster Cost]]</f>
        <v/>
      </c>
      <c r="BO662" s="10">
        <f>tbl_MTG_Set[[#This Row],[Collector Singles CardMarket Profit]]&gt;0</f>
        <v/>
      </c>
      <c r="BP6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3">
      <c r="A663" t="n">
        <v>661</v>
      </c>
      <c r="B663" t="inlineStr">
        <is>
          <t>Theros Promos PTHS</t>
        </is>
      </c>
      <c r="C663" t="n">
        <v>10</v>
      </c>
      <c r="D663" s="3" t="n">
        <v>41538</v>
      </c>
      <c r="E663" t="inlineStr">
        <is>
          <t>Standard Expansion</t>
        </is>
      </c>
      <c r="F663" t="inlineStr">
        <is>
          <t>en es fr de it pt ja ko ru 汉语 漢語</t>
        </is>
      </c>
      <c r="G663" t="n">
        <v>1268</v>
      </c>
      <c r="H663">
        <f>MONTH(NOW())+12*YEAR(NOW())-MONTH(tbl_MTG_Set[[#This Row],[Released On]])-12*YEAR(tbl_MTG_Set[[#This Row],[Released On]])</f>
        <v/>
      </c>
      <c r="I663">
        <f>_xlfn.XLOOKUP(tbl_MTG_Set[[#This Row],[Type Name]], tbl_MTG_Set_Type[Set Type], tbl_MTG_Set_Type[Index], "(Set Type not found)")</f>
        <v/>
      </c>
      <c r="J663">
        <f>_xlfn.XLOOKUP(tbl_MTG_Set[[#This Row],[Type Name]], tbl_MTG_Set_Type[Set Type], tbl_MTG_Set_Type[Buy Window Month Start], "(Set Type not found)")</f>
        <v/>
      </c>
      <c r="K663" s="3">
        <f>tbl_MTG_Set[[#This Row],[Released On]]+tbl_MTG_Set[[#This Row],[Buy Window Month Start]]*365.25/12</f>
        <v/>
      </c>
      <c r="L663">
        <f>_xlfn.XLOOKUP(tbl_MTG_Set[[#This Row],[Type Name]], tbl_MTG_Set_Type[Set Type], tbl_MTG_Set_Type[Buy Window Month End], "(Set Type not found)", 0, 1)</f>
        <v/>
      </c>
      <c r="M663" s="3">
        <f>tbl_MTG_Set[[#This Row],[Released On]]+tbl_MTG_Set[[#This Row],[Buy Window Month End]]*365.25/12</f>
        <v/>
      </c>
      <c r="N663" s="3">
        <f>AND(NOW()&gt;=tbl_MTG_Set[[#This Row],[Buy Window Start]], NOW()&lt;=tbl_MTG_Set[[#This Row],[Buy Window End]])</f>
        <v/>
      </c>
      <c r="O663">
        <f>_xlfn.XLOOKUP(tbl_MTG_Set[[#This Row],[Type Name]], tbl_MTG_Set_Type[Set Type], tbl_MTG_Set_Type[Heavy Printing Window Month Start], "(Set Type not found)", 0, 1)</f>
        <v/>
      </c>
      <c r="P663" s="3">
        <f>tbl_MTG_Set[[#This Row],[Released On]]+tbl_MTG_Set[[#This Row],[Heavy Printing Window Month Start]]*365.25/12</f>
        <v/>
      </c>
      <c r="Q663">
        <f>_xlfn.XLOOKUP(tbl_MTG_Set[[#This Row],[Type Name]], tbl_MTG_Set_Type[Set Type], tbl_MTG_Set_Type[Heavy Printing Window Month End], "(Set Type not found)", 0, 1)</f>
        <v/>
      </c>
      <c r="R663" s="3">
        <f>tbl_MTG_Set[[#This Row],[Released On]]+tbl_MTG_Set[[#This Row],[Heavy Printing Window Month End]]*365.25/12</f>
        <v/>
      </c>
      <c r="S663" s="3">
        <f>AND(NOW()&gt;=tbl_MTG_Set[[#This Row],[Heavy Printing Window Start]], NOW()&lt;=tbl_MTG_Set[[#This Row],[Heavy Printing Window End]])</f>
        <v/>
      </c>
      <c r="T663">
        <f>_xlfn.XLOOKUP(tbl_MTG_Set[[#This Row],[Type Name]], tbl_MTG_Set_Type[Set Type], tbl_MTG_Set_Type[Sell Window Month Start], "(Set Type not found)", 0, 1)</f>
        <v/>
      </c>
      <c r="U663" s="3">
        <f>tbl_MTG_Set[[#This Row],[Released On]]+tbl_MTG_Set[[#This Row],[Sell Window Month Start]]*365.25/12</f>
        <v/>
      </c>
      <c r="V663">
        <f>_xlfn.XLOOKUP(tbl_MTG_Set[[#This Row],[Type Name]], tbl_MTG_Set_Type[Set Type], tbl_MTG_Set_Type[Sell Window Month End], "(Set Type not found)", 0, 1)</f>
        <v/>
      </c>
      <c r="W663" s="3">
        <f>tbl_MTG_Set[[#This Row],[Released On]]+tbl_MTG_Set[[#This Row],[Sell Window Month End]]*365.25/12</f>
        <v/>
      </c>
      <c r="X663" s="3">
        <f>AND(NOW()&gt;=tbl_MTG_Set[[#This Row],[Sell Window Start]], NOW()&lt;=tbl_MTG_Set[[#This Row],[Sell Window End]])</f>
        <v/>
      </c>
      <c r="AG663" s="10" t="n"/>
      <c r="AH663" s="10" t="n"/>
      <c r="AM663" s="10">
        <f t="array" ref="AM6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3" s="10">
        <f t="array" ref="AN6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3" s="4">
        <f>_xlfn.XLOOKUP(tbl_MTG_Set[[#This Row],[Play Booster Box Product Id]], tbl_Product[Product Id], tbl_Product[Pack Size])</f>
        <v/>
      </c>
      <c r="AP663" s="10">
        <f>(tbl_MTG_Set[[#This Row],[Play Booster Box Cost]]+v_Item_Shipping_Cost_In)/tbl_MTG_Set[[#This Row],[Play Booster Box Size]]</f>
        <v/>
      </c>
      <c r="AQ663" s="10">
        <f t="array" ref="AQ6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3" s="10" t="n"/>
      <c r="AS663" s="10" t="n"/>
      <c r="AT663" s="17">
        <f>tbl_MTG_Set[[#This Row],[Play Booster CardMarket Profit]]/tbl_MTG_Set[[#This Row],[Play Booster Cost]]</f>
        <v/>
      </c>
      <c r="AU663" s="10">
        <f>_xlfn.XLOOKUP(tbl_MTG_Set[[#This Row],[Collector Booster Box Product Id]], tbl_Product[Product Id], tbl_Product[Min Cost])</f>
        <v/>
      </c>
      <c r="AV663" s="10">
        <f>_xlfn.XLOOKUP(tbl_MTG_Set[[#This Row],[Collector Booster Box Product Id]], tbl_Product[Product Id], tbl_Product[Best Source])</f>
        <v/>
      </c>
      <c r="AW663" s="4">
        <f>_xlfn.XLOOKUP(tbl_MTG_Set[[#This Row],[Collector Booster Box Product Id]], tbl_Product[Product Id], tbl_Product[Pack Size])</f>
        <v/>
      </c>
      <c r="AX663" s="10">
        <f>(tbl_MTG_Set[[#This Row],[Collector Booster Box Cost]] + v_Item_Shipping_Cost_In) / tbl_MTG_Set[[#This Row],[Collector Booster Box Size]]</f>
        <v/>
      </c>
      <c r="AY663" s="10">
        <f t="array" ref="AY6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3" s="10" t="n"/>
      <c r="BA6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3" s="17">
        <f>tbl_MTG_Set[[#This Row],[Collector Booster CardMarket Profit]]/tbl_MTG_Set[[#This Row],[Collector Booster Cost]]</f>
        <v/>
      </c>
      <c r="BC663" s="10" t="n"/>
      <c r="BF663" s="10">
        <f>tbl_MTG_Set[[#This Row],[Play Booster Sell Price CardMarket]]*tbl_MTG_Set[[#This Row],[Play Booster Expected Market Value]]/tbl_MTG_Set[[#This Row],[Play Boost Sealed Market Value]]</f>
        <v/>
      </c>
      <c r="BG6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3" s="10">
        <f>tbl_MTG_Set[[#This Row],[Play Singles CardMarket Profit]]/tbl_MTG_Set[[#This Row],[Play Booster Cost]]</f>
        <v/>
      </c>
      <c r="BI663" s="10">
        <f>tbl_MTG_Set[[#This Row],[Play Singles CardMarket Profit]]&gt;0</f>
        <v/>
      </c>
      <c r="BJ663" s="10" t="n"/>
      <c r="BK663" s="10" t="n"/>
      <c r="BL663" s="10">
        <f>tbl_MTG_Set[[#This Row],[Collector Booster Sell Price CardMarket]]*tbl_MTG_Set[[#This Row],[Collector Booster Expected Market Value]]/tbl_MTG_Set[[#This Row],[Collector Boost Sealed Market Value]]</f>
        <v/>
      </c>
      <c r="BM6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3" s="10">
        <f>tbl_MTG_Set[[#This Row],[Collector Singles CardMarket Profit]]/tbl_MTG_Set[[#This Row],[Collector Booster Cost]]</f>
        <v/>
      </c>
      <c r="BO663" s="10">
        <f>tbl_MTG_Set[[#This Row],[Collector Singles CardMarket Profit]]&gt;0</f>
        <v/>
      </c>
      <c r="BP6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4">
      <c r="A664" t="n">
        <v>662</v>
      </c>
      <c r="B664" t="inlineStr">
        <is>
          <t>Theros Tokens TTHS</t>
        </is>
      </c>
      <c r="C664" t="n">
        <v>11</v>
      </c>
      <c r="D664" s="3" t="n">
        <v>41544</v>
      </c>
      <c r="E664" t="inlineStr">
        <is>
          <t>Standard Expansion</t>
        </is>
      </c>
      <c r="F664" t="inlineStr">
        <is>
          <t>en es fr de it pt ja ko ru 汉语 漢語</t>
        </is>
      </c>
      <c r="G664" t="n">
        <v>1270</v>
      </c>
      <c r="H664">
        <f>MONTH(NOW())+12*YEAR(NOW())-MONTH(tbl_MTG_Set[[#This Row],[Released On]])-12*YEAR(tbl_MTG_Set[[#This Row],[Released On]])</f>
        <v/>
      </c>
      <c r="I664">
        <f>_xlfn.XLOOKUP(tbl_MTG_Set[[#This Row],[Type Name]], tbl_MTG_Set_Type[Set Type], tbl_MTG_Set_Type[Index], "(Set Type not found)")</f>
        <v/>
      </c>
      <c r="J664">
        <f>_xlfn.XLOOKUP(tbl_MTG_Set[[#This Row],[Type Name]], tbl_MTG_Set_Type[Set Type], tbl_MTG_Set_Type[Buy Window Month Start], "(Set Type not found)")</f>
        <v/>
      </c>
      <c r="K664" s="3">
        <f>tbl_MTG_Set[[#This Row],[Released On]]+tbl_MTG_Set[[#This Row],[Buy Window Month Start]]*365.25/12</f>
        <v/>
      </c>
      <c r="L664">
        <f>_xlfn.XLOOKUP(tbl_MTG_Set[[#This Row],[Type Name]], tbl_MTG_Set_Type[Set Type], tbl_MTG_Set_Type[Buy Window Month End], "(Set Type not found)", 0, 1)</f>
        <v/>
      </c>
      <c r="M664" s="3">
        <f>tbl_MTG_Set[[#This Row],[Released On]]+tbl_MTG_Set[[#This Row],[Buy Window Month End]]*365.25/12</f>
        <v/>
      </c>
      <c r="N664" s="3">
        <f>AND(NOW()&gt;=tbl_MTG_Set[[#This Row],[Buy Window Start]], NOW()&lt;=tbl_MTG_Set[[#This Row],[Buy Window End]])</f>
        <v/>
      </c>
      <c r="O664">
        <f>_xlfn.XLOOKUP(tbl_MTG_Set[[#This Row],[Type Name]], tbl_MTG_Set_Type[Set Type], tbl_MTG_Set_Type[Heavy Printing Window Month Start], "(Set Type not found)", 0, 1)</f>
        <v/>
      </c>
      <c r="P664" s="3">
        <f>tbl_MTG_Set[[#This Row],[Released On]]+tbl_MTG_Set[[#This Row],[Heavy Printing Window Month Start]]*365.25/12</f>
        <v/>
      </c>
      <c r="Q664">
        <f>_xlfn.XLOOKUP(tbl_MTG_Set[[#This Row],[Type Name]], tbl_MTG_Set_Type[Set Type], tbl_MTG_Set_Type[Heavy Printing Window Month End], "(Set Type not found)", 0, 1)</f>
        <v/>
      </c>
      <c r="R664" s="3">
        <f>tbl_MTG_Set[[#This Row],[Released On]]+tbl_MTG_Set[[#This Row],[Heavy Printing Window Month End]]*365.25/12</f>
        <v/>
      </c>
      <c r="S664" s="3">
        <f>AND(NOW()&gt;=tbl_MTG_Set[[#This Row],[Heavy Printing Window Start]], NOW()&lt;=tbl_MTG_Set[[#This Row],[Heavy Printing Window End]])</f>
        <v/>
      </c>
      <c r="T664">
        <f>_xlfn.XLOOKUP(tbl_MTG_Set[[#This Row],[Type Name]], tbl_MTG_Set_Type[Set Type], tbl_MTG_Set_Type[Sell Window Month Start], "(Set Type not found)", 0, 1)</f>
        <v/>
      </c>
      <c r="U664" s="3">
        <f>tbl_MTG_Set[[#This Row],[Released On]]+tbl_MTG_Set[[#This Row],[Sell Window Month Start]]*365.25/12</f>
        <v/>
      </c>
      <c r="V664">
        <f>_xlfn.XLOOKUP(tbl_MTG_Set[[#This Row],[Type Name]], tbl_MTG_Set_Type[Set Type], tbl_MTG_Set_Type[Sell Window Month End], "(Set Type not found)", 0, 1)</f>
        <v/>
      </c>
      <c r="W664" s="3">
        <f>tbl_MTG_Set[[#This Row],[Released On]]+tbl_MTG_Set[[#This Row],[Sell Window Month End]]*365.25/12</f>
        <v/>
      </c>
      <c r="X664" s="3">
        <f>AND(NOW()&gt;=tbl_MTG_Set[[#This Row],[Sell Window Start]], NOW()&lt;=tbl_MTG_Set[[#This Row],[Sell Window End]])</f>
        <v/>
      </c>
      <c r="AG664" s="10" t="n"/>
      <c r="AH664" s="10" t="n"/>
      <c r="AM664" s="10">
        <f t="array" ref="AM6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4" s="10">
        <f t="array" ref="AN6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4" s="4">
        <f>_xlfn.XLOOKUP(tbl_MTG_Set[[#This Row],[Play Booster Box Product Id]], tbl_Product[Product Id], tbl_Product[Pack Size])</f>
        <v/>
      </c>
      <c r="AP664" s="10">
        <f>(tbl_MTG_Set[[#This Row],[Play Booster Box Cost]]+v_Item_Shipping_Cost_In)/tbl_MTG_Set[[#This Row],[Play Booster Box Size]]</f>
        <v/>
      </c>
      <c r="AQ664" s="10">
        <f t="array" ref="AQ6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4" s="10" t="n"/>
      <c r="AS664" s="10" t="n"/>
      <c r="AT664" s="17">
        <f>tbl_MTG_Set[[#This Row],[Play Booster CardMarket Profit]]/tbl_MTG_Set[[#This Row],[Play Booster Cost]]</f>
        <v/>
      </c>
      <c r="AU664" s="10">
        <f>_xlfn.XLOOKUP(tbl_MTG_Set[[#This Row],[Collector Booster Box Product Id]], tbl_Product[Product Id], tbl_Product[Min Cost])</f>
        <v/>
      </c>
      <c r="AV664" s="10">
        <f>_xlfn.XLOOKUP(tbl_MTG_Set[[#This Row],[Collector Booster Box Product Id]], tbl_Product[Product Id], tbl_Product[Best Source])</f>
        <v/>
      </c>
      <c r="AW664" s="4">
        <f>_xlfn.XLOOKUP(tbl_MTG_Set[[#This Row],[Collector Booster Box Product Id]], tbl_Product[Product Id], tbl_Product[Pack Size])</f>
        <v/>
      </c>
      <c r="AX664" s="10">
        <f>(tbl_MTG_Set[[#This Row],[Collector Booster Box Cost]] + v_Item_Shipping_Cost_In) / tbl_MTG_Set[[#This Row],[Collector Booster Box Size]]</f>
        <v/>
      </c>
      <c r="AY664" s="10">
        <f t="array" ref="AY6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4" s="10" t="n"/>
      <c r="BA6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4" s="17">
        <f>tbl_MTG_Set[[#This Row],[Collector Booster CardMarket Profit]]/tbl_MTG_Set[[#This Row],[Collector Booster Cost]]</f>
        <v/>
      </c>
      <c r="BC664" s="10" t="n"/>
      <c r="BF664" s="10">
        <f>tbl_MTG_Set[[#This Row],[Play Booster Sell Price CardMarket]]*tbl_MTG_Set[[#This Row],[Play Booster Expected Market Value]]/tbl_MTG_Set[[#This Row],[Play Boost Sealed Market Value]]</f>
        <v/>
      </c>
      <c r="BG6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4" s="10">
        <f>tbl_MTG_Set[[#This Row],[Play Singles CardMarket Profit]]/tbl_MTG_Set[[#This Row],[Play Booster Cost]]</f>
        <v/>
      </c>
      <c r="BI664" s="10">
        <f>tbl_MTG_Set[[#This Row],[Play Singles CardMarket Profit]]&gt;0</f>
        <v/>
      </c>
      <c r="BJ664" s="10" t="n"/>
      <c r="BK664" s="10" t="n"/>
      <c r="BL664" s="10">
        <f>tbl_MTG_Set[[#This Row],[Collector Booster Sell Price CardMarket]]*tbl_MTG_Set[[#This Row],[Collector Booster Expected Market Value]]/tbl_MTG_Set[[#This Row],[Collector Boost Sealed Market Value]]</f>
        <v/>
      </c>
      <c r="BM6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4" s="10">
        <f>tbl_MTG_Set[[#This Row],[Collector Singles CardMarket Profit]]/tbl_MTG_Set[[#This Row],[Collector Booster Cost]]</f>
        <v/>
      </c>
      <c r="BO664" s="10">
        <f>tbl_MTG_Set[[#This Row],[Collector Singles CardMarket Profit]]&gt;0</f>
        <v/>
      </c>
      <c r="BP6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5">
      <c r="A665" t="n">
        <v>663</v>
      </c>
      <c r="B665" t="inlineStr">
        <is>
          <t>Face the Hydra TFTH</t>
        </is>
      </c>
      <c r="C665" t="n">
        <v>15</v>
      </c>
      <c r="D665" s="3" t="n">
        <v>41566</v>
      </c>
      <c r="F665" t="inlineStr">
        <is>
          <t>en es fr de it pt ja ko ru 汉语 漢語</t>
        </is>
      </c>
      <c r="G665" t="n">
        <v>1272</v>
      </c>
      <c r="H665">
        <f>MONTH(NOW())+12*YEAR(NOW())-MONTH(tbl_MTG_Set[[#This Row],[Released On]])-12*YEAR(tbl_MTG_Set[[#This Row],[Released On]])</f>
        <v/>
      </c>
      <c r="I665">
        <f>_xlfn.XLOOKUP(tbl_MTG_Set[[#This Row],[Type Name]], tbl_MTG_Set_Type[Set Type], tbl_MTG_Set_Type[Index], "(Set Type not found)")</f>
        <v/>
      </c>
      <c r="J665">
        <f>_xlfn.XLOOKUP(tbl_MTG_Set[[#This Row],[Type Name]], tbl_MTG_Set_Type[Set Type], tbl_MTG_Set_Type[Buy Window Month Start], "(Set Type not found)")</f>
        <v/>
      </c>
      <c r="K665" s="3">
        <f>tbl_MTG_Set[[#This Row],[Released On]]+tbl_MTG_Set[[#This Row],[Buy Window Month Start]]*365.25/12</f>
        <v/>
      </c>
      <c r="L665">
        <f>_xlfn.XLOOKUP(tbl_MTG_Set[[#This Row],[Type Name]], tbl_MTG_Set_Type[Set Type], tbl_MTG_Set_Type[Buy Window Month End], "(Set Type not found)", 0, 1)</f>
        <v/>
      </c>
      <c r="M665" s="3">
        <f>tbl_MTG_Set[[#This Row],[Released On]]+tbl_MTG_Set[[#This Row],[Buy Window Month End]]*365.25/12</f>
        <v/>
      </c>
      <c r="N665" s="3">
        <f>AND(NOW()&gt;=tbl_MTG_Set[[#This Row],[Buy Window Start]], NOW()&lt;=tbl_MTG_Set[[#This Row],[Buy Window End]])</f>
        <v/>
      </c>
      <c r="O665">
        <f>_xlfn.XLOOKUP(tbl_MTG_Set[[#This Row],[Type Name]], tbl_MTG_Set_Type[Set Type], tbl_MTG_Set_Type[Heavy Printing Window Month Start], "(Set Type not found)", 0, 1)</f>
        <v/>
      </c>
      <c r="P665" s="3">
        <f>tbl_MTG_Set[[#This Row],[Released On]]+tbl_MTG_Set[[#This Row],[Heavy Printing Window Month Start]]*365.25/12</f>
        <v/>
      </c>
      <c r="Q665">
        <f>_xlfn.XLOOKUP(tbl_MTG_Set[[#This Row],[Type Name]], tbl_MTG_Set_Type[Set Type], tbl_MTG_Set_Type[Heavy Printing Window Month End], "(Set Type not found)", 0, 1)</f>
        <v/>
      </c>
      <c r="R665" s="3">
        <f>tbl_MTG_Set[[#This Row],[Released On]]+tbl_MTG_Set[[#This Row],[Heavy Printing Window Month End]]*365.25/12</f>
        <v/>
      </c>
      <c r="S665" s="3">
        <f>AND(NOW()&gt;=tbl_MTG_Set[[#This Row],[Heavy Printing Window Start]], NOW()&lt;=tbl_MTG_Set[[#This Row],[Heavy Printing Window End]])</f>
        <v/>
      </c>
      <c r="T665">
        <f>_xlfn.XLOOKUP(tbl_MTG_Set[[#This Row],[Type Name]], tbl_MTG_Set_Type[Set Type], tbl_MTG_Set_Type[Sell Window Month Start], "(Set Type not found)", 0, 1)</f>
        <v/>
      </c>
      <c r="U665" s="3">
        <f>tbl_MTG_Set[[#This Row],[Released On]]+tbl_MTG_Set[[#This Row],[Sell Window Month Start]]*365.25/12</f>
        <v/>
      </c>
      <c r="V665">
        <f>_xlfn.XLOOKUP(tbl_MTG_Set[[#This Row],[Type Name]], tbl_MTG_Set_Type[Set Type], tbl_MTG_Set_Type[Sell Window Month End], "(Set Type not found)", 0, 1)</f>
        <v/>
      </c>
      <c r="W665" s="3">
        <f>tbl_MTG_Set[[#This Row],[Released On]]+tbl_MTG_Set[[#This Row],[Sell Window Month End]]*365.25/12</f>
        <v/>
      </c>
      <c r="X665" s="3">
        <f>AND(NOW()&gt;=tbl_MTG_Set[[#This Row],[Sell Window Start]], NOW()&lt;=tbl_MTG_Set[[#This Row],[Sell Window End]])</f>
        <v/>
      </c>
      <c r="AG665" s="10" t="n"/>
      <c r="AH665" s="10" t="n"/>
      <c r="AM665" s="10">
        <f t="array" ref="AM6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5" s="10">
        <f t="array" ref="AN6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5" s="4">
        <f>_xlfn.XLOOKUP(tbl_MTG_Set[[#This Row],[Play Booster Box Product Id]], tbl_Product[Product Id], tbl_Product[Pack Size])</f>
        <v/>
      </c>
      <c r="AP665" s="10">
        <f>(tbl_MTG_Set[[#This Row],[Play Booster Box Cost]]+v_Item_Shipping_Cost_In)/tbl_MTG_Set[[#This Row],[Play Booster Box Size]]</f>
        <v/>
      </c>
      <c r="AQ665" s="10">
        <f t="array" ref="AQ6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5" s="10" t="n"/>
      <c r="AS665" s="10" t="n"/>
      <c r="AT665" s="17">
        <f>tbl_MTG_Set[[#This Row],[Play Booster CardMarket Profit]]/tbl_MTG_Set[[#This Row],[Play Booster Cost]]</f>
        <v/>
      </c>
      <c r="AU665" s="10">
        <f>_xlfn.XLOOKUP(tbl_MTG_Set[[#This Row],[Collector Booster Box Product Id]], tbl_Product[Product Id], tbl_Product[Min Cost])</f>
        <v/>
      </c>
      <c r="AV665" s="10">
        <f>_xlfn.XLOOKUP(tbl_MTG_Set[[#This Row],[Collector Booster Box Product Id]], tbl_Product[Product Id], tbl_Product[Best Source])</f>
        <v/>
      </c>
      <c r="AW665" s="4">
        <f>_xlfn.XLOOKUP(tbl_MTG_Set[[#This Row],[Collector Booster Box Product Id]], tbl_Product[Product Id], tbl_Product[Pack Size])</f>
        <v/>
      </c>
      <c r="AX665" s="10">
        <f>(tbl_MTG_Set[[#This Row],[Collector Booster Box Cost]] + v_Item_Shipping_Cost_In) / tbl_MTG_Set[[#This Row],[Collector Booster Box Size]]</f>
        <v/>
      </c>
      <c r="AY665" s="10">
        <f t="array" ref="AY6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5" s="10" t="n"/>
      <c r="BA6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5" s="17">
        <f>tbl_MTG_Set[[#This Row],[Collector Booster CardMarket Profit]]/tbl_MTG_Set[[#This Row],[Collector Booster Cost]]</f>
        <v/>
      </c>
      <c r="BC665" s="10" t="n"/>
      <c r="BF665" s="10">
        <f>tbl_MTG_Set[[#This Row],[Play Booster Sell Price CardMarket]]*tbl_MTG_Set[[#This Row],[Play Booster Expected Market Value]]/tbl_MTG_Set[[#This Row],[Play Boost Sealed Market Value]]</f>
        <v/>
      </c>
      <c r="BG6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5" s="10">
        <f>tbl_MTG_Set[[#This Row],[Play Singles CardMarket Profit]]/tbl_MTG_Set[[#This Row],[Play Booster Cost]]</f>
        <v/>
      </c>
      <c r="BI665" s="10">
        <f>tbl_MTG_Set[[#This Row],[Play Singles CardMarket Profit]]&gt;0</f>
        <v/>
      </c>
      <c r="BJ665" s="10" t="n"/>
      <c r="BK665" s="10" t="n"/>
      <c r="BL665" s="10">
        <f>tbl_MTG_Set[[#This Row],[Collector Booster Sell Price CardMarket]]*tbl_MTG_Set[[#This Row],[Collector Booster Expected Market Value]]/tbl_MTG_Set[[#This Row],[Collector Boost Sealed Market Value]]</f>
        <v/>
      </c>
      <c r="BM6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5" s="10">
        <f>tbl_MTG_Set[[#This Row],[Collector Singles CardMarket Profit]]/tbl_MTG_Set[[#This Row],[Collector Booster Cost]]</f>
        <v/>
      </c>
      <c r="BO665" s="10">
        <f>tbl_MTG_Set[[#This Row],[Collector Singles CardMarket Profit]]&gt;0</f>
        <v/>
      </c>
      <c r="BP6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6">
      <c r="A666" t="n">
        <v>664</v>
      </c>
      <c r="B666" t="inlineStr">
        <is>
          <t>Theros Hero's Path THP1</t>
        </is>
      </c>
      <c r="C666" t="n">
        <v>7</v>
      </c>
      <c r="D666" s="3" t="n">
        <v>41544</v>
      </c>
      <c r="E666" t="inlineStr">
        <is>
          <t>Standard Expansion</t>
        </is>
      </c>
      <c r="F666" t="inlineStr">
        <is>
          <t>en es fr de it pt ja ko ru 汉语 漢語</t>
        </is>
      </c>
      <c r="G666" t="n">
        <v>1274</v>
      </c>
      <c r="H666">
        <f>MONTH(NOW())+12*YEAR(NOW())-MONTH(tbl_MTG_Set[[#This Row],[Released On]])-12*YEAR(tbl_MTG_Set[[#This Row],[Released On]])</f>
        <v/>
      </c>
      <c r="I666">
        <f>_xlfn.XLOOKUP(tbl_MTG_Set[[#This Row],[Type Name]], tbl_MTG_Set_Type[Set Type], tbl_MTG_Set_Type[Index], "(Set Type not found)")</f>
        <v/>
      </c>
      <c r="J666">
        <f>_xlfn.XLOOKUP(tbl_MTG_Set[[#This Row],[Type Name]], tbl_MTG_Set_Type[Set Type], tbl_MTG_Set_Type[Buy Window Month Start], "(Set Type not found)")</f>
        <v/>
      </c>
      <c r="K666" s="3">
        <f>tbl_MTG_Set[[#This Row],[Released On]]+tbl_MTG_Set[[#This Row],[Buy Window Month Start]]*365.25/12</f>
        <v/>
      </c>
      <c r="L666">
        <f>_xlfn.XLOOKUP(tbl_MTG_Set[[#This Row],[Type Name]], tbl_MTG_Set_Type[Set Type], tbl_MTG_Set_Type[Buy Window Month End], "(Set Type not found)", 0, 1)</f>
        <v/>
      </c>
      <c r="M666" s="3">
        <f>tbl_MTG_Set[[#This Row],[Released On]]+tbl_MTG_Set[[#This Row],[Buy Window Month End]]*365.25/12</f>
        <v/>
      </c>
      <c r="N666" s="3">
        <f>AND(NOW()&gt;=tbl_MTG_Set[[#This Row],[Buy Window Start]], NOW()&lt;=tbl_MTG_Set[[#This Row],[Buy Window End]])</f>
        <v/>
      </c>
      <c r="O666">
        <f>_xlfn.XLOOKUP(tbl_MTG_Set[[#This Row],[Type Name]], tbl_MTG_Set_Type[Set Type], tbl_MTG_Set_Type[Heavy Printing Window Month Start], "(Set Type not found)", 0, 1)</f>
        <v/>
      </c>
      <c r="P666" s="3">
        <f>tbl_MTG_Set[[#This Row],[Released On]]+tbl_MTG_Set[[#This Row],[Heavy Printing Window Month Start]]*365.25/12</f>
        <v/>
      </c>
      <c r="Q666">
        <f>_xlfn.XLOOKUP(tbl_MTG_Set[[#This Row],[Type Name]], tbl_MTG_Set_Type[Set Type], tbl_MTG_Set_Type[Heavy Printing Window Month End], "(Set Type not found)", 0, 1)</f>
        <v/>
      </c>
      <c r="R666" s="3">
        <f>tbl_MTG_Set[[#This Row],[Released On]]+tbl_MTG_Set[[#This Row],[Heavy Printing Window Month End]]*365.25/12</f>
        <v/>
      </c>
      <c r="S666" s="3">
        <f>AND(NOW()&gt;=tbl_MTG_Set[[#This Row],[Heavy Printing Window Start]], NOW()&lt;=tbl_MTG_Set[[#This Row],[Heavy Printing Window End]])</f>
        <v/>
      </c>
      <c r="T666">
        <f>_xlfn.XLOOKUP(tbl_MTG_Set[[#This Row],[Type Name]], tbl_MTG_Set_Type[Set Type], tbl_MTG_Set_Type[Sell Window Month Start], "(Set Type not found)", 0, 1)</f>
        <v/>
      </c>
      <c r="U666" s="3">
        <f>tbl_MTG_Set[[#This Row],[Released On]]+tbl_MTG_Set[[#This Row],[Sell Window Month Start]]*365.25/12</f>
        <v/>
      </c>
      <c r="V666">
        <f>_xlfn.XLOOKUP(tbl_MTG_Set[[#This Row],[Type Name]], tbl_MTG_Set_Type[Set Type], tbl_MTG_Set_Type[Sell Window Month End], "(Set Type not found)", 0, 1)</f>
        <v/>
      </c>
      <c r="W666" s="3">
        <f>tbl_MTG_Set[[#This Row],[Released On]]+tbl_MTG_Set[[#This Row],[Sell Window Month End]]*365.25/12</f>
        <v/>
      </c>
      <c r="X666" s="3">
        <f>AND(NOW()&gt;=tbl_MTG_Set[[#This Row],[Sell Window Start]], NOW()&lt;=tbl_MTG_Set[[#This Row],[Sell Window End]])</f>
        <v/>
      </c>
      <c r="AG666" s="10" t="n"/>
      <c r="AH666" s="10" t="n"/>
      <c r="AM666" s="10">
        <f t="array" ref="AM6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6" s="10">
        <f t="array" ref="AN6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6" s="4">
        <f>_xlfn.XLOOKUP(tbl_MTG_Set[[#This Row],[Play Booster Box Product Id]], tbl_Product[Product Id], tbl_Product[Pack Size])</f>
        <v/>
      </c>
      <c r="AP666" s="10">
        <f>(tbl_MTG_Set[[#This Row],[Play Booster Box Cost]]+v_Item_Shipping_Cost_In)/tbl_MTG_Set[[#This Row],[Play Booster Box Size]]</f>
        <v/>
      </c>
      <c r="AQ666" s="10">
        <f t="array" ref="AQ6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6" s="10" t="n"/>
      <c r="AS666" s="10" t="n"/>
      <c r="AT666" s="17">
        <f>tbl_MTG_Set[[#This Row],[Play Booster CardMarket Profit]]/tbl_MTG_Set[[#This Row],[Play Booster Cost]]</f>
        <v/>
      </c>
      <c r="AU666" s="10">
        <f>_xlfn.XLOOKUP(tbl_MTG_Set[[#This Row],[Collector Booster Box Product Id]], tbl_Product[Product Id], tbl_Product[Min Cost])</f>
        <v/>
      </c>
      <c r="AV666" s="10">
        <f>_xlfn.XLOOKUP(tbl_MTG_Set[[#This Row],[Collector Booster Box Product Id]], tbl_Product[Product Id], tbl_Product[Best Source])</f>
        <v/>
      </c>
      <c r="AW666" s="4">
        <f>_xlfn.XLOOKUP(tbl_MTG_Set[[#This Row],[Collector Booster Box Product Id]], tbl_Product[Product Id], tbl_Product[Pack Size])</f>
        <v/>
      </c>
      <c r="AX666" s="10">
        <f>(tbl_MTG_Set[[#This Row],[Collector Booster Box Cost]] + v_Item_Shipping_Cost_In) / tbl_MTG_Set[[#This Row],[Collector Booster Box Size]]</f>
        <v/>
      </c>
      <c r="AY666" s="10">
        <f t="array" ref="AY6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6" s="10" t="n"/>
      <c r="BA6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6" s="17">
        <f>tbl_MTG_Set[[#This Row],[Collector Booster CardMarket Profit]]/tbl_MTG_Set[[#This Row],[Collector Booster Cost]]</f>
        <v/>
      </c>
      <c r="BC666" s="10" t="n"/>
      <c r="BF666" s="10">
        <f>tbl_MTG_Set[[#This Row],[Play Booster Sell Price CardMarket]]*tbl_MTG_Set[[#This Row],[Play Booster Expected Market Value]]/tbl_MTG_Set[[#This Row],[Play Boost Sealed Market Value]]</f>
        <v/>
      </c>
      <c r="BG6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6" s="10">
        <f>tbl_MTG_Set[[#This Row],[Play Singles CardMarket Profit]]/tbl_MTG_Set[[#This Row],[Play Booster Cost]]</f>
        <v/>
      </c>
      <c r="BI666" s="10">
        <f>tbl_MTG_Set[[#This Row],[Play Singles CardMarket Profit]]&gt;0</f>
        <v/>
      </c>
      <c r="BJ666" s="10" t="n"/>
      <c r="BK666" s="10" t="n"/>
      <c r="BL666" s="10">
        <f>tbl_MTG_Set[[#This Row],[Collector Booster Sell Price CardMarket]]*tbl_MTG_Set[[#This Row],[Collector Booster Expected Market Value]]/tbl_MTG_Set[[#This Row],[Collector Boost Sealed Market Value]]</f>
        <v/>
      </c>
      <c r="BM6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6" s="10">
        <f>tbl_MTG_Set[[#This Row],[Collector Singles CardMarket Profit]]/tbl_MTG_Set[[#This Row],[Collector Booster Cost]]</f>
        <v/>
      </c>
      <c r="BO666" s="10">
        <f>tbl_MTG_Set[[#This Row],[Collector Singles CardMarket Profit]]&gt;0</f>
        <v/>
      </c>
      <c r="BP6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7">
      <c r="A667" t="n">
        <v>665</v>
      </c>
      <c r="B667" t="inlineStr">
        <is>
          <t>Duel Decks: Heroes vs. Monsters DDL</t>
        </is>
      </c>
      <c r="C667" t="n">
        <v>81</v>
      </c>
      <c r="D667" s="3" t="n">
        <v>41523</v>
      </c>
      <c r="F667" t="inlineStr">
        <is>
          <t>en es fr de it pt ja ko ru 汉语 漢語</t>
        </is>
      </c>
      <c r="G667" t="n">
        <v>1276</v>
      </c>
      <c r="H667">
        <f>MONTH(NOW())+12*YEAR(NOW())-MONTH(tbl_MTG_Set[[#This Row],[Released On]])-12*YEAR(tbl_MTG_Set[[#This Row],[Released On]])</f>
        <v/>
      </c>
      <c r="I667">
        <f>_xlfn.XLOOKUP(tbl_MTG_Set[[#This Row],[Type Name]], tbl_MTG_Set_Type[Set Type], tbl_MTG_Set_Type[Index], "(Set Type not found)")</f>
        <v/>
      </c>
      <c r="J667">
        <f>_xlfn.XLOOKUP(tbl_MTG_Set[[#This Row],[Type Name]], tbl_MTG_Set_Type[Set Type], tbl_MTG_Set_Type[Buy Window Month Start], "(Set Type not found)")</f>
        <v/>
      </c>
      <c r="K667" s="3">
        <f>tbl_MTG_Set[[#This Row],[Released On]]+tbl_MTG_Set[[#This Row],[Buy Window Month Start]]*365.25/12</f>
        <v/>
      </c>
      <c r="L667">
        <f>_xlfn.XLOOKUP(tbl_MTG_Set[[#This Row],[Type Name]], tbl_MTG_Set_Type[Set Type], tbl_MTG_Set_Type[Buy Window Month End], "(Set Type not found)", 0, 1)</f>
        <v/>
      </c>
      <c r="M667" s="3">
        <f>tbl_MTG_Set[[#This Row],[Released On]]+tbl_MTG_Set[[#This Row],[Buy Window Month End]]*365.25/12</f>
        <v/>
      </c>
      <c r="N667" s="3">
        <f>AND(NOW()&gt;=tbl_MTG_Set[[#This Row],[Buy Window Start]], NOW()&lt;=tbl_MTG_Set[[#This Row],[Buy Window End]])</f>
        <v/>
      </c>
      <c r="O667">
        <f>_xlfn.XLOOKUP(tbl_MTG_Set[[#This Row],[Type Name]], tbl_MTG_Set_Type[Set Type], tbl_MTG_Set_Type[Heavy Printing Window Month Start], "(Set Type not found)", 0, 1)</f>
        <v/>
      </c>
      <c r="P667" s="3">
        <f>tbl_MTG_Set[[#This Row],[Released On]]+tbl_MTG_Set[[#This Row],[Heavy Printing Window Month Start]]*365.25/12</f>
        <v/>
      </c>
      <c r="Q667">
        <f>_xlfn.XLOOKUP(tbl_MTG_Set[[#This Row],[Type Name]], tbl_MTG_Set_Type[Set Type], tbl_MTG_Set_Type[Heavy Printing Window Month End], "(Set Type not found)", 0, 1)</f>
        <v/>
      </c>
      <c r="R667" s="3">
        <f>tbl_MTG_Set[[#This Row],[Released On]]+tbl_MTG_Set[[#This Row],[Heavy Printing Window Month End]]*365.25/12</f>
        <v/>
      </c>
      <c r="S667" s="3">
        <f>AND(NOW()&gt;=tbl_MTG_Set[[#This Row],[Heavy Printing Window Start]], NOW()&lt;=tbl_MTG_Set[[#This Row],[Heavy Printing Window End]])</f>
        <v/>
      </c>
      <c r="T667">
        <f>_xlfn.XLOOKUP(tbl_MTG_Set[[#This Row],[Type Name]], tbl_MTG_Set_Type[Set Type], tbl_MTG_Set_Type[Sell Window Month Start], "(Set Type not found)", 0, 1)</f>
        <v/>
      </c>
      <c r="U667" s="3">
        <f>tbl_MTG_Set[[#This Row],[Released On]]+tbl_MTG_Set[[#This Row],[Sell Window Month Start]]*365.25/12</f>
        <v/>
      </c>
      <c r="V667">
        <f>_xlfn.XLOOKUP(tbl_MTG_Set[[#This Row],[Type Name]], tbl_MTG_Set_Type[Set Type], tbl_MTG_Set_Type[Sell Window Month End], "(Set Type not found)", 0, 1)</f>
        <v/>
      </c>
      <c r="W667" s="3">
        <f>tbl_MTG_Set[[#This Row],[Released On]]+tbl_MTG_Set[[#This Row],[Sell Window Month End]]*365.25/12</f>
        <v/>
      </c>
      <c r="X667" s="3">
        <f>AND(NOW()&gt;=tbl_MTG_Set[[#This Row],[Sell Window Start]], NOW()&lt;=tbl_MTG_Set[[#This Row],[Sell Window End]])</f>
        <v/>
      </c>
      <c r="AG667" s="10" t="n"/>
      <c r="AH667" s="10" t="n"/>
      <c r="AM667" s="10">
        <f t="array" ref="AM6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7" s="10">
        <f t="array" ref="AN6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7" s="4">
        <f>_xlfn.XLOOKUP(tbl_MTG_Set[[#This Row],[Play Booster Box Product Id]], tbl_Product[Product Id], tbl_Product[Pack Size])</f>
        <v/>
      </c>
      <c r="AP667" s="10">
        <f>(tbl_MTG_Set[[#This Row],[Play Booster Box Cost]]+v_Item_Shipping_Cost_In)/tbl_MTG_Set[[#This Row],[Play Booster Box Size]]</f>
        <v/>
      </c>
      <c r="AQ667" s="10">
        <f t="array" ref="AQ6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7" s="10" t="n"/>
      <c r="AS667" s="10" t="n"/>
      <c r="AT667" s="17">
        <f>tbl_MTG_Set[[#This Row],[Play Booster CardMarket Profit]]/tbl_MTG_Set[[#This Row],[Play Booster Cost]]</f>
        <v/>
      </c>
      <c r="AU667" s="10">
        <f>_xlfn.XLOOKUP(tbl_MTG_Set[[#This Row],[Collector Booster Box Product Id]], tbl_Product[Product Id], tbl_Product[Min Cost])</f>
        <v/>
      </c>
      <c r="AV667" s="10">
        <f>_xlfn.XLOOKUP(tbl_MTG_Set[[#This Row],[Collector Booster Box Product Id]], tbl_Product[Product Id], tbl_Product[Best Source])</f>
        <v/>
      </c>
      <c r="AW667" s="4">
        <f>_xlfn.XLOOKUP(tbl_MTG_Set[[#This Row],[Collector Booster Box Product Id]], tbl_Product[Product Id], tbl_Product[Pack Size])</f>
        <v/>
      </c>
      <c r="AX667" s="10">
        <f>(tbl_MTG_Set[[#This Row],[Collector Booster Box Cost]] + v_Item_Shipping_Cost_In) / tbl_MTG_Set[[#This Row],[Collector Booster Box Size]]</f>
        <v/>
      </c>
      <c r="AY667" s="10">
        <f t="array" ref="AY6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7" s="10" t="n"/>
      <c r="BA6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7" s="17">
        <f>tbl_MTG_Set[[#This Row],[Collector Booster CardMarket Profit]]/tbl_MTG_Set[[#This Row],[Collector Booster Cost]]</f>
        <v/>
      </c>
      <c r="BC667" s="10" t="n"/>
      <c r="BF667" s="10">
        <f>tbl_MTG_Set[[#This Row],[Play Booster Sell Price CardMarket]]*tbl_MTG_Set[[#This Row],[Play Booster Expected Market Value]]/tbl_MTG_Set[[#This Row],[Play Boost Sealed Market Value]]</f>
        <v/>
      </c>
      <c r="BG6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7" s="10">
        <f>tbl_MTG_Set[[#This Row],[Play Singles CardMarket Profit]]/tbl_MTG_Set[[#This Row],[Play Booster Cost]]</f>
        <v/>
      </c>
      <c r="BI667" s="10">
        <f>tbl_MTG_Set[[#This Row],[Play Singles CardMarket Profit]]&gt;0</f>
        <v/>
      </c>
      <c r="BJ667" s="10" t="n"/>
      <c r="BK667" s="10" t="n"/>
      <c r="BL667" s="10">
        <f>tbl_MTG_Set[[#This Row],[Collector Booster Sell Price CardMarket]]*tbl_MTG_Set[[#This Row],[Collector Booster Expected Market Value]]/tbl_MTG_Set[[#This Row],[Collector Boost Sealed Market Value]]</f>
        <v/>
      </c>
      <c r="BM6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7" s="10">
        <f>tbl_MTG_Set[[#This Row],[Collector Singles CardMarket Profit]]/tbl_MTG_Set[[#This Row],[Collector Booster Cost]]</f>
        <v/>
      </c>
      <c r="BO667" s="10">
        <f>tbl_MTG_Set[[#This Row],[Collector Singles CardMarket Profit]]&gt;0</f>
        <v/>
      </c>
      <c r="BP6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8">
      <c r="A668" t="n">
        <v>666</v>
      </c>
      <c r="B668" t="inlineStr">
        <is>
          <t>Duel Decks: Heroes vs. Monsters Tokens TDDL</t>
        </is>
      </c>
      <c r="C668" t="n">
        <v>2</v>
      </c>
      <c r="D668" s="3" t="n">
        <v>41523</v>
      </c>
      <c r="F668" t="inlineStr">
        <is>
          <t>en es fr de it pt ja ko ru 汉语 漢語</t>
        </is>
      </c>
      <c r="G668" t="n">
        <v>1278</v>
      </c>
      <c r="H668">
        <f>MONTH(NOW())+12*YEAR(NOW())-MONTH(tbl_MTG_Set[[#This Row],[Released On]])-12*YEAR(tbl_MTG_Set[[#This Row],[Released On]])</f>
        <v/>
      </c>
      <c r="I668">
        <f>_xlfn.XLOOKUP(tbl_MTG_Set[[#This Row],[Type Name]], tbl_MTG_Set_Type[Set Type], tbl_MTG_Set_Type[Index], "(Set Type not found)")</f>
        <v/>
      </c>
      <c r="J668">
        <f>_xlfn.XLOOKUP(tbl_MTG_Set[[#This Row],[Type Name]], tbl_MTG_Set_Type[Set Type], tbl_MTG_Set_Type[Buy Window Month Start], "(Set Type not found)")</f>
        <v/>
      </c>
      <c r="K668" s="3">
        <f>tbl_MTG_Set[[#This Row],[Released On]]+tbl_MTG_Set[[#This Row],[Buy Window Month Start]]*365.25/12</f>
        <v/>
      </c>
      <c r="L668">
        <f>_xlfn.XLOOKUP(tbl_MTG_Set[[#This Row],[Type Name]], tbl_MTG_Set_Type[Set Type], tbl_MTG_Set_Type[Buy Window Month End], "(Set Type not found)", 0, 1)</f>
        <v/>
      </c>
      <c r="M668" s="3">
        <f>tbl_MTG_Set[[#This Row],[Released On]]+tbl_MTG_Set[[#This Row],[Buy Window Month End]]*365.25/12</f>
        <v/>
      </c>
      <c r="N668" s="3">
        <f>AND(NOW()&gt;=tbl_MTG_Set[[#This Row],[Buy Window Start]], NOW()&lt;=tbl_MTG_Set[[#This Row],[Buy Window End]])</f>
        <v/>
      </c>
      <c r="O668">
        <f>_xlfn.XLOOKUP(tbl_MTG_Set[[#This Row],[Type Name]], tbl_MTG_Set_Type[Set Type], tbl_MTG_Set_Type[Heavy Printing Window Month Start], "(Set Type not found)", 0, 1)</f>
        <v/>
      </c>
      <c r="P668" s="3">
        <f>tbl_MTG_Set[[#This Row],[Released On]]+tbl_MTG_Set[[#This Row],[Heavy Printing Window Month Start]]*365.25/12</f>
        <v/>
      </c>
      <c r="Q668">
        <f>_xlfn.XLOOKUP(tbl_MTG_Set[[#This Row],[Type Name]], tbl_MTG_Set_Type[Set Type], tbl_MTG_Set_Type[Heavy Printing Window Month End], "(Set Type not found)", 0, 1)</f>
        <v/>
      </c>
      <c r="R668" s="3">
        <f>tbl_MTG_Set[[#This Row],[Released On]]+tbl_MTG_Set[[#This Row],[Heavy Printing Window Month End]]*365.25/12</f>
        <v/>
      </c>
      <c r="S668" s="3">
        <f>AND(NOW()&gt;=tbl_MTG_Set[[#This Row],[Heavy Printing Window Start]], NOW()&lt;=tbl_MTG_Set[[#This Row],[Heavy Printing Window End]])</f>
        <v/>
      </c>
      <c r="T668">
        <f>_xlfn.XLOOKUP(tbl_MTG_Set[[#This Row],[Type Name]], tbl_MTG_Set_Type[Set Type], tbl_MTG_Set_Type[Sell Window Month Start], "(Set Type not found)", 0, 1)</f>
        <v/>
      </c>
      <c r="U668" s="3">
        <f>tbl_MTG_Set[[#This Row],[Released On]]+tbl_MTG_Set[[#This Row],[Sell Window Month Start]]*365.25/12</f>
        <v/>
      </c>
      <c r="V668">
        <f>_xlfn.XLOOKUP(tbl_MTG_Set[[#This Row],[Type Name]], tbl_MTG_Set_Type[Set Type], tbl_MTG_Set_Type[Sell Window Month End], "(Set Type not found)", 0, 1)</f>
        <v/>
      </c>
      <c r="W668" s="3">
        <f>tbl_MTG_Set[[#This Row],[Released On]]+tbl_MTG_Set[[#This Row],[Sell Window Month End]]*365.25/12</f>
        <v/>
      </c>
      <c r="X668" s="3">
        <f>AND(NOW()&gt;=tbl_MTG_Set[[#This Row],[Sell Window Start]], NOW()&lt;=tbl_MTG_Set[[#This Row],[Sell Window End]])</f>
        <v/>
      </c>
      <c r="AG668" s="10" t="n"/>
      <c r="AH668" s="10" t="n"/>
      <c r="AM668" s="10">
        <f t="array" ref="AM6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8" s="10">
        <f t="array" ref="AN6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8" s="4">
        <f>_xlfn.XLOOKUP(tbl_MTG_Set[[#This Row],[Play Booster Box Product Id]], tbl_Product[Product Id], tbl_Product[Pack Size])</f>
        <v/>
      </c>
      <c r="AP668" s="10">
        <f>(tbl_MTG_Set[[#This Row],[Play Booster Box Cost]]+v_Item_Shipping_Cost_In)/tbl_MTG_Set[[#This Row],[Play Booster Box Size]]</f>
        <v/>
      </c>
      <c r="AQ668" s="10">
        <f t="array" ref="AQ6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8" s="10" t="n"/>
      <c r="AS668" s="10" t="n"/>
      <c r="AT668" s="17">
        <f>tbl_MTG_Set[[#This Row],[Play Booster CardMarket Profit]]/tbl_MTG_Set[[#This Row],[Play Booster Cost]]</f>
        <v/>
      </c>
      <c r="AU668" s="10">
        <f>_xlfn.XLOOKUP(tbl_MTG_Set[[#This Row],[Collector Booster Box Product Id]], tbl_Product[Product Id], tbl_Product[Min Cost])</f>
        <v/>
      </c>
      <c r="AV668" s="10">
        <f>_xlfn.XLOOKUP(tbl_MTG_Set[[#This Row],[Collector Booster Box Product Id]], tbl_Product[Product Id], tbl_Product[Best Source])</f>
        <v/>
      </c>
      <c r="AW668" s="4">
        <f>_xlfn.XLOOKUP(tbl_MTG_Set[[#This Row],[Collector Booster Box Product Id]], tbl_Product[Product Id], tbl_Product[Pack Size])</f>
        <v/>
      </c>
      <c r="AX668" s="10">
        <f>(tbl_MTG_Set[[#This Row],[Collector Booster Box Cost]] + v_Item_Shipping_Cost_In) / tbl_MTG_Set[[#This Row],[Collector Booster Box Size]]</f>
        <v/>
      </c>
      <c r="AY668" s="10">
        <f t="array" ref="AY6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8" s="10" t="n"/>
      <c r="BA6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8" s="17">
        <f>tbl_MTG_Set[[#This Row],[Collector Booster CardMarket Profit]]/tbl_MTG_Set[[#This Row],[Collector Booster Cost]]</f>
        <v/>
      </c>
      <c r="BC668" s="10" t="n"/>
      <c r="BF668" s="10">
        <f>tbl_MTG_Set[[#This Row],[Play Booster Sell Price CardMarket]]*tbl_MTG_Set[[#This Row],[Play Booster Expected Market Value]]/tbl_MTG_Set[[#This Row],[Play Boost Sealed Market Value]]</f>
        <v/>
      </c>
      <c r="BG6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8" s="10">
        <f>tbl_MTG_Set[[#This Row],[Play Singles CardMarket Profit]]/tbl_MTG_Set[[#This Row],[Play Booster Cost]]</f>
        <v/>
      </c>
      <c r="BI668" s="10">
        <f>tbl_MTG_Set[[#This Row],[Play Singles CardMarket Profit]]&gt;0</f>
        <v/>
      </c>
      <c r="BJ668" s="10" t="n"/>
      <c r="BK668" s="10" t="n"/>
      <c r="BL668" s="10">
        <f>tbl_MTG_Set[[#This Row],[Collector Booster Sell Price CardMarket]]*tbl_MTG_Set[[#This Row],[Collector Booster Expected Market Value]]/tbl_MTG_Set[[#This Row],[Collector Boost Sealed Market Value]]</f>
        <v/>
      </c>
      <c r="BM6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8" s="10">
        <f>tbl_MTG_Set[[#This Row],[Collector Singles CardMarket Profit]]/tbl_MTG_Set[[#This Row],[Collector Booster Cost]]</f>
        <v/>
      </c>
      <c r="BO668" s="10">
        <f>tbl_MTG_Set[[#This Row],[Collector Singles CardMarket Profit]]&gt;0</f>
        <v/>
      </c>
      <c r="BP6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9">
      <c r="A669" t="n">
        <v>667</v>
      </c>
      <c r="B669" t="inlineStr">
        <is>
          <t>From the Vault: Twenty V13</t>
        </is>
      </c>
      <c r="C669" t="n">
        <v>20</v>
      </c>
      <c r="D669" s="3" t="n">
        <v>41509</v>
      </c>
      <c r="F669" t="inlineStr">
        <is>
          <t>en es fr de it pt ja ko ru 汉语 漢語</t>
        </is>
      </c>
      <c r="G669" t="n">
        <v>1280</v>
      </c>
      <c r="H669">
        <f>MONTH(NOW())+12*YEAR(NOW())-MONTH(tbl_MTG_Set[[#This Row],[Released On]])-12*YEAR(tbl_MTG_Set[[#This Row],[Released On]])</f>
        <v/>
      </c>
      <c r="I669">
        <f>_xlfn.XLOOKUP(tbl_MTG_Set[[#This Row],[Type Name]], tbl_MTG_Set_Type[Set Type], tbl_MTG_Set_Type[Index], "(Set Type not found)")</f>
        <v/>
      </c>
      <c r="J669">
        <f>_xlfn.XLOOKUP(tbl_MTG_Set[[#This Row],[Type Name]], tbl_MTG_Set_Type[Set Type], tbl_MTG_Set_Type[Buy Window Month Start], "(Set Type not found)")</f>
        <v/>
      </c>
      <c r="K669" s="3">
        <f>tbl_MTG_Set[[#This Row],[Released On]]+tbl_MTG_Set[[#This Row],[Buy Window Month Start]]*365.25/12</f>
        <v/>
      </c>
      <c r="L669">
        <f>_xlfn.XLOOKUP(tbl_MTG_Set[[#This Row],[Type Name]], tbl_MTG_Set_Type[Set Type], tbl_MTG_Set_Type[Buy Window Month End], "(Set Type not found)", 0, 1)</f>
        <v/>
      </c>
      <c r="M669" s="3">
        <f>tbl_MTG_Set[[#This Row],[Released On]]+tbl_MTG_Set[[#This Row],[Buy Window Month End]]*365.25/12</f>
        <v/>
      </c>
      <c r="N669" s="3">
        <f>AND(NOW()&gt;=tbl_MTG_Set[[#This Row],[Buy Window Start]], NOW()&lt;=tbl_MTG_Set[[#This Row],[Buy Window End]])</f>
        <v/>
      </c>
      <c r="O669">
        <f>_xlfn.XLOOKUP(tbl_MTG_Set[[#This Row],[Type Name]], tbl_MTG_Set_Type[Set Type], tbl_MTG_Set_Type[Heavy Printing Window Month Start], "(Set Type not found)", 0, 1)</f>
        <v/>
      </c>
      <c r="P669" s="3">
        <f>tbl_MTG_Set[[#This Row],[Released On]]+tbl_MTG_Set[[#This Row],[Heavy Printing Window Month Start]]*365.25/12</f>
        <v/>
      </c>
      <c r="Q669">
        <f>_xlfn.XLOOKUP(tbl_MTG_Set[[#This Row],[Type Name]], tbl_MTG_Set_Type[Set Type], tbl_MTG_Set_Type[Heavy Printing Window Month End], "(Set Type not found)", 0, 1)</f>
        <v/>
      </c>
      <c r="R669" s="3">
        <f>tbl_MTG_Set[[#This Row],[Released On]]+tbl_MTG_Set[[#This Row],[Heavy Printing Window Month End]]*365.25/12</f>
        <v/>
      </c>
      <c r="S669" s="3">
        <f>AND(NOW()&gt;=tbl_MTG_Set[[#This Row],[Heavy Printing Window Start]], NOW()&lt;=tbl_MTG_Set[[#This Row],[Heavy Printing Window End]])</f>
        <v/>
      </c>
      <c r="T669">
        <f>_xlfn.XLOOKUP(tbl_MTG_Set[[#This Row],[Type Name]], tbl_MTG_Set_Type[Set Type], tbl_MTG_Set_Type[Sell Window Month Start], "(Set Type not found)", 0, 1)</f>
        <v/>
      </c>
      <c r="U669" s="3">
        <f>tbl_MTG_Set[[#This Row],[Released On]]+tbl_MTG_Set[[#This Row],[Sell Window Month Start]]*365.25/12</f>
        <v/>
      </c>
      <c r="V669">
        <f>_xlfn.XLOOKUP(tbl_MTG_Set[[#This Row],[Type Name]], tbl_MTG_Set_Type[Set Type], tbl_MTG_Set_Type[Sell Window Month End], "(Set Type not found)", 0, 1)</f>
        <v/>
      </c>
      <c r="W669" s="3">
        <f>tbl_MTG_Set[[#This Row],[Released On]]+tbl_MTG_Set[[#This Row],[Sell Window Month End]]*365.25/12</f>
        <v/>
      </c>
      <c r="X669" s="3">
        <f>AND(NOW()&gt;=tbl_MTG_Set[[#This Row],[Sell Window Start]], NOW()&lt;=tbl_MTG_Set[[#This Row],[Sell Window End]])</f>
        <v/>
      </c>
      <c r="AG669" s="10" t="n"/>
      <c r="AH669" s="10" t="n"/>
      <c r="AM669" s="10">
        <f t="array" ref="AM6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9" s="10">
        <f t="array" ref="AN6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9" s="4">
        <f>_xlfn.XLOOKUP(tbl_MTG_Set[[#This Row],[Play Booster Box Product Id]], tbl_Product[Product Id], tbl_Product[Pack Size])</f>
        <v/>
      </c>
      <c r="AP669" s="10">
        <f>(tbl_MTG_Set[[#This Row],[Play Booster Box Cost]]+v_Item_Shipping_Cost_In)/tbl_MTG_Set[[#This Row],[Play Booster Box Size]]</f>
        <v/>
      </c>
      <c r="AQ669" s="10">
        <f t="array" ref="AQ6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69" s="10" t="n"/>
      <c r="AS669" s="10" t="n"/>
      <c r="AT669" s="17">
        <f>tbl_MTG_Set[[#This Row],[Play Booster CardMarket Profit]]/tbl_MTG_Set[[#This Row],[Play Booster Cost]]</f>
        <v/>
      </c>
      <c r="AU669" s="10">
        <f>_xlfn.XLOOKUP(tbl_MTG_Set[[#This Row],[Collector Booster Box Product Id]], tbl_Product[Product Id], tbl_Product[Min Cost])</f>
        <v/>
      </c>
      <c r="AV669" s="10">
        <f>_xlfn.XLOOKUP(tbl_MTG_Set[[#This Row],[Collector Booster Box Product Id]], tbl_Product[Product Id], tbl_Product[Best Source])</f>
        <v/>
      </c>
      <c r="AW669" s="4">
        <f>_xlfn.XLOOKUP(tbl_MTG_Set[[#This Row],[Collector Booster Box Product Id]], tbl_Product[Product Id], tbl_Product[Pack Size])</f>
        <v/>
      </c>
      <c r="AX669" s="10">
        <f>(tbl_MTG_Set[[#This Row],[Collector Booster Box Cost]] + v_Item_Shipping_Cost_In) / tbl_MTG_Set[[#This Row],[Collector Booster Box Size]]</f>
        <v/>
      </c>
      <c r="AY669" s="10">
        <f t="array" ref="AY6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69" s="10" t="n"/>
      <c r="BA6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9" s="17">
        <f>tbl_MTG_Set[[#This Row],[Collector Booster CardMarket Profit]]/tbl_MTG_Set[[#This Row],[Collector Booster Cost]]</f>
        <v/>
      </c>
      <c r="BC669" s="10" t="n"/>
      <c r="BF669" s="10">
        <f>tbl_MTG_Set[[#This Row],[Play Booster Sell Price CardMarket]]*tbl_MTG_Set[[#This Row],[Play Booster Expected Market Value]]/tbl_MTG_Set[[#This Row],[Play Boost Sealed Market Value]]</f>
        <v/>
      </c>
      <c r="BG6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9" s="10">
        <f>tbl_MTG_Set[[#This Row],[Play Singles CardMarket Profit]]/tbl_MTG_Set[[#This Row],[Play Booster Cost]]</f>
        <v/>
      </c>
      <c r="BI669" s="10">
        <f>tbl_MTG_Set[[#This Row],[Play Singles CardMarket Profit]]&gt;0</f>
        <v/>
      </c>
      <c r="BJ669" s="10" t="n"/>
      <c r="BK669" s="10" t="n"/>
      <c r="BL669" s="10">
        <f>tbl_MTG_Set[[#This Row],[Collector Booster Sell Price CardMarket]]*tbl_MTG_Set[[#This Row],[Collector Booster Expected Market Value]]/tbl_MTG_Set[[#This Row],[Collector Boost Sealed Market Value]]</f>
        <v/>
      </c>
      <c r="BM6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9" s="10">
        <f>tbl_MTG_Set[[#This Row],[Collector Singles CardMarket Profit]]/tbl_MTG_Set[[#This Row],[Collector Booster Cost]]</f>
        <v/>
      </c>
      <c r="BO669" s="10">
        <f>tbl_MTG_Set[[#This Row],[Collector Singles CardMarket Profit]]&gt;0</f>
        <v/>
      </c>
      <c r="BP6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0">
      <c r="A670" t="n">
        <v>668</v>
      </c>
      <c r="B670" t="inlineStr">
        <is>
          <t>Magic 2014 M14</t>
        </is>
      </c>
      <c r="C670" t="n">
        <v>249</v>
      </c>
      <c r="D670" s="3" t="n">
        <v>41474</v>
      </c>
      <c r="F670" t="inlineStr">
        <is>
          <t>en es fr de it pt ja ko ru 汉语 漢語</t>
        </is>
      </c>
      <c r="G670" t="n">
        <v>1282</v>
      </c>
      <c r="H670">
        <f>MONTH(NOW())+12*YEAR(NOW())-MONTH(tbl_MTG_Set[[#This Row],[Released On]])-12*YEAR(tbl_MTG_Set[[#This Row],[Released On]])</f>
        <v/>
      </c>
      <c r="I670">
        <f>_xlfn.XLOOKUP(tbl_MTG_Set[[#This Row],[Type Name]], tbl_MTG_Set_Type[Set Type], tbl_MTG_Set_Type[Index], "(Set Type not found)")</f>
        <v/>
      </c>
      <c r="J670">
        <f>_xlfn.XLOOKUP(tbl_MTG_Set[[#This Row],[Type Name]], tbl_MTG_Set_Type[Set Type], tbl_MTG_Set_Type[Buy Window Month Start], "(Set Type not found)")</f>
        <v/>
      </c>
      <c r="K670" s="3">
        <f>tbl_MTG_Set[[#This Row],[Released On]]+tbl_MTG_Set[[#This Row],[Buy Window Month Start]]*365.25/12</f>
        <v/>
      </c>
      <c r="L670">
        <f>_xlfn.XLOOKUP(tbl_MTG_Set[[#This Row],[Type Name]], tbl_MTG_Set_Type[Set Type], tbl_MTG_Set_Type[Buy Window Month End], "(Set Type not found)", 0, 1)</f>
        <v/>
      </c>
      <c r="M670" s="3">
        <f>tbl_MTG_Set[[#This Row],[Released On]]+tbl_MTG_Set[[#This Row],[Buy Window Month End]]*365.25/12</f>
        <v/>
      </c>
      <c r="N670" s="3">
        <f>AND(NOW()&gt;=tbl_MTG_Set[[#This Row],[Buy Window Start]], NOW()&lt;=tbl_MTG_Set[[#This Row],[Buy Window End]])</f>
        <v/>
      </c>
      <c r="O670">
        <f>_xlfn.XLOOKUP(tbl_MTG_Set[[#This Row],[Type Name]], tbl_MTG_Set_Type[Set Type], tbl_MTG_Set_Type[Heavy Printing Window Month Start], "(Set Type not found)", 0, 1)</f>
        <v/>
      </c>
      <c r="P670" s="3">
        <f>tbl_MTG_Set[[#This Row],[Released On]]+tbl_MTG_Set[[#This Row],[Heavy Printing Window Month Start]]*365.25/12</f>
        <v/>
      </c>
      <c r="Q670">
        <f>_xlfn.XLOOKUP(tbl_MTG_Set[[#This Row],[Type Name]], tbl_MTG_Set_Type[Set Type], tbl_MTG_Set_Type[Heavy Printing Window Month End], "(Set Type not found)", 0, 1)</f>
        <v/>
      </c>
      <c r="R670" s="3">
        <f>tbl_MTG_Set[[#This Row],[Released On]]+tbl_MTG_Set[[#This Row],[Heavy Printing Window Month End]]*365.25/12</f>
        <v/>
      </c>
      <c r="S670" s="3">
        <f>AND(NOW()&gt;=tbl_MTG_Set[[#This Row],[Heavy Printing Window Start]], NOW()&lt;=tbl_MTG_Set[[#This Row],[Heavy Printing Window End]])</f>
        <v/>
      </c>
      <c r="T670">
        <f>_xlfn.XLOOKUP(tbl_MTG_Set[[#This Row],[Type Name]], tbl_MTG_Set_Type[Set Type], tbl_MTG_Set_Type[Sell Window Month Start], "(Set Type not found)", 0, 1)</f>
        <v/>
      </c>
      <c r="U670" s="3">
        <f>tbl_MTG_Set[[#This Row],[Released On]]+tbl_MTG_Set[[#This Row],[Sell Window Month Start]]*365.25/12</f>
        <v/>
      </c>
      <c r="V670">
        <f>_xlfn.XLOOKUP(tbl_MTG_Set[[#This Row],[Type Name]], tbl_MTG_Set_Type[Set Type], tbl_MTG_Set_Type[Sell Window Month End], "(Set Type not found)", 0, 1)</f>
        <v/>
      </c>
      <c r="W670" s="3">
        <f>tbl_MTG_Set[[#This Row],[Released On]]+tbl_MTG_Set[[#This Row],[Sell Window Month End]]*365.25/12</f>
        <v/>
      </c>
      <c r="X670" s="3">
        <f>AND(NOW()&gt;=tbl_MTG_Set[[#This Row],[Sell Window Start]], NOW()&lt;=tbl_MTG_Set[[#This Row],[Sell Window End]])</f>
        <v/>
      </c>
      <c r="AG670" s="10" t="n"/>
      <c r="AH670" s="10" t="n"/>
      <c r="AM670" s="10">
        <f t="array" ref="AM6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0" s="10">
        <f t="array" ref="AN6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0" s="4">
        <f>_xlfn.XLOOKUP(tbl_MTG_Set[[#This Row],[Play Booster Box Product Id]], tbl_Product[Product Id], tbl_Product[Pack Size])</f>
        <v/>
      </c>
      <c r="AP670" s="10">
        <f>(tbl_MTG_Set[[#This Row],[Play Booster Box Cost]]+v_Item_Shipping_Cost_In)/tbl_MTG_Set[[#This Row],[Play Booster Box Size]]</f>
        <v/>
      </c>
      <c r="AQ670" s="10">
        <f t="array" ref="AQ6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0" s="10" t="n"/>
      <c r="AS670" s="10" t="n"/>
      <c r="AT670" s="17">
        <f>tbl_MTG_Set[[#This Row],[Play Booster CardMarket Profit]]/tbl_MTG_Set[[#This Row],[Play Booster Cost]]</f>
        <v/>
      </c>
      <c r="AU670" s="10">
        <f>_xlfn.XLOOKUP(tbl_MTG_Set[[#This Row],[Collector Booster Box Product Id]], tbl_Product[Product Id], tbl_Product[Min Cost])</f>
        <v/>
      </c>
      <c r="AV670" s="10">
        <f>_xlfn.XLOOKUP(tbl_MTG_Set[[#This Row],[Collector Booster Box Product Id]], tbl_Product[Product Id], tbl_Product[Best Source])</f>
        <v/>
      </c>
      <c r="AW670" s="4">
        <f>_xlfn.XLOOKUP(tbl_MTG_Set[[#This Row],[Collector Booster Box Product Id]], tbl_Product[Product Id], tbl_Product[Pack Size])</f>
        <v/>
      </c>
      <c r="AX670" s="10">
        <f>(tbl_MTG_Set[[#This Row],[Collector Booster Box Cost]] + v_Item_Shipping_Cost_In) / tbl_MTG_Set[[#This Row],[Collector Booster Box Size]]</f>
        <v/>
      </c>
      <c r="AY670" s="10">
        <f t="array" ref="AY6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0" s="10" t="n"/>
      <c r="BA6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0" s="17">
        <f>tbl_MTG_Set[[#This Row],[Collector Booster CardMarket Profit]]/tbl_MTG_Set[[#This Row],[Collector Booster Cost]]</f>
        <v/>
      </c>
      <c r="BC670" s="10" t="n"/>
      <c r="BF670" s="10">
        <f>tbl_MTG_Set[[#This Row],[Play Booster Sell Price CardMarket]]*tbl_MTG_Set[[#This Row],[Play Booster Expected Market Value]]/tbl_MTG_Set[[#This Row],[Play Boost Sealed Market Value]]</f>
        <v/>
      </c>
      <c r="BG6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0" s="10">
        <f>tbl_MTG_Set[[#This Row],[Play Singles CardMarket Profit]]/tbl_MTG_Set[[#This Row],[Play Booster Cost]]</f>
        <v/>
      </c>
      <c r="BI670" s="10">
        <f>tbl_MTG_Set[[#This Row],[Play Singles CardMarket Profit]]&gt;0</f>
        <v/>
      </c>
      <c r="BJ670" s="10" t="n"/>
      <c r="BK670" s="10" t="n"/>
      <c r="BL670" s="10">
        <f>tbl_MTG_Set[[#This Row],[Collector Booster Sell Price CardMarket]]*tbl_MTG_Set[[#This Row],[Collector Booster Expected Market Value]]/tbl_MTG_Set[[#This Row],[Collector Boost Sealed Market Value]]</f>
        <v/>
      </c>
      <c r="BM6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0" s="10">
        <f>tbl_MTG_Set[[#This Row],[Collector Singles CardMarket Profit]]/tbl_MTG_Set[[#This Row],[Collector Booster Cost]]</f>
        <v/>
      </c>
      <c r="BO670" s="10">
        <f>tbl_MTG_Set[[#This Row],[Collector Singles CardMarket Profit]]&gt;0</f>
        <v/>
      </c>
      <c r="BP6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1">
      <c r="A671" t="n">
        <v>669</v>
      </c>
      <c r="B671" t="inlineStr">
        <is>
          <t>Magic 2014 Promos PM14</t>
        </is>
      </c>
      <c r="C671" t="n">
        <v>6</v>
      </c>
      <c r="D671" s="3" t="n">
        <v>41473</v>
      </c>
      <c r="F671" t="inlineStr">
        <is>
          <t>en es fr de it pt ja ko ru 汉语 漢語</t>
        </is>
      </c>
      <c r="G671" t="n">
        <v>1284</v>
      </c>
      <c r="H671">
        <f>MONTH(NOW())+12*YEAR(NOW())-MONTH(tbl_MTG_Set[[#This Row],[Released On]])-12*YEAR(tbl_MTG_Set[[#This Row],[Released On]])</f>
        <v/>
      </c>
      <c r="I671">
        <f>_xlfn.XLOOKUP(tbl_MTG_Set[[#This Row],[Type Name]], tbl_MTG_Set_Type[Set Type], tbl_MTG_Set_Type[Index], "(Set Type not found)")</f>
        <v/>
      </c>
      <c r="J671">
        <f>_xlfn.XLOOKUP(tbl_MTG_Set[[#This Row],[Type Name]], tbl_MTG_Set_Type[Set Type], tbl_MTG_Set_Type[Buy Window Month Start], "(Set Type not found)")</f>
        <v/>
      </c>
      <c r="K671" s="3">
        <f>tbl_MTG_Set[[#This Row],[Released On]]+tbl_MTG_Set[[#This Row],[Buy Window Month Start]]*365.25/12</f>
        <v/>
      </c>
      <c r="L671">
        <f>_xlfn.XLOOKUP(tbl_MTG_Set[[#This Row],[Type Name]], tbl_MTG_Set_Type[Set Type], tbl_MTG_Set_Type[Buy Window Month End], "(Set Type not found)", 0, 1)</f>
        <v/>
      </c>
      <c r="M671" s="3">
        <f>tbl_MTG_Set[[#This Row],[Released On]]+tbl_MTG_Set[[#This Row],[Buy Window Month End]]*365.25/12</f>
        <v/>
      </c>
      <c r="N671" s="3">
        <f>AND(NOW()&gt;=tbl_MTG_Set[[#This Row],[Buy Window Start]], NOW()&lt;=tbl_MTG_Set[[#This Row],[Buy Window End]])</f>
        <v/>
      </c>
      <c r="O671">
        <f>_xlfn.XLOOKUP(tbl_MTG_Set[[#This Row],[Type Name]], tbl_MTG_Set_Type[Set Type], tbl_MTG_Set_Type[Heavy Printing Window Month Start], "(Set Type not found)", 0, 1)</f>
        <v/>
      </c>
      <c r="P671" s="3">
        <f>tbl_MTG_Set[[#This Row],[Released On]]+tbl_MTG_Set[[#This Row],[Heavy Printing Window Month Start]]*365.25/12</f>
        <v/>
      </c>
      <c r="Q671">
        <f>_xlfn.XLOOKUP(tbl_MTG_Set[[#This Row],[Type Name]], tbl_MTG_Set_Type[Set Type], tbl_MTG_Set_Type[Heavy Printing Window Month End], "(Set Type not found)", 0, 1)</f>
        <v/>
      </c>
      <c r="R671" s="3">
        <f>tbl_MTG_Set[[#This Row],[Released On]]+tbl_MTG_Set[[#This Row],[Heavy Printing Window Month End]]*365.25/12</f>
        <v/>
      </c>
      <c r="S671" s="3">
        <f>AND(NOW()&gt;=tbl_MTG_Set[[#This Row],[Heavy Printing Window Start]], NOW()&lt;=tbl_MTG_Set[[#This Row],[Heavy Printing Window End]])</f>
        <v/>
      </c>
      <c r="T671">
        <f>_xlfn.XLOOKUP(tbl_MTG_Set[[#This Row],[Type Name]], tbl_MTG_Set_Type[Set Type], tbl_MTG_Set_Type[Sell Window Month Start], "(Set Type not found)", 0, 1)</f>
        <v/>
      </c>
      <c r="U671" s="3">
        <f>tbl_MTG_Set[[#This Row],[Released On]]+tbl_MTG_Set[[#This Row],[Sell Window Month Start]]*365.25/12</f>
        <v/>
      </c>
      <c r="V671">
        <f>_xlfn.XLOOKUP(tbl_MTG_Set[[#This Row],[Type Name]], tbl_MTG_Set_Type[Set Type], tbl_MTG_Set_Type[Sell Window Month End], "(Set Type not found)", 0, 1)</f>
        <v/>
      </c>
      <c r="W671" s="3">
        <f>tbl_MTG_Set[[#This Row],[Released On]]+tbl_MTG_Set[[#This Row],[Sell Window Month End]]*365.25/12</f>
        <v/>
      </c>
      <c r="X671" s="3">
        <f>AND(NOW()&gt;=tbl_MTG_Set[[#This Row],[Sell Window Start]], NOW()&lt;=tbl_MTG_Set[[#This Row],[Sell Window End]])</f>
        <v/>
      </c>
      <c r="AG671" s="10" t="n"/>
      <c r="AH671" s="10" t="n"/>
      <c r="AM671" s="10">
        <f t="array" ref="AM6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1" s="10">
        <f t="array" ref="AN6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1" s="4">
        <f>_xlfn.XLOOKUP(tbl_MTG_Set[[#This Row],[Play Booster Box Product Id]], tbl_Product[Product Id], tbl_Product[Pack Size])</f>
        <v/>
      </c>
      <c r="AP671" s="10">
        <f>(tbl_MTG_Set[[#This Row],[Play Booster Box Cost]]+v_Item_Shipping_Cost_In)/tbl_MTG_Set[[#This Row],[Play Booster Box Size]]</f>
        <v/>
      </c>
      <c r="AQ671" s="10">
        <f t="array" ref="AQ6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1" s="10" t="n"/>
      <c r="AS671" s="10" t="n"/>
      <c r="AT671" s="17">
        <f>tbl_MTG_Set[[#This Row],[Play Booster CardMarket Profit]]/tbl_MTG_Set[[#This Row],[Play Booster Cost]]</f>
        <v/>
      </c>
      <c r="AU671" s="10">
        <f>_xlfn.XLOOKUP(tbl_MTG_Set[[#This Row],[Collector Booster Box Product Id]], tbl_Product[Product Id], tbl_Product[Min Cost])</f>
        <v/>
      </c>
      <c r="AV671" s="10">
        <f>_xlfn.XLOOKUP(tbl_MTG_Set[[#This Row],[Collector Booster Box Product Id]], tbl_Product[Product Id], tbl_Product[Best Source])</f>
        <v/>
      </c>
      <c r="AW671" s="4">
        <f>_xlfn.XLOOKUP(tbl_MTG_Set[[#This Row],[Collector Booster Box Product Id]], tbl_Product[Product Id], tbl_Product[Pack Size])</f>
        <v/>
      </c>
      <c r="AX671" s="10">
        <f>(tbl_MTG_Set[[#This Row],[Collector Booster Box Cost]] + v_Item_Shipping_Cost_In) / tbl_MTG_Set[[#This Row],[Collector Booster Box Size]]</f>
        <v/>
      </c>
      <c r="AY671" s="10">
        <f t="array" ref="AY6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1" s="10" t="n"/>
      <c r="BA6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1" s="17">
        <f>tbl_MTG_Set[[#This Row],[Collector Booster CardMarket Profit]]/tbl_MTG_Set[[#This Row],[Collector Booster Cost]]</f>
        <v/>
      </c>
      <c r="BC671" s="10" t="n"/>
      <c r="BF671" s="10">
        <f>tbl_MTG_Set[[#This Row],[Play Booster Sell Price CardMarket]]*tbl_MTG_Set[[#This Row],[Play Booster Expected Market Value]]/tbl_MTG_Set[[#This Row],[Play Boost Sealed Market Value]]</f>
        <v/>
      </c>
      <c r="BG6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1" s="10">
        <f>tbl_MTG_Set[[#This Row],[Play Singles CardMarket Profit]]/tbl_MTG_Set[[#This Row],[Play Booster Cost]]</f>
        <v/>
      </c>
      <c r="BI671" s="10">
        <f>tbl_MTG_Set[[#This Row],[Play Singles CardMarket Profit]]&gt;0</f>
        <v/>
      </c>
      <c r="BJ671" s="10" t="n"/>
      <c r="BK671" s="10" t="n"/>
      <c r="BL671" s="10">
        <f>tbl_MTG_Set[[#This Row],[Collector Booster Sell Price CardMarket]]*tbl_MTG_Set[[#This Row],[Collector Booster Expected Market Value]]/tbl_MTG_Set[[#This Row],[Collector Boost Sealed Market Value]]</f>
        <v/>
      </c>
      <c r="BM6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1" s="10">
        <f>tbl_MTG_Set[[#This Row],[Collector Singles CardMarket Profit]]/tbl_MTG_Set[[#This Row],[Collector Booster Cost]]</f>
        <v/>
      </c>
      <c r="BO671" s="10">
        <f>tbl_MTG_Set[[#This Row],[Collector Singles CardMarket Profit]]&gt;0</f>
        <v/>
      </c>
      <c r="BP6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2">
      <c r="A672" t="n">
        <v>670</v>
      </c>
      <c r="B672" t="inlineStr">
        <is>
          <t>Magic 2014 Tokens TM14</t>
        </is>
      </c>
      <c r="C672" t="n">
        <v>13</v>
      </c>
      <c r="D672" s="3" t="n">
        <v>41474</v>
      </c>
      <c r="F672" t="inlineStr">
        <is>
          <t>en es fr de it pt ja ko ru 汉语 漢語</t>
        </is>
      </c>
      <c r="G672" t="n">
        <v>1286</v>
      </c>
      <c r="H672">
        <f>MONTH(NOW())+12*YEAR(NOW())-MONTH(tbl_MTG_Set[[#This Row],[Released On]])-12*YEAR(tbl_MTG_Set[[#This Row],[Released On]])</f>
        <v/>
      </c>
      <c r="I672">
        <f>_xlfn.XLOOKUP(tbl_MTG_Set[[#This Row],[Type Name]], tbl_MTG_Set_Type[Set Type], tbl_MTG_Set_Type[Index], "(Set Type not found)")</f>
        <v/>
      </c>
      <c r="J672">
        <f>_xlfn.XLOOKUP(tbl_MTG_Set[[#This Row],[Type Name]], tbl_MTG_Set_Type[Set Type], tbl_MTG_Set_Type[Buy Window Month Start], "(Set Type not found)")</f>
        <v/>
      </c>
      <c r="K672" s="3">
        <f>tbl_MTG_Set[[#This Row],[Released On]]+tbl_MTG_Set[[#This Row],[Buy Window Month Start]]*365.25/12</f>
        <v/>
      </c>
      <c r="L672">
        <f>_xlfn.XLOOKUP(tbl_MTG_Set[[#This Row],[Type Name]], tbl_MTG_Set_Type[Set Type], tbl_MTG_Set_Type[Buy Window Month End], "(Set Type not found)", 0, 1)</f>
        <v/>
      </c>
      <c r="M672" s="3">
        <f>tbl_MTG_Set[[#This Row],[Released On]]+tbl_MTG_Set[[#This Row],[Buy Window Month End]]*365.25/12</f>
        <v/>
      </c>
      <c r="N672" s="3">
        <f>AND(NOW()&gt;=tbl_MTG_Set[[#This Row],[Buy Window Start]], NOW()&lt;=tbl_MTG_Set[[#This Row],[Buy Window End]])</f>
        <v/>
      </c>
      <c r="O672">
        <f>_xlfn.XLOOKUP(tbl_MTG_Set[[#This Row],[Type Name]], tbl_MTG_Set_Type[Set Type], tbl_MTG_Set_Type[Heavy Printing Window Month Start], "(Set Type not found)", 0, 1)</f>
        <v/>
      </c>
      <c r="P672" s="3">
        <f>tbl_MTG_Set[[#This Row],[Released On]]+tbl_MTG_Set[[#This Row],[Heavy Printing Window Month Start]]*365.25/12</f>
        <v/>
      </c>
      <c r="Q672">
        <f>_xlfn.XLOOKUP(tbl_MTG_Set[[#This Row],[Type Name]], tbl_MTG_Set_Type[Set Type], tbl_MTG_Set_Type[Heavy Printing Window Month End], "(Set Type not found)", 0, 1)</f>
        <v/>
      </c>
      <c r="R672" s="3">
        <f>tbl_MTG_Set[[#This Row],[Released On]]+tbl_MTG_Set[[#This Row],[Heavy Printing Window Month End]]*365.25/12</f>
        <v/>
      </c>
      <c r="S672" s="3">
        <f>AND(NOW()&gt;=tbl_MTG_Set[[#This Row],[Heavy Printing Window Start]], NOW()&lt;=tbl_MTG_Set[[#This Row],[Heavy Printing Window End]])</f>
        <v/>
      </c>
      <c r="T672">
        <f>_xlfn.XLOOKUP(tbl_MTG_Set[[#This Row],[Type Name]], tbl_MTG_Set_Type[Set Type], tbl_MTG_Set_Type[Sell Window Month Start], "(Set Type not found)", 0, 1)</f>
        <v/>
      </c>
      <c r="U672" s="3">
        <f>tbl_MTG_Set[[#This Row],[Released On]]+tbl_MTG_Set[[#This Row],[Sell Window Month Start]]*365.25/12</f>
        <v/>
      </c>
      <c r="V672">
        <f>_xlfn.XLOOKUP(tbl_MTG_Set[[#This Row],[Type Name]], tbl_MTG_Set_Type[Set Type], tbl_MTG_Set_Type[Sell Window Month End], "(Set Type not found)", 0, 1)</f>
        <v/>
      </c>
      <c r="W672" s="3">
        <f>tbl_MTG_Set[[#This Row],[Released On]]+tbl_MTG_Set[[#This Row],[Sell Window Month End]]*365.25/12</f>
        <v/>
      </c>
      <c r="X672" s="3">
        <f>AND(NOW()&gt;=tbl_MTG_Set[[#This Row],[Sell Window Start]], NOW()&lt;=tbl_MTG_Set[[#This Row],[Sell Window End]])</f>
        <v/>
      </c>
      <c r="AG672" s="10" t="n"/>
      <c r="AH672" s="10" t="n"/>
      <c r="AM672" s="10">
        <f t="array" ref="AM6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2" s="10">
        <f t="array" ref="AN6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2" s="4">
        <f>_xlfn.XLOOKUP(tbl_MTG_Set[[#This Row],[Play Booster Box Product Id]], tbl_Product[Product Id], tbl_Product[Pack Size])</f>
        <v/>
      </c>
      <c r="AP672" s="10">
        <f>(tbl_MTG_Set[[#This Row],[Play Booster Box Cost]]+v_Item_Shipping_Cost_In)/tbl_MTG_Set[[#This Row],[Play Booster Box Size]]</f>
        <v/>
      </c>
      <c r="AQ672" s="10">
        <f t="array" ref="AQ6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2" s="10" t="n"/>
      <c r="AS672" s="10" t="n"/>
      <c r="AT672" s="17">
        <f>tbl_MTG_Set[[#This Row],[Play Booster CardMarket Profit]]/tbl_MTG_Set[[#This Row],[Play Booster Cost]]</f>
        <v/>
      </c>
      <c r="AU672" s="10">
        <f>_xlfn.XLOOKUP(tbl_MTG_Set[[#This Row],[Collector Booster Box Product Id]], tbl_Product[Product Id], tbl_Product[Min Cost])</f>
        <v/>
      </c>
      <c r="AV672" s="10">
        <f>_xlfn.XLOOKUP(tbl_MTG_Set[[#This Row],[Collector Booster Box Product Id]], tbl_Product[Product Id], tbl_Product[Best Source])</f>
        <v/>
      </c>
      <c r="AW672" s="4">
        <f>_xlfn.XLOOKUP(tbl_MTG_Set[[#This Row],[Collector Booster Box Product Id]], tbl_Product[Product Id], tbl_Product[Pack Size])</f>
        <v/>
      </c>
      <c r="AX672" s="10">
        <f>(tbl_MTG_Set[[#This Row],[Collector Booster Box Cost]] + v_Item_Shipping_Cost_In) / tbl_MTG_Set[[#This Row],[Collector Booster Box Size]]</f>
        <v/>
      </c>
      <c r="AY672" s="10">
        <f t="array" ref="AY6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2" s="10" t="n"/>
      <c r="BA6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2" s="17">
        <f>tbl_MTG_Set[[#This Row],[Collector Booster CardMarket Profit]]/tbl_MTG_Set[[#This Row],[Collector Booster Cost]]</f>
        <v/>
      </c>
      <c r="BC672" s="10" t="n"/>
      <c r="BF672" s="10">
        <f>tbl_MTG_Set[[#This Row],[Play Booster Sell Price CardMarket]]*tbl_MTG_Set[[#This Row],[Play Booster Expected Market Value]]/tbl_MTG_Set[[#This Row],[Play Boost Sealed Market Value]]</f>
        <v/>
      </c>
      <c r="BG6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2" s="10">
        <f>tbl_MTG_Set[[#This Row],[Play Singles CardMarket Profit]]/tbl_MTG_Set[[#This Row],[Play Booster Cost]]</f>
        <v/>
      </c>
      <c r="BI672" s="10">
        <f>tbl_MTG_Set[[#This Row],[Play Singles CardMarket Profit]]&gt;0</f>
        <v/>
      </c>
      <c r="BJ672" s="10" t="n"/>
      <c r="BK672" s="10" t="n"/>
      <c r="BL672" s="10">
        <f>tbl_MTG_Set[[#This Row],[Collector Booster Sell Price CardMarket]]*tbl_MTG_Set[[#This Row],[Collector Booster Expected Market Value]]/tbl_MTG_Set[[#This Row],[Collector Boost Sealed Market Value]]</f>
        <v/>
      </c>
      <c r="BM6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2" s="10">
        <f>tbl_MTG_Set[[#This Row],[Collector Singles CardMarket Profit]]/tbl_MTG_Set[[#This Row],[Collector Booster Cost]]</f>
        <v/>
      </c>
      <c r="BO672" s="10">
        <f>tbl_MTG_Set[[#This Row],[Collector Singles CardMarket Profit]]&gt;0</f>
        <v/>
      </c>
      <c r="BP6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3">
      <c r="A673" t="n">
        <v>671</v>
      </c>
      <c r="B673" t="inlineStr">
        <is>
          <t>San Diego Comic-Con 2013 PSDC</t>
        </is>
      </c>
      <c r="C673" t="n">
        <v>5</v>
      </c>
      <c r="D673" s="3" t="n">
        <v>41473</v>
      </c>
      <c r="F673" t="inlineStr">
        <is>
          <t>en es fr de it pt ja ko ru 汉语 漢語</t>
        </is>
      </c>
      <c r="G673" t="n">
        <v>1288</v>
      </c>
      <c r="H673">
        <f>MONTH(NOW())+12*YEAR(NOW())-MONTH(tbl_MTG_Set[[#This Row],[Released On]])-12*YEAR(tbl_MTG_Set[[#This Row],[Released On]])</f>
        <v/>
      </c>
      <c r="I673">
        <f>_xlfn.XLOOKUP(tbl_MTG_Set[[#This Row],[Type Name]], tbl_MTG_Set_Type[Set Type], tbl_MTG_Set_Type[Index], "(Set Type not found)")</f>
        <v/>
      </c>
      <c r="J673">
        <f>_xlfn.XLOOKUP(tbl_MTG_Set[[#This Row],[Type Name]], tbl_MTG_Set_Type[Set Type], tbl_MTG_Set_Type[Buy Window Month Start], "(Set Type not found)")</f>
        <v/>
      </c>
      <c r="K673" s="3">
        <f>tbl_MTG_Set[[#This Row],[Released On]]+tbl_MTG_Set[[#This Row],[Buy Window Month Start]]*365.25/12</f>
        <v/>
      </c>
      <c r="L673">
        <f>_xlfn.XLOOKUP(tbl_MTG_Set[[#This Row],[Type Name]], tbl_MTG_Set_Type[Set Type], tbl_MTG_Set_Type[Buy Window Month End], "(Set Type not found)", 0, 1)</f>
        <v/>
      </c>
      <c r="M673" s="3">
        <f>tbl_MTG_Set[[#This Row],[Released On]]+tbl_MTG_Set[[#This Row],[Buy Window Month End]]*365.25/12</f>
        <v/>
      </c>
      <c r="N673" s="3">
        <f>AND(NOW()&gt;=tbl_MTG_Set[[#This Row],[Buy Window Start]], NOW()&lt;=tbl_MTG_Set[[#This Row],[Buy Window End]])</f>
        <v/>
      </c>
      <c r="O673">
        <f>_xlfn.XLOOKUP(tbl_MTG_Set[[#This Row],[Type Name]], tbl_MTG_Set_Type[Set Type], tbl_MTG_Set_Type[Heavy Printing Window Month Start], "(Set Type not found)", 0, 1)</f>
        <v/>
      </c>
      <c r="P673" s="3">
        <f>tbl_MTG_Set[[#This Row],[Released On]]+tbl_MTG_Set[[#This Row],[Heavy Printing Window Month Start]]*365.25/12</f>
        <v/>
      </c>
      <c r="Q673">
        <f>_xlfn.XLOOKUP(tbl_MTG_Set[[#This Row],[Type Name]], tbl_MTG_Set_Type[Set Type], tbl_MTG_Set_Type[Heavy Printing Window Month End], "(Set Type not found)", 0, 1)</f>
        <v/>
      </c>
      <c r="R673" s="3">
        <f>tbl_MTG_Set[[#This Row],[Released On]]+tbl_MTG_Set[[#This Row],[Heavy Printing Window Month End]]*365.25/12</f>
        <v/>
      </c>
      <c r="S673" s="3">
        <f>AND(NOW()&gt;=tbl_MTG_Set[[#This Row],[Heavy Printing Window Start]], NOW()&lt;=tbl_MTG_Set[[#This Row],[Heavy Printing Window End]])</f>
        <v/>
      </c>
      <c r="T673">
        <f>_xlfn.XLOOKUP(tbl_MTG_Set[[#This Row],[Type Name]], tbl_MTG_Set_Type[Set Type], tbl_MTG_Set_Type[Sell Window Month Start], "(Set Type not found)", 0, 1)</f>
        <v/>
      </c>
      <c r="U673" s="3">
        <f>tbl_MTG_Set[[#This Row],[Released On]]+tbl_MTG_Set[[#This Row],[Sell Window Month Start]]*365.25/12</f>
        <v/>
      </c>
      <c r="V673">
        <f>_xlfn.XLOOKUP(tbl_MTG_Set[[#This Row],[Type Name]], tbl_MTG_Set_Type[Set Type], tbl_MTG_Set_Type[Sell Window Month End], "(Set Type not found)", 0, 1)</f>
        <v/>
      </c>
      <c r="W673" s="3">
        <f>tbl_MTG_Set[[#This Row],[Released On]]+tbl_MTG_Set[[#This Row],[Sell Window Month End]]*365.25/12</f>
        <v/>
      </c>
      <c r="X673" s="3">
        <f>AND(NOW()&gt;=tbl_MTG_Set[[#This Row],[Sell Window Start]], NOW()&lt;=tbl_MTG_Set[[#This Row],[Sell Window End]])</f>
        <v/>
      </c>
      <c r="AG673" s="10" t="n"/>
      <c r="AH673" s="10" t="n"/>
      <c r="AM673" s="10">
        <f t="array" ref="AM6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3" s="10">
        <f t="array" ref="AN6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3" s="4">
        <f>_xlfn.XLOOKUP(tbl_MTG_Set[[#This Row],[Play Booster Box Product Id]], tbl_Product[Product Id], tbl_Product[Pack Size])</f>
        <v/>
      </c>
      <c r="AP673" s="10">
        <f>(tbl_MTG_Set[[#This Row],[Play Booster Box Cost]]+v_Item_Shipping_Cost_In)/tbl_MTG_Set[[#This Row],[Play Booster Box Size]]</f>
        <v/>
      </c>
      <c r="AQ673" s="10">
        <f t="array" ref="AQ6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3" s="10" t="n"/>
      <c r="AS673" s="10" t="n"/>
      <c r="AT673" s="17">
        <f>tbl_MTG_Set[[#This Row],[Play Booster CardMarket Profit]]/tbl_MTG_Set[[#This Row],[Play Booster Cost]]</f>
        <v/>
      </c>
      <c r="AU673" s="10">
        <f>_xlfn.XLOOKUP(tbl_MTG_Set[[#This Row],[Collector Booster Box Product Id]], tbl_Product[Product Id], tbl_Product[Min Cost])</f>
        <v/>
      </c>
      <c r="AV673" s="10">
        <f>_xlfn.XLOOKUP(tbl_MTG_Set[[#This Row],[Collector Booster Box Product Id]], tbl_Product[Product Id], tbl_Product[Best Source])</f>
        <v/>
      </c>
      <c r="AW673" s="4">
        <f>_xlfn.XLOOKUP(tbl_MTG_Set[[#This Row],[Collector Booster Box Product Id]], tbl_Product[Product Id], tbl_Product[Pack Size])</f>
        <v/>
      </c>
      <c r="AX673" s="10">
        <f>(tbl_MTG_Set[[#This Row],[Collector Booster Box Cost]] + v_Item_Shipping_Cost_In) / tbl_MTG_Set[[#This Row],[Collector Booster Box Size]]</f>
        <v/>
      </c>
      <c r="AY673" s="10">
        <f t="array" ref="AY6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3" s="10" t="n"/>
      <c r="BA6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3" s="17">
        <f>tbl_MTG_Set[[#This Row],[Collector Booster CardMarket Profit]]/tbl_MTG_Set[[#This Row],[Collector Booster Cost]]</f>
        <v/>
      </c>
      <c r="BC673" s="10" t="n"/>
      <c r="BF673" s="10">
        <f>tbl_MTG_Set[[#This Row],[Play Booster Sell Price CardMarket]]*tbl_MTG_Set[[#This Row],[Play Booster Expected Market Value]]/tbl_MTG_Set[[#This Row],[Play Boost Sealed Market Value]]</f>
        <v/>
      </c>
      <c r="BG6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3" s="10">
        <f>tbl_MTG_Set[[#This Row],[Play Singles CardMarket Profit]]/tbl_MTG_Set[[#This Row],[Play Booster Cost]]</f>
        <v/>
      </c>
      <c r="BI673" s="10">
        <f>tbl_MTG_Set[[#This Row],[Play Singles CardMarket Profit]]&gt;0</f>
        <v/>
      </c>
      <c r="BJ673" s="10" t="n"/>
      <c r="BK673" s="10" t="n"/>
      <c r="BL673" s="10">
        <f>tbl_MTG_Set[[#This Row],[Collector Booster Sell Price CardMarket]]*tbl_MTG_Set[[#This Row],[Collector Booster Expected Market Value]]/tbl_MTG_Set[[#This Row],[Collector Boost Sealed Market Value]]</f>
        <v/>
      </c>
      <c r="BM6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3" s="10">
        <f>tbl_MTG_Set[[#This Row],[Collector Singles CardMarket Profit]]/tbl_MTG_Set[[#This Row],[Collector Booster Cost]]</f>
        <v/>
      </c>
      <c r="BO673" s="10">
        <f>tbl_MTG_Set[[#This Row],[Collector Singles CardMarket Profit]]&gt;0</f>
        <v/>
      </c>
      <c r="BP6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4">
      <c r="A674" t="n">
        <v>672</v>
      </c>
      <c r="B674" t="inlineStr">
        <is>
          <t>Modern Masters MMA</t>
        </is>
      </c>
      <c r="C674" t="n">
        <v>229</v>
      </c>
      <c r="D674" s="3" t="n">
        <v>41432</v>
      </c>
      <c r="F674" t="inlineStr">
        <is>
          <t>en es fr de it pt ja ko ru 汉语 漢語</t>
        </is>
      </c>
      <c r="G674" t="n">
        <v>1290</v>
      </c>
      <c r="H674">
        <f>MONTH(NOW())+12*YEAR(NOW())-MONTH(tbl_MTG_Set[[#This Row],[Released On]])-12*YEAR(tbl_MTG_Set[[#This Row],[Released On]])</f>
        <v/>
      </c>
      <c r="I674">
        <f>_xlfn.XLOOKUP(tbl_MTG_Set[[#This Row],[Type Name]], tbl_MTG_Set_Type[Set Type], tbl_MTG_Set_Type[Index], "(Set Type not found)")</f>
        <v/>
      </c>
      <c r="J674">
        <f>_xlfn.XLOOKUP(tbl_MTG_Set[[#This Row],[Type Name]], tbl_MTG_Set_Type[Set Type], tbl_MTG_Set_Type[Buy Window Month Start], "(Set Type not found)")</f>
        <v/>
      </c>
      <c r="K674" s="3">
        <f>tbl_MTG_Set[[#This Row],[Released On]]+tbl_MTG_Set[[#This Row],[Buy Window Month Start]]*365.25/12</f>
        <v/>
      </c>
      <c r="L674">
        <f>_xlfn.XLOOKUP(tbl_MTG_Set[[#This Row],[Type Name]], tbl_MTG_Set_Type[Set Type], tbl_MTG_Set_Type[Buy Window Month End], "(Set Type not found)", 0, 1)</f>
        <v/>
      </c>
      <c r="M674" s="3">
        <f>tbl_MTG_Set[[#This Row],[Released On]]+tbl_MTG_Set[[#This Row],[Buy Window Month End]]*365.25/12</f>
        <v/>
      </c>
      <c r="N674" s="3">
        <f>AND(NOW()&gt;=tbl_MTG_Set[[#This Row],[Buy Window Start]], NOW()&lt;=tbl_MTG_Set[[#This Row],[Buy Window End]])</f>
        <v/>
      </c>
      <c r="O674">
        <f>_xlfn.XLOOKUP(tbl_MTG_Set[[#This Row],[Type Name]], tbl_MTG_Set_Type[Set Type], tbl_MTG_Set_Type[Heavy Printing Window Month Start], "(Set Type not found)", 0, 1)</f>
        <v/>
      </c>
      <c r="P674" s="3">
        <f>tbl_MTG_Set[[#This Row],[Released On]]+tbl_MTG_Set[[#This Row],[Heavy Printing Window Month Start]]*365.25/12</f>
        <v/>
      </c>
      <c r="Q674">
        <f>_xlfn.XLOOKUP(tbl_MTG_Set[[#This Row],[Type Name]], tbl_MTG_Set_Type[Set Type], tbl_MTG_Set_Type[Heavy Printing Window Month End], "(Set Type not found)", 0, 1)</f>
        <v/>
      </c>
      <c r="R674" s="3">
        <f>tbl_MTG_Set[[#This Row],[Released On]]+tbl_MTG_Set[[#This Row],[Heavy Printing Window Month End]]*365.25/12</f>
        <v/>
      </c>
      <c r="S674" s="3">
        <f>AND(NOW()&gt;=tbl_MTG_Set[[#This Row],[Heavy Printing Window Start]], NOW()&lt;=tbl_MTG_Set[[#This Row],[Heavy Printing Window End]])</f>
        <v/>
      </c>
      <c r="T674">
        <f>_xlfn.XLOOKUP(tbl_MTG_Set[[#This Row],[Type Name]], tbl_MTG_Set_Type[Set Type], tbl_MTG_Set_Type[Sell Window Month Start], "(Set Type not found)", 0, 1)</f>
        <v/>
      </c>
      <c r="U674" s="3">
        <f>tbl_MTG_Set[[#This Row],[Released On]]+tbl_MTG_Set[[#This Row],[Sell Window Month Start]]*365.25/12</f>
        <v/>
      </c>
      <c r="V674">
        <f>_xlfn.XLOOKUP(tbl_MTG_Set[[#This Row],[Type Name]], tbl_MTG_Set_Type[Set Type], tbl_MTG_Set_Type[Sell Window Month End], "(Set Type not found)", 0, 1)</f>
        <v/>
      </c>
      <c r="W674" s="3">
        <f>tbl_MTG_Set[[#This Row],[Released On]]+tbl_MTG_Set[[#This Row],[Sell Window Month End]]*365.25/12</f>
        <v/>
      </c>
      <c r="X674" s="3">
        <f>AND(NOW()&gt;=tbl_MTG_Set[[#This Row],[Sell Window Start]], NOW()&lt;=tbl_MTG_Set[[#This Row],[Sell Window End]])</f>
        <v/>
      </c>
      <c r="AG674" s="10" t="n"/>
      <c r="AH674" s="10" t="n"/>
      <c r="AM674" s="10">
        <f t="array" ref="AM6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4" s="10">
        <f t="array" ref="AN6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4" s="4">
        <f>_xlfn.XLOOKUP(tbl_MTG_Set[[#This Row],[Play Booster Box Product Id]], tbl_Product[Product Id], tbl_Product[Pack Size])</f>
        <v/>
      </c>
      <c r="AP674" s="10">
        <f>(tbl_MTG_Set[[#This Row],[Play Booster Box Cost]]+v_Item_Shipping_Cost_In)/tbl_MTG_Set[[#This Row],[Play Booster Box Size]]</f>
        <v/>
      </c>
      <c r="AQ674" s="10">
        <f t="array" ref="AQ6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4" s="10" t="n"/>
      <c r="AS674" s="10" t="n"/>
      <c r="AT674" s="17">
        <f>tbl_MTG_Set[[#This Row],[Play Booster CardMarket Profit]]/tbl_MTG_Set[[#This Row],[Play Booster Cost]]</f>
        <v/>
      </c>
      <c r="AU674" s="10">
        <f>_xlfn.XLOOKUP(tbl_MTG_Set[[#This Row],[Collector Booster Box Product Id]], tbl_Product[Product Id], tbl_Product[Min Cost])</f>
        <v/>
      </c>
      <c r="AV674" s="10">
        <f>_xlfn.XLOOKUP(tbl_MTG_Set[[#This Row],[Collector Booster Box Product Id]], tbl_Product[Product Id], tbl_Product[Best Source])</f>
        <v/>
      </c>
      <c r="AW674" s="4">
        <f>_xlfn.XLOOKUP(tbl_MTG_Set[[#This Row],[Collector Booster Box Product Id]], tbl_Product[Product Id], tbl_Product[Pack Size])</f>
        <v/>
      </c>
      <c r="AX674" s="10">
        <f>(tbl_MTG_Set[[#This Row],[Collector Booster Box Cost]] + v_Item_Shipping_Cost_In) / tbl_MTG_Set[[#This Row],[Collector Booster Box Size]]</f>
        <v/>
      </c>
      <c r="AY674" s="10">
        <f t="array" ref="AY6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4" s="10" t="n"/>
      <c r="BA6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4" s="17">
        <f>tbl_MTG_Set[[#This Row],[Collector Booster CardMarket Profit]]/tbl_MTG_Set[[#This Row],[Collector Booster Cost]]</f>
        <v/>
      </c>
      <c r="BC674" s="10" t="n"/>
      <c r="BF674" s="10">
        <f>tbl_MTG_Set[[#This Row],[Play Booster Sell Price CardMarket]]*tbl_MTG_Set[[#This Row],[Play Booster Expected Market Value]]/tbl_MTG_Set[[#This Row],[Play Boost Sealed Market Value]]</f>
        <v/>
      </c>
      <c r="BG6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4" s="10">
        <f>tbl_MTG_Set[[#This Row],[Play Singles CardMarket Profit]]/tbl_MTG_Set[[#This Row],[Play Booster Cost]]</f>
        <v/>
      </c>
      <c r="BI674" s="10">
        <f>tbl_MTG_Set[[#This Row],[Play Singles CardMarket Profit]]&gt;0</f>
        <v/>
      </c>
      <c r="BJ674" s="10" t="n"/>
      <c r="BK674" s="10" t="n"/>
      <c r="BL674" s="10">
        <f>tbl_MTG_Set[[#This Row],[Collector Booster Sell Price CardMarket]]*tbl_MTG_Set[[#This Row],[Collector Booster Expected Market Value]]/tbl_MTG_Set[[#This Row],[Collector Boost Sealed Market Value]]</f>
        <v/>
      </c>
      <c r="BM6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4" s="10">
        <f>tbl_MTG_Set[[#This Row],[Collector Singles CardMarket Profit]]/tbl_MTG_Set[[#This Row],[Collector Booster Cost]]</f>
        <v/>
      </c>
      <c r="BO674" s="10">
        <f>tbl_MTG_Set[[#This Row],[Collector Singles CardMarket Profit]]&gt;0</f>
        <v/>
      </c>
      <c r="BP6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5">
      <c r="A675" t="n">
        <v>673</v>
      </c>
      <c r="B675" t="inlineStr">
        <is>
          <t>Modern Masters Tokens TMMA</t>
        </is>
      </c>
      <c r="C675" t="n">
        <v>16</v>
      </c>
      <c r="D675" s="3" t="n">
        <v>41432</v>
      </c>
      <c r="F675" t="inlineStr">
        <is>
          <t>en es fr de it pt ja ko ru 汉语 漢語</t>
        </is>
      </c>
      <c r="G675" t="n">
        <v>1292</v>
      </c>
      <c r="H675">
        <f>MONTH(NOW())+12*YEAR(NOW())-MONTH(tbl_MTG_Set[[#This Row],[Released On]])-12*YEAR(tbl_MTG_Set[[#This Row],[Released On]])</f>
        <v/>
      </c>
      <c r="I675">
        <f>_xlfn.XLOOKUP(tbl_MTG_Set[[#This Row],[Type Name]], tbl_MTG_Set_Type[Set Type], tbl_MTG_Set_Type[Index], "(Set Type not found)")</f>
        <v/>
      </c>
      <c r="J675">
        <f>_xlfn.XLOOKUP(tbl_MTG_Set[[#This Row],[Type Name]], tbl_MTG_Set_Type[Set Type], tbl_MTG_Set_Type[Buy Window Month Start], "(Set Type not found)")</f>
        <v/>
      </c>
      <c r="K675" s="3">
        <f>tbl_MTG_Set[[#This Row],[Released On]]+tbl_MTG_Set[[#This Row],[Buy Window Month Start]]*365.25/12</f>
        <v/>
      </c>
      <c r="L675">
        <f>_xlfn.XLOOKUP(tbl_MTG_Set[[#This Row],[Type Name]], tbl_MTG_Set_Type[Set Type], tbl_MTG_Set_Type[Buy Window Month End], "(Set Type not found)", 0, 1)</f>
        <v/>
      </c>
      <c r="M675" s="3">
        <f>tbl_MTG_Set[[#This Row],[Released On]]+tbl_MTG_Set[[#This Row],[Buy Window Month End]]*365.25/12</f>
        <v/>
      </c>
      <c r="N675" s="3">
        <f>AND(NOW()&gt;=tbl_MTG_Set[[#This Row],[Buy Window Start]], NOW()&lt;=tbl_MTG_Set[[#This Row],[Buy Window End]])</f>
        <v/>
      </c>
      <c r="O675">
        <f>_xlfn.XLOOKUP(tbl_MTG_Set[[#This Row],[Type Name]], tbl_MTG_Set_Type[Set Type], tbl_MTG_Set_Type[Heavy Printing Window Month Start], "(Set Type not found)", 0, 1)</f>
        <v/>
      </c>
      <c r="P675" s="3">
        <f>tbl_MTG_Set[[#This Row],[Released On]]+tbl_MTG_Set[[#This Row],[Heavy Printing Window Month Start]]*365.25/12</f>
        <v/>
      </c>
      <c r="Q675">
        <f>_xlfn.XLOOKUP(tbl_MTG_Set[[#This Row],[Type Name]], tbl_MTG_Set_Type[Set Type], tbl_MTG_Set_Type[Heavy Printing Window Month End], "(Set Type not found)", 0, 1)</f>
        <v/>
      </c>
      <c r="R675" s="3">
        <f>tbl_MTG_Set[[#This Row],[Released On]]+tbl_MTG_Set[[#This Row],[Heavy Printing Window Month End]]*365.25/12</f>
        <v/>
      </c>
      <c r="S675" s="3">
        <f>AND(NOW()&gt;=tbl_MTG_Set[[#This Row],[Heavy Printing Window Start]], NOW()&lt;=tbl_MTG_Set[[#This Row],[Heavy Printing Window End]])</f>
        <v/>
      </c>
      <c r="T675">
        <f>_xlfn.XLOOKUP(tbl_MTG_Set[[#This Row],[Type Name]], tbl_MTG_Set_Type[Set Type], tbl_MTG_Set_Type[Sell Window Month Start], "(Set Type not found)", 0, 1)</f>
        <v/>
      </c>
      <c r="U675" s="3">
        <f>tbl_MTG_Set[[#This Row],[Released On]]+tbl_MTG_Set[[#This Row],[Sell Window Month Start]]*365.25/12</f>
        <v/>
      </c>
      <c r="V675">
        <f>_xlfn.XLOOKUP(tbl_MTG_Set[[#This Row],[Type Name]], tbl_MTG_Set_Type[Set Type], tbl_MTG_Set_Type[Sell Window Month End], "(Set Type not found)", 0, 1)</f>
        <v/>
      </c>
      <c r="W675" s="3">
        <f>tbl_MTG_Set[[#This Row],[Released On]]+tbl_MTG_Set[[#This Row],[Sell Window Month End]]*365.25/12</f>
        <v/>
      </c>
      <c r="X675" s="3">
        <f>AND(NOW()&gt;=tbl_MTG_Set[[#This Row],[Sell Window Start]], NOW()&lt;=tbl_MTG_Set[[#This Row],[Sell Window End]])</f>
        <v/>
      </c>
      <c r="AG675" s="10" t="n"/>
      <c r="AH675" s="10" t="n"/>
      <c r="AM675" s="10">
        <f t="array" ref="AM6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5" s="10">
        <f t="array" ref="AN6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5" s="4">
        <f>_xlfn.XLOOKUP(tbl_MTG_Set[[#This Row],[Play Booster Box Product Id]], tbl_Product[Product Id], tbl_Product[Pack Size])</f>
        <v/>
      </c>
      <c r="AP675" s="10">
        <f>(tbl_MTG_Set[[#This Row],[Play Booster Box Cost]]+v_Item_Shipping_Cost_In)/tbl_MTG_Set[[#This Row],[Play Booster Box Size]]</f>
        <v/>
      </c>
      <c r="AQ675" s="10">
        <f t="array" ref="AQ6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5" s="10" t="n"/>
      <c r="AS675" s="10" t="n"/>
      <c r="AT675" s="17">
        <f>tbl_MTG_Set[[#This Row],[Play Booster CardMarket Profit]]/tbl_MTG_Set[[#This Row],[Play Booster Cost]]</f>
        <v/>
      </c>
      <c r="AU675" s="10">
        <f>_xlfn.XLOOKUP(tbl_MTG_Set[[#This Row],[Collector Booster Box Product Id]], tbl_Product[Product Id], tbl_Product[Min Cost])</f>
        <v/>
      </c>
      <c r="AV675" s="10">
        <f>_xlfn.XLOOKUP(tbl_MTG_Set[[#This Row],[Collector Booster Box Product Id]], tbl_Product[Product Id], tbl_Product[Best Source])</f>
        <v/>
      </c>
      <c r="AW675" s="4">
        <f>_xlfn.XLOOKUP(tbl_MTG_Set[[#This Row],[Collector Booster Box Product Id]], tbl_Product[Product Id], tbl_Product[Pack Size])</f>
        <v/>
      </c>
      <c r="AX675" s="10">
        <f>(tbl_MTG_Set[[#This Row],[Collector Booster Box Cost]] + v_Item_Shipping_Cost_In) / tbl_MTG_Set[[#This Row],[Collector Booster Box Size]]</f>
        <v/>
      </c>
      <c r="AY675" s="10">
        <f t="array" ref="AY6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5" s="10" t="n"/>
      <c r="BA6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5" s="17">
        <f>tbl_MTG_Set[[#This Row],[Collector Booster CardMarket Profit]]/tbl_MTG_Set[[#This Row],[Collector Booster Cost]]</f>
        <v/>
      </c>
      <c r="BC675" s="10" t="n"/>
      <c r="BF675" s="10">
        <f>tbl_MTG_Set[[#This Row],[Play Booster Sell Price CardMarket]]*tbl_MTG_Set[[#This Row],[Play Booster Expected Market Value]]/tbl_MTG_Set[[#This Row],[Play Boost Sealed Market Value]]</f>
        <v/>
      </c>
      <c r="BG6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5" s="10">
        <f>tbl_MTG_Set[[#This Row],[Play Singles CardMarket Profit]]/tbl_MTG_Set[[#This Row],[Play Booster Cost]]</f>
        <v/>
      </c>
      <c r="BI675" s="10">
        <f>tbl_MTG_Set[[#This Row],[Play Singles CardMarket Profit]]&gt;0</f>
        <v/>
      </c>
      <c r="BJ675" s="10" t="n"/>
      <c r="BK675" s="10" t="n"/>
      <c r="BL675" s="10">
        <f>tbl_MTG_Set[[#This Row],[Collector Booster Sell Price CardMarket]]*tbl_MTG_Set[[#This Row],[Collector Booster Expected Market Value]]/tbl_MTG_Set[[#This Row],[Collector Boost Sealed Market Value]]</f>
        <v/>
      </c>
      <c r="BM6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5" s="10">
        <f>tbl_MTG_Set[[#This Row],[Collector Singles CardMarket Profit]]/tbl_MTG_Set[[#This Row],[Collector Booster Cost]]</f>
        <v/>
      </c>
      <c r="BO675" s="10">
        <f>tbl_MTG_Set[[#This Row],[Collector Singles CardMarket Profit]]&gt;0</f>
        <v/>
      </c>
      <c r="BP6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6">
      <c r="A676" t="n">
        <v>674</v>
      </c>
      <c r="B676" t="inlineStr">
        <is>
          <t>Dragon's Maze DGM</t>
        </is>
      </c>
      <c r="C676" t="n">
        <v>156</v>
      </c>
      <c r="D676" s="3" t="n">
        <v>41397</v>
      </c>
      <c r="F676" t="inlineStr">
        <is>
          <t>en es fr de it pt ja ko ru 汉语 漢語</t>
        </is>
      </c>
      <c r="G676" t="n">
        <v>1294</v>
      </c>
      <c r="H676">
        <f>MONTH(NOW())+12*YEAR(NOW())-MONTH(tbl_MTG_Set[[#This Row],[Released On]])-12*YEAR(tbl_MTG_Set[[#This Row],[Released On]])</f>
        <v/>
      </c>
      <c r="I676">
        <f>_xlfn.XLOOKUP(tbl_MTG_Set[[#This Row],[Type Name]], tbl_MTG_Set_Type[Set Type], tbl_MTG_Set_Type[Index], "(Set Type not found)")</f>
        <v/>
      </c>
      <c r="J676">
        <f>_xlfn.XLOOKUP(tbl_MTG_Set[[#This Row],[Type Name]], tbl_MTG_Set_Type[Set Type], tbl_MTG_Set_Type[Buy Window Month Start], "(Set Type not found)")</f>
        <v/>
      </c>
      <c r="K676" s="3">
        <f>tbl_MTG_Set[[#This Row],[Released On]]+tbl_MTG_Set[[#This Row],[Buy Window Month Start]]*365.25/12</f>
        <v/>
      </c>
      <c r="L676">
        <f>_xlfn.XLOOKUP(tbl_MTG_Set[[#This Row],[Type Name]], tbl_MTG_Set_Type[Set Type], tbl_MTG_Set_Type[Buy Window Month End], "(Set Type not found)", 0, 1)</f>
        <v/>
      </c>
      <c r="M676" s="3">
        <f>tbl_MTG_Set[[#This Row],[Released On]]+tbl_MTG_Set[[#This Row],[Buy Window Month End]]*365.25/12</f>
        <v/>
      </c>
      <c r="N676" s="3">
        <f>AND(NOW()&gt;=tbl_MTG_Set[[#This Row],[Buy Window Start]], NOW()&lt;=tbl_MTG_Set[[#This Row],[Buy Window End]])</f>
        <v/>
      </c>
      <c r="O676">
        <f>_xlfn.XLOOKUP(tbl_MTG_Set[[#This Row],[Type Name]], tbl_MTG_Set_Type[Set Type], tbl_MTG_Set_Type[Heavy Printing Window Month Start], "(Set Type not found)", 0, 1)</f>
        <v/>
      </c>
      <c r="P676" s="3">
        <f>tbl_MTG_Set[[#This Row],[Released On]]+tbl_MTG_Set[[#This Row],[Heavy Printing Window Month Start]]*365.25/12</f>
        <v/>
      </c>
      <c r="Q676">
        <f>_xlfn.XLOOKUP(tbl_MTG_Set[[#This Row],[Type Name]], tbl_MTG_Set_Type[Set Type], tbl_MTG_Set_Type[Heavy Printing Window Month End], "(Set Type not found)", 0, 1)</f>
        <v/>
      </c>
      <c r="R676" s="3">
        <f>tbl_MTG_Set[[#This Row],[Released On]]+tbl_MTG_Set[[#This Row],[Heavy Printing Window Month End]]*365.25/12</f>
        <v/>
      </c>
      <c r="S676" s="3">
        <f>AND(NOW()&gt;=tbl_MTG_Set[[#This Row],[Heavy Printing Window Start]], NOW()&lt;=tbl_MTG_Set[[#This Row],[Heavy Printing Window End]])</f>
        <v/>
      </c>
      <c r="T676">
        <f>_xlfn.XLOOKUP(tbl_MTG_Set[[#This Row],[Type Name]], tbl_MTG_Set_Type[Set Type], tbl_MTG_Set_Type[Sell Window Month Start], "(Set Type not found)", 0, 1)</f>
        <v/>
      </c>
      <c r="U676" s="3">
        <f>tbl_MTG_Set[[#This Row],[Released On]]+tbl_MTG_Set[[#This Row],[Sell Window Month Start]]*365.25/12</f>
        <v/>
      </c>
      <c r="V676">
        <f>_xlfn.XLOOKUP(tbl_MTG_Set[[#This Row],[Type Name]], tbl_MTG_Set_Type[Set Type], tbl_MTG_Set_Type[Sell Window Month End], "(Set Type not found)", 0, 1)</f>
        <v/>
      </c>
      <c r="W676" s="3">
        <f>tbl_MTG_Set[[#This Row],[Released On]]+tbl_MTG_Set[[#This Row],[Sell Window Month End]]*365.25/12</f>
        <v/>
      </c>
      <c r="X676" s="3">
        <f>AND(NOW()&gt;=tbl_MTG_Set[[#This Row],[Sell Window Start]], NOW()&lt;=tbl_MTG_Set[[#This Row],[Sell Window End]])</f>
        <v/>
      </c>
      <c r="AG676" s="10" t="n"/>
      <c r="AH676" s="10" t="n"/>
      <c r="AM676" s="10">
        <f t="array" ref="AM6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6" s="10">
        <f t="array" ref="AN6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6" s="4">
        <f>_xlfn.XLOOKUP(tbl_MTG_Set[[#This Row],[Play Booster Box Product Id]], tbl_Product[Product Id], tbl_Product[Pack Size])</f>
        <v/>
      </c>
      <c r="AP676" s="10">
        <f>(tbl_MTG_Set[[#This Row],[Play Booster Box Cost]]+v_Item_Shipping_Cost_In)/tbl_MTG_Set[[#This Row],[Play Booster Box Size]]</f>
        <v/>
      </c>
      <c r="AQ676" s="10">
        <f t="array" ref="AQ6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6" s="10" t="n"/>
      <c r="AS676" s="10" t="n"/>
      <c r="AT676" s="17">
        <f>tbl_MTG_Set[[#This Row],[Play Booster CardMarket Profit]]/tbl_MTG_Set[[#This Row],[Play Booster Cost]]</f>
        <v/>
      </c>
      <c r="AU676" s="10">
        <f>_xlfn.XLOOKUP(tbl_MTG_Set[[#This Row],[Collector Booster Box Product Id]], tbl_Product[Product Id], tbl_Product[Min Cost])</f>
        <v/>
      </c>
      <c r="AV676" s="10">
        <f>_xlfn.XLOOKUP(tbl_MTG_Set[[#This Row],[Collector Booster Box Product Id]], tbl_Product[Product Id], tbl_Product[Best Source])</f>
        <v/>
      </c>
      <c r="AW676" s="4">
        <f>_xlfn.XLOOKUP(tbl_MTG_Set[[#This Row],[Collector Booster Box Product Id]], tbl_Product[Product Id], tbl_Product[Pack Size])</f>
        <v/>
      </c>
      <c r="AX676" s="10">
        <f>(tbl_MTG_Set[[#This Row],[Collector Booster Box Cost]] + v_Item_Shipping_Cost_In) / tbl_MTG_Set[[#This Row],[Collector Booster Box Size]]</f>
        <v/>
      </c>
      <c r="AY676" s="10">
        <f t="array" ref="AY6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6" s="10" t="n"/>
      <c r="BA6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6" s="17">
        <f>tbl_MTG_Set[[#This Row],[Collector Booster CardMarket Profit]]/tbl_MTG_Set[[#This Row],[Collector Booster Cost]]</f>
        <v/>
      </c>
      <c r="BC676" s="10" t="n"/>
      <c r="BF676" s="10">
        <f>tbl_MTG_Set[[#This Row],[Play Booster Sell Price CardMarket]]*tbl_MTG_Set[[#This Row],[Play Booster Expected Market Value]]/tbl_MTG_Set[[#This Row],[Play Boost Sealed Market Value]]</f>
        <v/>
      </c>
      <c r="BG6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6" s="10">
        <f>tbl_MTG_Set[[#This Row],[Play Singles CardMarket Profit]]/tbl_MTG_Set[[#This Row],[Play Booster Cost]]</f>
        <v/>
      </c>
      <c r="BI676" s="10">
        <f>tbl_MTG_Set[[#This Row],[Play Singles CardMarket Profit]]&gt;0</f>
        <v/>
      </c>
      <c r="BJ676" s="10" t="n"/>
      <c r="BK676" s="10" t="n"/>
      <c r="BL676" s="10">
        <f>tbl_MTG_Set[[#This Row],[Collector Booster Sell Price CardMarket]]*tbl_MTG_Set[[#This Row],[Collector Booster Expected Market Value]]/tbl_MTG_Set[[#This Row],[Collector Boost Sealed Market Value]]</f>
        <v/>
      </c>
      <c r="BM6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6" s="10">
        <f>tbl_MTG_Set[[#This Row],[Collector Singles CardMarket Profit]]/tbl_MTG_Set[[#This Row],[Collector Booster Cost]]</f>
        <v/>
      </c>
      <c r="BO676" s="10">
        <f>tbl_MTG_Set[[#This Row],[Collector Singles CardMarket Profit]]&gt;0</f>
        <v/>
      </c>
      <c r="BP6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7">
      <c r="A677" t="n">
        <v>675</v>
      </c>
      <c r="B677" t="inlineStr">
        <is>
          <t>Dragon's Maze Promos PDGM</t>
        </is>
      </c>
      <c r="C677" t="n">
        <v>6</v>
      </c>
      <c r="D677" s="3" t="n">
        <v>41391</v>
      </c>
      <c r="F677" t="inlineStr">
        <is>
          <t>en es fr de it pt ja ko ru 汉语 漢語</t>
        </is>
      </c>
      <c r="G677" t="n">
        <v>1296</v>
      </c>
      <c r="H677">
        <f>MONTH(NOW())+12*YEAR(NOW())-MONTH(tbl_MTG_Set[[#This Row],[Released On]])-12*YEAR(tbl_MTG_Set[[#This Row],[Released On]])</f>
        <v/>
      </c>
      <c r="I677">
        <f>_xlfn.XLOOKUP(tbl_MTG_Set[[#This Row],[Type Name]], tbl_MTG_Set_Type[Set Type], tbl_MTG_Set_Type[Index], "(Set Type not found)")</f>
        <v/>
      </c>
      <c r="J677">
        <f>_xlfn.XLOOKUP(tbl_MTG_Set[[#This Row],[Type Name]], tbl_MTG_Set_Type[Set Type], tbl_MTG_Set_Type[Buy Window Month Start], "(Set Type not found)")</f>
        <v/>
      </c>
      <c r="K677" s="3">
        <f>tbl_MTG_Set[[#This Row],[Released On]]+tbl_MTG_Set[[#This Row],[Buy Window Month Start]]*365.25/12</f>
        <v/>
      </c>
      <c r="L677">
        <f>_xlfn.XLOOKUP(tbl_MTG_Set[[#This Row],[Type Name]], tbl_MTG_Set_Type[Set Type], tbl_MTG_Set_Type[Buy Window Month End], "(Set Type not found)", 0, 1)</f>
        <v/>
      </c>
      <c r="M677" s="3">
        <f>tbl_MTG_Set[[#This Row],[Released On]]+tbl_MTG_Set[[#This Row],[Buy Window Month End]]*365.25/12</f>
        <v/>
      </c>
      <c r="N677" s="3">
        <f>AND(NOW()&gt;=tbl_MTG_Set[[#This Row],[Buy Window Start]], NOW()&lt;=tbl_MTG_Set[[#This Row],[Buy Window End]])</f>
        <v/>
      </c>
      <c r="O677">
        <f>_xlfn.XLOOKUP(tbl_MTG_Set[[#This Row],[Type Name]], tbl_MTG_Set_Type[Set Type], tbl_MTG_Set_Type[Heavy Printing Window Month Start], "(Set Type not found)", 0, 1)</f>
        <v/>
      </c>
      <c r="P677" s="3">
        <f>tbl_MTG_Set[[#This Row],[Released On]]+tbl_MTG_Set[[#This Row],[Heavy Printing Window Month Start]]*365.25/12</f>
        <v/>
      </c>
      <c r="Q677">
        <f>_xlfn.XLOOKUP(tbl_MTG_Set[[#This Row],[Type Name]], tbl_MTG_Set_Type[Set Type], tbl_MTG_Set_Type[Heavy Printing Window Month End], "(Set Type not found)", 0, 1)</f>
        <v/>
      </c>
      <c r="R677" s="3">
        <f>tbl_MTG_Set[[#This Row],[Released On]]+tbl_MTG_Set[[#This Row],[Heavy Printing Window Month End]]*365.25/12</f>
        <v/>
      </c>
      <c r="S677" s="3">
        <f>AND(NOW()&gt;=tbl_MTG_Set[[#This Row],[Heavy Printing Window Start]], NOW()&lt;=tbl_MTG_Set[[#This Row],[Heavy Printing Window End]])</f>
        <v/>
      </c>
      <c r="T677">
        <f>_xlfn.XLOOKUP(tbl_MTG_Set[[#This Row],[Type Name]], tbl_MTG_Set_Type[Set Type], tbl_MTG_Set_Type[Sell Window Month Start], "(Set Type not found)", 0, 1)</f>
        <v/>
      </c>
      <c r="U677" s="3">
        <f>tbl_MTG_Set[[#This Row],[Released On]]+tbl_MTG_Set[[#This Row],[Sell Window Month Start]]*365.25/12</f>
        <v/>
      </c>
      <c r="V677">
        <f>_xlfn.XLOOKUP(tbl_MTG_Set[[#This Row],[Type Name]], tbl_MTG_Set_Type[Set Type], tbl_MTG_Set_Type[Sell Window Month End], "(Set Type not found)", 0, 1)</f>
        <v/>
      </c>
      <c r="W677" s="3">
        <f>tbl_MTG_Set[[#This Row],[Released On]]+tbl_MTG_Set[[#This Row],[Sell Window Month End]]*365.25/12</f>
        <v/>
      </c>
      <c r="X677" s="3">
        <f>AND(NOW()&gt;=tbl_MTG_Set[[#This Row],[Sell Window Start]], NOW()&lt;=tbl_MTG_Set[[#This Row],[Sell Window End]])</f>
        <v/>
      </c>
      <c r="AG677" s="10" t="n"/>
      <c r="AH677" s="10" t="n"/>
      <c r="AM677" s="10">
        <f t="array" ref="AM6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7" s="10">
        <f t="array" ref="AN6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7" s="4">
        <f>_xlfn.XLOOKUP(tbl_MTG_Set[[#This Row],[Play Booster Box Product Id]], tbl_Product[Product Id], tbl_Product[Pack Size])</f>
        <v/>
      </c>
      <c r="AP677" s="10">
        <f>(tbl_MTG_Set[[#This Row],[Play Booster Box Cost]]+v_Item_Shipping_Cost_In)/tbl_MTG_Set[[#This Row],[Play Booster Box Size]]</f>
        <v/>
      </c>
      <c r="AQ677" s="10">
        <f t="array" ref="AQ6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7" s="10" t="n"/>
      <c r="AS677" s="10" t="n"/>
      <c r="AT677" s="17">
        <f>tbl_MTG_Set[[#This Row],[Play Booster CardMarket Profit]]/tbl_MTG_Set[[#This Row],[Play Booster Cost]]</f>
        <v/>
      </c>
      <c r="AU677" s="10">
        <f>_xlfn.XLOOKUP(tbl_MTG_Set[[#This Row],[Collector Booster Box Product Id]], tbl_Product[Product Id], tbl_Product[Min Cost])</f>
        <v/>
      </c>
      <c r="AV677" s="10">
        <f>_xlfn.XLOOKUP(tbl_MTG_Set[[#This Row],[Collector Booster Box Product Id]], tbl_Product[Product Id], tbl_Product[Best Source])</f>
        <v/>
      </c>
      <c r="AW677" s="4">
        <f>_xlfn.XLOOKUP(tbl_MTG_Set[[#This Row],[Collector Booster Box Product Id]], tbl_Product[Product Id], tbl_Product[Pack Size])</f>
        <v/>
      </c>
      <c r="AX677" s="10">
        <f>(tbl_MTG_Set[[#This Row],[Collector Booster Box Cost]] + v_Item_Shipping_Cost_In) / tbl_MTG_Set[[#This Row],[Collector Booster Box Size]]</f>
        <v/>
      </c>
      <c r="AY677" s="10">
        <f t="array" ref="AY6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7" s="10" t="n"/>
      <c r="BA6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7" s="17">
        <f>tbl_MTG_Set[[#This Row],[Collector Booster CardMarket Profit]]/tbl_MTG_Set[[#This Row],[Collector Booster Cost]]</f>
        <v/>
      </c>
      <c r="BC677" s="10" t="n"/>
      <c r="BF677" s="10">
        <f>tbl_MTG_Set[[#This Row],[Play Booster Sell Price CardMarket]]*tbl_MTG_Set[[#This Row],[Play Booster Expected Market Value]]/tbl_MTG_Set[[#This Row],[Play Boost Sealed Market Value]]</f>
        <v/>
      </c>
      <c r="BG6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7" s="10">
        <f>tbl_MTG_Set[[#This Row],[Play Singles CardMarket Profit]]/tbl_MTG_Set[[#This Row],[Play Booster Cost]]</f>
        <v/>
      </c>
      <c r="BI677" s="10">
        <f>tbl_MTG_Set[[#This Row],[Play Singles CardMarket Profit]]&gt;0</f>
        <v/>
      </c>
      <c r="BJ677" s="10" t="n"/>
      <c r="BK677" s="10" t="n"/>
      <c r="BL677" s="10">
        <f>tbl_MTG_Set[[#This Row],[Collector Booster Sell Price CardMarket]]*tbl_MTG_Set[[#This Row],[Collector Booster Expected Market Value]]/tbl_MTG_Set[[#This Row],[Collector Boost Sealed Market Value]]</f>
        <v/>
      </c>
      <c r="BM6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7" s="10">
        <f>tbl_MTG_Set[[#This Row],[Collector Singles CardMarket Profit]]/tbl_MTG_Set[[#This Row],[Collector Booster Cost]]</f>
        <v/>
      </c>
      <c r="BO677" s="10">
        <f>tbl_MTG_Set[[#This Row],[Collector Singles CardMarket Profit]]&gt;0</f>
        <v/>
      </c>
      <c r="BP6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8">
      <c r="A678" t="n">
        <v>676</v>
      </c>
      <c r="B678" t="inlineStr">
        <is>
          <t>Dragon's Maze Tokens TDGM</t>
        </is>
      </c>
      <c r="C678" t="n">
        <v>1</v>
      </c>
      <c r="D678" s="3" t="n">
        <v>41397</v>
      </c>
      <c r="F678" t="inlineStr">
        <is>
          <t>en es fr de it pt ja ko ru 汉语 漢語</t>
        </is>
      </c>
      <c r="G678" t="n">
        <v>1298</v>
      </c>
      <c r="H678">
        <f>MONTH(NOW())+12*YEAR(NOW())-MONTH(tbl_MTG_Set[[#This Row],[Released On]])-12*YEAR(tbl_MTG_Set[[#This Row],[Released On]])</f>
        <v/>
      </c>
      <c r="I678">
        <f>_xlfn.XLOOKUP(tbl_MTG_Set[[#This Row],[Type Name]], tbl_MTG_Set_Type[Set Type], tbl_MTG_Set_Type[Index], "(Set Type not found)")</f>
        <v/>
      </c>
      <c r="J678">
        <f>_xlfn.XLOOKUP(tbl_MTG_Set[[#This Row],[Type Name]], tbl_MTG_Set_Type[Set Type], tbl_MTG_Set_Type[Buy Window Month Start], "(Set Type not found)")</f>
        <v/>
      </c>
      <c r="K678" s="3">
        <f>tbl_MTG_Set[[#This Row],[Released On]]+tbl_MTG_Set[[#This Row],[Buy Window Month Start]]*365.25/12</f>
        <v/>
      </c>
      <c r="L678">
        <f>_xlfn.XLOOKUP(tbl_MTG_Set[[#This Row],[Type Name]], tbl_MTG_Set_Type[Set Type], tbl_MTG_Set_Type[Buy Window Month End], "(Set Type not found)", 0, 1)</f>
        <v/>
      </c>
      <c r="M678" s="3">
        <f>tbl_MTG_Set[[#This Row],[Released On]]+tbl_MTG_Set[[#This Row],[Buy Window Month End]]*365.25/12</f>
        <v/>
      </c>
      <c r="N678" s="3">
        <f>AND(NOW()&gt;=tbl_MTG_Set[[#This Row],[Buy Window Start]], NOW()&lt;=tbl_MTG_Set[[#This Row],[Buy Window End]])</f>
        <v/>
      </c>
      <c r="O678">
        <f>_xlfn.XLOOKUP(tbl_MTG_Set[[#This Row],[Type Name]], tbl_MTG_Set_Type[Set Type], tbl_MTG_Set_Type[Heavy Printing Window Month Start], "(Set Type not found)", 0, 1)</f>
        <v/>
      </c>
      <c r="P678" s="3">
        <f>tbl_MTG_Set[[#This Row],[Released On]]+tbl_MTG_Set[[#This Row],[Heavy Printing Window Month Start]]*365.25/12</f>
        <v/>
      </c>
      <c r="Q678">
        <f>_xlfn.XLOOKUP(tbl_MTG_Set[[#This Row],[Type Name]], tbl_MTG_Set_Type[Set Type], tbl_MTG_Set_Type[Heavy Printing Window Month End], "(Set Type not found)", 0, 1)</f>
        <v/>
      </c>
      <c r="R678" s="3">
        <f>tbl_MTG_Set[[#This Row],[Released On]]+tbl_MTG_Set[[#This Row],[Heavy Printing Window Month End]]*365.25/12</f>
        <v/>
      </c>
      <c r="S678" s="3">
        <f>AND(NOW()&gt;=tbl_MTG_Set[[#This Row],[Heavy Printing Window Start]], NOW()&lt;=tbl_MTG_Set[[#This Row],[Heavy Printing Window End]])</f>
        <v/>
      </c>
      <c r="T678">
        <f>_xlfn.XLOOKUP(tbl_MTG_Set[[#This Row],[Type Name]], tbl_MTG_Set_Type[Set Type], tbl_MTG_Set_Type[Sell Window Month Start], "(Set Type not found)", 0, 1)</f>
        <v/>
      </c>
      <c r="U678" s="3">
        <f>tbl_MTG_Set[[#This Row],[Released On]]+tbl_MTG_Set[[#This Row],[Sell Window Month Start]]*365.25/12</f>
        <v/>
      </c>
      <c r="V678">
        <f>_xlfn.XLOOKUP(tbl_MTG_Set[[#This Row],[Type Name]], tbl_MTG_Set_Type[Set Type], tbl_MTG_Set_Type[Sell Window Month End], "(Set Type not found)", 0, 1)</f>
        <v/>
      </c>
      <c r="W678" s="3">
        <f>tbl_MTG_Set[[#This Row],[Released On]]+tbl_MTG_Set[[#This Row],[Sell Window Month End]]*365.25/12</f>
        <v/>
      </c>
      <c r="X678" s="3">
        <f>AND(NOW()&gt;=tbl_MTG_Set[[#This Row],[Sell Window Start]], NOW()&lt;=tbl_MTG_Set[[#This Row],[Sell Window End]])</f>
        <v/>
      </c>
      <c r="AG678" s="10" t="n"/>
      <c r="AH678" s="10" t="n"/>
      <c r="AM678" s="10">
        <f t="array" ref="AM6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8" s="10">
        <f t="array" ref="AN6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8" s="4">
        <f>_xlfn.XLOOKUP(tbl_MTG_Set[[#This Row],[Play Booster Box Product Id]], tbl_Product[Product Id], tbl_Product[Pack Size])</f>
        <v/>
      </c>
      <c r="AP678" s="10">
        <f>(tbl_MTG_Set[[#This Row],[Play Booster Box Cost]]+v_Item_Shipping_Cost_In)/tbl_MTG_Set[[#This Row],[Play Booster Box Size]]</f>
        <v/>
      </c>
      <c r="AQ678" s="10">
        <f t="array" ref="AQ6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8" s="10" t="n"/>
      <c r="AS678" s="10" t="n"/>
      <c r="AT678" s="17">
        <f>tbl_MTG_Set[[#This Row],[Play Booster CardMarket Profit]]/tbl_MTG_Set[[#This Row],[Play Booster Cost]]</f>
        <v/>
      </c>
      <c r="AU678" s="10">
        <f>_xlfn.XLOOKUP(tbl_MTG_Set[[#This Row],[Collector Booster Box Product Id]], tbl_Product[Product Id], tbl_Product[Min Cost])</f>
        <v/>
      </c>
      <c r="AV678" s="10">
        <f>_xlfn.XLOOKUP(tbl_MTG_Set[[#This Row],[Collector Booster Box Product Id]], tbl_Product[Product Id], tbl_Product[Best Source])</f>
        <v/>
      </c>
      <c r="AW678" s="4">
        <f>_xlfn.XLOOKUP(tbl_MTG_Set[[#This Row],[Collector Booster Box Product Id]], tbl_Product[Product Id], tbl_Product[Pack Size])</f>
        <v/>
      </c>
      <c r="AX678" s="10">
        <f>(tbl_MTG_Set[[#This Row],[Collector Booster Box Cost]] + v_Item_Shipping_Cost_In) / tbl_MTG_Set[[#This Row],[Collector Booster Box Size]]</f>
        <v/>
      </c>
      <c r="AY678" s="10">
        <f t="array" ref="AY6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8" s="10" t="n"/>
      <c r="BA6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8" s="17">
        <f>tbl_MTG_Set[[#This Row],[Collector Booster CardMarket Profit]]/tbl_MTG_Set[[#This Row],[Collector Booster Cost]]</f>
        <v/>
      </c>
      <c r="BC678" s="10" t="n"/>
      <c r="BF678" s="10">
        <f>tbl_MTG_Set[[#This Row],[Play Booster Sell Price CardMarket]]*tbl_MTG_Set[[#This Row],[Play Booster Expected Market Value]]/tbl_MTG_Set[[#This Row],[Play Boost Sealed Market Value]]</f>
        <v/>
      </c>
      <c r="BG6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8" s="10">
        <f>tbl_MTG_Set[[#This Row],[Play Singles CardMarket Profit]]/tbl_MTG_Set[[#This Row],[Play Booster Cost]]</f>
        <v/>
      </c>
      <c r="BI678" s="10">
        <f>tbl_MTG_Set[[#This Row],[Play Singles CardMarket Profit]]&gt;0</f>
        <v/>
      </c>
      <c r="BJ678" s="10" t="n"/>
      <c r="BK678" s="10" t="n"/>
      <c r="BL678" s="10">
        <f>tbl_MTG_Set[[#This Row],[Collector Booster Sell Price CardMarket]]*tbl_MTG_Set[[#This Row],[Collector Booster Expected Market Value]]/tbl_MTG_Set[[#This Row],[Collector Boost Sealed Market Value]]</f>
        <v/>
      </c>
      <c r="BM6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8" s="10">
        <f>tbl_MTG_Set[[#This Row],[Collector Singles CardMarket Profit]]/tbl_MTG_Set[[#This Row],[Collector Booster Cost]]</f>
        <v/>
      </c>
      <c r="BO678" s="10">
        <f>tbl_MTG_Set[[#This Row],[Collector Singles CardMarket Profit]]&gt;0</f>
        <v/>
      </c>
      <c r="BP6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9">
      <c r="A679" t="n">
        <v>677</v>
      </c>
      <c r="B679" t="inlineStr">
        <is>
          <t>World Magic Cup Qualifiers WMC</t>
        </is>
      </c>
      <c r="C679" t="n">
        <v>5</v>
      </c>
      <c r="D679" s="3" t="n">
        <v>41370</v>
      </c>
      <c r="F679" t="inlineStr">
        <is>
          <t>en es fr de it pt ja ko ru 汉语 漢語</t>
        </is>
      </c>
      <c r="G679" t="n">
        <v>1300</v>
      </c>
      <c r="H679">
        <f>MONTH(NOW())+12*YEAR(NOW())-MONTH(tbl_MTG_Set[[#This Row],[Released On]])-12*YEAR(tbl_MTG_Set[[#This Row],[Released On]])</f>
        <v/>
      </c>
      <c r="I679">
        <f>_xlfn.XLOOKUP(tbl_MTG_Set[[#This Row],[Type Name]], tbl_MTG_Set_Type[Set Type], tbl_MTG_Set_Type[Index], "(Set Type not found)")</f>
        <v/>
      </c>
      <c r="J679">
        <f>_xlfn.XLOOKUP(tbl_MTG_Set[[#This Row],[Type Name]], tbl_MTG_Set_Type[Set Type], tbl_MTG_Set_Type[Buy Window Month Start], "(Set Type not found)")</f>
        <v/>
      </c>
      <c r="K679" s="3">
        <f>tbl_MTG_Set[[#This Row],[Released On]]+tbl_MTG_Set[[#This Row],[Buy Window Month Start]]*365.25/12</f>
        <v/>
      </c>
      <c r="L679">
        <f>_xlfn.XLOOKUP(tbl_MTG_Set[[#This Row],[Type Name]], tbl_MTG_Set_Type[Set Type], tbl_MTG_Set_Type[Buy Window Month End], "(Set Type not found)", 0, 1)</f>
        <v/>
      </c>
      <c r="M679" s="3">
        <f>tbl_MTG_Set[[#This Row],[Released On]]+tbl_MTG_Set[[#This Row],[Buy Window Month End]]*365.25/12</f>
        <v/>
      </c>
      <c r="N679" s="3">
        <f>AND(NOW()&gt;=tbl_MTG_Set[[#This Row],[Buy Window Start]], NOW()&lt;=tbl_MTG_Set[[#This Row],[Buy Window End]])</f>
        <v/>
      </c>
      <c r="O679">
        <f>_xlfn.XLOOKUP(tbl_MTG_Set[[#This Row],[Type Name]], tbl_MTG_Set_Type[Set Type], tbl_MTG_Set_Type[Heavy Printing Window Month Start], "(Set Type not found)", 0, 1)</f>
        <v/>
      </c>
      <c r="P679" s="3">
        <f>tbl_MTG_Set[[#This Row],[Released On]]+tbl_MTG_Set[[#This Row],[Heavy Printing Window Month Start]]*365.25/12</f>
        <v/>
      </c>
      <c r="Q679">
        <f>_xlfn.XLOOKUP(tbl_MTG_Set[[#This Row],[Type Name]], tbl_MTG_Set_Type[Set Type], tbl_MTG_Set_Type[Heavy Printing Window Month End], "(Set Type not found)", 0, 1)</f>
        <v/>
      </c>
      <c r="R679" s="3">
        <f>tbl_MTG_Set[[#This Row],[Released On]]+tbl_MTG_Set[[#This Row],[Heavy Printing Window Month End]]*365.25/12</f>
        <v/>
      </c>
      <c r="S679" s="3">
        <f>AND(NOW()&gt;=tbl_MTG_Set[[#This Row],[Heavy Printing Window Start]], NOW()&lt;=tbl_MTG_Set[[#This Row],[Heavy Printing Window End]])</f>
        <v/>
      </c>
      <c r="T679">
        <f>_xlfn.XLOOKUP(tbl_MTG_Set[[#This Row],[Type Name]], tbl_MTG_Set_Type[Set Type], tbl_MTG_Set_Type[Sell Window Month Start], "(Set Type not found)", 0, 1)</f>
        <v/>
      </c>
      <c r="U679" s="3">
        <f>tbl_MTG_Set[[#This Row],[Released On]]+tbl_MTG_Set[[#This Row],[Sell Window Month Start]]*365.25/12</f>
        <v/>
      </c>
      <c r="V679">
        <f>_xlfn.XLOOKUP(tbl_MTG_Set[[#This Row],[Type Name]], tbl_MTG_Set_Type[Set Type], tbl_MTG_Set_Type[Sell Window Month End], "(Set Type not found)", 0, 1)</f>
        <v/>
      </c>
      <c r="W679" s="3">
        <f>tbl_MTG_Set[[#This Row],[Released On]]+tbl_MTG_Set[[#This Row],[Sell Window Month End]]*365.25/12</f>
        <v/>
      </c>
      <c r="X679" s="3">
        <f>AND(NOW()&gt;=tbl_MTG_Set[[#This Row],[Sell Window Start]], NOW()&lt;=tbl_MTG_Set[[#This Row],[Sell Window End]])</f>
        <v/>
      </c>
      <c r="AG679" s="10" t="n"/>
      <c r="AH679" s="10" t="n"/>
      <c r="AM679" s="10">
        <f t="array" ref="AM6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9" s="10">
        <f t="array" ref="AN6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9" s="4">
        <f>_xlfn.XLOOKUP(tbl_MTG_Set[[#This Row],[Play Booster Box Product Id]], tbl_Product[Product Id], tbl_Product[Pack Size])</f>
        <v/>
      </c>
      <c r="AP679" s="10">
        <f>(tbl_MTG_Set[[#This Row],[Play Booster Box Cost]]+v_Item_Shipping_Cost_In)/tbl_MTG_Set[[#This Row],[Play Booster Box Size]]</f>
        <v/>
      </c>
      <c r="AQ679" s="10">
        <f t="array" ref="AQ6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79" s="10" t="n"/>
      <c r="AS679" s="10" t="n"/>
      <c r="AT679" s="17">
        <f>tbl_MTG_Set[[#This Row],[Play Booster CardMarket Profit]]/tbl_MTG_Set[[#This Row],[Play Booster Cost]]</f>
        <v/>
      </c>
      <c r="AU679" s="10">
        <f>_xlfn.XLOOKUP(tbl_MTG_Set[[#This Row],[Collector Booster Box Product Id]], tbl_Product[Product Id], tbl_Product[Min Cost])</f>
        <v/>
      </c>
      <c r="AV679" s="10">
        <f>_xlfn.XLOOKUP(tbl_MTG_Set[[#This Row],[Collector Booster Box Product Id]], tbl_Product[Product Id], tbl_Product[Best Source])</f>
        <v/>
      </c>
      <c r="AW679" s="4">
        <f>_xlfn.XLOOKUP(tbl_MTG_Set[[#This Row],[Collector Booster Box Product Id]], tbl_Product[Product Id], tbl_Product[Pack Size])</f>
        <v/>
      </c>
      <c r="AX679" s="10">
        <f>(tbl_MTG_Set[[#This Row],[Collector Booster Box Cost]] + v_Item_Shipping_Cost_In) / tbl_MTG_Set[[#This Row],[Collector Booster Box Size]]</f>
        <v/>
      </c>
      <c r="AY679" s="10">
        <f t="array" ref="AY6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79" s="10" t="n"/>
      <c r="BA6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9" s="17">
        <f>tbl_MTG_Set[[#This Row],[Collector Booster CardMarket Profit]]/tbl_MTG_Set[[#This Row],[Collector Booster Cost]]</f>
        <v/>
      </c>
      <c r="BC679" s="10" t="n"/>
      <c r="BF679" s="10">
        <f>tbl_MTG_Set[[#This Row],[Play Booster Sell Price CardMarket]]*tbl_MTG_Set[[#This Row],[Play Booster Expected Market Value]]/tbl_MTG_Set[[#This Row],[Play Boost Sealed Market Value]]</f>
        <v/>
      </c>
      <c r="BG6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9" s="10">
        <f>tbl_MTG_Set[[#This Row],[Play Singles CardMarket Profit]]/tbl_MTG_Set[[#This Row],[Play Booster Cost]]</f>
        <v/>
      </c>
      <c r="BI679" s="10">
        <f>tbl_MTG_Set[[#This Row],[Play Singles CardMarket Profit]]&gt;0</f>
        <v/>
      </c>
      <c r="BJ679" s="10" t="n"/>
      <c r="BK679" s="10" t="n"/>
      <c r="BL679" s="10">
        <f>tbl_MTG_Set[[#This Row],[Collector Booster Sell Price CardMarket]]*tbl_MTG_Set[[#This Row],[Collector Booster Expected Market Value]]/tbl_MTG_Set[[#This Row],[Collector Boost Sealed Market Value]]</f>
        <v/>
      </c>
      <c r="BM6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9" s="10">
        <f>tbl_MTG_Set[[#This Row],[Collector Singles CardMarket Profit]]/tbl_MTG_Set[[#This Row],[Collector Booster Cost]]</f>
        <v/>
      </c>
      <c r="BO679" s="10">
        <f>tbl_MTG_Set[[#This Row],[Collector Singles CardMarket Profit]]&gt;0</f>
        <v/>
      </c>
      <c r="BP6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0">
      <c r="A680" t="n">
        <v>678</v>
      </c>
      <c r="B680" t="inlineStr">
        <is>
          <t>Duel Decks: Sorin vs. Tibalt DDK</t>
        </is>
      </c>
      <c r="C680" t="n">
        <v>80</v>
      </c>
      <c r="D680" s="3" t="n">
        <v>41348</v>
      </c>
      <c r="F680" t="inlineStr">
        <is>
          <t>en es fr de it pt ja ko ru 汉语 漢語</t>
        </is>
      </c>
      <c r="G680" t="n">
        <v>1302</v>
      </c>
      <c r="H680">
        <f>MONTH(NOW())+12*YEAR(NOW())-MONTH(tbl_MTG_Set[[#This Row],[Released On]])-12*YEAR(tbl_MTG_Set[[#This Row],[Released On]])</f>
        <v/>
      </c>
      <c r="I680">
        <f>_xlfn.XLOOKUP(tbl_MTG_Set[[#This Row],[Type Name]], tbl_MTG_Set_Type[Set Type], tbl_MTG_Set_Type[Index], "(Set Type not found)")</f>
        <v/>
      </c>
      <c r="J680">
        <f>_xlfn.XLOOKUP(tbl_MTG_Set[[#This Row],[Type Name]], tbl_MTG_Set_Type[Set Type], tbl_MTG_Set_Type[Buy Window Month Start], "(Set Type not found)")</f>
        <v/>
      </c>
      <c r="K680" s="3">
        <f>tbl_MTG_Set[[#This Row],[Released On]]+tbl_MTG_Set[[#This Row],[Buy Window Month Start]]*365.25/12</f>
        <v/>
      </c>
      <c r="L680">
        <f>_xlfn.XLOOKUP(tbl_MTG_Set[[#This Row],[Type Name]], tbl_MTG_Set_Type[Set Type], tbl_MTG_Set_Type[Buy Window Month End], "(Set Type not found)", 0, 1)</f>
        <v/>
      </c>
      <c r="M680" s="3">
        <f>tbl_MTG_Set[[#This Row],[Released On]]+tbl_MTG_Set[[#This Row],[Buy Window Month End]]*365.25/12</f>
        <v/>
      </c>
      <c r="N680" s="3">
        <f>AND(NOW()&gt;=tbl_MTG_Set[[#This Row],[Buy Window Start]], NOW()&lt;=tbl_MTG_Set[[#This Row],[Buy Window End]])</f>
        <v/>
      </c>
      <c r="O680">
        <f>_xlfn.XLOOKUP(tbl_MTG_Set[[#This Row],[Type Name]], tbl_MTG_Set_Type[Set Type], tbl_MTG_Set_Type[Heavy Printing Window Month Start], "(Set Type not found)", 0, 1)</f>
        <v/>
      </c>
      <c r="P680" s="3">
        <f>tbl_MTG_Set[[#This Row],[Released On]]+tbl_MTG_Set[[#This Row],[Heavy Printing Window Month Start]]*365.25/12</f>
        <v/>
      </c>
      <c r="Q680">
        <f>_xlfn.XLOOKUP(tbl_MTG_Set[[#This Row],[Type Name]], tbl_MTG_Set_Type[Set Type], tbl_MTG_Set_Type[Heavy Printing Window Month End], "(Set Type not found)", 0, 1)</f>
        <v/>
      </c>
      <c r="R680" s="3">
        <f>tbl_MTG_Set[[#This Row],[Released On]]+tbl_MTG_Set[[#This Row],[Heavy Printing Window Month End]]*365.25/12</f>
        <v/>
      </c>
      <c r="S680" s="3">
        <f>AND(NOW()&gt;=tbl_MTG_Set[[#This Row],[Heavy Printing Window Start]], NOW()&lt;=tbl_MTG_Set[[#This Row],[Heavy Printing Window End]])</f>
        <v/>
      </c>
      <c r="T680">
        <f>_xlfn.XLOOKUP(tbl_MTG_Set[[#This Row],[Type Name]], tbl_MTG_Set_Type[Set Type], tbl_MTG_Set_Type[Sell Window Month Start], "(Set Type not found)", 0, 1)</f>
        <v/>
      </c>
      <c r="U680" s="3">
        <f>tbl_MTG_Set[[#This Row],[Released On]]+tbl_MTG_Set[[#This Row],[Sell Window Month Start]]*365.25/12</f>
        <v/>
      </c>
      <c r="V680">
        <f>_xlfn.XLOOKUP(tbl_MTG_Set[[#This Row],[Type Name]], tbl_MTG_Set_Type[Set Type], tbl_MTG_Set_Type[Sell Window Month End], "(Set Type not found)", 0, 1)</f>
        <v/>
      </c>
      <c r="W680" s="3">
        <f>tbl_MTG_Set[[#This Row],[Released On]]+tbl_MTG_Set[[#This Row],[Sell Window Month End]]*365.25/12</f>
        <v/>
      </c>
      <c r="X680" s="3">
        <f>AND(NOW()&gt;=tbl_MTG_Set[[#This Row],[Sell Window Start]], NOW()&lt;=tbl_MTG_Set[[#This Row],[Sell Window End]])</f>
        <v/>
      </c>
      <c r="AG680" s="10" t="n"/>
      <c r="AH680" s="10" t="n"/>
      <c r="AM680" s="10">
        <f t="array" ref="AM6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0" s="10">
        <f t="array" ref="AN6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0" s="4">
        <f>_xlfn.XLOOKUP(tbl_MTG_Set[[#This Row],[Play Booster Box Product Id]], tbl_Product[Product Id], tbl_Product[Pack Size])</f>
        <v/>
      </c>
      <c r="AP680" s="10">
        <f>(tbl_MTG_Set[[#This Row],[Play Booster Box Cost]]+v_Item_Shipping_Cost_In)/tbl_MTG_Set[[#This Row],[Play Booster Box Size]]</f>
        <v/>
      </c>
      <c r="AQ680" s="10">
        <f t="array" ref="AQ6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0" s="10" t="n"/>
      <c r="AS680" s="10" t="n"/>
      <c r="AT680" s="17">
        <f>tbl_MTG_Set[[#This Row],[Play Booster CardMarket Profit]]/tbl_MTG_Set[[#This Row],[Play Booster Cost]]</f>
        <v/>
      </c>
      <c r="AU680" s="10">
        <f>_xlfn.XLOOKUP(tbl_MTG_Set[[#This Row],[Collector Booster Box Product Id]], tbl_Product[Product Id], tbl_Product[Min Cost])</f>
        <v/>
      </c>
      <c r="AV680" s="10">
        <f>_xlfn.XLOOKUP(tbl_MTG_Set[[#This Row],[Collector Booster Box Product Id]], tbl_Product[Product Id], tbl_Product[Best Source])</f>
        <v/>
      </c>
      <c r="AW680" s="4">
        <f>_xlfn.XLOOKUP(tbl_MTG_Set[[#This Row],[Collector Booster Box Product Id]], tbl_Product[Product Id], tbl_Product[Pack Size])</f>
        <v/>
      </c>
      <c r="AX680" s="10">
        <f>(tbl_MTG_Set[[#This Row],[Collector Booster Box Cost]] + v_Item_Shipping_Cost_In) / tbl_MTG_Set[[#This Row],[Collector Booster Box Size]]</f>
        <v/>
      </c>
      <c r="AY680" s="10">
        <f t="array" ref="AY6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0" s="10" t="n"/>
      <c r="BA6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0" s="17">
        <f>tbl_MTG_Set[[#This Row],[Collector Booster CardMarket Profit]]/tbl_MTG_Set[[#This Row],[Collector Booster Cost]]</f>
        <v/>
      </c>
      <c r="BC680" s="10" t="n"/>
      <c r="BF680" s="10">
        <f>tbl_MTG_Set[[#This Row],[Play Booster Sell Price CardMarket]]*tbl_MTG_Set[[#This Row],[Play Booster Expected Market Value]]/tbl_MTG_Set[[#This Row],[Play Boost Sealed Market Value]]</f>
        <v/>
      </c>
      <c r="BG6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0" s="10">
        <f>tbl_MTG_Set[[#This Row],[Play Singles CardMarket Profit]]/tbl_MTG_Set[[#This Row],[Play Booster Cost]]</f>
        <v/>
      </c>
      <c r="BI680" s="10">
        <f>tbl_MTG_Set[[#This Row],[Play Singles CardMarket Profit]]&gt;0</f>
        <v/>
      </c>
      <c r="BJ680" s="10" t="n"/>
      <c r="BK680" s="10" t="n"/>
      <c r="BL680" s="10">
        <f>tbl_MTG_Set[[#This Row],[Collector Booster Sell Price CardMarket]]*tbl_MTG_Set[[#This Row],[Collector Booster Expected Market Value]]/tbl_MTG_Set[[#This Row],[Collector Boost Sealed Market Value]]</f>
        <v/>
      </c>
      <c r="BM6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0" s="10">
        <f>tbl_MTG_Set[[#This Row],[Collector Singles CardMarket Profit]]/tbl_MTG_Set[[#This Row],[Collector Booster Cost]]</f>
        <v/>
      </c>
      <c r="BO680" s="10">
        <f>tbl_MTG_Set[[#This Row],[Collector Singles CardMarket Profit]]&gt;0</f>
        <v/>
      </c>
      <c r="BP6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1">
      <c r="A681" t="n">
        <v>679</v>
      </c>
      <c r="B681" t="inlineStr">
        <is>
          <t>Duel Decks: Sorin vs. Tibalt Tokens TDDK</t>
        </is>
      </c>
      <c r="C681" t="n">
        <v>1</v>
      </c>
      <c r="D681" s="3" t="n">
        <v>41348</v>
      </c>
      <c r="F681" t="inlineStr">
        <is>
          <t>en es fr de it pt ja ko ru 汉语 漢語</t>
        </is>
      </c>
      <c r="G681" t="n">
        <v>1304</v>
      </c>
      <c r="H681">
        <f>MONTH(NOW())+12*YEAR(NOW())-MONTH(tbl_MTG_Set[[#This Row],[Released On]])-12*YEAR(tbl_MTG_Set[[#This Row],[Released On]])</f>
        <v/>
      </c>
      <c r="I681">
        <f>_xlfn.XLOOKUP(tbl_MTG_Set[[#This Row],[Type Name]], tbl_MTG_Set_Type[Set Type], tbl_MTG_Set_Type[Index], "(Set Type not found)")</f>
        <v/>
      </c>
      <c r="J681">
        <f>_xlfn.XLOOKUP(tbl_MTG_Set[[#This Row],[Type Name]], tbl_MTG_Set_Type[Set Type], tbl_MTG_Set_Type[Buy Window Month Start], "(Set Type not found)")</f>
        <v/>
      </c>
      <c r="K681" s="3">
        <f>tbl_MTG_Set[[#This Row],[Released On]]+tbl_MTG_Set[[#This Row],[Buy Window Month Start]]*365.25/12</f>
        <v/>
      </c>
      <c r="L681">
        <f>_xlfn.XLOOKUP(tbl_MTG_Set[[#This Row],[Type Name]], tbl_MTG_Set_Type[Set Type], tbl_MTG_Set_Type[Buy Window Month End], "(Set Type not found)", 0, 1)</f>
        <v/>
      </c>
      <c r="M681" s="3">
        <f>tbl_MTG_Set[[#This Row],[Released On]]+tbl_MTG_Set[[#This Row],[Buy Window Month End]]*365.25/12</f>
        <v/>
      </c>
      <c r="N681" s="3">
        <f>AND(NOW()&gt;=tbl_MTG_Set[[#This Row],[Buy Window Start]], NOW()&lt;=tbl_MTG_Set[[#This Row],[Buy Window End]])</f>
        <v/>
      </c>
      <c r="O681">
        <f>_xlfn.XLOOKUP(tbl_MTG_Set[[#This Row],[Type Name]], tbl_MTG_Set_Type[Set Type], tbl_MTG_Set_Type[Heavy Printing Window Month Start], "(Set Type not found)", 0, 1)</f>
        <v/>
      </c>
      <c r="P681" s="3">
        <f>tbl_MTG_Set[[#This Row],[Released On]]+tbl_MTG_Set[[#This Row],[Heavy Printing Window Month Start]]*365.25/12</f>
        <v/>
      </c>
      <c r="Q681">
        <f>_xlfn.XLOOKUP(tbl_MTG_Set[[#This Row],[Type Name]], tbl_MTG_Set_Type[Set Type], tbl_MTG_Set_Type[Heavy Printing Window Month End], "(Set Type not found)", 0, 1)</f>
        <v/>
      </c>
      <c r="R681" s="3">
        <f>tbl_MTG_Set[[#This Row],[Released On]]+tbl_MTG_Set[[#This Row],[Heavy Printing Window Month End]]*365.25/12</f>
        <v/>
      </c>
      <c r="S681" s="3">
        <f>AND(NOW()&gt;=tbl_MTG_Set[[#This Row],[Heavy Printing Window Start]], NOW()&lt;=tbl_MTG_Set[[#This Row],[Heavy Printing Window End]])</f>
        <v/>
      </c>
      <c r="T681">
        <f>_xlfn.XLOOKUP(tbl_MTG_Set[[#This Row],[Type Name]], tbl_MTG_Set_Type[Set Type], tbl_MTG_Set_Type[Sell Window Month Start], "(Set Type not found)", 0, 1)</f>
        <v/>
      </c>
      <c r="U681" s="3">
        <f>tbl_MTG_Set[[#This Row],[Released On]]+tbl_MTG_Set[[#This Row],[Sell Window Month Start]]*365.25/12</f>
        <v/>
      </c>
      <c r="V681">
        <f>_xlfn.XLOOKUP(tbl_MTG_Set[[#This Row],[Type Name]], tbl_MTG_Set_Type[Set Type], tbl_MTG_Set_Type[Sell Window Month End], "(Set Type not found)", 0, 1)</f>
        <v/>
      </c>
      <c r="W681" s="3">
        <f>tbl_MTG_Set[[#This Row],[Released On]]+tbl_MTG_Set[[#This Row],[Sell Window Month End]]*365.25/12</f>
        <v/>
      </c>
      <c r="X681" s="3">
        <f>AND(NOW()&gt;=tbl_MTG_Set[[#This Row],[Sell Window Start]], NOW()&lt;=tbl_MTG_Set[[#This Row],[Sell Window End]])</f>
        <v/>
      </c>
      <c r="AG681" s="10" t="n"/>
      <c r="AH681" s="10" t="n"/>
      <c r="AM681" s="10">
        <f t="array" ref="AM6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1" s="10">
        <f t="array" ref="AN6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1" s="4">
        <f>_xlfn.XLOOKUP(tbl_MTG_Set[[#This Row],[Play Booster Box Product Id]], tbl_Product[Product Id], tbl_Product[Pack Size])</f>
        <v/>
      </c>
      <c r="AP681" s="10">
        <f>(tbl_MTG_Set[[#This Row],[Play Booster Box Cost]]+v_Item_Shipping_Cost_In)/tbl_MTG_Set[[#This Row],[Play Booster Box Size]]</f>
        <v/>
      </c>
      <c r="AQ681" s="10">
        <f t="array" ref="AQ6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1" s="10" t="n"/>
      <c r="AS681" s="10" t="n"/>
      <c r="AT681" s="17">
        <f>tbl_MTG_Set[[#This Row],[Play Booster CardMarket Profit]]/tbl_MTG_Set[[#This Row],[Play Booster Cost]]</f>
        <v/>
      </c>
      <c r="AU681" s="10">
        <f>_xlfn.XLOOKUP(tbl_MTG_Set[[#This Row],[Collector Booster Box Product Id]], tbl_Product[Product Id], tbl_Product[Min Cost])</f>
        <v/>
      </c>
      <c r="AV681" s="10">
        <f>_xlfn.XLOOKUP(tbl_MTG_Set[[#This Row],[Collector Booster Box Product Id]], tbl_Product[Product Id], tbl_Product[Best Source])</f>
        <v/>
      </c>
      <c r="AW681" s="4">
        <f>_xlfn.XLOOKUP(tbl_MTG_Set[[#This Row],[Collector Booster Box Product Id]], tbl_Product[Product Id], tbl_Product[Pack Size])</f>
        <v/>
      </c>
      <c r="AX681" s="10">
        <f>(tbl_MTG_Set[[#This Row],[Collector Booster Box Cost]] + v_Item_Shipping_Cost_In) / tbl_MTG_Set[[#This Row],[Collector Booster Box Size]]</f>
        <v/>
      </c>
      <c r="AY681" s="10">
        <f t="array" ref="AY6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1" s="10" t="n"/>
      <c r="BA6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1" s="17">
        <f>tbl_MTG_Set[[#This Row],[Collector Booster CardMarket Profit]]/tbl_MTG_Set[[#This Row],[Collector Booster Cost]]</f>
        <v/>
      </c>
      <c r="BC681" s="10" t="n"/>
      <c r="BF681" s="10">
        <f>tbl_MTG_Set[[#This Row],[Play Booster Sell Price CardMarket]]*tbl_MTG_Set[[#This Row],[Play Booster Expected Market Value]]/tbl_MTG_Set[[#This Row],[Play Boost Sealed Market Value]]</f>
        <v/>
      </c>
      <c r="BG6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1" s="10">
        <f>tbl_MTG_Set[[#This Row],[Play Singles CardMarket Profit]]/tbl_MTG_Set[[#This Row],[Play Booster Cost]]</f>
        <v/>
      </c>
      <c r="BI681" s="10">
        <f>tbl_MTG_Set[[#This Row],[Play Singles CardMarket Profit]]&gt;0</f>
        <v/>
      </c>
      <c r="BJ681" s="10" t="n"/>
      <c r="BK681" s="10" t="n"/>
      <c r="BL681" s="10">
        <f>tbl_MTG_Set[[#This Row],[Collector Booster Sell Price CardMarket]]*tbl_MTG_Set[[#This Row],[Collector Booster Expected Market Value]]/tbl_MTG_Set[[#This Row],[Collector Boost Sealed Market Value]]</f>
        <v/>
      </c>
      <c r="BM6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1" s="10">
        <f>tbl_MTG_Set[[#This Row],[Collector Singles CardMarket Profit]]/tbl_MTG_Set[[#This Row],[Collector Booster Cost]]</f>
        <v/>
      </c>
      <c r="BO681" s="10">
        <f>tbl_MTG_Set[[#This Row],[Collector Singles CardMarket Profit]]&gt;0</f>
        <v/>
      </c>
      <c r="BP6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2">
      <c r="A682" t="n">
        <v>680</v>
      </c>
      <c r="B682" t="inlineStr">
        <is>
          <t>Gatecrash GTC</t>
        </is>
      </c>
      <c r="C682" t="n">
        <v>249</v>
      </c>
      <c r="D682" s="3" t="n">
        <v>41306</v>
      </c>
      <c r="F682" t="inlineStr">
        <is>
          <t>en es fr de it pt ja ko ru 汉语 漢語</t>
        </is>
      </c>
      <c r="G682" t="n">
        <v>1306</v>
      </c>
      <c r="H682">
        <f>MONTH(NOW())+12*YEAR(NOW())-MONTH(tbl_MTG_Set[[#This Row],[Released On]])-12*YEAR(tbl_MTG_Set[[#This Row],[Released On]])</f>
        <v/>
      </c>
      <c r="I682">
        <f>_xlfn.XLOOKUP(tbl_MTG_Set[[#This Row],[Type Name]], tbl_MTG_Set_Type[Set Type], tbl_MTG_Set_Type[Index], "(Set Type not found)")</f>
        <v/>
      </c>
      <c r="J682">
        <f>_xlfn.XLOOKUP(tbl_MTG_Set[[#This Row],[Type Name]], tbl_MTG_Set_Type[Set Type], tbl_MTG_Set_Type[Buy Window Month Start], "(Set Type not found)")</f>
        <v/>
      </c>
      <c r="K682" s="3">
        <f>tbl_MTG_Set[[#This Row],[Released On]]+tbl_MTG_Set[[#This Row],[Buy Window Month Start]]*365.25/12</f>
        <v/>
      </c>
      <c r="L682">
        <f>_xlfn.XLOOKUP(tbl_MTG_Set[[#This Row],[Type Name]], tbl_MTG_Set_Type[Set Type], tbl_MTG_Set_Type[Buy Window Month End], "(Set Type not found)", 0, 1)</f>
        <v/>
      </c>
      <c r="M682" s="3">
        <f>tbl_MTG_Set[[#This Row],[Released On]]+tbl_MTG_Set[[#This Row],[Buy Window Month End]]*365.25/12</f>
        <v/>
      </c>
      <c r="N682" s="3">
        <f>AND(NOW()&gt;=tbl_MTG_Set[[#This Row],[Buy Window Start]], NOW()&lt;=tbl_MTG_Set[[#This Row],[Buy Window End]])</f>
        <v/>
      </c>
      <c r="O682">
        <f>_xlfn.XLOOKUP(tbl_MTG_Set[[#This Row],[Type Name]], tbl_MTG_Set_Type[Set Type], tbl_MTG_Set_Type[Heavy Printing Window Month Start], "(Set Type not found)", 0, 1)</f>
        <v/>
      </c>
      <c r="P682" s="3">
        <f>tbl_MTG_Set[[#This Row],[Released On]]+tbl_MTG_Set[[#This Row],[Heavy Printing Window Month Start]]*365.25/12</f>
        <v/>
      </c>
      <c r="Q682">
        <f>_xlfn.XLOOKUP(tbl_MTG_Set[[#This Row],[Type Name]], tbl_MTG_Set_Type[Set Type], tbl_MTG_Set_Type[Heavy Printing Window Month End], "(Set Type not found)", 0, 1)</f>
        <v/>
      </c>
      <c r="R682" s="3">
        <f>tbl_MTG_Set[[#This Row],[Released On]]+tbl_MTG_Set[[#This Row],[Heavy Printing Window Month End]]*365.25/12</f>
        <v/>
      </c>
      <c r="S682" s="3">
        <f>AND(NOW()&gt;=tbl_MTG_Set[[#This Row],[Heavy Printing Window Start]], NOW()&lt;=tbl_MTG_Set[[#This Row],[Heavy Printing Window End]])</f>
        <v/>
      </c>
      <c r="T682">
        <f>_xlfn.XLOOKUP(tbl_MTG_Set[[#This Row],[Type Name]], tbl_MTG_Set_Type[Set Type], tbl_MTG_Set_Type[Sell Window Month Start], "(Set Type not found)", 0, 1)</f>
        <v/>
      </c>
      <c r="U682" s="3">
        <f>tbl_MTG_Set[[#This Row],[Released On]]+tbl_MTG_Set[[#This Row],[Sell Window Month Start]]*365.25/12</f>
        <v/>
      </c>
      <c r="V682">
        <f>_xlfn.XLOOKUP(tbl_MTG_Set[[#This Row],[Type Name]], tbl_MTG_Set_Type[Set Type], tbl_MTG_Set_Type[Sell Window Month End], "(Set Type not found)", 0, 1)</f>
        <v/>
      </c>
      <c r="W682" s="3">
        <f>tbl_MTG_Set[[#This Row],[Released On]]+tbl_MTG_Set[[#This Row],[Sell Window Month End]]*365.25/12</f>
        <v/>
      </c>
      <c r="X682" s="3">
        <f>AND(NOW()&gt;=tbl_MTG_Set[[#This Row],[Sell Window Start]], NOW()&lt;=tbl_MTG_Set[[#This Row],[Sell Window End]])</f>
        <v/>
      </c>
      <c r="AG682" s="10" t="n"/>
      <c r="AH682" s="10" t="n"/>
      <c r="AM682" s="10">
        <f t="array" ref="AM6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2" s="10">
        <f t="array" ref="AN6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2" s="4">
        <f>_xlfn.XLOOKUP(tbl_MTG_Set[[#This Row],[Play Booster Box Product Id]], tbl_Product[Product Id], tbl_Product[Pack Size])</f>
        <v/>
      </c>
      <c r="AP682" s="10">
        <f>(tbl_MTG_Set[[#This Row],[Play Booster Box Cost]]+v_Item_Shipping_Cost_In)/tbl_MTG_Set[[#This Row],[Play Booster Box Size]]</f>
        <v/>
      </c>
      <c r="AQ682" s="10">
        <f t="array" ref="AQ6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2" s="10" t="n"/>
      <c r="AS682" s="10" t="n"/>
      <c r="AT682" s="17">
        <f>tbl_MTG_Set[[#This Row],[Play Booster CardMarket Profit]]/tbl_MTG_Set[[#This Row],[Play Booster Cost]]</f>
        <v/>
      </c>
      <c r="AU682" s="10">
        <f>_xlfn.XLOOKUP(tbl_MTG_Set[[#This Row],[Collector Booster Box Product Id]], tbl_Product[Product Id], tbl_Product[Min Cost])</f>
        <v/>
      </c>
      <c r="AV682" s="10">
        <f>_xlfn.XLOOKUP(tbl_MTG_Set[[#This Row],[Collector Booster Box Product Id]], tbl_Product[Product Id], tbl_Product[Best Source])</f>
        <v/>
      </c>
      <c r="AW682" s="4">
        <f>_xlfn.XLOOKUP(tbl_MTG_Set[[#This Row],[Collector Booster Box Product Id]], tbl_Product[Product Id], tbl_Product[Pack Size])</f>
        <v/>
      </c>
      <c r="AX682" s="10">
        <f>(tbl_MTG_Set[[#This Row],[Collector Booster Box Cost]] + v_Item_Shipping_Cost_In) / tbl_MTG_Set[[#This Row],[Collector Booster Box Size]]</f>
        <v/>
      </c>
      <c r="AY682" s="10">
        <f t="array" ref="AY6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2" s="10" t="n"/>
      <c r="BA6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2" s="17">
        <f>tbl_MTG_Set[[#This Row],[Collector Booster CardMarket Profit]]/tbl_MTG_Set[[#This Row],[Collector Booster Cost]]</f>
        <v/>
      </c>
      <c r="BC682" s="10" t="n"/>
      <c r="BF682" s="10">
        <f>tbl_MTG_Set[[#This Row],[Play Booster Sell Price CardMarket]]*tbl_MTG_Set[[#This Row],[Play Booster Expected Market Value]]/tbl_MTG_Set[[#This Row],[Play Boost Sealed Market Value]]</f>
        <v/>
      </c>
      <c r="BG6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2" s="10">
        <f>tbl_MTG_Set[[#This Row],[Play Singles CardMarket Profit]]/tbl_MTG_Set[[#This Row],[Play Booster Cost]]</f>
        <v/>
      </c>
      <c r="BI682" s="10">
        <f>tbl_MTG_Set[[#This Row],[Play Singles CardMarket Profit]]&gt;0</f>
        <v/>
      </c>
      <c r="BJ682" s="10" t="n"/>
      <c r="BK682" s="10" t="n"/>
      <c r="BL682" s="10">
        <f>tbl_MTG_Set[[#This Row],[Collector Booster Sell Price CardMarket]]*tbl_MTG_Set[[#This Row],[Collector Booster Expected Market Value]]/tbl_MTG_Set[[#This Row],[Collector Boost Sealed Market Value]]</f>
        <v/>
      </c>
      <c r="BM6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2" s="10">
        <f>tbl_MTG_Set[[#This Row],[Collector Singles CardMarket Profit]]/tbl_MTG_Set[[#This Row],[Collector Booster Cost]]</f>
        <v/>
      </c>
      <c r="BO682" s="10">
        <f>tbl_MTG_Set[[#This Row],[Collector Singles CardMarket Profit]]&gt;0</f>
        <v/>
      </c>
      <c r="BP6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3">
      <c r="A683" t="n">
        <v>681</v>
      </c>
      <c r="B683" t="inlineStr">
        <is>
          <t>Gatecrash Promos PGTC</t>
        </is>
      </c>
      <c r="C683" t="n">
        <v>10</v>
      </c>
      <c r="D683" s="3" t="n">
        <v>41300</v>
      </c>
      <c r="F683" t="inlineStr">
        <is>
          <t>en es fr de it pt ja ko ru 汉语 漢語</t>
        </is>
      </c>
      <c r="G683" t="n">
        <v>1308</v>
      </c>
      <c r="H683">
        <f>MONTH(NOW())+12*YEAR(NOW())-MONTH(tbl_MTG_Set[[#This Row],[Released On]])-12*YEAR(tbl_MTG_Set[[#This Row],[Released On]])</f>
        <v/>
      </c>
      <c r="I683">
        <f>_xlfn.XLOOKUP(tbl_MTG_Set[[#This Row],[Type Name]], tbl_MTG_Set_Type[Set Type], tbl_MTG_Set_Type[Index], "(Set Type not found)")</f>
        <v/>
      </c>
      <c r="J683">
        <f>_xlfn.XLOOKUP(tbl_MTG_Set[[#This Row],[Type Name]], tbl_MTG_Set_Type[Set Type], tbl_MTG_Set_Type[Buy Window Month Start], "(Set Type not found)")</f>
        <v/>
      </c>
      <c r="K683" s="3">
        <f>tbl_MTG_Set[[#This Row],[Released On]]+tbl_MTG_Set[[#This Row],[Buy Window Month Start]]*365.25/12</f>
        <v/>
      </c>
      <c r="L683">
        <f>_xlfn.XLOOKUP(tbl_MTG_Set[[#This Row],[Type Name]], tbl_MTG_Set_Type[Set Type], tbl_MTG_Set_Type[Buy Window Month End], "(Set Type not found)", 0, 1)</f>
        <v/>
      </c>
      <c r="M683" s="3">
        <f>tbl_MTG_Set[[#This Row],[Released On]]+tbl_MTG_Set[[#This Row],[Buy Window Month End]]*365.25/12</f>
        <v/>
      </c>
      <c r="N683" s="3">
        <f>AND(NOW()&gt;=tbl_MTG_Set[[#This Row],[Buy Window Start]], NOW()&lt;=tbl_MTG_Set[[#This Row],[Buy Window End]])</f>
        <v/>
      </c>
      <c r="O683">
        <f>_xlfn.XLOOKUP(tbl_MTG_Set[[#This Row],[Type Name]], tbl_MTG_Set_Type[Set Type], tbl_MTG_Set_Type[Heavy Printing Window Month Start], "(Set Type not found)", 0, 1)</f>
        <v/>
      </c>
      <c r="P683" s="3">
        <f>tbl_MTG_Set[[#This Row],[Released On]]+tbl_MTG_Set[[#This Row],[Heavy Printing Window Month Start]]*365.25/12</f>
        <v/>
      </c>
      <c r="Q683">
        <f>_xlfn.XLOOKUP(tbl_MTG_Set[[#This Row],[Type Name]], tbl_MTG_Set_Type[Set Type], tbl_MTG_Set_Type[Heavy Printing Window Month End], "(Set Type not found)", 0, 1)</f>
        <v/>
      </c>
      <c r="R683" s="3">
        <f>tbl_MTG_Set[[#This Row],[Released On]]+tbl_MTG_Set[[#This Row],[Heavy Printing Window Month End]]*365.25/12</f>
        <v/>
      </c>
      <c r="S683" s="3">
        <f>AND(NOW()&gt;=tbl_MTG_Set[[#This Row],[Heavy Printing Window Start]], NOW()&lt;=tbl_MTG_Set[[#This Row],[Heavy Printing Window End]])</f>
        <v/>
      </c>
      <c r="T683">
        <f>_xlfn.XLOOKUP(tbl_MTG_Set[[#This Row],[Type Name]], tbl_MTG_Set_Type[Set Type], tbl_MTG_Set_Type[Sell Window Month Start], "(Set Type not found)", 0, 1)</f>
        <v/>
      </c>
      <c r="U683" s="3">
        <f>tbl_MTG_Set[[#This Row],[Released On]]+tbl_MTG_Set[[#This Row],[Sell Window Month Start]]*365.25/12</f>
        <v/>
      </c>
      <c r="V683">
        <f>_xlfn.XLOOKUP(tbl_MTG_Set[[#This Row],[Type Name]], tbl_MTG_Set_Type[Set Type], tbl_MTG_Set_Type[Sell Window Month End], "(Set Type not found)", 0, 1)</f>
        <v/>
      </c>
      <c r="W683" s="3">
        <f>tbl_MTG_Set[[#This Row],[Released On]]+tbl_MTG_Set[[#This Row],[Sell Window Month End]]*365.25/12</f>
        <v/>
      </c>
      <c r="X683" s="3">
        <f>AND(NOW()&gt;=tbl_MTG_Set[[#This Row],[Sell Window Start]], NOW()&lt;=tbl_MTG_Set[[#This Row],[Sell Window End]])</f>
        <v/>
      </c>
      <c r="AG683" s="10" t="n"/>
      <c r="AH683" s="10" t="n"/>
      <c r="AM683" s="10">
        <f t="array" ref="AM6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3" s="10">
        <f t="array" ref="AN6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3" s="4">
        <f>_xlfn.XLOOKUP(tbl_MTG_Set[[#This Row],[Play Booster Box Product Id]], tbl_Product[Product Id], tbl_Product[Pack Size])</f>
        <v/>
      </c>
      <c r="AP683" s="10">
        <f>(tbl_MTG_Set[[#This Row],[Play Booster Box Cost]]+v_Item_Shipping_Cost_In)/tbl_MTG_Set[[#This Row],[Play Booster Box Size]]</f>
        <v/>
      </c>
      <c r="AQ683" s="10">
        <f t="array" ref="AQ6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3" s="10" t="n"/>
      <c r="AS683" s="10" t="n"/>
      <c r="AT683" s="17">
        <f>tbl_MTG_Set[[#This Row],[Play Booster CardMarket Profit]]/tbl_MTG_Set[[#This Row],[Play Booster Cost]]</f>
        <v/>
      </c>
      <c r="AU683" s="10">
        <f>_xlfn.XLOOKUP(tbl_MTG_Set[[#This Row],[Collector Booster Box Product Id]], tbl_Product[Product Id], tbl_Product[Min Cost])</f>
        <v/>
      </c>
      <c r="AV683" s="10">
        <f>_xlfn.XLOOKUP(tbl_MTG_Set[[#This Row],[Collector Booster Box Product Id]], tbl_Product[Product Id], tbl_Product[Best Source])</f>
        <v/>
      </c>
      <c r="AW683" s="4">
        <f>_xlfn.XLOOKUP(tbl_MTG_Set[[#This Row],[Collector Booster Box Product Id]], tbl_Product[Product Id], tbl_Product[Pack Size])</f>
        <v/>
      </c>
      <c r="AX683" s="10">
        <f>(tbl_MTG_Set[[#This Row],[Collector Booster Box Cost]] + v_Item_Shipping_Cost_In) / tbl_MTG_Set[[#This Row],[Collector Booster Box Size]]</f>
        <v/>
      </c>
      <c r="AY683" s="10">
        <f t="array" ref="AY6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3" s="10" t="n"/>
      <c r="BA6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3" s="17">
        <f>tbl_MTG_Set[[#This Row],[Collector Booster CardMarket Profit]]/tbl_MTG_Set[[#This Row],[Collector Booster Cost]]</f>
        <v/>
      </c>
      <c r="BC683" s="10" t="n"/>
      <c r="BF683" s="10">
        <f>tbl_MTG_Set[[#This Row],[Play Booster Sell Price CardMarket]]*tbl_MTG_Set[[#This Row],[Play Booster Expected Market Value]]/tbl_MTG_Set[[#This Row],[Play Boost Sealed Market Value]]</f>
        <v/>
      </c>
      <c r="BG6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3" s="10">
        <f>tbl_MTG_Set[[#This Row],[Play Singles CardMarket Profit]]/tbl_MTG_Set[[#This Row],[Play Booster Cost]]</f>
        <v/>
      </c>
      <c r="BI683" s="10">
        <f>tbl_MTG_Set[[#This Row],[Play Singles CardMarket Profit]]&gt;0</f>
        <v/>
      </c>
      <c r="BJ683" s="10" t="n"/>
      <c r="BK683" s="10" t="n"/>
      <c r="BL683" s="10">
        <f>tbl_MTG_Set[[#This Row],[Collector Booster Sell Price CardMarket]]*tbl_MTG_Set[[#This Row],[Collector Booster Expected Market Value]]/tbl_MTG_Set[[#This Row],[Collector Boost Sealed Market Value]]</f>
        <v/>
      </c>
      <c r="BM6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3" s="10">
        <f>tbl_MTG_Set[[#This Row],[Collector Singles CardMarket Profit]]/tbl_MTG_Set[[#This Row],[Collector Booster Cost]]</f>
        <v/>
      </c>
      <c r="BO683" s="10">
        <f>tbl_MTG_Set[[#This Row],[Collector Singles CardMarket Profit]]&gt;0</f>
        <v/>
      </c>
      <c r="BP6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4">
      <c r="A684" t="n">
        <v>682</v>
      </c>
      <c r="B684" t="inlineStr">
        <is>
          <t>Gatecrash Tokens TGTC</t>
        </is>
      </c>
      <c r="C684" t="n">
        <v>8</v>
      </c>
      <c r="D684" s="3" t="n">
        <v>41306</v>
      </c>
      <c r="F684" t="inlineStr">
        <is>
          <t>en es fr de it pt ja ko ru 汉语 漢語</t>
        </is>
      </c>
      <c r="G684" t="n">
        <v>1310</v>
      </c>
      <c r="H684">
        <f>MONTH(NOW())+12*YEAR(NOW())-MONTH(tbl_MTG_Set[[#This Row],[Released On]])-12*YEAR(tbl_MTG_Set[[#This Row],[Released On]])</f>
        <v/>
      </c>
      <c r="I684">
        <f>_xlfn.XLOOKUP(tbl_MTG_Set[[#This Row],[Type Name]], tbl_MTG_Set_Type[Set Type], tbl_MTG_Set_Type[Index], "(Set Type not found)")</f>
        <v/>
      </c>
      <c r="J684">
        <f>_xlfn.XLOOKUP(tbl_MTG_Set[[#This Row],[Type Name]], tbl_MTG_Set_Type[Set Type], tbl_MTG_Set_Type[Buy Window Month Start], "(Set Type not found)")</f>
        <v/>
      </c>
      <c r="K684" s="3">
        <f>tbl_MTG_Set[[#This Row],[Released On]]+tbl_MTG_Set[[#This Row],[Buy Window Month Start]]*365.25/12</f>
        <v/>
      </c>
      <c r="L684">
        <f>_xlfn.XLOOKUP(tbl_MTG_Set[[#This Row],[Type Name]], tbl_MTG_Set_Type[Set Type], tbl_MTG_Set_Type[Buy Window Month End], "(Set Type not found)", 0, 1)</f>
        <v/>
      </c>
      <c r="M684" s="3">
        <f>tbl_MTG_Set[[#This Row],[Released On]]+tbl_MTG_Set[[#This Row],[Buy Window Month End]]*365.25/12</f>
        <v/>
      </c>
      <c r="N684" s="3">
        <f>AND(NOW()&gt;=tbl_MTG_Set[[#This Row],[Buy Window Start]], NOW()&lt;=tbl_MTG_Set[[#This Row],[Buy Window End]])</f>
        <v/>
      </c>
      <c r="O684">
        <f>_xlfn.XLOOKUP(tbl_MTG_Set[[#This Row],[Type Name]], tbl_MTG_Set_Type[Set Type], tbl_MTG_Set_Type[Heavy Printing Window Month Start], "(Set Type not found)", 0, 1)</f>
        <v/>
      </c>
      <c r="P684" s="3">
        <f>tbl_MTG_Set[[#This Row],[Released On]]+tbl_MTG_Set[[#This Row],[Heavy Printing Window Month Start]]*365.25/12</f>
        <v/>
      </c>
      <c r="Q684">
        <f>_xlfn.XLOOKUP(tbl_MTG_Set[[#This Row],[Type Name]], tbl_MTG_Set_Type[Set Type], tbl_MTG_Set_Type[Heavy Printing Window Month End], "(Set Type not found)", 0, 1)</f>
        <v/>
      </c>
      <c r="R684" s="3">
        <f>tbl_MTG_Set[[#This Row],[Released On]]+tbl_MTG_Set[[#This Row],[Heavy Printing Window Month End]]*365.25/12</f>
        <v/>
      </c>
      <c r="S684" s="3">
        <f>AND(NOW()&gt;=tbl_MTG_Set[[#This Row],[Heavy Printing Window Start]], NOW()&lt;=tbl_MTG_Set[[#This Row],[Heavy Printing Window End]])</f>
        <v/>
      </c>
      <c r="T684">
        <f>_xlfn.XLOOKUP(tbl_MTG_Set[[#This Row],[Type Name]], tbl_MTG_Set_Type[Set Type], tbl_MTG_Set_Type[Sell Window Month Start], "(Set Type not found)", 0, 1)</f>
        <v/>
      </c>
      <c r="U684" s="3">
        <f>tbl_MTG_Set[[#This Row],[Released On]]+tbl_MTG_Set[[#This Row],[Sell Window Month Start]]*365.25/12</f>
        <v/>
      </c>
      <c r="V684">
        <f>_xlfn.XLOOKUP(tbl_MTG_Set[[#This Row],[Type Name]], tbl_MTG_Set_Type[Set Type], tbl_MTG_Set_Type[Sell Window Month End], "(Set Type not found)", 0, 1)</f>
        <v/>
      </c>
      <c r="W684" s="3">
        <f>tbl_MTG_Set[[#This Row],[Released On]]+tbl_MTG_Set[[#This Row],[Sell Window Month End]]*365.25/12</f>
        <v/>
      </c>
      <c r="X684" s="3">
        <f>AND(NOW()&gt;=tbl_MTG_Set[[#This Row],[Sell Window Start]], NOW()&lt;=tbl_MTG_Set[[#This Row],[Sell Window End]])</f>
        <v/>
      </c>
      <c r="AG684" s="10" t="n"/>
      <c r="AH684" s="10" t="n"/>
      <c r="AM684" s="10">
        <f t="array" ref="AM6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4" s="10">
        <f t="array" ref="AN6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4" s="4">
        <f>_xlfn.XLOOKUP(tbl_MTG_Set[[#This Row],[Play Booster Box Product Id]], tbl_Product[Product Id], tbl_Product[Pack Size])</f>
        <v/>
      </c>
      <c r="AP684" s="10">
        <f>(tbl_MTG_Set[[#This Row],[Play Booster Box Cost]]+v_Item_Shipping_Cost_In)/tbl_MTG_Set[[#This Row],[Play Booster Box Size]]</f>
        <v/>
      </c>
      <c r="AQ684" s="10">
        <f t="array" ref="AQ6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4" s="10" t="n"/>
      <c r="AS684" s="10" t="n"/>
      <c r="AT684" s="17">
        <f>tbl_MTG_Set[[#This Row],[Play Booster CardMarket Profit]]/tbl_MTG_Set[[#This Row],[Play Booster Cost]]</f>
        <v/>
      </c>
      <c r="AU684" s="10">
        <f>_xlfn.XLOOKUP(tbl_MTG_Set[[#This Row],[Collector Booster Box Product Id]], tbl_Product[Product Id], tbl_Product[Min Cost])</f>
        <v/>
      </c>
      <c r="AV684" s="10">
        <f>_xlfn.XLOOKUP(tbl_MTG_Set[[#This Row],[Collector Booster Box Product Id]], tbl_Product[Product Id], tbl_Product[Best Source])</f>
        <v/>
      </c>
      <c r="AW684" s="4">
        <f>_xlfn.XLOOKUP(tbl_MTG_Set[[#This Row],[Collector Booster Box Product Id]], tbl_Product[Product Id], tbl_Product[Pack Size])</f>
        <v/>
      </c>
      <c r="AX684" s="10">
        <f>(tbl_MTG_Set[[#This Row],[Collector Booster Box Cost]] + v_Item_Shipping_Cost_In) / tbl_MTG_Set[[#This Row],[Collector Booster Box Size]]</f>
        <v/>
      </c>
      <c r="AY684" s="10">
        <f t="array" ref="AY6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4" s="10" t="n"/>
      <c r="BA6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4" s="17">
        <f>tbl_MTG_Set[[#This Row],[Collector Booster CardMarket Profit]]/tbl_MTG_Set[[#This Row],[Collector Booster Cost]]</f>
        <v/>
      </c>
      <c r="BC684" s="10" t="n"/>
      <c r="BF684" s="10">
        <f>tbl_MTG_Set[[#This Row],[Play Booster Sell Price CardMarket]]*tbl_MTG_Set[[#This Row],[Play Booster Expected Market Value]]/tbl_MTG_Set[[#This Row],[Play Boost Sealed Market Value]]</f>
        <v/>
      </c>
      <c r="BG6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4" s="10">
        <f>tbl_MTG_Set[[#This Row],[Play Singles CardMarket Profit]]/tbl_MTG_Set[[#This Row],[Play Booster Cost]]</f>
        <v/>
      </c>
      <c r="BI684" s="10">
        <f>tbl_MTG_Set[[#This Row],[Play Singles CardMarket Profit]]&gt;0</f>
        <v/>
      </c>
      <c r="BJ684" s="10" t="n"/>
      <c r="BK684" s="10" t="n"/>
      <c r="BL684" s="10">
        <f>tbl_MTG_Set[[#This Row],[Collector Booster Sell Price CardMarket]]*tbl_MTG_Set[[#This Row],[Collector Booster Expected Market Value]]/tbl_MTG_Set[[#This Row],[Collector Boost Sealed Market Value]]</f>
        <v/>
      </c>
      <c r="BM6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4" s="10">
        <f>tbl_MTG_Set[[#This Row],[Collector Singles CardMarket Profit]]/tbl_MTG_Set[[#This Row],[Collector Booster Cost]]</f>
        <v/>
      </c>
      <c r="BO684" s="10">
        <f>tbl_MTG_Set[[#This Row],[Collector Singles CardMarket Profit]]&gt;0</f>
        <v/>
      </c>
      <c r="BP6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5">
      <c r="A685" t="n">
        <v>683</v>
      </c>
      <c r="B685" t="inlineStr">
        <is>
          <t>Duels of the Planeswalkers 2014 Promos PDP14</t>
        </is>
      </c>
      <c r="C685" t="n">
        <v>3</v>
      </c>
      <c r="D685" s="3" t="n">
        <v>41275</v>
      </c>
      <c r="F685" t="inlineStr">
        <is>
          <t>en es fr de it pt ja ko ru 汉语 漢語</t>
        </is>
      </c>
      <c r="G685" t="n">
        <v>1312</v>
      </c>
      <c r="H685">
        <f>MONTH(NOW())+12*YEAR(NOW())-MONTH(tbl_MTG_Set[[#This Row],[Released On]])-12*YEAR(tbl_MTG_Set[[#This Row],[Released On]])</f>
        <v/>
      </c>
      <c r="I685">
        <f>_xlfn.XLOOKUP(tbl_MTG_Set[[#This Row],[Type Name]], tbl_MTG_Set_Type[Set Type], tbl_MTG_Set_Type[Index], "(Set Type not found)")</f>
        <v/>
      </c>
      <c r="J685">
        <f>_xlfn.XLOOKUP(tbl_MTG_Set[[#This Row],[Type Name]], tbl_MTG_Set_Type[Set Type], tbl_MTG_Set_Type[Buy Window Month Start], "(Set Type not found)")</f>
        <v/>
      </c>
      <c r="K685" s="3">
        <f>tbl_MTG_Set[[#This Row],[Released On]]+tbl_MTG_Set[[#This Row],[Buy Window Month Start]]*365.25/12</f>
        <v/>
      </c>
      <c r="L685">
        <f>_xlfn.XLOOKUP(tbl_MTG_Set[[#This Row],[Type Name]], tbl_MTG_Set_Type[Set Type], tbl_MTG_Set_Type[Buy Window Month End], "(Set Type not found)", 0, 1)</f>
        <v/>
      </c>
      <c r="M685" s="3">
        <f>tbl_MTG_Set[[#This Row],[Released On]]+tbl_MTG_Set[[#This Row],[Buy Window Month End]]*365.25/12</f>
        <v/>
      </c>
      <c r="N685" s="3">
        <f>AND(NOW()&gt;=tbl_MTG_Set[[#This Row],[Buy Window Start]], NOW()&lt;=tbl_MTG_Set[[#This Row],[Buy Window End]])</f>
        <v/>
      </c>
      <c r="O685">
        <f>_xlfn.XLOOKUP(tbl_MTG_Set[[#This Row],[Type Name]], tbl_MTG_Set_Type[Set Type], tbl_MTG_Set_Type[Heavy Printing Window Month Start], "(Set Type not found)", 0, 1)</f>
        <v/>
      </c>
      <c r="P685" s="3">
        <f>tbl_MTG_Set[[#This Row],[Released On]]+tbl_MTG_Set[[#This Row],[Heavy Printing Window Month Start]]*365.25/12</f>
        <v/>
      </c>
      <c r="Q685">
        <f>_xlfn.XLOOKUP(tbl_MTG_Set[[#This Row],[Type Name]], tbl_MTG_Set_Type[Set Type], tbl_MTG_Set_Type[Heavy Printing Window Month End], "(Set Type not found)", 0, 1)</f>
        <v/>
      </c>
      <c r="R685" s="3">
        <f>tbl_MTG_Set[[#This Row],[Released On]]+tbl_MTG_Set[[#This Row],[Heavy Printing Window Month End]]*365.25/12</f>
        <v/>
      </c>
      <c r="S685" s="3">
        <f>AND(NOW()&gt;=tbl_MTG_Set[[#This Row],[Heavy Printing Window Start]], NOW()&lt;=tbl_MTG_Set[[#This Row],[Heavy Printing Window End]])</f>
        <v/>
      </c>
      <c r="T685">
        <f>_xlfn.XLOOKUP(tbl_MTG_Set[[#This Row],[Type Name]], tbl_MTG_Set_Type[Set Type], tbl_MTG_Set_Type[Sell Window Month Start], "(Set Type not found)", 0, 1)</f>
        <v/>
      </c>
      <c r="U685" s="3">
        <f>tbl_MTG_Set[[#This Row],[Released On]]+tbl_MTG_Set[[#This Row],[Sell Window Month Start]]*365.25/12</f>
        <v/>
      </c>
      <c r="V685">
        <f>_xlfn.XLOOKUP(tbl_MTG_Set[[#This Row],[Type Name]], tbl_MTG_Set_Type[Set Type], tbl_MTG_Set_Type[Sell Window Month End], "(Set Type not found)", 0, 1)</f>
        <v/>
      </c>
      <c r="W685" s="3">
        <f>tbl_MTG_Set[[#This Row],[Released On]]+tbl_MTG_Set[[#This Row],[Sell Window Month End]]*365.25/12</f>
        <v/>
      </c>
      <c r="X685" s="3">
        <f>AND(NOW()&gt;=tbl_MTG_Set[[#This Row],[Sell Window Start]], NOW()&lt;=tbl_MTG_Set[[#This Row],[Sell Window End]])</f>
        <v/>
      </c>
      <c r="AG685" s="10" t="n"/>
      <c r="AH685" s="10" t="n"/>
      <c r="AM685" s="10">
        <f t="array" ref="AM6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5" s="10">
        <f t="array" ref="AN6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5" s="4">
        <f>_xlfn.XLOOKUP(tbl_MTG_Set[[#This Row],[Play Booster Box Product Id]], tbl_Product[Product Id], tbl_Product[Pack Size])</f>
        <v/>
      </c>
      <c r="AP685" s="10">
        <f>(tbl_MTG_Set[[#This Row],[Play Booster Box Cost]]+v_Item_Shipping_Cost_In)/tbl_MTG_Set[[#This Row],[Play Booster Box Size]]</f>
        <v/>
      </c>
      <c r="AQ685" s="10">
        <f t="array" ref="AQ6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5" s="10" t="n"/>
      <c r="AS685" s="10" t="n"/>
      <c r="AT685" s="17">
        <f>tbl_MTG_Set[[#This Row],[Play Booster CardMarket Profit]]/tbl_MTG_Set[[#This Row],[Play Booster Cost]]</f>
        <v/>
      </c>
      <c r="AU685" s="10">
        <f>_xlfn.XLOOKUP(tbl_MTG_Set[[#This Row],[Collector Booster Box Product Id]], tbl_Product[Product Id], tbl_Product[Min Cost])</f>
        <v/>
      </c>
      <c r="AV685" s="10">
        <f>_xlfn.XLOOKUP(tbl_MTG_Set[[#This Row],[Collector Booster Box Product Id]], tbl_Product[Product Id], tbl_Product[Best Source])</f>
        <v/>
      </c>
      <c r="AW685" s="4">
        <f>_xlfn.XLOOKUP(tbl_MTG_Set[[#This Row],[Collector Booster Box Product Id]], tbl_Product[Product Id], tbl_Product[Pack Size])</f>
        <v/>
      </c>
      <c r="AX685" s="10">
        <f>(tbl_MTG_Set[[#This Row],[Collector Booster Box Cost]] + v_Item_Shipping_Cost_In) / tbl_MTG_Set[[#This Row],[Collector Booster Box Size]]</f>
        <v/>
      </c>
      <c r="AY685" s="10">
        <f t="array" ref="AY6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5" s="10" t="n"/>
      <c r="BA6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5" s="17">
        <f>tbl_MTG_Set[[#This Row],[Collector Booster CardMarket Profit]]/tbl_MTG_Set[[#This Row],[Collector Booster Cost]]</f>
        <v/>
      </c>
      <c r="BC685" s="10" t="n"/>
      <c r="BF685" s="10">
        <f>tbl_MTG_Set[[#This Row],[Play Booster Sell Price CardMarket]]*tbl_MTG_Set[[#This Row],[Play Booster Expected Market Value]]/tbl_MTG_Set[[#This Row],[Play Boost Sealed Market Value]]</f>
        <v/>
      </c>
      <c r="BG6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5" s="10">
        <f>tbl_MTG_Set[[#This Row],[Play Singles CardMarket Profit]]/tbl_MTG_Set[[#This Row],[Play Booster Cost]]</f>
        <v/>
      </c>
      <c r="BI685" s="10">
        <f>tbl_MTG_Set[[#This Row],[Play Singles CardMarket Profit]]&gt;0</f>
        <v/>
      </c>
      <c r="BJ685" s="10" t="n"/>
      <c r="BK685" s="10" t="n"/>
      <c r="BL685" s="10">
        <f>tbl_MTG_Set[[#This Row],[Collector Booster Sell Price CardMarket]]*tbl_MTG_Set[[#This Row],[Collector Booster Expected Market Value]]/tbl_MTG_Set[[#This Row],[Collector Boost Sealed Market Value]]</f>
        <v/>
      </c>
      <c r="BM6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5" s="10">
        <f>tbl_MTG_Set[[#This Row],[Collector Singles CardMarket Profit]]/tbl_MTG_Set[[#This Row],[Collector Booster Cost]]</f>
        <v/>
      </c>
      <c r="BO685" s="10">
        <f>tbl_MTG_Set[[#This Row],[Collector Singles CardMarket Profit]]&gt;0</f>
        <v/>
      </c>
      <c r="BP6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6">
      <c r="A686" t="n">
        <v>684</v>
      </c>
      <c r="B686" t="inlineStr">
        <is>
          <t>League Tokens 2013 L13</t>
        </is>
      </c>
      <c r="C686" t="n">
        <v>4</v>
      </c>
      <c r="D686" s="3" t="n">
        <v>41275</v>
      </c>
      <c r="F686" t="inlineStr">
        <is>
          <t>en es fr de it pt ja ko ru 汉语 漢語</t>
        </is>
      </c>
      <c r="G686" t="n">
        <v>1314</v>
      </c>
      <c r="H686">
        <f>MONTH(NOW())+12*YEAR(NOW())-MONTH(tbl_MTG_Set[[#This Row],[Released On]])-12*YEAR(tbl_MTG_Set[[#This Row],[Released On]])</f>
        <v/>
      </c>
      <c r="I686">
        <f>_xlfn.XLOOKUP(tbl_MTG_Set[[#This Row],[Type Name]], tbl_MTG_Set_Type[Set Type], tbl_MTG_Set_Type[Index], "(Set Type not found)")</f>
        <v/>
      </c>
      <c r="J686">
        <f>_xlfn.XLOOKUP(tbl_MTG_Set[[#This Row],[Type Name]], tbl_MTG_Set_Type[Set Type], tbl_MTG_Set_Type[Buy Window Month Start], "(Set Type not found)")</f>
        <v/>
      </c>
      <c r="K686" s="3">
        <f>tbl_MTG_Set[[#This Row],[Released On]]+tbl_MTG_Set[[#This Row],[Buy Window Month Start]]*365.25/12</f>
        <v/>
      </c>
      <c r="L686">
        <f>_xlfn.XLOOKUP(tbl_MTG_Set[[#This Row],[Type Name]], tbl_MTG_Set_Type[Set Type], tbl_MTG_Set_Type[Buy Window Month End], "(Set Type not found)", 0, 1)</f>
        <v/>
      </c>
      <c r="M686" s="3">
        <f>tbl_MTG_Set[[#This Row],[Released On]]+tbl_MTG_Set[[#This Row],[Buy Window Month End]]*365.25/12</f>
        <v/>
      </c>
      <c r="N686" s="3">
        <f>AND(NOW()&gt;=tbl_MTG_Set[[#This Row],[Buy Window Start]], NOW()&lt;=tbl_MTG_Set[[#This Row],[Buy Window End]])</f>
        <v/>
      </c>
      <c r="O686">
        <f>_xlfn.XLOOKUP(tbl_MTG_Set[[#This Row],[Type Name]], tbl_MTG_Set_Type[Set Type], tbl_MTG_Set_Type[Heavy Printing Window Month Start], "(Set Type not found)", 0, 1)</f>
        <v/>
      </c>
      <c r="P686" s="3">
        <f>tbl_MTG_Set[[#This Row],[Released On]]+tbl_MTG_Set[[#This Row],[Heavy Printing Window Month Start]]*365.25/12</f>
        <v/>
      </c>
      <c r="Q686">
        <f>_xlfn.XLOOKUP(tbl_MTG_Set[[#This Row],[Type Name]], tbl_MTG_Set_Type[Set Type], tbl_MTG_Set_Type[Heavy Printing Window Month End], "(Set Type not found)", 0, 1)</f>
        <v/>
      </c>
      <c r="R686" s="3">
        <f>tbl_MTG_Set[[#This Row],[Released On]]+tbl_MTG_Set[[#This Row],[Heavy Printing Window Month End]]*365.25/12</f>
        <v/>
      </c>
      <c r="S686" s="3">
        <f>AND(NOW()&gt;=tbl_MTG_Set[[#This Row],[Heavy Printing Window Start]], NOW()&lt;=tbl_MTG_Set[[#This Row],[Heavy Printing Window End]])</f>
        <v/>
      </c>
      <c r="T686">
        <f>_xlfn.XLOOKUP(tbl_MTG_Set[[#This Row],[Type Name]], tbl_MTG_Set_Type[Set Type], tbl_MTG_Set_Type[Sell Window Month Start], "(Set Type not found)", 0, 1)</f>
        <v/>
      </c>
      <c r="U686" s="3">
        <f>tbl_MTG_Set[[#This Row],[Released On]]+tbl_MTG_Set[[#This Row],[Sell Window Month Start]]*365.25/12</f>
        <v/>
      </c>
      <c r="V686">
        <f>_xlfn.XLOOKUP(tbl_MTG_Set[[#This Row],[Type Name]], tbl_MTG_Set_Type[Set Type], tbl_MTG_Set_Type[Sell Window Month End], "(Set Type not found)", 0, 1)</f>
        <v/>
      </c>
      <c r="W686" s="3">
        <f>tbl_MTG_Set[[#This Row],[Released On]]+tbl_MTG_Set[[#This Row],[Sell Window Month End]]*365.25/12</f>
        <v/>
      </c>
      <c r="X686" s="3">
        <f>AND(NOW()&gt;=tbl_MTG_Set[[#This Row],[Sell Window Start]], NOW()&lt;=tbl_MTG_Set[[#This Row],[Sell Window End]])</f>
        <v/>
      </c>
      <c r="AG686" s="10" t="n"/>
      <c r="AH686" s="10" t="n"/>
      <c r="AM686" s="10">
        <f t="array" ref="AM6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6" s="10">
        <f t="array" ref="AN6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6" s="4">
        <f>_xlfn.XLOOKUP(tbl_MTG_Set[[#This Row],[Play Booster Box Product Id]], tbl_Product[Product Id], tbl_Product[Pack Size])</f>
        <v/>
      </c>
      <c r="AP686" s="10">
        <f>(tbl_MTG_Set[[#This Row],[Play Booster Box Cost]]+v_Item_Shipping_Cost_In)/tbl_MTG_Set[[#This Row],[Play Booster Box Size]]</f>
        <v/>
      </c>
      <c r="AQ686" s="10">
        <f t="array" ref="AQ6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6" s="10" t="n"/>
      <c r="AS686" s="10" t="n"/>
      <c r="AT686" s="17">
        <f>tbl_MTG_Set[[#This Row],[Play Booster CardMarket Profit]]/tbl_MTG_Set[[#This Row],[Play Booster Cost]]</f>
        <v/>
      </c>
      <c r="AU686" s="10">
        <f>_xlfn.XLOOKUP(tbl_MTG_Set[[#This Row],[Collector Booster Box Product Id]], tbl_Product[Product Id], tbl_Product[Min Cost])</f>
        <v/>
      </c>
      <c r="AV686" s="10">
        <f>_xlfn.XLOOKUP(tbl_MTG_Set[[#This Row],[Collector Booster Box Product Id]], tbl_Product[Product Id], tbl_Product[Best Source])</f>
        <v/>
      </c>
      <c r="AW686" s="4">
        <f>_xlfn.XLOOKUP(tbl_MTG_Set[[#This Row],[Collector Booster Box Product Id]], tbl_Product[Product Id], tbl_Product[Pack Size])</f>
        <v/>
      </c>
      <c r="AX686" s="10">
        <f>(tbl_MTG_Set[[#This Row],[Collector Booster Box Cost]] + v_Item_Shipping_Cost_In) / tbl_MTG_Set[[#This Row],[Collector Booster Box Size]]</f>
        <v/>
      </c>
      <c r="AY686" s="10">
        <f t="array" ref="AY6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6" s="10" t="n"/>
      <c r="BA6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6" s="17">
        <f>tbl_MTG_Set[[#This Row],[Collector Booster CardMarket Profit]]/tbl_MTG_Set[[#This Row],[Collector Booster Cost]]</f>
        <v/>
      </c>
      <c r="BC686" s="10" t="n"/>
      <c r="BF686" s="10">
        <f>tbl_MTG_Set[[#This Row],[Play Booster Sell Price CardMarket]]*tbl_MTG_Set[[#This Row],[Play Booster Expected Market Value]]/tbl_MTG_Set[[#This Row],[Play Boost Sealed Market Value]]</f>
        <v/>
      </c>
      <c r="BG6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6" s="10">
        <f>tbl_MTG_Set[[#This Row],[Play Singles CardMarket Profit]]/tbl_MTG_Set[[#This Row],[Play Booster Cost]]</f>
        <v/>
      </c>
      <c r="BI686" s="10">
        <f>tbl_MTG_Set[[#This Row],[Play Singles CardMarket Profit]]&gt;0</f>
        <v/>
      </c>
      <c r="BJ686" s="10" t="n"/>
      <c r="BK686" s="10" t="n"/>
      <c r="BL686" s="10">
        <f>tbl_MTG_Set[[#This Row],[Collector Booster Sell Price CardMarket]]*tbl_MTG_Set[[#This Row],[Collector Booster Expected Market Value]]/tbl_MTG_Set[[#This Row],[Collector Boost Sealed Market Value]]</f>
        <v/>
      </c>
      <c r="BM6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6" s="10">
        <f>tbl_MTG_Set[[#This Row],[Collector Singles CardMarket Profit]]/tbl_MTG_Set[[#This Row],[Collector Booster Cost]]</f>
        <v/>
      </c>
      <c r="BO686" s="10">
        <f>tbl_MTG_Set[[#This Row],[Collector Singles CardMarket Profit]]&gt;0</f>
        <v/>
      </c>
      <c r="BP6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7">
      <c r="A687" t="n">
        <v>685</v>
      </c>
      <c r="B687" t="inlineStr">
        <is>
          <t>Judge Gift Cards 2013 J13</t>
        </is>
      </c>
      <c r="C687" t="n">
        <v>9</v>
      </c>
      <c r="D687" s="3" t="n">
        <v>41275</v>
      </c>
      <c r="F687" t="inlineStr">
        <is>
          <t>en es fr de it pt ja ko ru 汉语 漢語</t>
        </is>
      </c>
      <c r="G687" t="n">
        <v>1316</v>
      </c>
      <c r="H687">
        <f>MONTH(NOW())+12*YEAR(NOW())-MONTH(tbl_MTG_Set[[#This Row],[Released On]])-12*YEAR(tbl_MTG_Set[[#This Row],[Released On]])</f>
        <v/>
      </c>
      <c r="I687">
        <f>_xlfn.XLOOKUP(tbl_MTG_Set[[#This Row],[Type Name]], tbl_MTG_Set_Type[Set Type], tbl_MTG_Set_Type[Index], "(Set Type not found)")</f>
        <v/>
      </c>
      <c r="J687">
        <f>_xlfn.XLOOKUP(tbl_MTG_Set[[#This Row],[Type Name]], tbl_MTG_Set_Type[Set Type], tbl_MTG_Set_Type[Buy Window Month Start], "(Set Type not found)")</f>
        <v/>
      </c>
      <c r="K687" s="3">
        <f>tbl_MTG_Set[[#This Row],[Released On]]+tbl_MTG_Set[[#This Row],[Buy Window Month Start]]*365.25/12</f>
        <v/>
      </c>
      <c r="L687">
        <f>_xlfn.XLOOKUP(tbl_MTG_Set[[#This Row],[Type Name]], tbl_MTG_Set_Type[Set Type], tbl_MTG_Set_Type[Buy Window Month End], "(Set Type not found)", 0, 1)</f>
        <v/>
      </c>
      <c r="M687" s="3">
        <f>tbl_MTG_Set[[#This Row],[Released On]]+tbl_MTG_Set[[#This Row],[Buy Window Month End]]*365.25/12</f>
        <v/>
      </c>
      <c r="N687" s="3">
        <f>AND(NOW()&gt;=tbl_MTG_Set[[#This Row],[Buy Window Start]], NOW()&lt;=tbl_MTG_Set[[#This Row],[Buy Window End]])</f>
        <v/>
      </c>
      <c r="O687">
        <f>_xlfn.XLOOKUP(tbl_MTG_Set[[#This Row],[Type Name]], tbl_MTG_Set_Type[Set Type], tbl_MTG_Set_Type[Heavy Printing Window Month Start], "(Set Type not found)", 0, 1)</f>
        <v/>
      </c>
      <c r="P687" s="3">
        <f>tbl_MTG_Set[[#This Row],[Released On]]+tbl_MTG_Set[[#This Row],[Heavy Printing Window Month Start]]*365.25/12</f>
        <v/>
      </c>
      <c r="Q687">
        <f>_xlfn.XLOOKUP(tbl_MTG_Set[[#This Row],[Type Name]], tbl_MTG_Set_Type[Set Type], tbl_MTG_Set_Type[Heavy Printing Window Month End], "(Set Type not found)", 0, 1)</f>
        <v/>
      </c>
      <c r="R687" s="3">
        <f>tbl_MTG_Set[[#This Row],[Released On]]+tbl_MTG_Set[[#This Row],[Heavy Printing Window Month End]]*365.25/12</f>
        <v/>
      </c>
      <c r="S687" s="3">
        <f>AND(NOW()&gt;=tbl_MTG_Set[[#This Row],[Heavy Printing Window Start]], NOW()&lt;=tbl_MTG_Set[[#This Row],[Heavy Printing Window End]])</f>
        <v/>
      </c>
      <c r="T687">
        <f>_xlfn.XLOOKUP(tbl_MTG_Set[[#This Row],[Type Name]], tbl_MTG_Set_Type[Set Type], tbl_MTG_Set_Type[Sell Window Month Start], "(Set Type not found)", 0, 1)</f>
        <v/>
      </c>
      <c r="U687" s="3">
        <f>tbl_MTG_Set[[#This Row],[Released On]]+tbl_MTG_Set[[#This Row],[Sell Window Month Start]]*365.25/12</f>
        <v/>
      </c>
      <c r="V687">
        <f>_xlfn.XLOOKUP(tbl_MTG_Set[[#This Row],[Type Name]], tbl_MTG_Set_Type[Set Type], tbl_MTG_Set_Type[Sell Window Month End], "(Set Type not found)", 0, 1)</f>
        <v/>
      </c>
      <c r="W687" s="3">
        <f>tbl_MTG_Set[[#This Row],[Released On]]+tbl_MTG_Set[[#This Row],[Sell Window Month End]]*365.25/12</f>
        <v/>
      </c>
      <c r="X687" s="3">
        <f>AND(NOW()&gt;=tbl_MTG_Set[[#This Row],[Sell Window Start]], NOW()&lt;=tbl_MTG_Set[[#This Row],[Sell Window End]])</f>
        <v/>
      </c>
      <c r="AG687" s="10" t="n"/>
      <c r="AH687" s="10" t="n"/>
      <c r="AM687" s="10">
        <f t="array" ref="AM6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7" s="10">
        <f t="array" ref="AN6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7" s="4">
        <f>_xlfn.XLOOKUP(tbl_MTG_Set[[#This Row],[Play Booster Box Product Id]], tbl_Product[Product Id], tbl_Product[Pack Size])</f>
        <v/>
      </c>
      <c r="AP687" s="10">
        <f>(tbl_MTG_Set[[#This Row],[Play Booster Box Cost]]+v_Item_Shipping_Cost_In)/tbl_MTG_Set[[#This Row],[Play Booster Box Size]]</f>
        <v/>
      </c>
      <c r="AQ687" s="10">
        <f t="array" ref="AQ6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7" s="10" t="n"/>
      <c r="AS687" s="10" t="n"/>
      <c r="AT687" s="17">
        <f>tbl_MTG_Set[[#This Row],[Play Booster CardMarket Profit]]/tbl_MTG_Set[[#This Row],[Play Booster Cost]]</f>
        <v/>
      </c>
      <c r="AU687" s="10">
        <f>_xlfn.XLOOKUP(tbl_MTG_Set[[#This Row],[Collector Booster Box Product Id]], tbl_Product[Product Id], tbl_Product[Min Cost])</f>
        <v/>
      </c>
      <c r="AV687" s="10">
        <f>_xlfn.XLOOKUP(tbl_MTG_Set[[#This Row],[Collector Booster Box Product Id]], tbl_Product[Product Id], tbl_Product[Best Source])</f>
        <v/>
      </c>
      <c r="AW687" s="4">
        <f>_xlfn.XLOOKUP(tbl_MTG_Set[[#This Row],[Collector Booster Box Product Id]], tbl_Product[Product Id], tbl_Product[Pack Size])</f>
        <v/>
      </c>
      <c r="AX687" s="10">
        <f>(tbl_MTG_Set[[#This Row],[Collector Booster Box Cost]] + v_Item_Shipping_Cost_In) / tbl_MTG_Set[[#This Row],[Collector Booster Box Size]]</f>
        <v/>
      </c>
      <c r="AY687" s="10">
        <f t="array" ref="AY6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7" s="10" t="n"/>
      <c r="BA6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7" s="17">
        <f>tbl_MTG_Set[[#This Row],[Collector Booster CardMarket Profit]]/tbl_MTG_Set[[#This Row],[Collector Booster Cost]]</f>
        <v/>
      </c>
      <c r="BC687" s="10" t="n"/>
      <c r="BF687" s="10">
        <f>tbl_MTG_Set[[#This Row],[Play Booster Sell Price CardMarket]]*tbl_MTG_Set[[#This Row],[Play Booster Expected Market Value]]/tbl_MTG_Set[[#This Row],[Play Boost Sealed Market Value]]</f>
        <v/>
      </c>
      <c r="BG6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7" s="10">
        <f>tbl_MTG_Set[[#This Row],[Play Singles CardMarket Profit]]/tbl_MTG_Set[[#This Row],[Play Booster Cost]]</f>
        <v/>
      </c>
      <c r="BI687" s="10">
        <f>tbl_MTG_Set[[#This Row],[Play Singles CardMarket Profit]]&gt;0</f>
        <v/>
      </c>
      <c r="BJ687" s="10" t="n"/>
      <c r="BK687" s="10" t="n"/>
      <c r="BL687" s="10">
        <f>tbl_MTG_Set[[#This Row],[Collector Booster Sell Price CardMarket]]*tbl_MTG_Set[[#This Row],[Collector Booster Expected Market Value]]/tbl_MTG_Set[[#This Row],[Collector Boost Sealed Market Value]]</f>
        <v/>
      </c>
      <c r="BM6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7" s="10">
        <f>tbl_MTG_Set[[#This Row],[Collector Singles CardMarket Profit]]/tbl_MTG_Set[[#This Row],[Collector Booster Cost]]</f>
        <v/>
      </c>
      <c r="BO687" s="10">
        <f>tbl_MTG_Set[[#This Row],[Collector Singles CardMarket Profit]]&gt;0</f>
        <v/>
      </c>
      <c r="BP6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8">
      <c r="A688" t="n">
        <v>686</v>
      </c>
      <c r="B688" t="inlineStr">
        <is>
          <t>Friday Night Magic 2013 F13</t>
        </is>
      </c>
      <c r="C688" t="n">
        <v>12</v>
      </c>
      <c r="D688" s="3" t="n">
        <v>41275</v>
      </c>
      <c r="F688" t="inlineStr">
        <is>
          <t>en es fr de it pt ja ko ru 汉语 漢語</t>
        </is>
      </c>
      <c r="G688" t="n">
        <v>1318</v>
      </c>
      <c r="H688">
        <f>MONTH(NOW())+12*YEAR(NOW())-MONTH(tbl_MTG_Set[[#This Row],[Released On]])-12*YEAR(tbl_MTG_Set[[#This Row],[Released On]])</f>
        <v/>
      </c>
      <c r="I688">
        <f>_xlfn.XLOOKUP(tbl_MTG_Set[[#This Row],[Type Name]], tbl_MTG_Set_Type[Set Type], tbl_MTG_Set_Type[Index], "(Set Type not found)")</f>
        <v/>
      </c>
      <c r="J688">
        <f>_xlfn.XLOOKUP(tbl_MTG_Set[[#This Row],[Type Name]], tbl_MTG_Set_Type[Set Type], tbl_MTG_Set_Type[Buy Window Month Start], "(Set Type not found)")</f>
        <v/>
      </c>
      <c r="K688" s="3">
        <f>tbl_MTG_Set[[#This Row],[Released On]]+tbl_MTG_Set[[#This Row],[Buy Window Month Start]]*365.25/12</f>
        <v/>
      </c>
      <c r="L688">
        <f>_xlfn.XLOOKUP(tbl_MTG_Set[[#This Row],[Type Name]], tbl_MTG_Set_Type[Set Type], tbl_MTG_Set_Type[Buy Window Month End], "(Set Type not found)", 0, 1)</f>
        <v/>
      </c>
      <c r="M688" s="3">
        <f>tbl_MTG_Set[[#This Row],[Released On]]+tbl_MTG_Set[[#This Row],[Buy Window Month End]]*365.25/12</f>
        <v/>
      </c>
      <c r="N688" s="3">
        <f>AND(NOW()&gt;=tbl_MTG_Set[[#This Row],[Buy Window Start]], NOW()&lt;=tbl_MTG_Set[[#This Row],[Buy Window End]])</f>
        <v/>
      </c>
      <c r="O688">
        <f>_xlfn.XLOOKUP(tbl_MTG_Set[[#This Row],[Type Name]], tbl_MTG_Set_Type[Set Type], tbl_MTG_Set_Type[Heavy Printing Window Month Start], "(Set Type not found)", 0, 1)</f>
        <v/>
      </c>
      <c r="P688" s="3">
        <f>tbl_MTG_Set[[#This Row],[Released On]]+tbl_MTG_Set[[#This Row],[Heavy Printing Window Month Start]]*365.25/12</f>
        <v/>
      </c>
      <c r="Q688">
        <f>_xlfn.XLOOKUP(tbl_MTG_Set[[#This Row],[Type Name]], tbl_MTG_Set_Type[Set Type], tbl_MTG_Set_Type[Heavy Printing Window Month End], "(Set Type not found)", 0, 1)</f>
        <v/>
      </c>
      <c r="R688" s="3">
        <f>tbl_MTG_Set[[#This Row],[Released On]]+tbl_MTG_Set[[#This Row],[Heavy Printing Window Month End]]*365.25/12</f>
        <v/>
      </c>
      <c r="S688" s="3">
        <f>AND(NOW()&gt;=tbl_MTG_Set[[#This Row],[Heavy Printing Window Start]], NOW()&lt;=tbl_MTG_Set[[#This Row],[Heavy Printing Window End]])</f>
        <v/>
      </c>
      <c r="T688">
        <f>_xlfn.XLOOKUP(tbl_MTG_Set[[#This Row],[Type Name]], tbl_MTG_Set_Type[Set Type], tbl_MTG_Set_Type[Sell Window Month Start], "(Set Type not found)", 0, 1)</f>
        <v/>
      </c>
      <c r="U688" s="3">
        <f>tbl_MTG_Set[[#This Row],[Released On]]+tbl_MTG_Set[[#This Row],[Sell Window Month Start]]*365.25/12</f>
        <v/>
      </c>
      <c r="V688">
        <f>_xlfn.XLOOKUP(tbl_MTG_Set[[#This Row],[Type Name]], tbl_MTG_Set_Type[Set Type], tbl_MTG_Set_Type[Sell Window Month End], "(Set Type not found)", 0, 1)</f>
        <v/>
      </c>
      <c r="W688" s="3">
        <f>tbl_MTG_Set[[#This Row],[Released On]]+tbl_MTG_Set[[#This Row],[Sell Window Month End]]*365.25/12</f>
        <v/>
      </c>
      <c r="X688" s="3">
        <f>AND(NOW()&gt;=tbl_MTG_Set[[#This Row],[Sell Window Start]], NOW()&lt;=tbl_MTG_Set[[#This Row],[Sell Window End]])</f>
        <v/>
      </c>
      <c r="AG688" s="10" t="n"/>
      <c r="AH688" s="10" t="n"/>
      <c r="AM688" s="10">
        <f t="array" ref="AM6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8" s="10">
        <f t="array" ref="AN6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8" s="4">
        <f>_xlfn.XLOOKUP(tbl_MTG_Set[[#This Row],[Play Booster Box Product Id]], tbl_Product[Product Id], tbl_Product[Pack Size])</f>
        <v/>
      </c>
      <c r="AP688" s="10">
        <f>(tbl_MTG_Set[[#This Row],[Play Booster Box Cost]]+v_Item_Shipping_Cost_In)/tbl_MTG_Set[[#This Row],[Play Booster Box Size]]</f>
        <v/>
      </c>
      <c r="AQ688" s="10">
        <f t="array" ref="AQ6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8" s="10" t="n"/>
      <c r="AS688" s="10" t="n"/>
      <c r="AT688" s="17">
        <f>tbl_MTG_Set[[#This Row],[Play Booster CardMarket Profit]]/tbl_MTG_Set[[#This Row],[Play Booster Cost]]</f>
        <v/>
      </c>
      <c r="AU688" s="10">
        <f>_xlfn.XLOOKUP(tbl_MTG_Set[[#This Row],[Collector Booster Box Product Id]], tbl_Product[Product Id], tbl_Product[Min Cost])</f>
        <v/>
      </c>
      <c r="AV688" s="10">
        <f>_xlfn.XLOOKUP(tbl_MTG_Set[[#This Row],[Collector Booster Box Product Id]], tbl_Product[Product Id], tbl_Product[Best Source])</f>
        <v/>
      </c>
      <c r="AW688" s="4">
        <f>_xlfn.XLOOKUP(tbl_MTG_Set[[#This Row],[Collector Booster Box Product Id]], tbl_Product[Product Id], tbl_Product[Pack Size])</f>
        <v/>
      </c>
      <c r="AX688" s="10">
        <f>(tbl_MTG_Set[[#This Row],[Collector Booster Box Cost]] + v_Item_Shipping_Cost_In) / tbl_MTG_Set[[#This Row],[Collector Booster Box Size]]</f>
        <v/>
      </c>
      <c r="AY688" s="10">
        <f t="array" ref="AY6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8" s="10" t="n"/>
      <c r="BA6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8" s="17">
        <f>tbl_MTG_Set[[#This Row],[Collector Booster CardMarket Profit]]/tbl_MTG_Set[[#This Row],[Collector Booster Cost]]</f>
        <v/>
      </c>
      <c r="BC688" s="10" t="n"/>
      <c r="BF688" s="10">
        <f>tbl_MTG_Set[[#This Row],[Play Booster Sell Price CardMarket]]*tbl_MTG_Set[[#This Row],[Play Booster Expected Market Value]]/tbl_MTG_Set[[#This Row],[Play Boost Sealed Market Value]]</f>
        <v/>
      </c>
      <c r="BG6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8" s="10">
        <f>tbl_MTG_Set[[#This Row],[Play Singles CardMarket Profit]]/tbl_MTG_Set[[#This Row],[Play Booster Cost]]</f>
        <v/>
      </c>
      <c r="BI688" s="10">
        <f>tbl_MTG_Set[[#This Row],[Play Singles CardMarket Profit]]&gt;0</f>
        <v/>
      </c>
      <c r="BJ688" s="10" t="n"/>
      <c r="BK688" s="10" t="n"/>
      <c r="BL688" s="10">
        <f>tbl_MTG_Set[[#This Row],[Collector Booster Sell Price CardMarket]]*tbl_MTG_Set[[#This Row],[Collector Booster Expected Market Value]]/tbl_MTG_Set[[#This Row],[Collector Boost Sealed Market Value]]</f>
        <v/>
      </c>
      <c r="BM6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8" s="10">
        <f>tbl_MTG_Set[[#This Row],[Collector Singles CardMarket Profit]]/tbl_MTG_Set[[#This Row],[Collector Booster Cost]]</f>
        <v/>
      </c>
      <c r="BO688" s="10">
        <f>tbl_MTG_Set[[#This Row],[Collector Singles CardMarket Profit]]&gt;0</f>
        <v/>
      </c>
      <c r="BP6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9">
      <c r="A689" t="n">
        <v>687</v>
      </c>
      <c r="B689" t="inlineStr">
        <is>
          <t>Commander's Arsenal CM1</t>
        </is>
      </c>
      <c r="C689" t="n">
        <v>18</v>
      </c>
      <c r="D689" s="3" t="n">
        <v>41215</v>
      </c>
      <c r="F689" t="inlineStr">
        <is>
          <t>en es fr de it pt ja ko ru 汉语 漢語</t>
        </is>
      </c>
      <c r="G689" t="n">
        <v>1320</v>
      </c>
      <c r="H689">
        <f>MONTH(NOW())+12*YEAR(NOW())-MONTH(tbl_MTG_Set[[#This Row],[Released On]])-12*YEAR(tbl_MTG_Set[[#This Row],[Released On]])</f>
        <v/>
      </c>
      <c r="I689">
        <f>_xlfn.XLOOKUP(tbl_MTG_Set[[#This Row],[Type Name]], tbl_MTG_Set_Type[Set Type], tbl_MTG_Set_Type[Index], "(Set Type not found)")</f>
        <v/>
      </c>
      <c r="J689">
        <f>_xlfn.XLOOKUP(tbl_MTG_Set[[#This Row],[Type Name]], tbl_MTG_Set_Type[Set Type], tbl_MTG_Set_Type[Buy Window Month Start], "(Set Type not found)")</f>
        <v/>
      </c>
      <c r="K689" s="3">
        <f>tbl_MTG_Set[[#This Row],[Released On]]+tbl_MTG_Set[[#This Row],[Buy Window Month Start]]*365.25/12</f>
        <v/>
      </c>
      <c r="L689">
        <f>_xlfn.XLOOKUP(tbl_MTG_Set[[#This Row],[Type Name]], tbl_MTG_Set_Type[Set Type], tbl_MTG_Set_Type[Buy Window Month End], "(Set Type not found)", 0, 1)</f>
        <v/>
      </c>
      <c r="M689" s="3">
        <f>tbl_MTG_Set[[#This Row],[Released On]]+tbl_MTG_Set[[#This Row],[Buy Window Month End]]*365.25/12</f>
        <v/>
      </c>
      <c r="N689" s="3">
        <f>AND(NOW()&gt;=tbl_MTG_Set[[#This Row],[Buy Window Start]], NOW()&lt;=tbl_MTG_Set[[#This Row],[Buy Window End]])</f>
        <v/>
      </c>
      <c r="O689">
        <f>_xlfn.XLOOKUP(tbl_MTG_Set[[#This Row],[Type Name]], tbl_MTG_Set_Type[Set Type], tbl_MTG_Set_Type[Heavy Printing Window Month Start], "(Set Type not found)", 0, 1)</f>
        <v/>
      </c>
      <c r="P689" s="3">
        <f>tbl_MTG_Set[[#This Row],[Released On]]+tbl_MTG_Set[[#This Row],[Heavy Printing Window Month Start]]*365.25/12</f>
        <v/>
      </c>
      <c r="Q689">
        <f>_xlfn.XLOOKUP(tbl_MTG_Set[[#This Row],[Type Name]], tbl_MTG_Set_Type[Set Type], tbl_MTG_Set_Type[Heavy Printing Window Month End], "(Set Type not found)", 0, 1)</f>
        <v/>
      </c>
      <c r="R689" s="3">
        <f>tbl_MTG_Set[[#This Row],[Released On]]+tbl_MTG_Set[[#This Row],[Heavy Printing Window Month End]]*365.25/12</f>
        <v/>
      </c>
      <c r="S689" s="3">
        <f>AND(NOW()&gt;=tbl_MTG_Set[[#This Row],[Heavy Printing Window Start]], NOW()&lt;=tbl_MTG_Set[[#This Row],[Heavy Printing Window End]])</f>
        <v/>
      </c>
      <c r="T689">
        <f>_xlfn.XLOOKUP(tbl_MTG_Set[[#This Row],[Type Name]], tbl_MTG_Set_Type[Set Type], tbl_MTG_Set_Type[Sell Window Month Start], "(Set Type not found)", 0, 1)</f>
        <v/>
      </c>
      <c r="U689" s="3">
        <f>tbl_MTG_Set[[#This Row],[Released On]]+tbl_MTG_Set[[#This Row],[Sell Window Month Start]]*365.25/12</f>
        <v/>
      </c>
      <c r="V689">
        <f>_xlfn.XLOOKUP(tbl_MTG_Set[[#This Row],[Type Name]], tbl_MTG_Set_Type[Set Type], tbl_MTG_Set_Type[Sell Window Month End], "(Set Type not found)", 0, 1)</f>
        <v/>
      </c>
      <c r="W689" s="3">
        <f>tbl_MTG_Set[[#This Row],[Released On]]+tbl_MTG_Set[[#This Row],[Sell Window Month End]]*365.25/12</f>
        <v/>
      </c>
      <c r="X689" s="3">
        <f>AND(NOW()&gt;=tbl_MTG_Set[[#This Row],[Sell Window Start]], NOW()&lt;=tbl_MTG_Set[[#This Row],[Sell Window End]])</f>
        <v/>
      </c>
      <c r="AG689" s="10" t="n"/>
      <c r="AH689" s="10" t="n"/>
      <c r="AM689" s="10">
        <f t="array" ref="AM6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9" s="10">
        <f t="array" ref="AN6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9" s="4">
        <f>_xlfn.XLOOKUP(tbl_MTG_Set[[#This Row],[Play Booster Box Product Id]], tbl_Product[Product Id], tbl_Product[Pack Size])</f>
        <v/>
      </c>
      <c r="AP689" s="10">
        <f>(tbl_MTG_Set[[#This Row],[Play Booster Box Cost]]+v_Item_Shipping_Cost_In)/tbl_MTG_Set[[#This Row],[Play Booster Box Size]]</f>
        <v/>
      </c>
      <c r="AQ689" s="10">
        <f t="array" ref="AQ6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89" s="10" t="n"/>
      <c r="AS689" s="10" t="n"/>
      <c r="AT689" s="17">
        <f>tbl_MTG_Set[[#This Row],[Play Booster CardMarket Profit]]/tbl_MTG_Set[[#This Row],[Play Booster Cost]]</f>
        <v/>
      </c>
      <c r="AU689" s="10">
        <f>_xlfn.XLOOKUP(tbl_MTG_Set[[#This Row],[Collector Booster Box Product Id]], tbl_Product[Product Id], tbl_Product[Min Cost])</f>
        <v/>
      </c>
      <c r="AV689" s="10">
        <f>_xlfn.XLOOKUP(tbl_MTG_Set[[#This Row],[Collector Booster Box Product Id]], tbl_Product[Product Id], tbl_Product[Best Source])</f>
        <v/>
      </c>
      <c r="AW689" s="4">
        <f>_xlfn.XLOOKUP(tbl_MTG_Set[[#This Row],[Collector Booster Box Product Id]], tbl_Product[Product Id], tbl_Product[Pack Size])</f>
        <v/>
      </c>
      <c r="AX689" s="10">
        <f>(tbl_MTG_Set[[#This Row],[Collector Booster Box Cost]] + v_Item_Shipping_Cost_In) / tbl_MTG_Set[[#This Row],[Collector Booster Box Size]]</f>
        <v/>
      </c>
      <c r="AY689" s="10">
        <f t="array" ref="AY6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89" s="10" t="n"/>
      <c r="BA6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9" s="17">
        <f>tbl_MTG_Set[[#This Row],[Collector Booster CardMarket Profit]]/tbl_MTG_Set[[#This Row],[Collector Booster Cost]]</f>
        <v/>
      </c>
      <c r="BC689" s="10" t="n"/>
      <c r="BF689" s="10">
        <f>tbl_MTG_Set[[#This Row],[Play Booster Sell Price CardMarket]]*tbl_MTG_Set[[#This Row],[Play Booster Expected Market Value]]/tbl_MTG_Set[[#This Row],[Play Boost Sealed Market Value]]</f>
        <v/>
      </c>
      <c r="BG6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9" s="10">
        <f>tbl_MTG_Set[[#This Row],[Play Singles CardMarket Profit]]/tbl_MTG_Set[[#This Row],[Play Booster Cost]]</f>
        <v/>
      </c>
      <c r="BI689" s="10">
        <f>tbl_MTG_Set[[#This Row],[Play Singles CardMarket Profit]]&gt;0</f>
        <v/>
      </c>
      <c r="BJ689" s="10" t="n"/>
      <c r="BK689" s="10" t="n"/>
      <c r="BL689" s="10">
        <f>tbl_MTG_Set[[#This Row],[Collector Booster Sell Price CardMarket]]*tbl_MTG_Set[[#This Row],[Collector Booster Expected Market Value]]/tbl_MTG_Set[[#This Row],[Collector Boost Sealed Market Value]]</f>
        <v/>
      </c>
      <c r="BM6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9" s="10">
        <f>tbl_MTG_Set[[#This Row],[Collector Singles CardMarket Profit]]/tbl_MTG_Set[[#This Row],[Collector Booster Cost]]</f>
        <v/>
      </c>
      <c r="BO689" s="10">
        <f>tbl_MTG_Set[[#This Row],[Collector Singles CardMarket Profit]]&gt;0</f>
        <v/>
      </c>
      <c r="BP6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0">
      <c r="A690" t="n">
        <v>688</v>
      </c>
      <c r="B690" t="inlineStr">
        <is>
          <t>Commander's Arsenal Oversized OCM1</t>
        </is>
      </c>
      <c r="C690" t="n">
        <v>10</v>
      </c>
      <c r="D690" s="3" t="n">
        <v>41215</v>
      </c>
      <c r="F690" t="inlineStr">
        <is>
          <t>en es fr de it pt ja ko ru 汉语 漢語</t>
        </is>
      </c>
      <c r="G690" t="n">
        <v>1322</v>
      </c>
      <c r="H690">
        <f>MONTH(NOW())+12*YEAR(NOW())-MONTH(tbl_MTG_Set[[#This Row],[Released On]])-12*YEAR(tbl_MTG_Set[[#This Row],[Released On]])</f>
        <v/>
      </c>
      <c r="I690">
        <f>_xlfn.XLOOKUP(tbl_MTG_Set[[#This Row],[Type Name]], tbl_MTG_Set_Type[Set Type], tbl_MTG_Set_Type[Index], "(Set Type not found)")</f>
        <v/>
      </c>
      <c r="J690">
        <f>_xlfn.XLOOKUP(tbl_MTG_Set[[#This Row],[Type Name]], tbl_MTG_Set_Type[Set Type], tbl_MTG_Set_Type[Buy Window Month Start], "(Set Type not found)")</f>
        <v/>
      </c>
      <c r="K690" s="3">
        <f>tbl_MTG_Set[[#This Row],[Released On]]+tbl_MTG_Set[[#This Row],[Buy Window Month Start]]*365.25/12</f>
        <v/>
      </c>
      <c r="L690">
        <f>_xlfn.XLOOKUP(tbl_MTG_Set[[#This Row],[Type Name]], tbl_MTG_Set_Type[Set Type], tbl_MTG_Set_Type[Buy Window Month End], "(Set Type not found)", 0, 1)</f>
        <v/>
      </c>
      <c r="M690" s="3">
        <f>tbl_MTG_Set[[#This Row],[Released On]]+tbl_MTG_Set[[#This Row],[Buy Window Month End]]*365.25/12</f>
        <v/>
      </c>
      <c r="N690" s="3">
        <f>AND(NOW()&gt;=tbl_MTG_Set[[#This Row],[Buy Window Start]], NOW()&lt;=tbl_MTG_Set[[#This Row],[Buy Window End]])</f>
        <v/>
      </c>
      <c r="O690">
        <f>_xlfn.XLOOKUP(tbl_MTG_Set[[#This Row],[Type Name]], tbl_MTG_Set_Type[Set Type], tbl_MTG_Set_Type[Heavy Printing Window Month Start], "(Set Type not found)", 0, 1)</f>
        <v/>
      </c>
      <c r="P690" s="3">
        <f>tbl_MTG_Set[[#This Row],[Released On]]+tbl_MTG_Set[[#This Row],[Heavy Printing Window Month Start]]*365.25/12</f>
        <v/>
      </c>
      <c r="Q690">
        <f>_xlfn.XLOOKUP(tbl_MTG_Set[[#This Row],[Type Name]], tbl_MTG_Set_Type[Set Type], tbl_MTG_Set_Type[Heavy Printing Window Month End], "(Set Type not found)", 0, 1)</f>
        <v/>
      </c>
      <c r="R690" s="3">
        <f>tbl_MTG_Set[[#This Row],[Released On]]+tbl_MTG_Set[[#This Row],[Heavy Printing Window Month End]]*365.25/12</f>
        <v/>
      </c>
      <c r="S690" s="3">
        <f>AND(NOW()&gt;=tbl_MTG_Set[[#This Row],[Heavy Printing Window Start]], NOW()&lt;=tbl_MTG_Set[[#This Row],[Heavy Printing Window End]])</f>
        <v/>
      </c>
      <c r="T690">
        <f>_xlfn.XLOOKUP(tbl_MTG_Set[[#This Row],[Type Name]], tbl_MTG_Set_Type[Set Type], tbl_MTG_Set_Type[Sell Window Month Start], "(Set Type not found)", 0, 1)</f>
        <v/>
      </c>
      <c r="U690" s="3">
        <f>tbl_MTG_Set[[#This Row],[Released On]]+tbl_MTG_Set[[#This Row],[Sell Window Month Start]]*365.25/12</f>
        <v/>
      </c>
      <c r="V690">
        <f>_xlfn.XLOOKUP(tbl_MTG_Set[[#This Row],[Type Name]], tbl_MTG_Set_Type[Set Type], tbl_MTG_Set_Type[Sell Window Month End], "(Set Type not found)", 0, 1)</f>
        <v/>
      </c>
      <c r="W690" s="3">
        <f>tbl_MTG_Set[[#This Row],[Released On]]+tbl_MTG_Set[[#This Row],[Sell Window Month End]]*365.25/12</f>
        <v/>
      </c>
      <c r="X690" s="3">
        <f>AND(NOW()&gt;=tbl_MTG_Set[[#This Row],[Sell Window Start]], NOW()&lt;=tbl_MTG_Set[[#This Row],[Sell Window End]])</f>
        <v/>
      </c>
      <c r="AG690" s="10" t="n"/>
      <c r="AH690" s="10" t="n"/>
      <c r="AM690" s="10">
        <f t="array" ref="AM6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0" s="10">
        <f t="array" ref="AN6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0" s="4">
        <f>_xlfn.XLOOKUP(tbl_MTG_Set[[#This Row],[Play Booster Box Product Id]], tbl_Product[Product Id], tbl_Product[Pack Size])</f>
        <v/>
      </c>
      <c r="AP690" s="10">
        <f>(tbl_MTG_Set[[#This Row],[Play Booster Box Cost]]+v_Item_Shipping_Cost_In)/tbl_MTG_Set[[#This Row],[Play Booster Box Size]]</f>
        <v/>
      </c>
      <c r="AQ690" s="10">
        <f t="array" ref="AQ6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0" s="10" t="n"/>
      <c r="AS690" s="10" t="n"/>
      <c r="AT690" s="17">
        <f>tbl_MTG_Set[[#This Row],[Play Booster CardMarket Profit]]/tbl_MTG_Set[[#This Row],[Play Booster Cost]]</f>
        <v/>
      </c>
      <c r="AU690" s="10">
        <f>_xlfn.XLOOKUP(tbl_MTG_Set[[#This Row],[Collector Booster Box Product Id]], tbl_Product[Product Id], tbl_Product[Min Cost])</f>
        <v/>
      </c>
      <c r="AV690" s="10">
        <f>_xlfn.XLOOKUP(tbl_MTG_Set[[#This Row],[Collector Booster Box Product Id]], tbl_Product[Product Id], tbl_Product[Best Source])</f>
        <v/>
      </c>
      <c r="AW690" s="4">
        <f>_xlfn.XLOOKUP(tbl_MTG_Set[[#This Row],[Collector Booster Box Product Id]], tbl_Product[Product Id], tbl_Product[Pack Size])</f>
        <v/>
      </c>
      <c r="AX690" s="10">
        <f>(tbl_MTG_Set[[#This Row],[Collector Booster Box Cost]] + v_Item_Shipping_Cost_In) / tbl_MTG_Set[[#This Row],[Collector Booster Box Size]]</f>
        <v/>
      </c>
      <c r="AY690" s="10">
        <f t="array" ref="AY6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0" s="10" t="n"/>
      <c r="BA6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0" s="17">
        <f>tbl_MTG_Set[[#This Row],[Collector Booster CardMarket Profit]]/tbl_MTG_Set[[#This Row],[Collector Booster Cost]]</f>
        <v/>
      </c>
      <c r="BC690" s="10" t="n"/>
      <c r="BF690" s="10">
        <f>tbl_MTG_Set[[#This Row],[Play Booster Sell Price CardMarket]]*tbl_MTG_Set[[#This Row],[Play Booster Expected Market Value]]/tbl_MTG_Set[[#This Row],[Play Boost Sealed Market Value]]</f>
        <v/>
      </c>
      <c r="BG6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0" s="10">
        <f>tbl_MTG_Set[[#This Row],[Play Singles CardMarket Profit]]/tbl_MTG_Set[[#This Row],[Play Booster Cost]]</f>
        <v/>
      </c>
      <c r="BI690" s="10">
        <f>tbl_MTG_Set[[#This Row],[Play Singles CardMarket Profit]]&gt;0</f>
        <v/>
      </c>
      <c r="BJ690" s="10" t="n"/>
      <c r="BK690" s="10" t="n"/>
      <c r="BL690" s="10">
        <f>tbl_MTG_Set[[#This Row],[Collector Booster Sell Price CardMarket]]*tbl_MTG_Set[[#This Row],[Collector Booster Expected Market Value]]/tbl_MTG_Set[[#This Row],[Collector Boost Sealed Market Value]]</f>
        <v/>
      </c>
      <c r="BM6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0" s="10">
        <f>tbl_MTG_Set[[#This Row],[Collector Singles CardMarket Profit]]/tbl_MTG_Set[[#This Row],[Collector Booster Cost]]</f>
        <v/>
      </c>
      <c r="BO690" s="10">
        <f>tbl_MTG_Set[[#This Row],[Collector Singles CardMarket Profit]]&gt;0</f>
        <v/>
      </c>
      <c r="BP6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1">
      <c r="A691" t="n">
        <v>689</v>
      </c>
      <c r="B691" t="inlineStr">
        <is>
          <t>Return to Ravnica RTR</t>
        </is>
      </c>
      <c r="C691" t="n">
        <v>274</v>
      </c>
      <c r="D691" s="3" t="n">
        <v>41187</v>
      </c>
      <c r="F691" t="inlineStr">
        <is>
          <t>en es fr de it pt ja ko ru 汉语 漢語</t>
        </is>
      </c>
      <c r="G691" t="n">
        <v>1324</v>
      </c>
      <c r="H691">
        <f>MONTH(NOW())+12*YEAR(NOW())-MONTH(tbl_MTG_Set[[#This Row],[Released On]])-12*YEAR(tbl_MTG_Set[[#This Row],[Released On]])</f>
        <v/>
      </c>
      <c r="I691">
        <f>_xlfn.XLOOKUP(tbl_MTG_Set[[#This Row],[Type Name]], tbl_MTG_Set_Type[Set Type], tbl_MTG_Set_Type[Index], "(Set Type not found)")</f>
        <v/>
      </c>
      <c r="J691">
        <f>_xlfn.XLOOKUP(tbl_MTG_Set[[#This Row],[Type Name]], tbl_MTG_Set_Type[Set Type], tbl_MTG_Set_Type[Buy Window Month Start], "(Set Type not found)")</f>
        <v/>
      </c>
      <c r="K691" s="3">
        <f>tbl_MTG_Set[[#This Row],[Released On]]+tbl_MTG_Set[[#This Row],[Buy Window Month Start]]*365.25/12</f>
        <v/>
      </c>
      <c r="L691">
        <f>_xlfn.XLOOKUP(tbl_MTG_Set[[#This Row],[Type Name]], tbl_MTG_Set_Type[Set Type], tbl_MTG_Set_Type[Buy Window Month End], "(Set Type not found)", 0, 1)</f>
        <v/>
      </c>
      <c r="M691" s="3">
        <f>tbl_MTG_Set[[#This Row],[Released On]]+tbl_MTG_Set[[#This Row],[Buy Window Month End]]*365.25/12</f>
        <v/>
      </c>
      <c r="N691" s="3">
        <f>AND(NOW()&gt;=tbl_MTG_Set[[#This Row],[Buy Window Start]], NOW()&lt;=tbl_MTG_Set[[#This Row],[Buy Window End]])</f>
        <v/>
      </c>
      <c r="O691">
        <f>_xlfn.XLOOKUP(tbl_MTG_Set[[#This Row],[Type Name]], tbl_MTG_Set_Type[Set Type], tbl_MTG_Set_Type[Heavy Printing Window Month Start], "(Set Type not found)", 0, 1)</f>
        <v/>
      </c>
      <c r="P691" s="3">
        <f>tbl_MTG_Set[[#This Row],[Released On]]+tbl_MTG_Set[[#This Row],[Heavy Printing Window Month Start]]*365.25/12</f>
        <v/>
      </c>
      <c r="Q691">
        <f>_xlfn.XLOOKUP(tbl_MTG_Set[[#This Row],[Type Name]], tbl_MTG_Set_Type[Set Type], tbl_MTG_Set_Type[Heavy Printing Window Month End], "(Set Type not found)", 0, 1)</f>
        <v/>
      </c>
      <c r="R691" s="3">
        <f>tbl_MTG_Set[[#This Row],[Released On]]+tbl_MTG_Set[[#This Row],[Heavy Printing Window Month End]]*365.25/12</f>
        <v/>
      </c>
      <c r="S691" s="3">
        <f>AND(NOW()&gt;=tbl_MTG_Set[[#This Row],[Heavy Printing Window Start]], NOW()&lt;=tbl_MTG_Set[[#This Row],[Heavy Printing Window End]])</f>
        <v/>
      </c>
      <c r="T691">
        <f>_xlfn.XLOOKUP(tbl_MTG_Set[[#This Row],[Type Name]], tbl_MTG_Set_Type[Set Type], tbl_MTG_Set_Type[Sell Window Month Start], "(Set Type not found)", 0, 1)</f>
        <v/>
      </c>
      <c r="U691" s="3">
        <f>tbl_MTG_Set[[#This Row],[Released On]]+tbl_MTG_Set[[#This Row],[Sell Window Month Start]]*365.25/12</f>
        <v/>
      </c>
      <c r="V691">
        <f>_xlfn.XLOOKUP(tbl_MTG_Set[[#This Row],[Type Name]], tbl_MTG_Set_Type[Set Type], tbl_MTG_Set_Type[Sell Window Month End], "(Set Type not found)", 0, 1)</f>
        <v/>
      </c>
      <c r="W691" s="3">
        <f>tbl_MTG_Set[[#This Row],[Released On]]+tbl_MTG_Set[[#This Row],[Sell Window Month End]]*365.25/12</f>
        <v/>
      </c>
      <c r="X691" s="3">
        <f>AND(NOW()&gt;=tbl_MTG_Set[[#This Row],[Sell Window Start]], NOW()&lt;=tbl_MTG_Set[[#This Row],[Sell Window End]])</f>
        <v/>
      </c>
      <c r="AG691" s="10" t="n"/>
      <c r="AH691" s="10" t="n"/>
      <c r="AM691" s="10">
        <f t="array" ref="AM6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1" s="10">
        <f t="array" ref="AN6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1" s="4">
        <f>_xlfn.XLOOKUP(tbl_MTG_Set[[#This Row],[Play Booster Box Product Id]], tbl_Product[Product Id], tbl_Product[Pack Size])</f>
        <v/>
      </c>
      <c r="AP691" s="10">
        <f>(tbl_MTG_Set[[#This Row],[Play Booster Box Cost]]+v_Item_Shipping_Cost_In)/tbl_MTG_Set[[#This Row],[Play Booster Box Size]]</f>
        <v/>
      </c>
      <c r="AQ691" s="10">
        <f t="array" ref="AQ6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1" s="10" t="n"/>
      <c r="AS691" s="10" t="n"/>
      <c r="AT691" s="17">
        <f>tbl_MTG_Set[[#This Row],[Play Booster CardMarket Profit]]/tbl_MTG_Set[[#This Row],[Play Booster Cost]]</f>
        <v/>
      </c>
      <c r="AU691" s="10">
        <f>_xlfn.XLOOKUP(tbl_MTG_Set[[#This Row],[Collector Booster Box Product Id]], tbl_Product[Product Id], tbl_Product[Min Cost])</f>
        <v/>
      </c>
      <c r="AV691" s="10">
        <f>_xlfn.XLOOKUP(tbl_MTG_Set[[#This Row],[Collector Booster Box Product Id]], tbl_Product[Product Id], tbl_Product[Best Source])</f>
        <v/>
      </c>
      <c r="AW691" s="4">
        <f>_xlfn.XLOOKUP(tbl_MTG_Set[[#This Row],[Collector Booster Box Product Id]], tbl_Product[Product Id], tbl_Product[Pack Size])</f>
        <v/>
      </c>
      <c r="AX691" s="10">
        <f>(tbl_MTG_Set[[#This Row],[Collector Booster Box Cost]] + v_Item_Shipping_Cost_In) / tbl_MTG_Set[[#This Row],[Collector Booster Box Size]]</f>
        <v/>
      </c>
      <c r="AY691" s="10">
        <f t="array" ref="AY6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1" s="10" t="n"/>
      <c r="BA6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1" s="17">
        <f>tbl_MTG_Set[[#This Row],[Collector Booster CardMarket Profit]]/tbl_MTG_Set[[#This Row],[Collector Booster Cost]]</f>
        <v/>
      </c>
      <c r="BC691" s="10" t="n"/>
      <c r="BF691" s="10">
        <f>tbl_MTG_Set[[#This Row],[Play Booster Sell Price CardMarket]]*tbl_MTG_Set[[#This Row],[Play Booster Expected Market Value]]/tbl_MTG_Set[[#This Row],[Play Boost Sealed Market Value]]</f>
        <v/>
      </c>
      <c r="BG6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1" s="10">
        <f>tbl_MTG_Set[[#This Row],[Play Singles CardMarket Profit]]/tbl_MTG_Set[[#This Row],[Play Booster Cost]]</f>
        <v/>
      </c>
      <c r="BI691" s="10">
        <f>tbl_MTG_Set[[#This Row],[Play Singles CardMarket Profit]]&gt;0</f>
        <v/>
      </c>
      <c r="BJ691" s="10" t="n"/>
      <c r="BK691" s="10" t="n"/>
      <c r="BL691" s="10">
        <f>tbl_MTG_Set[[#This Row],[Collector Booster Sell Price CardMarket]]*tbl_MTG_Set[[#This Row],[Collector Booster Expected Market Value]]/tbl_MTG_Set[[#This Row],[Collector Boost Sealed Market Value]]</f>
        <v/>
      </c>
      <c r="BM6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1" s="10">
        <f>tbl_MTG_Set[[#This Row],[Collector Singles CardMarket Profit]]/tbl_MTG_Set[[#This Row],[Collector Booster Cost]]</f>
        <v/>
      </c>
      <c r="BO691" s="10">
        <f>tbl_MTG_Set[[#This Row],[Collector Singles CardMarket Profit]]&gt;0</f>
        <v/>
      </c>
      <c r="BP6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2">
      <c r="A692" t="n">
        <v>690</v>
      </c>
      <c r="B692" t="inlineStr">
        <is>
          <t>Return to Ravnica Promos PRTR</t>
        </is>
      </c>
      <c r="C692" t="n">
        <v>10</v>
      </c>
      <c r="D692" s="3" t="n">
        <v>41187</v>
      </c>
      <c r="F692" t="inlineStr">
        <is>
          <t>en es fr de it pt ja ko ru 汉语 漢語</t>
        </is>
      </c>
      <c r="G692" t="n">
        <v>1326</v>
      </c>
      <c r="H692">
        <f>MONTH(NOW())+12*YEAR(NOW())-MONTH(tbl_MTG_Set[[#This Row],[Released On]])-12*YEAR(tbl_MTG_Set[[#This Row],[Released On]])</f>
        <v/>
      </c>
      <c r="I692">
        <f>_xlfn.XLOOKUP(tbl_MTG_Set[[#This Row],[Type Name]], tbl_MTG_Set_Type[Set Type], tbl_MTG_Set_Type[Index], "(Set Type not found)")</f>
        <v/>
      </c>
      <c r="J692">
        <f>_xlfn.XLOOKUP(tbl_MTG_Set[[#This Row],[Type Name]], tbl_MTG_Set_Type[Set Type], tbl_MTG_Set_Type[Buy Window Month Start], "(Set Type not found)")</f>
        <v/>
      </c>
      <c r="K692" s="3">
        <f>tbl_MTG_Set[[#This Row],[Released On]]+tbl_MTG_Set[[#This Row],[Buy Window Month Start]]*365.25/12</f>
        <v/>
      </c>
      <c r="L692">
        <f>_xlfn.XLOOKUP(tbl_MTG_Set[[#This Row],[Type Name]], tbl_MTG_Set_Type[Set Type], tbl_MTG_Set_Type[Buy Window Month End], "(Set Type not found)", 0, 1)</f>
        <v/>
      </c>
      <c r="M692" s="3">
        <f>tbl_MTG_Set[[#This Row],[Released On]]+tbl_MTG_Set[[#This Row],[Buy Window Month End]]*365.25/12</f>
        <v/>
      </c>
      <c r="N692" s="3">
        <f>AND(NOW()&gt;=tbl_MTG_Set[[#This Row],[Buy Window Start]], NOW()&lt;=tbl_MTG_Set[[#This Row],[Buy Window End]])</f>
        <v/>
      </c>
      <c r="O692">
        <f>_xlfn.XLOOKUP(tbl_MTG_Set[[#This Row],[Type Name]], tbl_MTG_Set_Type[Set Type], tbl_MTG_Set_Type[Heavy Printing Window Month Start], "(Set Type not found)", 0, 1)</f>
        <v/>
      </c>
      <c r="P692" s="3">
        <f>tbl_MTG_Set[[#This Row],[Released On]]+tbl_MTG_Set[[#This Row],[Heavy Printing Window Month Start]]*365.25/12</f>
        <v/>
      </c>
      <c r="Q692">
        <f>_xlfn.XLOOKUP(tbl_MTG_Set[[#This Row],[Type Name]], tbl_MTG_Set_Type[Set Type], tbl_MTG_Set_Type[Heavy Printing Window Month End], "(Set Type not found)", 0, 1)</f>
        <v/>
      </c>
      <c r="R692" s="3">
        <f>tbl_MTG_Set[[#This Row],[Released On]]+tbl_MTG_Set[[#This Row],[Heavy Printing Window Month End]]*365.25/12</f>
        <v/>
      </c>
      <c r="S692" s="3">
        <f>AND(NOW()&gt;=tbl_MTG_Set[[#This Row],[Heavy Printing Window Start]], NOW()&lt;=tbl_MTG_Set[[#This Row],[Heavy Printing Window End]])</f>
        <v/>
      </c>
      <c r="T692">
        <f>_xlfn.XLOOKUP(tbl_MTG_Set[[#This Row],[Type Name]], tbl_MTG_Set_Type[Set Type], tbl_MTG_Set_Type[Sell Window Month Start], "(Set Type not found)", 0, 1)</f>
        <v/>
      </c>
      <c r="U692" s="3">
        <f>tbl_MTG_Set[[#This Row],[Released On]]+tbl_MTG_Set[[#This Row],[Sell Window Month Start]]*365.25/12</f>
        <v/>
      </c>
      <c r="V692">
        <f>_xlfn.XLOOKUP(tbl_MTG_Set[[#This Row],[Type Name]], tbl_MTG_Set_Type[Set Type], tbl_MTG_Set_Type[Sell Window Month End], "(Set Type not found)", 0, 1)</f>
        <v/>
      </c>
      <c r="W692" s="3">
        <f>tbl_MTG_Set[[#This Row],[Released On]]+tbl_MTG_Set[[#This Row],[Sell Window Month End]]*365.25/12</f>
        <v/>
      </c>
      <c r="X692" s="3">
        <f>AND(NOW()&gt;=tbl_MTG_Set[[#This Row],[Sell Window Start]], NOW()&lt;=tbl_MTG_Set[[#This Row],[Sell Window End]])</f>
        <v/>
      </c>
      <c r="AG692" s="10" t="n"/>
      <c r="AH692" s="10" t="n"/>
      <c r="AM692" s="10">
        <f t="array" ref="AM6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2" s="10">
        <f t="array" ref="AN6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2" s="4">
        <f>_xlfn.XLOOKUP(tbl_MTG_Set[[#This Row],[Play Booster Box Product Id]], tbl_Product[Product Id], tbl_Product[Pack Size])</f>
        <v/>
      </c>
      <c r="AP692" s="10">
        <f>(tbl_MTG_Set[[#This Row],[Play Booster Box Cost]]+v_Item_Shipping_Cost_In)/tbl_MTG_Set[[#This Row],[Play Booster Box Size]]</f>
        <v/>
      </c>
      <c r="AQ692" s="10">
        <f t="array" ref="AQ6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2" s="10" t="n"/>
      <c r="AS692" s="10" t="n"/>
      <c r="AT692" s="17">
        <f>tbl_MTG_Set[[#This Row],[Play Booster CardMarket Profit]]/tbl_MTG_Set[[#This Row],[Play Booster Cost]]</f>
        <v/>
      </c>
      <c r="AU692" s="10">
        <f>_xlfn.XLOOKUP(tbl_MTG_Set[[#This Row],[Collector Booster Box Product Id]], tbl_Product[Product Id], tbl_Product[Min Cost])</f>
        <v/>
      </c>
      <c r="AV692" s="10">
        <f>_xlfn.XLOOKUP(tbl_MTG_Set[[#This Row],[Collector Booster Box Product Id]], tbl_Product[Product Id], tbl_Product[Best Source])</f>
        <v/>
      </c>
      <c r="AW692" s="4">
        <f>_xlfn.XLOOKUP(tbl_MTG_Set[[#This Row],[Collector Booster Box Product Id]], tbl_Product[Product Id], tbl_Product[Pack Size])</f>
        <v/>
      </c>
      <c r="AX692" s="10">
        <f>(tbl_MTG_Set[[#This Row],[Collector Booster Box Cost]] + v_Item_Shipping_Cost_In) / tbl_MTG_Set[[#This Row],[Collector Booster Box Size]]</f>
        <v/>
      </c>
      <c r="AY692" s="10">
        <f t="array" ref="AY6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2" s="10" t="n"/>
      <c r="BA6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2" s="17">
        <f>tbl_MTG_Set[[#This Row],[Collector Booster CardMarket Profit]]/tbl_MTG_Set[[#This Row],[Collector Booster Cost]]</f>
        <v/>
      </c>
      <c r="BC692" s="10" t="n"/>
      <c r="BF692" s="10">
        <f>tbl_MTG_Set[[#This Row],[Play Booster Sell Price CardMarket]]*tbl_MTG_Set[[#This Row],[Play Booster Expected Market Value]]/tbl_MTG_Set[[#This Row],[Play Boost Sealed Market Value]]</f>
        <v/>
      </c>
      <c r="BG6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2" s="10">
        <f>tbl_MTG_Set[[#This Row],[Play Singles CardMarket Profit]]/tbl_MTG_Set[[#This Row],[Play Booster Cost]]</f>
        <v/>
      </c>
      <c r="BI692" s="10">
        <f>tbl_MTG_Set[[#This Row],[Play Singles CardMarket Profit]]&gt;0</f>
        <v/>
      </c>
      <c r="BJ692" s="10" t="n"/>
      <c r="BK692" s="10" t="n"/>
      <c r="BL692" s="10">
        <f>tbl_MTG_Set[[#This Row],[Collector Booster Sell Price CardMarket]]*tbl_MTG_Set[[#This Row],[Collector Booster Expected Market Value]]/tbl_MTG_Set[[#This Row],[Collector Boost Sealed Market Value]]</f>
        <v/>
      </c>
      <c r="BM6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2" s="10">
        <f>tbl_MTG_Set[[#This Row],[Collector Singles CardMarket Profit]]/tbl_MTG_Set[[#This Row],[Collector Booster Cost]]</f>
        <v/>
      </c>
      <c r="BO692" s="10">
        <f>tbl_MTG_Set[[#This Row],[Collector Singles CardMarket Profit]]&gt;0</f>
        <v/>
      </c>
      <c r="BP6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3">
      <c r="A693" t="n">
        <v>691</v>
      </c>
      <c r="B693" t="inlineStr">
        <is>
          <t>Return to Ravnica Tokens TRTR</t>
        </is>
      </c>
      <c r="C693" t="n">
        <v>12</v>
      </c>
      <c r="D693" s="3" t="n">
        <v>41187</v>
      </c>
      <c r="F693" t="inlineStr">
        <is>
          <t>en es fr de it pt ja ko ru 汉语 漢語</t>
        </is>
      </c>
      <c r="G693" t="n">
        <v>1328</v>
      </c>
      <c r="H693">
        <f>MONTH(NOW())+12*YEAR(NOW())-MONTH(tbl_MTG_Set[[#This Row],[Released On]])-12*YEAR(tbl_MTG_Set[[#This Row],[Released On]])</f>
        <v/>
      </c>
      <c r="I693">
        <f>_xlfn.XLOOKUP(tbl_MTG_Set[[#This Row],[Type Name]], tbl_MTG_Set_Type[Set Type], tbl_MTG_Set_Type[Index], "(Set Type not found)")</f>
        <v/>
      </c>
      <c r="J693">
        <f>_xlfn.XLOOKUP(tbl_MTG_Set[[#This Row],[Type Name]], tbl_MTG_Set_Type[Set Type], tbl_MTG_Set_Type[Buy Window Month Start], "(Set Type not found)")</f>
        <v/>
      </c>
      <c r="K693" s="3">
        <f>tbl_MTG_Set[[#This Row],[Released On]]+tbl_MTG_Set[[#This Row],[Buy Window Month Start]]*365.25/12</f>
        <v/>
      </c>
      <c r="L693">
        <f>_xlfn.XLOOKUP(tbl_MTG_Set[[#This Row],[Type Name]], tbl_MTG_Set_Type[Set Type], tbl_MTG_Set_Type[Buy Window Month End], "(Set Type not found)", 0, 1)</f>
        <v/>
      </c>
      <c r="M693" s="3">
        <f>tbl_MTG_Set[[#This Row],[Released On]]+tbl_MTG_Set[[#This Row],[Buy Window Month End]]*365.25/12</f>
        <v/>
      </c>
      <c r="N693" s="3">
        <f>AND(NOW()&gt;=tbl_MTG_Set[[#This Row],[Buy Window Start]], NOW()&lt;=tbl_MTG_Set[[#This Row],[Buy Window End]])</f>
        <v/>
      </c>
      <c r="O693">
        <f>_xlfn.XLOOKUP(tbl_MTG_Set[[#This Row],[Type Name]], tbl_MTG_Set_Type[Set Type], tbl_MTG_Set_Type[Heavy Printing Window Month Start], "(Set Type not found)", 0, 1)</f>
        <v/>
      </c>
      <c r="P693" s="3">
        <f>tbl_MTG_Set[[#This Row],[Released On]]+tbl_MTG_Set[[#This Row],[Heavy Printing Window Month Start]]*365.25/12</f>
        <v/>
      </c>
      <c r="Q693">
        <f>_xlfn.XLOOKUP(tbl_MTG_Set[[#This Row],[Type Name]], tbl_MTG_Set_Type[Set Type], tbl_MTG_Set_Type[Heavy Printing Window Month End], "(Set Type not found)", 0, 1)</f>
        <v/>
      </c>
      <c r="R693" s="3">
        <f>tbl_MTG_Set[[#This Row],[Released On]]+tbl_MTG_Set[[#This Row],[Heavy Printing Window Month End]]*365.25/12</f>
        <v/>
      </c>
      <c r="S693" s="3">
        <f>AND(NOW()&gt;=tbl_MTG_Set[[#This Row],[Heavy Printing Window Start]], NOW()&lt;=tbl_MTG_Set[[#This Row],[Heavy Printing Window End]])</f>
        <v/>
      </c>
      <c r="T693">
        <f>_xlfn.XLOOKUP(tbl_MTG_Set[[#This Row],[Type Name]], tbl_MTG_Set_Type[Set Type], tbl_MTG_Set_Type[Sell Window Month Start], "(Set Type not found)", 0, 1)</f>
        <v/>
      </c>
      <c r="U693" s="3">
        <f>tbl_MTG_Set[[#This Row],[Released On]]+tbl_MTG_Set[[#This Row],[Sell Window Month Start]]*365.25/12</f>
        <v/>
      </c>
      <c r="V693">
        <f>_xlfn.XLOOKUP(tbl_MTG_Set[[#This Row],[Type Name]], tbl_MTG_Set_Type[Set Type], tbl_MTG_Set_Type[Sell Window Month End], "(Set Type not found)", 0, 1)</f>
        <v/>
      </c>
      <c r="W693" s="3">
        <f>tbl_MTG_Set[[#This Row],[Released On]]+tbl_MTG_Set[[#This Row],[Sell Window Month End]]*365.25/12</f>
        <v/>
      </c>
      <c r="X693" s="3">
        <f>AND(NOW()&gt;=tbl_MTG_Set[[#This Row],[Sell Window Start]], NOW()&lt;=tbl_MTG_Set[[#This Row],[Sell Window End]])</f>
        <v/>
      </c>
      <c r="AG693" s="10" t="n"/>
      <c r="AH693" s="10" t="n"/>
      <c r="AM693" s="10">
        <f t="array" ref="AM6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3" s="10">
        <f t="array" ref="AN6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3" s="4">
        <f>_xlfn.XLOOKUP(tbl_MTG_Set[[#This Row],[Play Booster Box Product Id]], tbl_Product[Product Id], tbl_Product[Pack Size])</f>
        <v/>
      </c>
      <c r="AP693" s="10">
        <f>(tbl_MTG_Set[[#This Row],[Play Booster Box Cost]]+v_Item_Shipping_Cost_In)/tbl_MTG_Set[[#This Row],[Play Booster Box Size]]</f>
        <v/>
      </c>
      <c r="AQ693" s="10">
        <f t="array" ref="AQ6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3" s="10" t="n"/>
      <c r="AS693" s="10" t="n"/>
      <c r="AT693" s="17">
        <f>tbl_MTG_Set[[#This Row],[Play Booster CardMarket Profit]]/tbl_MTG_Set[[#This Row],[Play Booster Cost]]</f>
        <v/>
      </c>
      <c r="AU693" s="10">
        <f>_xlfn.XLOOKUP(tbl_MTG_Set[[#This Row],[Collector Booster Box Product Id]], tbl_Product[Product Id], tbl_Product[Min Cost])</f>
        <v/>
      </c>
      <c r="AV693" s="10">
        <f>_xlfn.XLOOKUP(tbl_MTG_Set[[#This Row],[Collector Booster Box Product Id]], tbl_Product[Product Id], tbl_Product[Best Source])</f>
        <v/>
      </c>
      <c r="AW693" s="4">
        <f>_xlfn.XLOOKUP(tbl_MTG_Set[[#This Row],[Collector Booster Box Product Id]], tbl_Product[Product Id], tbl_Product[Pack Size])</f>
        <v/>
      </c>
      <c r="AX693" s="10">
        <f>(tbl_MTG_Set[[#This Row],[Collector Booster Box Cost]] + v_Item_Shipping_Cost_In) / tbl_MTG_Set[[#This Row],[Collector Booster Box Size]]</f>
        <v/>
      </c>
      <c r="AY693" s="10">
        <f t="array" ref="AY6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3" s="10" t="n"/>
      <c r="BA6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3" s="17">
        <f>tbl_MTG_Set[[#This Row],[Collector Booster CardMarket Profit]]/tbl_MTG_Set[[#This Row],[Collector Booster Cost]]</f>
        <v/>
      </c>
      <c r="BC693" s="10" t="n"/>
      <c r="BF693" s="10">
        <f>tbl_MTG_Set[[#This Row],[Play Booster Sell Price CardMarket]]*tbl_MTG_Set[[#This Row],[Play Booster Expected Market Value]]/tbl_MTG_Set[[#This Row],[Play Boost Sealed Market Value]]</f>
        <v/>
      </c>
      <c r="BG6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3" s="10">
        <f>tbl_MTG_Set[[#This Row],[Play Singles CardMarket Profit]]/tbl_MTG_Set[[#This Row],[Play Booster Cost]]</f>
        <v/>
      </c>
      <c r="BI693" s="10">
        <f>tbl_MTG_Set[[#This Row],[Play Singles CardMarket Profit]]&gt;0</f>
        <v/>
      </c>
      <c r="BJ693" s="10" t="n"/>
      <c r="BK693" s="10" t="n"/>
      <c r="BL693" s="10">
        <f>tbl_MTG_Set[[#This Row],[Collector Booster Sell Price CardMarket]]*tbl_MTG_Set[[#This Row],[Collector Booster Expected Market Value]]/tbl_MTG_Set[[#This Row],[Collector Boost Sealed Market Value]]</f>
        <v/>
      </c>
      <c r="BM6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3" s="10">
        <f>tbl_MTG_Set[[#This Row],[Collector Singles CardMarket Profit]]/tbl_MTG_Set[[#This Row],[Collector Booster Cost]]</f>
        <v/>
      </c>
      <c r="BO693" s="10">
        <f>tbl_MTG_Set[[#This Row],[Collector Singles CardMarket Profit]]&gt;0</f>
        <v/>
      </c>
      <c r="BP6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4">
      <c r="A694" t="n">
        <v>692</v>
      </c>
      <c r="B694" t="inlineStr">
        <is>
          <t>Duel Decks: Izzet vs. Golgari DDJ</t>
        </is>
      </c>
      <c r="C694" t="n">
        <v>90</v>
      </c>
      <c r="D694" s="3" t="n">
        <v>41159</v>
      </c>
      <c r="F694" t="inlineStr">
        <is>
          <t>en es fr de it pt ja ko ru 汉语 漢語</t>
        </is>
      </c>
      <c r="G694" t="n">
        <v>1330</v>
      </c>
      <c r="H694">
        <f>MONTH(NOW())+12*YEAR(NOW())-MONTH(tbl_MTG_Set[[#This Row],[Released On]])-12*YEAR(tbl_MTG_Set[[#This Row],[Released On]])</f>
        <v/>
      </c>
      <c r="I694">
        <f>_xlfn.XLOOKUP(tbl_MTG_Set[[#This Row],[Type Name]], tbl_MTG_Set_Type[Set Type], tbl_MTG_Set_Type[Index], "(Set Type not found)")</f>
        <v/>
      </c>
      <c r="J694">
        <f>_xlfn.XLOOKUP(tbl_MTG_Set[[#This Row],[Type Name]], tbl_MTG_Set_Type[Set Type], tbl_MTG_Set_Type[Buy Window Month Start], "(Set Type not found)")</f>
        <v/>
      </c>
      <c r="K694" s="3">
        <f>tbl_MTG_Set[[#This Row],[Released On]]+tbl_MTG_Set[[#This Row],[Buy Window Month Start]]*365.25/12</f>
        <v/>
      </c>
      <c r="L694">
        <f>_xlfn.XLOOKUP(tbl_MTG_Set[[#This Row],[Type Name]], tbl_MTG_Set_Type[Set Type], tbl_MTG_Set_Type[Buy Window Month End], "(Set Type not found)", 0, 1)</f>
        <v/>
      </c>
      <c r="M694" s="3">
        <f>tbl_MTG_Set[[#This Row],[Released On]]+tbl_MTG_Set[[#This Row],[Buy Window Month End]]*365.25/12</f>
        <v/>
      </c>
      <c r="N694" s="3">
        <f>AND(NOW()&gt;=tbl_MTG_Set[[#This Row],[Buy Window Start]], NOW()&lt;=tbl_MTG_Set[[#This Row],[Buy Window End]])</f>
        <v/>
      </c>
      <c r="O694">
        <f>_xlfn.XLOOKUP(tbl_MTG_Set[[#This Row],[Type Name]], tbl_MTG_Set_Type[Set Type], tbl_MTG_Set_Type[Heavy Printing Window Month Start], "(Set Type not found)", 0, 1)</f>
        <v/>
      </c>
      <c r="P694" s="3">
        <f>tbl_MTG_Set[[#This Row],[Released On]]+tbl_MTG_Set[[#This Row],[Heavy Printing Window Month Start]]*365.25/12</f>
        <v/>
      </c>
      <c r="Q694">
        <f>_xlfn.XLOOKUP(tbl_MTG_Set[[#This Row],[Type Name]], tbl_MTG_Set_Type[Set Type], tbl_MTG_Set_Type[Heavy Printing Window Month End], "(Set Type not found)", 0, 1)</f>
        <v/>
      </c>
      <c r="R694" s="3">
        <f>tbl_MTG_Set[[#This Row],[Released On]]+tbl_MTG_Set[[#This Row],[Heavy Printing Window Month End]]*365.25/12</f>
        <v/>
      </c>
      <c r="S694" s="3">
        <f>AND(NOW()&gt;=tbl_MTG_Set[[#This Row],[Heavy Printing Window Start]], NOW()&lt;=tbl_MTG_Set[[#This Row],[Heavy Printing Window End]])</f>
        <v/>
      </c>
      <c r="T694">
        <f>_xlfn.XLOOKUP(tbl_MTG_Set[[#This Row],[Type Name]], tbl_MTG_Set_Type[Set Type], tbl_MTG_Set_Type[Sell Window Month Start], "(Set Type not found)", 0, 1)</f>
        <v/>
      </c>
      <c r="U694" s="3">
        <f>tbl_MTG_Set[[#This Row],[Released On]]+tbl_MTG_Set[[#This Row],[Sell Window Month Start]]*365.25/12</f>
        <v/>
      </c>
      <c r="V694">
        <f>_xlfn.XLOOKUP(tbl_MTG_Set[[#This Row],[Type Name]], tbl_MTG_Set_Type[Set Type], tbl_MTG_Set_Type[Sell Window Month End], "(Set Type not found)", 0, 1)</f>
        <v/>
      </c>
      <c r="W694" s="3">
        <f>tbl_MTG_Set[[#This Row],[Released On]]+tbl_MTG_Set[[#This Row],[Sell Window Month End]]*365.25/12</f>
        <v/>
      </c>
      <c r="X694" s="3">
        <f>AND(NOW()&gt;=tbl_MTG_Set[[#This Row],[Sell Window Start]], NOW()&lt;=tbl_MTG_Set[[#This Row],[Sell Window End]])</f>
        <v/>
      </c>
      <c r="AG694" s="10" t="n"/>
      <c r="AH694" s="10" t="n"/>
      <c r="AM694" s="10">
        <f t="array" ref="AM6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4" s="10">
        <f t="array" ref="AN6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4" s="4">
        <f>_xlfn.XLOOKUP(tbl_MTG_Set[[#This Row],[Play Booster Box Product Id]], tbl_Product[Product Id], tbl_Product[Pack Size])</f>
        <v/>
      </c>
      <c r="AP694" s="10">
        <f>(tbl_MTG_Set[[#This Row],[Play Booster Box Cost]]+v_Item_Shipping_Cost_In)/tbl_MTG_Set[[#This Row],[Play Booster Box Size]]</f>
        <v/>
      </c>
      <c r="AQ694" s="10">
        <f t="array" ref="AQ6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4" s="10" t="n"/>
      <c r="AS694" s="10" t="n"/>
      <c r="AT694" s="17">
        <f>tbl_MTG_Set[[#This Row],[Play Booster CardMarket Profit]]/tbl_MTG_Set[[#This Row],[Play Booster Cost]]</f>
        <v/>
      </c>
      <c r="AU694" s="10">
        <f>_xlfn.XLOOKUP(tbl_MTG_Set[[#This Row],[Collector Booster Box Product Id]], tbl_Product[Product Id], tbl_Product[Min Cost])</f>
        <v/>
      </c>
      <c r="AV694" s="10">
        <f>_xlfn.XLOOKUP(tbl_MTG_Set[[#This Row],[Collector Booster Box Product Id]], tbl_Product[Product Id], tbl_Product[Best Source])</f>
        <v/>
      </c>
      <c r="AW694" s="4">
        <f>_xlfn.XLOOKUP(tbl_MTG_Set[[#This Row],[Collector Booster Box Product Id]], tbl_Product[Product Id], tbl_Product[Pack Size])</f>
        <v/>
      </c>
      <c r="AX694" s="10">
        <f>(tbl_MTG_Set[[#This Row],[Collector Booster Box Cost]] + v_Item_Shipping_Cost_In) / tbl_MTG_Set[[#This Row],[Collector Booster Box Size]]</f>
        <v/>
      </c>
      <c r="AY694" s="10">
        <f t="array" ref="AY6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4" s="10" t="n"/>
      <c r="BA6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4" s="17">
        <f>tbl_MTG_Set[[#This Row],[Collector Booster CardMarket Profit]]/tbl_MTG_Set[[#This Row],[Collector Booster Cost]]</f>
        <v/>
      </c>
      <c r="BC694" s="10" t="n"/>
      <c r="BF694" s="10">
        <f>tbl_MTG_Set[[#This Row],[Play Booster Sell Price CardMarket]]*tbl_MTG_Set[[#This Row],[Play Booster Expected Market Value]]/tbl_MTG_Set[[#This Row],[Play Boost Sealed Market Value]]</f>
        <v/>
      </c>
      <c r="BG6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4" s="10">
        <f>tbl_MTG_Set[[#This Row],[Play Singles CardMarket Profit]]/tbl_MTG_Set[[#This Row],[Play Booster Cost]]</f>
        <v/>
      </c>
      <c r="BI694" s="10">
        <f>tbl_MTG_Set[[#This Row],[Play Singles CardMarket Profit]]&gt;0</f>
        <v/>
      </c>
      <c r="BJ694" s="10" t="n"/>
      <c r="BK694" s="10" t="n"/>
      <c r="BL694" s="10">
        <f>tbl_MTG_Set[[#This Row],[Collector Booster Sell Price CardMarket]]*tbl_MTG_Set[[#This Row],[Collector Booster Expected Market Value]]/tbl_MTG_Set[[#This Row],[Collector Boost Sealed Market Value]]</f>
        <v/>
      </c>
      <c r="BM6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4" s="10">
        <f>tbl_MTG_Set[[#This Row],[Collector Singles CardMarket Profit]]/tbl_MTG_Set[[#This Row],[Collector Booster Cost]]</f>
        <v/>
      </c>
      <c r="BO694" s="10">
        <f>tbl_MTG_Set[[#This Row],[Collector Singles CardMarket Profit]]&gt;0</f>
        <v/>
      </c>
      <c r="BP6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5">
      <c r="A695" t="n">
        <v>693</v>
      </c>
      <c r="B695" t="inlineStr">
        <is>
          <t>Duel Decks: Izzet vs. Golgari Tokens TDDJ</t>
        </is>
      </c>
      <c r="C695" t="n">
        <v>1</v>
      </c>
      <c r="D695" s="3" t="n">
        <v>41159</v>
      </c>
      <c r="F695" t="inlineStr">
        <is>
          <t>en es fr de it pt ja ko ru 汉语 漢語</t>
        </is>
      </c>
      <c r="G695" t="n">
        <v>1332</v>
      </c>
      <c r="H695">
        <f>MONTH(NOW())+12*YEAR(NOW())-MONTH(tbl_MTG_Set[[#This Row],[Released On]])-12*YEAR(tbl_MTG_Set[[#This Row],[Released On]])</f>
        <v/>
      </c>
      <c r="I695">
        <f>_xlfn.XLOOKUP(tbl_MTG_Set[[#This Row],[Type Name]], tbl_MTG_Set_Type[Set Type], tbl_MTG_Set_Type[Index], "(Set Type not found)")</f>
        <v/>
      </c>
      <c r="J695">
        <f>_xlfn.XLOOKUP(tbl_MTG_Set[[#This Row],[Type Name]], tbl_MTG_Set_Type[Set Type], tbl_MTG_Set_Type[Buy Window Month Start], "(Set Type not found)")</f>
        <v/>
      </c>
      <c r="K695" s="3">
        <f>tbl_MTG_Set[[#This Row],[Released On]]+tbl_MTG_Set[[#This Row],[Buy Window Month Start]]*365.25/12</f>
        <v/>
      </c>
      <c r="L695">
        <f>_xlfn.XLOOKUP(tbl_MTG_Set[[#This Row],[Type Name]], tbl_MTG_Set_Type[Set Type], tbl_MTG_Set_Type[Buy Window Month End], "(Set Type not found)", 0, 1)</f>
        <v/>
      </c>
      <c r="M695" s="3">
        <f>tbl_MTG_Set[[#This Row],[Released On]]+tbl_MTG_Set[[#This Row],[Buy Window Month End]]*365.25/12</f>
        <v/>
      </c>
      <c r="N695" s="3">
        <f>AND(NOW()&gt;=tbl_MTG_Set[[#This Row],[Buy Window Start]], NOW()&lt;=tbl_MTG_Set[[#This Row],[Buy Window End]])</f>
        <v/>
      </c>
      <c r="O695">
        <f>_xlfn.XLOOKUP(tbl_MTG_Set[[#This Row],[Type Name]], tbl_MTG_Set_Type[Set Type], tbl_MTG_Set_Type[Heavy Printing Window Month Start], "(Set Type not found)", 0, 1)</f>
        <v/>
      </c>
      <c r="P695" s="3">
        <f>tbl_MTG_Set[[#This Row],[Released On]]+tbl_MTG_Set[[#This Row],[Heavy Printing Window Month Start]]*365.25/12</f>
        <v/>
      </c>
      <c r="Q695">
        <f>_xlfn.XLOOKUP(tbl_MTG_Set[[#This Row],[Type Name]], tbl_MTG_Set_Type[Set Type], tbl_MTG_Set_Type[Heavy Printing Window Month End], "(Set Type not found)", 0, 1)</f>
        <v/>
      </c>
      <c r="R695" s="3">
        <f>tbl_MTG_Set[[#This Row],[Released On]]+tbl_MTG_Set[[#This Row],[Heavy Printing Window Month End]]*365.25/12</f>
        <v/>
      </c>
      <c r="S695" s="3">
        <f>AND(NOW()&gt;=tbl_MTG_Set[[#This Row],[Heavy Printing Window Start]], NOW()&lt;=tbl_MTG_Set[[#This Row],[Heavy Printing Window End]])</f>
        <v/>
      </c>
      <c r="T695">
        <f>_xlfn.XLOOKUP(tbl_MTG_Set[[#This Row],[Type Name]], tbl_MTG_Set_Type[Set Type], tbl_MTG_Set_Type[Sell Window Month Start], "(Set Type not found)", 0, 1)</f>
        <v/>
      </c>
      <c r="U695" s="3">
        <f>tbl_MTG_Set[[#This Row],[Released On]]+tbl_MTG_Set[[#This Row],[Sell Window Month Start]]*365.25/12</f>
        <v/>
      </c>
      <c r="V695">
        <f>_xlfn.XLOOKUP(tbl_MTG_Set[[#This Row],[Type Name]], tbl_MTG_Set_Type[Set Type], tbl_MTG_Set_Type[Sell Window Month End], "(Set Type not found)", 0, 1)</f>
        <v/>
      </c>
      <c r="W695" s="3">
        <f>tbl_MTG_Set[[#This Row],[Released On]]+tbl_MTG_Set[[#This Row],[Sell Window Month End]]*365.25/12</f>
        <v/>
      </c>
      <c r="X695" s="3">
        <f>AND(NOW()&gt;=tbl_MTG_Set[[#This Row],[Sell Window Start]], NOW()&lt;=tbl_MTG_Set[[#This Row],[Sell Window End]])</f>
        <v/>
      </c>
      <c r="AG695" s="10" t="n"/>
      <c r="AH695" s="10" t="n"/>
      <c r="AM695" s="10">
        <f t="array" ref="AM6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5" s="10">
        <f t="array" ref="AN6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5" s="4">
        <f>_xlfn.XLOOKUP(tbl_MTG_Set[[#This Row],[Play Booster Box Product Id]], tbl_Product[Product Id], tbl_Product[Pack Size])</f>
        <v/>
      </c>
      <c r="AP695" s="10">
        <f>(tbl_MTG_Set[[#This Row],[Play Booster Box Cost]]+v_Item_Shipping_Cost_In)/tbl_MTG_Set[[#This Row],[Play Booster Box Size]]</f>
        <v/>
      </c>
      <c r="AQ695" s="10">
        <f t="array" ref="AQ6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5" s="10" t="n"/>
      <c r="AS695" s="10" t="n"/>
      <c r="AT695" s="17">
        <f>tbl_MTG_Set[[#This Row],[Play Booster CardMarket Profit]]/tbl_MTG_Set[[#This Row],[Play Booster Cost]]</f>
        <v/>
      </c>
      <c r="AU695" s="10">
        <f>_xlfn.XLOOKUP(tbl_MTG_Set[[#This Row],[Collector Booster Box Product Id]], tbl_Product[Product Id], tbl_Product[Min Cost])</f>
        <v/>
      </c>
      <c r="AV695" s="10">
        <f>_xlfn.XLOOKUP(tbl_MTG_Set[[#This Row],[Collector Booster Box Product Id]], tbl_Product[Product Id], tbl_Product[Best Source])</f>
        <v/>
      </c>
      <c r="AW695" s="4">
        <f>_xlfn.XLOOKUP(tbl_MTG_Set[[#This Row],[Collector Booster Box Product Id]], tbl_Product[Product Id], tbl_Product[Pack Size])</f>
        <v/>
      </c>
      <c r="AX695" s="10">
        <f>(tbl_MTG_Set[[#This Row],[Collector Booster Box Cost]] + v_Item_Shipping_Cost_In) / tbl_MTG_Set[[#This Row],[Collector Booster Box Size]]</f>
        <v/>
      </c>
      <c r="AY695" s="10">
        <f t="array" ref="AY6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5" s="10" t="n"/>
      <c r="BA6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5" s="17">
        <f>tbl_MTG_Set[[#This Row],[Collector Booster CardMarket Profit]]/tbl_MTG_Set[[#This Row],[Collector Booster Cost]]</f>
        <v/>
      </c>
      <c r="BC695" s="10" t="n"/>
      <c r="BF695" s="10">
        <f>tbl_MTG_Set[[#This Row],[Play Booster Sell Price CardMarket]]*tbl_MTG_Set[[#This Row],[Play Booster Expected Market Value]]/tbl_MTG_Set[[#This Row],[Play Boost Sealed Market Value]]</f>
        <v/>
      </c>
      <c r="BG6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5" s="10">
        <f>tbl_MTG_Set[[#This Row],[Play Singles CardMarket Profit]]/tbl_MTG_Set[[#This Row],[Play Booster Cost]]</f>
        <v/>
      </c>
      <c r="BI695" s="10">
        <f>tbl_MTG_Set[[#This Row],[Play Singles CardMarket Profit]]&gt;0</f>
        <v/>
      </c>
      <c r="BJ695" s="10" t="n"/>
      <c r="BK695" s="10" t="n"/>
      <c r="BL695" s="10">
        <f>tbl_MTG_Set[[#This Row],[Collector Booster Sell Price CardMarket]]*tbl_MTG_Set[[#This Row],[Collector Booster Expected Market Value]]/tbl_MTG_Set[[#This Row],[Collector Boost Sealed Market Value]]</f>
        <v/>
      </c>
      <c r="BM6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5" s="10">
        <f>tbl_MTG_Set[[#This Row],[Collector Singles CardMarket Profit]]/tbl_MTG_Set[[#This Row],[Collector Booster Cost]]</f>
        <v/>
      </c>
      <c r="BO695" s="10">
        <f>tbl_MTG_Set[[#This Row],[Collector Singles CardMarket Profit]]&gt;0</f>
        <v/>
      </c>
      <c r="BP6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6">
      <c r="A696" t="n">
        <v>694</v>
      </c>
      <c r="B696" t="inlineStr">
        <is>
          <t>From the Vault: Realms V12</t>
        </is>
      </c>
      <c r="C696" t="n">
        <v>15</v>
      </c>
      <c r="D696" s="3" t="n">
        <v>41152</v>
      </c>
      <c r="F696" t="inlineStr">
        <is>
          <t>en es fr de it pt ja ko ru 汉语 漢語</t>
        </is>
      </c>
      <c r="G696" t="n">
        <v>1334</v>
      </c>
      <c r="H696">
        <f>MONTH(NOW())+12*YEAR(NOW())-MONTH(tbl_MTG_Set[[#This Row],[Released On]])-12*YEAR(tbl_MTG_Set[[#This Row],[Released On]])</f>
        <v/>
      </c>
      <c r="I696">
        <f>_xlfn.XLOOKUP(tbl_MTG_Set[[#This Row],[Type Name]], tbl_MTG_Set_Type[Set Type], tbl_MTG_Set_Type[Index], "(Set Type not found)")</f>
        <v/>
      </c>
      <c r="J696">
        <f>_xlfn.XLOOKUP(tbl_MTG_Set[[#This Row],[Type Name]], tbl_MTG_Set_Type[Set Type], tbl_MTG_Set_Type[Buy Window Month Start], "(Set Type not found)")</f>
        <v/>
      </c>
      <c r="K696" s="3">
        <f>tbl_MTG_Set[[#This Row],[Released On]]+tbl_MTG_Set[[#This Row],[Buy Window Month Start]]*365.25/12</f>
        <v/>
      </c>
      <c r="L696">
        <f>_xlfn.XLOOKUP(tbl_MTG_Set[[#This Row],[Type Name]], tbl_MTG_Set_Type[Set Type], tbl_MTG_Set_Type[Buy Window Month End], "(Set Type not found)", 0, 1)</f>
        <v/>
      </c>
      <c r="M696" s="3">
        <f>tbl_MTG_Set[[#This Row],[Released On]]+tbl_MTG_Set[[#This Row],[Buy Window Month End]]*365.25/12</f>
        <v/>
      </c>
      <c r="N696" s="3">
        <f>AND(NOW()&gt;=tbl_MTG_Set[[#This Row],[Buy Window Start]], NOW()&lt;=tbl_MTG_Set[[#This Row],[Buy Window End]])</f>
        <v/>
      </c>
      <c r="O696">
        <f>_xlfn.XLOOKUP(tbl_MTG_Set[[#This Row],[Type Name]], tbl_MTG_Set_Type[Set Type], tbl_MTG_Set_Type[Heavy Printing Window Month Start], "(Set Type not found)", 0, 1)</f>
        <v/>
      </c>
      <c r="P696" s="3">
        <f>tbl_MTG_Set[[#This Row],[Released On]]+tbl_MTG_Set[[#This Row],[Heavy Printing Window Month Start]]*365.25/12</f>
        <v/>
      </c>
      <c r="Q696">
        <f>_xlfn.XLOOKUP(tbl_MTG_Set[[#This Row],[Type Name]], tbl_MTG_Set_Type[Set Type], tbl_MTG_Set_Type[Heavy Printing Window Month End], "(Set Type not found)", 0, 1)</f>
        <v/>
      </c>
      <c r="R696" s="3">
        <f>tbl_MTG_Set[[#This Row],[Released On]]+tbl_MTG_Set[[#This Row],[Heavy Printing Window Month End]]*365.25/12</f>
        <v/>
      </c>
      <c r="S696" s="3">
        <f>AND(NOW()&gt;=tbl_MTG_Set[[#This Row],[Heavy Printing Window Start]], NOW()&lt;=tbl_MTG_Set[[#This Row],[Heavy Printing Window End]])</f>
        <v/>
      </c>
      <c r="T696">
        <f>_xlfn.XLOOKUP(tbl_MTG_Set[[#This Row],[Type Name]], tbl_MTG_Set_Type[Set Type], tbl_MTG_Set_Type[Sell Window Month Start], "(Set Type not found)", 0, 1)</f>
        <v/>
      </c>
      <c r="U696" s="3">
        <f>tbl_MTG_Set[[#This Row],[Released On]]+tbl_MTG_Set[[#This Row],[Sell Window Month Start]]*365.25/12</f>
        <v/>
      </c>
      <c r="V696">
        <f>_xlfn.XLOOKUP(tbl_MTG_Set[[#This Row],[Type Name]], tbl_MTG_Set_Type[Set Type], tbl_MTG_Set_Type[Sell Window Month End], "(Set Type not found)", 0, 1)</f>
        <v/>
      </c>
      <c r="W696" s="3">
        <f>tbl_MTG_Set[[#This Row],[Released On]]+tbl_MTG_Set[[#This Row],[Sell Window Month End]]*365.25/12</f>
        <v/>
      </c>
      <c r="X696" s="3">
        <f>AND(NOW()&gt;=tbl_MTG_Set[[#This Row],[Sell Window Start]], NOW()&lt;=tbl_MTG_Set[[#This Row],[Sell Window End]])</f>
        <v/>
      </c>
      <c r="AG696" s="10" t="n"/>
      <c r="AH696" s="10" t="n"/>
      <c r="AM696" s="10">
        <f t="array" ref="AM6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6" s="10">
        <f t="array" ref="AN6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6" s="4">
        <f>_xlfn.XLOOKUP(tbl_MTG_Set[[#This Row],[Play Booster Box Product Id]], tbl_Product[Product Id], tbl_Product[Pack Size])</f>
        <v/>
      </c>
      <c r="AP696" s="10">
        <f>(tbl_MTG_Set[[#This Row],[Play Booster Box Cost]]+v_Item_Shipping_Cost_In)/tbl_MTG_Set[[#This Row],[Play Booster Box Size]]</f>
        <v/>
      </c>
      <c r="AQ696" s="10">
        <f t="array" ref="AQ6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6" s="10" t="n"/>
      <c r="AS696" s="10" t="n"/>
      <c r="AT696" s="17">
        <f>tbl_MTG_Set[[#This Row],[Play Booster CardMarket Profit]]/tbl_MTG_Set[[#This Row],[Play Booster Cost]]</f>
        <v/>
      </c>
      <c r="AU696" s="10">
        <f>_xlfn.XLOOKUP(tbl_MTG_Set[[#This Row],[Collector Booster Box Product Id]], tbl_Product[Product Id], tbl_Product[Min Cost])</f>
        <v/>
      </c>
      <c r="AV696" s="10">
        <f>_xlfn.XLOOKUP(tbl_MTG_Set[[#This Row],[Collector Booster Box Product Id]], tbl_Product[Product Id], tbl_Product[Best Source])</f>
        <v/>
      </c>
      <c r="AW696" s="4">
        <f>_xlfn.XLOOKUP(tbl_MTG_Set[[#This Row],[Collector Booster Box Product Id]], tbl_Product[Product Id], tbl_Product[Pack Size])</f>
        <v/>
      </c>
      <c r="AX696" s="10">
        <f>(tbl_MTG_Set[[#This Row],[Collector Booster Box Cost]] + v_Item_Shipping_Cost_In) / tbl_MTG_Set[[#This Row],[Collector Booster Box Size]]</f>
        <v/>
      </c>
      <c r="AY696" s="10">
        <f t="array" ref="AY6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6" s="10" t="n"/>
      <c r="BA6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6" s="17">
        <f>tbl_MTG_Set[[#This Row],[Collector Booster CardMarket Profit]]/tbl_MTG_Set[[#This Row],[Collector Booster Cost]]</f>
        <v/>
      </c>
      <c r="BC696" s="10" t="n"/>
      <c r="BF696" s="10">
        <f>tbl_MTG_Set[[#This Row],[Play Booster Sell Price CardMarket]]*tbl_MTG_Set[[#This Row],[Play Booster Expected Market Value]]/tbl_MTG_Set[[#This Row],[Play Boost Sealed Market Value]]</f>
        <v/>
      </c>
      <c r="BG6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6" s="10">
        <f>tbl_MTG_Set[[#This Row],[Play Singles CardMarket Profit]]/tbl_MTG_Set[[#This Row],[Play Booster Cost]]</f>
        <v/>
      </c>
      <c r="BI696" s="10">
        <f>tbl_MTG_Set[[#This Row],[Play Singles CardMarket Profit]]&gt;0</f>
        <v/>
      </c>
      <c r="BJ696" s="10" t="n"/>
      <c r="BK696" s="10" t="n"/>
      <c r="BL696" s="10">
        <f>tbl_MTG_Set[[#This Row],[Collector Booster Sell Price CardMarket]]*tbl_MTG_Set[[#This Row],[Collector Booster Expected Market Value]]/tbl_MTG_Set[[#This Row],[Collector Boost Sealed Market Value]]</f>
        <v/>
      </c>
      <c r="BM6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6" s="10">
        <f>tbl_MTG_Set[[#This Row],[Collector Singles CardMarket Profit]]/tbl_MTG_Set[[#This Row],[Collector Booster Cost]]</f>
        <v/>
      </c>
      <c r="BO696" s="10">
        <f>tbl_MTG_Set[[#This Row],[Collector Singles CardMarket Profit]]&gt;0</f>
        <v/>
      </c>
      <c r="BP6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7">
      <c r="A697" t="n">
        <v>695</v>
      </c>
      <c r="B697" t="inlineStr">
        <is>
          <t>Magic 2013 M13</t>
        </is>
      </c>
      <c r="C697" t="n">
        <v>249</v>
      </c>
      <c r="D697" s="3" t="n">
        <v>41103</v>
      </c>
      <c r="F697" t="inlineStr">
        <is>
          <t>en es fr de it pt ja ko ru 汉语 漢語</t>
        </is>
      </c>
      <c r="G697" t="n">
        <v>1336</v>
      </c>
      <c r="H697">
        <f>MONTH(NOW())+12*YEAR(NOW())-MONTH(tbl_MTG_Set[[#This Row],[Released On]])-12*YEAR(tbl_MTG_Set[[#This Row],[Released On]])</f>
        <v/>
      </c>
      <c r="I697">
        <f>_xlfn.XLOOKUP(tbl_MTG_Set[[#This Row],[Type Name]], tbl_MTG_Set_Type[Set Type], tbl_MTG_Set_Type[Index], "(Set Type not found)")</f>
        <v/>
      </c>
      <c r="J697">
        <f>_xlfn.XLOOKUP(tbl_MTG_Set[[#This Row],[Type Name]], tbl_MTG_Set_Type[Set Type], tbl_MTG_Set_Type[Buy Window Month Start], "(Set Type not found)")</f>
        <v/>
      </c>
      <c r="K697" s="3">
        <f>tbl_MTG_Set[[#This Row],[Released On]]+tbl_MTG_Set[[#This Row],[Buy Window Month Start]]*365.25/12</f>
        <v/>
      </c>
      <c r="L697">
        <f>_xlfn.XLOOKUP(tbl_MTG_Set[[#This Row],[Type Name]], tbl_MTG_Set_Type[Set Type], tbl_MTG_Set_Type[Buy Window Month End], "(Set Type not found)", 0, 1)</f>
        <v/>
      </c>
      <c r="M697" s="3">
        <f>tbl_MTG_Set[[#This Row],[Released On]]+tbl_MTG_Set[[#This Row],[Buy Window Month End]]*365.25/12</f>
        <v/>
      </c>
      <c r="N697" s="3">
        <f>AND(NOW()&gt;=tbl_MTG_Set[[#This Row],[Buy Window Start]], NOW()&lt;=tbl_MTG_Set[[#This Row],[Buy Window End]])</f>
        <v/>
      </c>
      <c r="O697">
        <f>_xlfn.XLOOKUP(tbl_MTG_Set[[#This Row],[Type Name]], tbl_MTG_Set_Type[Set Type], tbl_MTG_Set_Type[Heavy Printing Window Month Start], "(Set Type not found)", 0, 1)</f>
        <v/>
      </c>
      <c r="P697" s="3">
        <f>tbl_MTG_Set[[#This Row],[Released On]]+tbl_MTG_Set[[#This Row],[Heavy Printing Window Month Start]]*365.25/12</f>
        <v/>
      </c>
      <c r="Q697">
        <f>_xlfn.XLOOKUP(tbl_MTG_Set[[#This Row],[Type Name]], tbl_MTG_Set_Type[Set Type], tbl_MTG_Set_Type[Heavy Printing Window Month End], "(Set Type not found)", 0, 1)</f>
        <v/>
      </c>
      <c r="R697" s="3">
        <f>tbl_MTG_Set[[#This Row],[Released On]]+tbl_MTG_Set[[#This Row],[Heavy Printing Window Month End]]*365.25/12</f>
        <v/>
      </c>
      <c r="S697" s="3">
        <f>AND(NOW()&gt;=tbl_MTG_Set[[#This Row],[Heavy Printing Window Start]], NOW()&lt;=tbl_MTG_Set[[#This Row],[Heavy Printing Window End]])</f>
        <v/>
      </c>
      <c r="T697">
        <f>_xlfn.XLOOKUP(tbl_MTG_Set[[#This Row],[Type Name]], tbl_MTG_Set_Type[Set Type], tbl_MTG_Set_Type[Sell Window Month Start], "(Set Type not found)", 0, 1)</f>
        <v/>
      </c>
      <c r="U697" s="3">
        <f>tbl_MTG_Set[[#This Row],[Released On]]+tbl_MTG_Set[[#This Row],[Sell Window Month Start]]*365.25/12</f>
        <v/>
      </c>
      <c r="V697">
        <f>_xlfn.XLOOKUP(tbl_MTG_Set[[#This Row],[Type Name]], tbl_MTG_Set_Type[Set Type], tbl_MTG_Set_Type[Sell Window Month End], "(Set Type not found)", 0, 1)</f>
        <v/>
      </c>
      <c r="W697" s="3">
        <f>tbl_MTG_Set[[#This Row],[Released On]]+tbl_MTG_Set[[#This Row],[Sell Window Month End]]*365.25/12</f>
        <v/>
      </c>
      <c r="X697" s="3">
        <f>AND(NOW()&gt;=tbl_MTG_Set[[#This Row],[Sell Window Start]], NOW()&lt;=tbl_MTG_Set[[#This Row],[Sell Window End]])</f>
        <v/>
      </c>
      <c r="AG697" s="10" t="n"/>
      <c r="AH697" s="10" t="n"/>
      <c r="AM697" s="10">
        <f t="array" ref="AM6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7" s="10">
        <f t="array" ref="AN6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7" s="4">
        <f>_xlfn.XLOOKUP(tbl_MTG_Set[[#This Row],[Play Booster Box Product Id]], tbl_Product[Product Id], tbl_Product[Pack Size])</f>
        <v/>
      </c>
      <c r="AP697" s="10">
        <f>(tbl_MTG_Set[[#This Row],[Play Booster Box Cost]]+v_Item_Shipping_Cost_In)/tbl_MTG_Set[[#This Row],[Play Booster Box Size]]</f>
        <v/>
      </c>
      <c r="AQ697" s="10">
        <f t="array" ref="AQ6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7" s="10" t="n"/>
      <c r="AS697" s="10" t="n"/>
      <c r="AT697" s="17">
        <f>tbl_MTG_Set[[#This Row],[Play Booster CardMarket Profit]]/tbl_MTG_Set[[#This Row],[Play Booster Cost]]</f>
        <v/>
      </c>
      <c r="AU697" s="10">
        <f>_xlfn.XLOOKUP(tbl_MTG_Set[[#This Row],[Collector Booster Box Product Id]], tbl_Product[Product Id], tbl_Product[Min Cost])</f>
        <v/>
      </c>
      <c r="AV697" s="10">
        <f>_xlfn.XLOOKUP(tbl_MTG_Set[[#This Row],[Collector Booster Box Product Id]], tbl_Product[Product Id], tbl_Product[Best Source])</f>
        <v/>
      </c>
      <c r="AW697" s="4">
        <f>_xlfn.XLOOKUP(tbl_MTG_Set[[#This Row],[Collector Booster Box Product Id]], tbl_Product[Product Id], tbl_Product[Pack Size])</f>
        <v/>
      </c>
      <c r="AX697" s="10">
        <f>(tbl_MTG_Set[[#This Row],[Collector Booster Box Cost]] + v_Item_Shipping_Cost_In) / tbl_MTG_Set[[#This Row],[Collector Booster Box Size]]</f>
        <v/>
      </c>
      <c r="AY697" s="10">
        <f t="array" ref="AY6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7" s="10" t="n"/>
      <c r="BA6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7" s="17">
        <f>tbl_MTG_Set[[#This Row],[Collector Booster CardMarket Profit]]/tbl_MTG_Set[[#This Row],[Collector Booster Cost]]</f>
        <v/>
      </c>
      <c r="BC697" s="10" t="n"/>
      <c r="BF697" s="10">
        <f>tbl_MTG_Set[[#This Row],[Play Booster Sell Price CardMarket]]*tbl_MTG_Set[[#This Row],[Play Booster Expected Market Value]]/tbl_MTG_Set[[#This Row],[Play Boost Sealed Market Value]]</f>
        <v/>
      </c>
      <c r="BG6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7" s="10">
        <f>tbl_MTG_Set[[#This Row],[Play Singles CardMarket Profit]]/tbl_MTG_Set[[#This Row],[Play Booster Cost]]</f>
        <v/>
      </c>
      <c r="BI697" s="10">
        <f>tbl_MTG_Set[[#This Row],[Play Singles CardMarket Profit]]&gt;0</f>
        <v/>
      </c>
      <c r="BJ697" s="10" t="n"/>
      <c r="BK697" s="10" t="n"/>
      <c r="BL697" s="10">
        <f>tbl_MTG_Set[[#This Row],[Collector Booster Sell Price CardMarket]]*tbl_MTG_Set[[#This Row],[Collector Booster Expected Market Value]]/tbl_MTG_Set[[#This Row],[Collector Boost Sealed Market Value]]</f>
        <v/>
      </c>
      <c r="BM6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7" s="10">
        <f>tbl_MTG_Set[[#This Row],[Collector Singles CardMarket Profit]]/tbl_MTG_Set[[#This Row],[Collector Booster Cost]]</f>
        <v/>
      </c>
      <c r="BO697" s="10">
        <f>tbl_MTG_Set[[#This Row],[Collector Singles CardMarket Profit]]&gt;0</f>
        <v/>
      </c>
      <c r="BP6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8">
      <c r="A698" t="n">
        <v>696</v>
      </c>
      <c r="B698" t="inlineStr">
        <is>
          <t>Magic 2013 Promos PM13</t>
        </is>
      </c>
      <c r="C698" t="n">
        <v>6</v>
      </c>
      <c r="D698" s="3" t="n">
        <v>41102</v>
      </c>
      <c r="F698" t="inlineStr">
        <is>
          <t>en es fr de it pt ja ko ru 汉语 漢語</t>
        </is>
      </c>
      <c r="G698" t="n">
        <v>1338</v>
      </c>
      <c r="H698">
        <f>MONTH(NOW())+12*YEAR(NOW())-MONTH(tbl_MTG_Set[[#This Row],[Released On]])-12*YEAR(tbl_MTG_Set[[#This Row],[Released On]])</f>
        <v/>
      </c>
      <c r="I698">
        <f>_xlfn.XLOOKUP(tbl_MTG_Set[[#This Row],[Type Name]], tbl_MTG_Set_Type[Set Type], tbl_MTG_Set_Type[Index], "(Set Type not found)")</f>
        <v/>
      </c>
      <c r="J698">
        <f>_xlfn.XLOOKUP(tbl_MTG_Set[[#This Row],[Type Name]], tbl_MTG_Set_Type[Set Type], tbl_MTG_Set_Type[Buy Window Month Start], "(Set Type not found)")</f>
        <v/>
      </c>
      <c r="K698" s="3">
        <f>tbl_MTG_Set[[#This Row],[Released On]]+tbl_MTG_Set[[#This Row],[Buy Window Month Start]]*365.25/12</f>
        <v/>
      </c>
      <c r="L698">
        <f>_xlfn.XLOOKUP(tbl_MTG_Set[[#This Row],[Type Name]], tbl_MTG_Set_Type[Set Type], tbl_MTG_Set_Type[Buy Window Month End], "(Set Type not found)", 0, 1)</f>
        <v/>
      </c>
      <c r="M698" s="3">
        <f>tbl_MTG_Set[[#This Row],[Released On]]+tbl_MTG_Set[[#This Row],[Buy Window Month End]]*365.25/12</f>
        <v/>
      </c>
      <c r="N698" s="3">
        <f>AND(NOW()&gt;=tbl_MTG_Set[[#This Row],[Buy Window Start]], NOW()&lt;=tbl_MTG_Set[[#This Row],[Buy Window End]])</f>
        <v/>
      </c>
      <c r="O698">
        <f>_xlfn.XLOOKUP(tbl_MTG_Set[[#This Row],[Type Name]], tbl_MTG_Set_Type[Set Type], tbl_MTG_Set_Type[Heavy Printing Window Month Start], "(Set Type not found)", 0, 1)</f>
        <v/>
      </c>
      <c r="P698" s="3">
        <f>tbl_MTG_Set[[#This Row],[Released On]]+tbl_MTG_Set[[#This Row],[Heavy Printing Window Month Start]]*365.25/12</f>
        <v/>
      </c>
      <c r="Q698">
        <f>_xlfn.XLOOKUP(tbl_MTG_Set[[#This Row],[Type Name]], tbl_MTG_Set_Type[Set Type], tbl_MTG_Set_Type[Heavy Printing Window Month End], "(Set Type not found)", 0, 1)</f>
        <v/>
      </c>
      <c r="R698" s="3">
        <f>tbl_MTG_Set[[#This Row],[Released On]]+tbl_MTG_Set[[#This Row],[Heavy Printing Window Month End]]*365.25/12</f>
        <v/>
      </c>
      <c r="S698" s="3">
        <f>AND(NOW()&gt;=tbl_MTG_Set[[#This Row],[Heavy Printing Window Start]], NOW()&lt;=tbl_MTG_Set[[#This Row],[Heavy Printing Window End]])</f>
        <v/>
      </c>
      <c r="T698">
        <f>_xlfn.XLOOKUP(tbl_MTG_Set[[#This Row],[Type Name]], tbl_MTG_Set_Type[Set Type], tbl_MTG_Set_Type[Sell Window Month Start], "(Set Type not found)", 0, 1)</f>
        <v/>
      </c>
      <c r="U698" s="3">
        <f>tbl_MTG_Set[[#This Row],[Released On]]+tbl_MTG_Set[[#This Row],[Sell Window Month Start]]*365.25/12</f>
        <v/>
      </c>
      <c r="V698">
        <f>_xlfn.XLOOKUP(tbl_MTG_Set[[#This Row],[Type Name]], tbl_MTG_Set_Type[Set Type], tbl_MTG_Set_Type[Sell Window Month End], "(Set Type not found)", 0, 1)</f>
        <v/>
      </c>
      <c r="W698" s="3">
        <f>tbl_MTG_Set[[#This Row],[Released On]]+tbl_MTG_Set[[#This Row],[Sell Window Month End]]*365.25/12</f>
        <v/>
      </c>
      <c r="X698" s="3">
        <f>AND(NOW()&gt;=tbl_MTG_Set[[#This Row],[Sell Window Start]], NOW()&lt;=tbl_MTG_Set[[#This Row],[Sell Window End]])</f>
        <v/>
      </c>
      <c r="AG698" s="10" t="n"/>
      <c r="AH698" s="10" t="n"/>
      <c r="AM698" s="10">
        <f t="array" ref="AM6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8" s="10">
        <f t="array" ref="AN6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8" s="4">
        <f>_xlfn.XLOOKUP(tbl_MTG_Set[[#This Row],[Play Booster Box Product Id]], tbl_Product[Product Id], tbl_Product[Pack Size])</f>
        <v/>
      </c>
      <c r="AP698" s="10">
        <f>(tbl_MTG_Set[[#This Row],[Play Booster Box Cost]]+v_Item_Shipping_Cost_In)/tbl_MTG_Set[[#This Row],[Play Booster Box Size]]</f>
        <v/>
      </c>
      <c r="AQ698" s="10">
        <f t="array" ref="AQ6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8" s="10" t="n"/>
      <c r="AS698" s="10" t="n"/>
      <c r="AT698" s="17">
        <f>tbl_MTG_Set[[#This Row],[Play Booster CardMarket Profit]]/tbl_MTG_Set[[#This Row],[Play Booster Cost]]</f>
        <v/>
      </c>
      <c r="AU698" s="10">
        <f>_xlfn.XLOOKUP(tbl_MTG_Set[[#This Row],[Collector Booster Box Product Id]], tbl_Product[Product Id], tbl_Product[Min Cost])</f>
        <v/>
      </c>
      <c r="AV698" s="10">
        <f>_xlfn.XLOOKUP(tbl_MTG_Set[[#This Row],[Collector Booster Box Product Id]], tbl_Product[Product Id], tbl_Product[Best Source])</f>
        <v/>
      </c>
      <c r="AW698" s="4">
        <f>_xlfn.XLOOKUP(tbl_MTG_Set[[#This Row],[Collector Booster Box Product Id]], tbl_Product[Product Id], tbl_Product[Pack Size])</f>
        <v/>
      </c>
      <c r="AX698" s="10">
        <f>(tbl_MTG_Set[[#This Row],[Collector Booster Box Cost]] + v_Item_Shipping_Cost_In) / tbl_MTG_Set[[#This Row],[Collector Booster Box Size]]</f>
        <v/>
      </c>
      <c r="AY698" s="10">
        <f t="array" ref="AY6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8" s="10" t="n"/>
      <c r="BA6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8" s="17">
        <f>tbl_MTG_Set[[#This Row],[Collector Booster CardMarket Profit]]/tbl_MTG_Set[[#This Row],[Collector Booster Cost]]</f>
        <v/>
      </c>
      <c r="BC698" s="10" t="n"/>
      <c r="BF698" s="10">
        <f>tbl_MTG_Set[[#This Row],[Play Booster Sell Price CardMarket]]*tbl_MTG_Set[[#This Row],[Play Booster Expected Market Value]]/tbl_MTG_Set[[#This Row],[Play Boost Sealed Market Value]]</f>
        <v/>
      </c>
      <c r="BG6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8" s="10">
        <f>tbl_MTG_Set[[#This Row],[Play Singles CardMarket Profit]]/tbl_MTG_Set[[#This Row],[Play Booster Cost]]</f>
        <v/>
      </c>
      <c r="BI698" s="10">
        <f>tbl_MTG_Set[[#This Row],[Play Singles CardMarket Profit]]&gt;0</f>
        <v/>
      </c>
      <c r="BJ698" s="10" t="n"/>
      <c r="BK698" s="10" t="n"/>
      <c r="BL698" s="10">
        <f>tbl_MTG_Set[[#This Row],[Collector Booster Sell Price CardMarket]]*tbl_MTG_Set[[#This Row],[Collector Booster Expected Market Value]]/tbl_MTG_Set[[#This Row],[Collector Boost Sealed Market Value]]</f>
        <v/>
      </c>
      <c r="BM6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8" s="10">
        <f>tbl_MTG_Set[[#This Row],[Collector Singles CardMarket Profit]]/tbl_MTG_Set[[#This Row],[Collector Booster Cost]]</f>
        <v/>
      </c>
      <c r="BO698" s="10">
        <f>tbl_MTG_Set[[#This Row],[Collector Singles CardMarket Profit]]&gt;0</f>
        <v/>
      </c>
      <c r="BP6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9">
      <c r="A699" t="n">
        <v>697</v>
      </c>
      <c r="B699" t="inlineStr">
        <is>
          <t>Magic 2013 Tokens TM13</t>
        </is>
      </c>
      <c r="C699" t="n">
        <v>11</v>
      </c>
      <c r="D699" s="3" t="n">
        <v>41103</v>
      </c>
      <c r="F699" t="inlineStr">
        <is>
          <t>en es fr de it pt ja ko ru 汉语 漢語</t>
        </is>
      </c>
      <c r="G699" t="n">
        <v>1340</v>
      </c>
      <c r="H699">
        <f>MONTH(NOW())+12*YEAR(NOW())-MONTH(tbl_MTG_Set[[#This Row],[Released On]])-12*YEAR(tbl_MTG_Set[[#This Row],[Released On]])</f>
        <v/>
      </c>
      <c r="I699">
        <f>_xlfn.XLOOKUP(tbl_MTG_Set[[#This Row],[Type Name]], tbl_MTG_Set_Type[Set Type], tbl_MTG_Set_Type[Index], "(Set Type not found)")</f>
        <v/>
      </c>
      <c r="J699">
        <f>_xlfn.XLOOKUP(tbl_MTG_Set[[#This Row],[Type Name]], tbl_MTG_Set_Type[Set Type], tbl_MTG_Set_Type[Buy Window Month Start], "(Set Type not found)")</f>
        <v/>
      </c>
      <c r="K699" s="3">
        <f>tbl_MTG_Set[[#This Row],[Released On]]+tbl_MTG_Set[[#This Row],[Buy Window Month Start]]*365.25/12</f>
        <v/>
      </c>
      <c r="L699">
        <f>_xlfn.XLOOKUP(tbl_MTG_Set[[#This Row],[Type Name]], tbl_MTG_Set_Type[Set Type], tbl_MTG_Set_Type[Buy Window Month End], "(Set Type not found)", 0, 1)</f>
        <v/>
      </c>
      <c r="M699" s="3">
        <f>tbl_MTG_Set[[#This Row],[Released On]]+tbl_MTG_Set[[#This Row],[Buy Window Month End]]*365.25/12</f>
        <v/>
      </c>
      <c r="N699" s="3">
        <f>AND(NOW()&gt;=tbl_MTG_Set[[#This Row],[Buy Window Start]], NOW()&lt;=tbl_MTG_Set[[#This Row],[Buy Window End]])</f>
        <v/>
      </c>
      <c r="O699">
        <f>_xlfn.XLOOKUP(tbl_MTG_Set[[#This Row],[Type Name]], tbl_MTG_Set_Type[Set Type], tbl_MTG_Set_Type[Heavy Printing Window Month Start], "(Set Type not found)", 0, 1)</f>
        <v/>
      </c>
      <c r="P699" s="3">
        <f>tbl_MTG_Set[[#This Row],[Released On]]+tbl_MTG_Set[[#This Row],[Heavy Printing Window Month Start]]*365.25/12</f>
        <v/>
      </c>
      <c r="Q699">
        <f>_xlfn.XLOOKUP(tbl_MTG_Set[[#This Row],[Type Name]], tbl_MTG_Set_Type[Set Type], tbl_MTG_Set_Type[Heavy Printing Window Month End], "(Set Type not found)", 0, 1)</f>
        <v/>
      </c>
      <c r="R699" s="3">
        <f>tbl_MTG_Set[[#This Row],[Released On]]+tbl_MTG_Set[[#This Row],[Heavy Printing Window Month End]]*365.25/12</f>
        <v/>
      </c>
      <c r="S699" s="3">
        <f>AND(NOW()&gt;=tbl_MTG_Set[[#This Row],[Heavy Printing Window Start]], NOW()&lt;=tbl_MTG_Set[[#This Row],[Heavy Printing Window End]])</f>
        <v/>
      </c>
      <c r="T699">
        <f>_xlfn.XLOOKUP(tbl_MTG_Set[[#This Row],[Type Name]], tbl_MTG_Set_Type[Set Type], tbl_MTG_Set_Type[Sell Window Month Start], "(Set Type not found)", 0, 1)</f>
        <v/>
      </c>
      <c r="U699" s="3">
        <f>tbl_MTG_Set[[#This Row],[Released On]]+tbl_MTG_Set[[#This Row],[Sell Window Month Start]]*365.25/12</f>
        <v/>
      </c>
      <c r="V699">
        <f>_xlfn.XLOOKUP(tbl_MTG_Set[[#This Row],[Type Name]], tbl_MTG_Set_Type[Set Type], tbl_MTG_Set_Type[Sell Window Month End], "(Set Type not found)", 0, 1)</f>
        <v/>
      </c>
      <c r="W699" s="3">
        <f>tbl_MTG_Set[[#This Row],[Released On]]+tbl_MTG_Set[[#This Row],[Sell Window Month End]]*365.25/12</f>
        <v/>
      </c>
      <c r="X699" s="3">
        <f>AND(NOW()&gt;=tbl_MTG_Set[[#This Row],[Sell Window Start]], NOW()&lt;=tbl_MTG_Set[[#This Row],[Sell Window End]])</f>
        <v/>
      </c>
      <c r="AG699" s="10" t="n"/>
      <c r="AH699" s="10" t="n"/>
      <c r="AM699" s="10">
        <f t="array" ref="AM6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9" s="10">
        <f t="array" ref="AN6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9" s="4">
        <f>_xlfn.XLOOKUP(tbl_MTG_Set[[#This Row],[Play Booster Box Product Id]], tbl_Product[Product Id], tbl_Product[Pack Size])</f>
        <v/>
      </c>
      <c r="AP699" s="10">
        <f>(tbl_MTG_Set[[#This Row],[Play Booster Box Cost]]+v_Item_Shipping_Cost_In)/tbl_MTG_Set[[#This Row],[Play Booster Box Size]]</f>
        <v/>
      </c>
      <c r="AQ699" s="10">
        <f t="array" ref="AQ6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699" s="10" t="n"/>
      <c r="AS699" s="10" t="n"/>
      <c r="AT699" s="17">
        <f>tbl_MTG_Set[[#This Row],[Play Booster CardMarket Profit]]/tbl_MTG_Set[[#This Row],[Play Booster Cost]]</f>
        <v/>
      </c>
      <c r="AU699" s="10">
        <f>_xlfn.XLOOKUP(tbl_MTG_Set[[#This Row],[Collector Booster Box Product Id]], tbl_Product[Product Id], tbl_Product[Min Cost])</f>
        <v/>
      </c>
      <c r="AV699" s="10">
        <f>_xlfn.XLOOKUP(tbl_MTG_Set[[#This Row],[Collector Booster Box Product Id]], tbl_Product[Product Id], tbl_Product[Best Source])</f>
        <v/>
      </c>
      <c r="AW699" s="4">
        <f>_xlfn.XLOOKUP(tbl_MTG_Set[[#This Row],[Collector Booster Box Product Id]], tbl_Product[Product Id], tbl_Product[Pack Size])</f>
        <v/>
      </c>
      <c r="AX699" s="10">
        <f>(tbl_MTG_Set[[#This Row],[Collector Booster Box Cost]] + v_Item_Shipping_Cost_In) / tbl_MTG_Set[[#This Row],[Collector Booster Box Size]]</f>
        <v/>
      </c>
      <c r="AY699" s="10">
        <f t="array" ref="AY6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699" s="10" t="n"/>
      <c r="BA6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9" s="17">
        <f>tbl_MTG_Set[[#This Row],[Collector Booster CardMarket Profit]]/tbl_MTG_Set[[#This Row],[Collector Booster Cost]]</f>
        <v/>
      </c>
      <c r="BC699" s="10" t="n"/>
      <c r="BF699" s="10">
        <f>tbl_MTG_Set[[#This Row],[Play Booster Sell Price CardMarket]]*tbl_MTG_Set[[#This Row],[Play Booster Expected Market Value]]/tbl_MTG_Set[[#This Row],[Play Boost Sealed Market Value]]</f>
        <v/>
      </c>
      <c r="BG6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9" s="10">
        <f>tbl_MTG_Set[[#This Row],[Play Singles CardMarket Profit]]/tbl_MTG_Set[[#This Row],[Play Booster Cost]]</f>
        <v/>
      </c>
      <c r="BI699" s="10">
        <f>tbl_MTG_Set[[#This Row],[Play Singles CardMarket Profit]]&gt;0</f>
        <v/>
      </c>
      <c r="BJ699" s="10" t="n"/>
      <c r="BK699" s="10" t="n"/>
      <c r="BL699" s="10">
        <f>tbl_MTG_Set[[#This Row],[Collector Booster Sell Price CardMarket]]*tbl_MTG_Set[[#This Row],[Collector Booster Expected Market Value]]/tbl_MTG_Set[[#This Row],[Collector Boost Sealed Market Value]]</f>
        <v/>
      </c>
      <c r="BM6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9" s="10">
        <f>tbl_MTG_Set[[#This Row],[Collector Singles CardMarket Profit]]/tbl_MTG_Set[[#This Row],[Collector Booster Cost]]</f>
        <v/>
      </c>
      <c r="BO699" s="10">
        <f>tbl_MTG_Set[[#This Row],[Collector Singles CardMarket Profit]]&gt;0</f>
        <v/>
      </c>
      <c r="BP6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0">
      <c r="A700" t="n">
        <v>698</v>
      </c>
      <c r="B700" t="inlineStr">
        <is>
          <t>Planechase 2012 PC2</t>
        </is>
      </c>
      <c r="C700" t="n">
        <v>156</v>
      </c>
      <c r="D700" s="3" t="n">
        <v>41061</v>
      </c>
      <c r="F700" t="inlineStr">
        <is>
          <t>en es fr de it pt ja ko ru 汉语 漢語</t>
        </is>
      </c>
      <c r="G700" t="n">
        <v>1342</v>
      </c>
      <c r="H700">
        <f>MONTH(NOW())+12*YEAR(NOW())-MONTH(tbl_MTG_Set[[#This Row],[Released On]])-12*YEAR(tbl_MTG_Set[[#This Row],[Released On]])</f>
        <v/>
      </c>
      <c r="I700">
        <f>_xlfn.XLOOKUP(tbl_MTG_Set[[#This Row],[Type Name]], tbl_MTG_Set_Type[Set Type], tbl_MTG_Set_Type[Index], "(Set Type not found)")</f>
        <v/>
      </c>
      <c r="J700">
        <f>_xlfn.XLOOKUP(tbl_MTG_Set[[#This Row],[Type Name]], tbl_MTG_Set_Type[Set Type], tbl_MTG_Set_Type[Buy Window Month Start], "(Set Type not found)")</f>
        <v/>
      </c>
      <c r="K700" s="3">
        <f>tbl_MTG_Set[[#This Row],[Released On]]+tbl_MTG_Set[[#This Row],[Buy Window Month Start]]*365.25/12</f>
        <v/>
      </c>
      <c r="L700">
        <f>_xlfn.XLOOKUP(tbl_MTG_Set[[#This Row],[Type Name]], tbl_MTG_Set_Type[Set Type], tbl_MTG_Set_Type[Buy Window Month End], "(Set Type not found)", 0, 1)</f>
        <v/>
      </c>
      <c r="M700" s="3">
        <f>tbl_MTG_Set[[#This Row],[Released On]]+tbl_MTG_Set[[#This Row],[Buy Window Month End]]*365.25/12</f>
        <v/>
      </c>
      <c r="N700" s="3">
        <f>AND(NOW()&gt;=tbl_MTG_Set[[#This Row],[Buy Window Start]], NOW()&lt;=tbl_MTG_Set[[#This Row],[Buy Window End]])</f>
        <v/>
      </c>
      <c r="O700">
        <f>_xlfn.XLOOKUP(tbl_MTG_Set[[#This Row],[Type Name]], tbl_MTG_Set_Type[Set Type], tbl_MTG_Set_Type[Heavy Printing Window Month Start], "(Set Type not found)", 0, 1)</f>
        <v/>
      </c>
      <c r="P700" s="3">
        <f>tbl_MTG_Set[[#This Row],[Released On]]+tbl_MTG_Set[[#This Row],[Heavy Printing Window Month Start]]*365.25/12</f>
        <v/>
      </c>
      <c r="Q700">
        <f>_xlfn.XLOOKUP(tbl_MTG_Set[[#This Row],[Type Name]], tbl_MTG_Set_Type[Set Type], tbl_MTG_Set_Type[Heavy Printing Window Month End], "(Set Type not found)", 0, 1)</f>
        <v/>
      </c>
      <c r="R700" s="3">
        <f>tbl_MTG_Set[[#This Row],[Released On]]+tbl_MTG_Set[[#This Row],[Heavy Printing Window Month End]]*365.25/12</f>
        <v/>
      </c>
      <c r="S700" s="3">
        <f>AND(NOW()&gt;=tbl_MTG_Set[[#This Row],[Heavy Printing Window Start]], NOW()&lt;=tbl_MTG_Set[[#This Row],[Heavy Printing Window End]])</f>
        <v/>
      </c>
      <c r="T700">
        <f>_xlfn.XLOOKUP(tbl_MTG_Set[[#This Row],[Type Name]], tbl_MTG_Set_Type[Set Type], tbl_MTG_Set_Type[Sell Window Month Start], "(Set Type not found)", 0, 1)</f>
        <v/>
      </c>
      <c r="U700" s="3">
        <f>tbl_MTG_Set[[#This Row],[Released On]]+tbl_MTG_Set[[#This Row],[Sell Window Month Start]]*365.25/12</f>
        <v/>
      </c>
      <c r="V700">
        <f>_xlfn.XLOOKUP(tbl_MTG_Set[[#This Row],[Type Name]], tbl_MTG_Set_Type[Set Type], tbl_MTG_Set_Type[Sell Window Month End], "(Set Type not found)", 0, 1)</f>
        <v/>
      </c>
      <c r="W700" s="3">
        <f>tbl_MTG_Set[[#This Row],[Released On]]+tbl_MTG_Set[[#This Row],[Sell Window Month End]]*365.25/12</f>
        <v/>
      </c>
      <c r="X700" s="3">
        <f>AND(NOW()&gt;=tbl_MTG_Set[[#This Row],[Sell Window Start]], NOW()&lt;=tbl_MTG_Set[[#This Row],[Sell Window End]])</f>
        <v/>
      </c>
      <c r="AG700" s="10" t="n"/>
      <c r="AH700" s="10" t="n"/>
      <c r="AM700" s="10">
        <f t="array" ref="AM7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0" s="10">
        <f t="array" ref="AN7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0" s="4">
        <f>_xlfn.XLOOKUP(tbl_MTG_Set[[#This Row],[Play Booster Box Product Id]], tbl_Product[Product Id], tbl_Product[Pack Size])</f>
        <v/>
      </c>
      <c r="AP700" s="10">
        <f>(tbl_MTG_Set[[#This Row],[Play Booster Box Cost]]+v_Item_Shipping_Cost_In)/tbl_MTG_Set[[#This Row],[Play Booster Box Size]]</f>
        <v/>
      </c>
      <c r="AQ700" s="10">
        <f t="array" ref="AQ7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0" s="10" t="n"/>
      <c r="AS700" s="10" t="n"/>
      <c r="AT700" s="17">
        <f>tbl_MTG_Set[[#This Row],[Play Booster CardMarket Profit]]/tbl_MTG_Set[[#This Row],[Play Booster Cost]]</f>
        <v/>
      </c>
      <c r="AU700" s="10">
        <f>_xlfn.XLOOKUP(tbl_MTG_Set[[#This Row],[Collector Booster Box Product Id]], tbl_Product[Product Id], tbl_Product[Min Cost])</f>
        <v/>
      </c>
      <c r="AV700" s="10">
        <f>_xlfn.XLOOKUP(tbl_MTG_Set[[#This Row],[Collector Booster Box Product Id]], tbl_Product[Product Id], tbl_Product[Best Source])</f>
        <v/>
      </c>
      <c r="AW700" s="4">
        <f>_xlfn.XLOOKUP(tbl_MTG_Set[[#This Row],[Collector Booster Box Product Id]], tbl_Product[Product Id], tbl_Product[Pack Size])</f>
        <v/>
      </c>
      <c r="AX700" s="10">
        <f>(tbl_MTG_Set[[#This Row],[Collector Booster Box Cost]] + v_Item_Shipping_Cost_In) / tbl_MTG_Set[[#This Row],[Collector Booster Box Size]]</f>
        <v/>
      </c>
      <c r="AY700" s="10">
        <f t="array" ref="AY7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0" s="10" t="n"/>
      <c r="BA7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0" s="17">
        <f>tbl_MTG_Set[[#This Row],[Collector Booster CardMarket Profit]]/tbl_MTG_Set[[#This Row],[Collector Booster Cost]]</f>
        <v/>
      </c>
      <c r="BC700" s="10" t="n"/>
      <c r="BF700" s="10">
        <f>tbl_MTG_Set[[#This Row],[Play Booster Sell Price CardMarket]]*tbl_MTG_Set[[#This Row],[Play Booster Expected Market Value]]/tbl_MTG_Set[[#This Row],[Play Boost Sealed Market Value]]</f>
        <v/>
      </c>
      <c r="BG7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0" s="10">
        <f>tbl_MTG_Set[[#This Row],[Play Singles CardMarket Profit]]/tbl_MTG_Set[[#This Row],[Play Booster Cost]]</f>
        <v/>
      </c>
      <c r="BI700" s="10">
        <f>tbl_MTG_Set[[#This Row],[Play Singles CardMarket Profit]]&gt;0</f>
        <v/>
      </c>
      <c r="BJ700" s="10" t="n"/>
      <c r="BK700" s="10" t="n"/>
      <c r="BL700" s="10">
        <f>tbl_MTG_Set[[#This Row],[Collector Booster Sell Price CardMarket]]*tbl_MTG_Set[[#This Row],[Collector Booster Expected Market Value]]/tbl_MTG_Set[[#This Row],[Collector Boost Sealed Market Value]]</f>
        <v/>
      </c>
      <c r="BM7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0" s="10">
        <f>tbl_MTG_Set[[#This Row],[Collector Singles CardMarket Profit]]/tbl_MTG_Set[[#This Row],[Collector Booster Cost]]</f>
        <v/>
      </c>
      <c r="BO700" s="10">
        <f>tbl_MTG_Set[[#This Row],[Collector Singles CardMarket Profit]]&gt;0</f>
        <v/>
      </c>
      <c r="BP7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1">
      <c r="A701" t="n">
        <v>699</v>
      </c>
      <c r="B701" t="inlineStr">
        <is>
          <t>Planechase 2012 Planes OPC2</t>
        </is>
      </c>
      <c r="C701" t="n">
        <v>40</v>
      </c>
      <c r="D701" s="3" t="n">
        <v>41061</v>
      </c>
      <c r="F701" t="inlineStr">
        <is>
          <t>en es fr de it pt ja ko ru 汉语 漢語</t>
        </is>
      </c>
      <c r="G701" t="n">
        <v>1344</v>
      </c>
      <c r="H701">
        <f>MONTH(NOW())+12*YEAR(NOW())-MONTH(tbl_MTG_Set[[#This Row],[Released On]])-12*YEAR(tbl_MTG_Set[[#This Row],[Released On]])</f>
        <v/>
      </c>
      <c r="I701">
        <f>_xlfn.XLOOKUP(tbl_MTG_Set[[#This Row],[Type Name]], tbl_MTG_Set_Type[Set Type], tbl_MTG_Set_Type[Index], "(Set Type not found)")</f>
        <v/>
      </c>
      <c r="J701">
        <f>_xlfn.XLOOKUP(tbl_MTG_Set[[#This Row],[Type Name]], tbl_MTG_Set_Type[Set Type], tbl_MTG_Set_Type[Buy Window Month Start], "(Set Type not found)")</f>
        <v/>
      </c>
      <c r="K701" s="3">
        <f>tbl_MTG_Set[[#This Row],[Released On]]+tbl_MTG_Set[[#This Row],[Buy Window Month Start]]*365.25/12</f>
        <v/>
      </c>
      <c r="L701">
        <f>_xlfn.XLOOKUP(tbl_MTG_Set[[#This Row],[Type Name]], tbl_MTG_Set_Type[Set Type], tbl_MTG_Set_Type[Buy Window Month End], "(Set Type not found)", 0, 1)</f>
        <v/>
      </c>
      <c r="M701" s="3">
        <f>tbl_MTG_Set[[#This Row],[Released On]]+tbl_MTG_Set[[#This Row],[Buy Window Month End]]*365.25/12</f>
        <v/>
      </c>
      <c r="N701" s="3">
        <f>AND(NOW()&gt;=tbl_MTG_Set[[#This Row],[Buy Window Start]], NOW()&lt;=tbl_MTG_Set[[#This Row],[Buy Window End]])</f>
        <v/>
      </c>
      <c r="O701">
        <f>_xlfn.XLOOKUP(tbl_MTG_Set[[#This Row],[Type Name]], tbl_MTG_Set_Type[Set Type], tbl_MTG_Set_Type[Heavy Printing Window Month Start], "(Set Type not found)", 0, 1)</f>
        <v/>
      </c>
      <c r="P701" s="3">
        <f>tbl_MTG_Set[[#This Row],[Released On]]+tbl_MTG_Set[[#This Row],[Heavy Printing Window Month Start]]*365.25/12</f>
        <v/>
      </c>
      <c r="Q701">
        <f>_xlfn.XLOOKUP(tbl_MTG_Set[[#This Row],[Type Name]], tbl_MTG_Set_Type[Set Type], tbl_MTG_Set_Type[Heavy Printing Window Month End], "(Set Type not found)", 0, 1)</f>
        <v/>
      </c>
      <c r="R701" s="3">
        <f>tbl_MTG_Set[[#This Row],[Released On]]+tbl_MTG_Set[[#This Row],[Heavy Printing Window Month End]]*365.25/12</f>
        <v/>
      </c>
      <c r="S701" s="3">
        <f>AND(NOW()&gt;=tbl_MTG_Set[[#This Row],[Heavy Printing Window Start]], NOW()&lt;=tbl_MTG_Set[[#This Row],[Heavy Printing Window End]])</f>
        <v/>
      </c>
      <c r="T701">
        <f>_xlfn.XLOOKUP(tbl_MTG_Set[[#This Row],[Type Name]], tbl_MTG_Set_Type[Set Type], tbl_MTG_Set_Type[Sell Window Month Start], "(Set Type not found)", 0, 1)</f>
        <v/>
      </c>
      <c r="U701" s="3">
        <f>tbl_MTG_Set[[#This Row],[Released On]]+tbl_MTG_Set[[#This Row],[Sell Window Month Start]]*365.25/12</f>
        <v/>
      </c>
      <c r="V701">
        <f>_xlfn.XLOOKUP(tbl_MTG_Set[[#This Row],[Type Name]], tbl_MTG_Set_Type[Set Type], tbl_MTG_Set_Type[Sell Window Month End], "(Set Type not found)", 0, 1)</f>
        <v/>
      </c>
      <c r="W701" s="3">
        <f>tbl_MTG_Set[[#This Row],[Released On]]+tbl_MTG_Set[[#This Row],[Sell Window Month End]]*365.25/12</f>
        <v/>
      </c>
      <c r="X701" s="3">
        <f>AND(NOW()&gt;=tbl_MTG_Set[[#This Row],[Sell Window Start]], NOW()&lt;=tbl_MTG_Set[[#This Row],[Sell Window End]])</f>
        <v/>
      </c>
      <c r="AG701" s="10" t="n"/>
      <c r="AH701" s="10" t="n"/>
      <c r="AM701" s="10">
        <f t="array" ref="AM7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1" s="10">
        <f t="array" ref="AN7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1" s="4">
        <f>_xlfn.XLOOKUP(tbl_MTG_Set[[#This Row],[Play Booster Box Product Id]], tbl_Product[Product Id], tbl_Product[Pack Size])</f>
        <v/>
      </c>
      <c r="AP701" s="10">
        <f>(tbl_MTG_Set[[#This Row],[Play Booster Box Cost]]+v_Item_Shipping_Cost_In)/tbl_MTG_Set[[#This Row],[Play Booster Box Size]]</f>
        <v/>
      </c>
      <c r="AQ701" s="10">
        <f t="array" ref="AQ7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1" s="10" t="n"/>
      <c r="AS701" s="10" t="n"/>
      <c r="AT701" s="17">
        <f>tbl_MTG_Set[[#This Row],[Play Booster CardMarket Profit]]/tbl_MTG_Set[[#This Row],[Play Booster Cost]]</f>
        <v/>
      </c>
      <c r="AU701" s="10">
        <f>_xlfn.XLOOKUP(tbl_MTG_Set[[#This Row],[Collector Booster Box Product Id]], tbl_Product[Product Id], tbl_Product[Min Cost])</f>
        <v/>
      </c>
      <c r="AV701" s="10">
        <f>_xlfn.XLOOKUP(tbl_MTG_Set[[#This Row],[Collector Booster Box Product Id]], tbl_Product[Product Id], tbl_Product[Best Source])</f>
        <v/>
      </c>
      <c r="AW701" s="4">
        <f>_xlfn.XLOOKUP(tbl_MTG_Set[[#This Row],[Collector Booster Box Product Id]], tbl_Product[Product Id], tbl_Product[Pack Size])</f>
        <v/>
      </c>
      <c r="AX701" s="10">
        <f>(tbl_MTG_Set[[#This Row],[Collector Booster Box Cost]] + v_Item_Shipping_Cost_In) / tbl_MTG_Set[[#This Row],[Collector Booster Box Size]]</f>
        <v/>
      </c>
      <c r="AY701" s="10">
        <f t="array" ref="AY7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1" s="10" t="n"/>
      <c r="BA7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1" s="17">
        <f>tbl_MTG_Set[[#This Row],[Collector Booster CardMarket Profit]]/tbl_MTG_Set[[#This Row],[Collector Booster Cost]]</f>
        <v/>
      </c>
      <c r="BC701" s="10" t="n"/>
      <c r="BF701" s="10">
        <f>tbl_MTG_Set[[#This Row],[Play Booster Sell Price CardMarket]]*tbl_MTG_Set[[#This Row],[Play Booster Expected Market Value]]/tbl_MTG_Set[[#This Row],[Play Boost Sealed Market Value]]</f>
        <v/>
      </c>
      <c r="BG7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1" s="10">
        <f>tbl_MTG_Set[[#This Row],[Play Singles CardMarket Profit]]/tbl_MTG_Set[[#This Row],[Play Booster Cost]]</f>
        <v/>
      </c>
      <c r="BI701" s="10">
        <f>tbl_MTG_Set[[#This Row],[Play Singles CardMarket Profit]]&gt;0</f>
        <v/>
      </c>
      <c r="BJ701" s="10" t="n"/>
      <c r="BK701" s="10" t="n"/>
      <c r="BL701" s="10">
        <f>tbl_MTG_Set[[#This Row],[Collector Booster Sell Price CardMarket]]*tbl_MTG_Set[[#This Row],[Collector Booster Expected Market Value]]/tbl_MTG_Set[[#This Row],[Collector Boost Sealed Market Value]]</f>
        <v/>
      </c>
      <c r="BM7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1" s="10">
        <f>tbl_MTG_Set[[#This Row],[Collector Singles CardMarket Profit]]/tbl_MTG_Set[[#This Row],[Collector Booster Cost]]</f>
        <v/>
      </c>
      <c r="BO701" s="10">
        <f>tbl_MTG_Set[[#This Row],[Collector Singles CardMarket Profit]]&gt;0</f>
        <v/>
      </c>
      <c r="BP7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2">
      <c r="A702" t="n">
        <v>700</v>
      </c>
      <c r="B702" t="inlineStr">
        <is>
          <t>Avacyn Restored AVR</t>
        </is>
      </c>
      <c r="C702" t="n">
        <v>244</v>
      </c>
      <c r="D702" s="3" t="n">
        <v>41033</v>
      </c>
      <c r="F702" t="inlineStr">
        <is>
          <t>en es fr de it pt ja ko ru 汉语 漢語</t>
        </is>
      </c>
      <c r="G702" t="n">
        <v>1346</v>
      </c>
      <c r="H702">
        <f>MONTH(NOW())+12*YEAR(NOW())-MONTH(tbl_MTG_Set[[#This Row],[Released On]])-12*YEAR(tbl_MTG_Set[[#This Row],[Released On]])</f>
        <v/>
      </c>
      <c r="I702">
        <f>_xlfn.XLOOKUP(tbl_MTG_Set[[#This Row],[Type Name]], tbl_MTG_Set_Type[Set Type], tbl_MTG_Set_Type[Index], "(Set Type not found)")</f>
        <v/>
      </c>
      <c r="J702">
        <f>_xlfn.XLOOKUP(tbl_MTG_Set[[#This Row],[Type Name]], tbl_MTG_Set_Type[Set Type], tbl_MTG_Set_Type[Buy Window Month Start], "(Set Type not found)")</f>
        <v/>
      </c>
      <c r="K702" s="3">
        <f>tbl_MTG_Set[[#This Row],[Released On]]+tbl_MTG_Set[[#This Row],[Buy Window Month Start]]*365.25/12</f>
        <v/>
      </c>
      <c r="L702">
        <f>_xlfn.XLOOKUP(tbl_MTG_Set[[#This Row],[Type Name]], tbl_MTG_Set_Type[Set Type], tbl_MTG_Set_Type[Buy Window Month End], "(Set Type not found)", 0, 1)</f>
        <v/>
      </c>
      <c r="M702" s="3">
        <f>tbl_MTG_Set[[#This Row],[Released On]]+tbl_MTG_Set[[#This Row],[Buy Window Month End]]*365.25/12</f>
        <v/>
      </c>
      <c r="N702" s="3">
        <f>AND(NOW()&gt;=tbl_MTG_Set[[#This Row],[Buy Window Start]], NOW()&lt;=tbl_MTG_Set[[#This Row],[Buy Window End]])</f>
        <v/>
      </c>
      <c r="O702">
        <f>_xlfn.XLOOKUP(tbl_MTG_Set[[#This Row],[Type Name]], tbl_MTG_Set_Type[Set Type], tbl_MTG_Set_Type[Heavy Printing Window Month Start], "(Set Type not found)", 0, 1)</f>
        <v/>
      </c>
      <c r="P702" s="3">
        <f>tbl_MTG_Set[[#This Row],[Released On]]+tbl_MTG_Set[[#This Row],[Heavy Printing Window Month Start]]*365.25/12</f>
        <v/>
      </c>
      <c r="Q702">
        <f>_xlfn.XLOOKUP(tbl_MTG_Set[[#This Row],[Type Name]], tbl_MTG_Set_Type[Set Type], tbl_MTG_Set_Type[Heavy Printing Window Month End], "(Set Type not found)", 0, 1)</f>
        <v/>
      </c>
      <c r="R702" s="3">
        <f>tbl_MTG_Set[[#This Row],[Released On]]+tbl_MTG_Set[[#This Row],[Heavy Printing Window Month End]]*365.25/12</f>
        <v/>
      </c>
      <c r="S702" s="3">
        <f>AND(NOW()&gt;=tbl_MTG_Set[[#This Row],[Heavy Printing Window Start]], NOW()&lt;=tbl_MTG_Set[[#This Row],[Heavy Printing Window End]])</f>
        <v/>
      </c>
      <c r="T702">
        <f>_xlfn.XLOOKUP(tbl_MTG_Set[[#This Row],[Type Name]], tbl_MTG_Set_Type[Set Type], tbl_MTG_Set_Type[Sell Window Month Start], "(Set Type not found)", 0, 1)</f>
        <v/>
      </c>
      <c r="U702" s="3">
        <f>tbl_MTG_Set[[#This Row],[Released On]]+tbl_MTG_Set[[#This Row],[Sell Window Month Start]]*365.25/12</f>
        <v/>
      </c>
      <c r="V702">
        <f>_xlfn.XLOOKUP(tbl_MTG_Set[[#This Row],[Type Name]], tbl_MTG_Set_Type[Set Type], tbl_MTG_Set_Type[Sell Window Month End], "(Set Type not found)", 0, 1)</f>
        <v/>
      </c>
      <c r="W702" s="3">
        <f>tbl_MTG_Set[[#This Row],[Released On]]+tbl_MTG_Set[[#This Row],[Sell Window Month End]]*365.25/12</f>
        <v/>
      </c>
      <c r="X702" s="3">
        <f>AND(NOW()&gt;=tbl_MTG_Set[[#This Row],[Sell Window Start]], NOW()&lt;=tbl_MTG_Set[[#This Row],[Sell Window End]])</f>
        <v/>
      </c>
      <c r="AG702" s="10" t="n"/>
      <c r="AH702" s="10" t="n"/>
      <c r="AM702" s="10">
        <f t="array" ref="AM7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2" s="10">
        <f t="array" ref="AN7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2" s="4">
        <f>_xlfn.XLOOKUP(tbl_MTG_Set[[#This Row],[Play Booster Box Product Id]], tbl_Product[Product Id], tbl_Product[Pack Size])</f>
        <v/>
      </c>
      <c r="AP702" s="10">
        <f>(tbl_MTG_Set[[#This Row],[Play Booster Box Cost]]+v_Item_Shipping_Cost_In)/tbl_MTG_Set[[#This Row],[Play Booster Box Size]]</f>
        <v/>
      </c>
      <c r="AQ702" s="10">
        <f t="array" ref="AQ7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2" s="10" t="n"/>
      <c r="AS702" s="10" t="n"/>
      <c r="AT702" s="17">
        <f>tbl_MTG_Set[[#This Row],[Play Booster CardMarket Profit]]/tbl_MTG_Set[[#This Row],[Play Booster Cost]]</f>
        <v/>
      </c>
      <c r="AU702" s="10">
        <f>_xlfn.XLOOKUP(tbl_MTG_Set[[#This Row],[Collector Booster Box Product Id]], tbl_Product[Product Id], tbl_Product[Min Cost])</f>
        <v/>
      </c>
      <c r="AV702" s="10">
        <f>_xlfn.XLOOKUP(tbl_MTG_Set[[#This Row],[Collector Booster Box Product Id]], tbl_Product[Product Id], tbl_Product[Best Source])</f>
        <v/>
      </c>
      <c r="AW702" s="4">
        <f>_xlfn.XLOOKUP(tbl_MTG_Set[[#This Row],[Collector Booster Box Product Id]], tbl_Product[Product Id], tbl_Product[Pack Size])</f>
        <v/>
      </c>
      <c r="AX702" s="10">
        <f>(tbl_MTG_Set[[#This Row],[Collector Booster Box Cost]] + v_Item_Shipping_Cost_In) / tbl_MTG_Set[[#This Row],[Collector Booster Box Size]]</f>
        <v/>
      </c>
      <c r="AY702" s="10">
        <f t="array" ref="AY7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2" s="10" t="n"/>
      <c r="BA7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2" s="17">
        <f>tbl_MTG_Set[[#This Row],[Collector Booster CardMarket Profit]]/tbl_MTG_Set[[#This Row],[Collector Booster Cost]]</f>
        <v/>
      </c>
      <c r="BC702" s="10" t="n"/>
      <c r="BF702" s="10">
        <f>tbl_MTG_Set[[#This Row],[Play Booster Sell Price CardMarket]]*tbl_MTG_Set[[#This Row],[Play Booster Expected Market Value]]/tbl_MTG_Set[[#This Row],[Play Boost Sealed Market Value]]</f>
        <v/>
      </c>
      <c r="BG7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2" s="10">
        <f>tbl_MTG_Set[[#This Row],[Play Singles CardMarket Profit]]/tbl_MTG_Set[[#This Row],[Play Booster Cost]]</f>
        <v/>
      </c>
      <c r="BI702" s="10">
        <f>tbl_MTG_Set[[#This Row],[Play Singles CardMarket Profit]]&gt;0</f>
        <v/>
      </c>
      <c r="BJ702" s="10" t="n"/>
      <c r="BK702" s="10" t="n"/>
      <c r="BL702" s="10">
        <f>tbl_MTG_Set[[#This Row],[Collector Booster Sell Price CardMarket]]*tbl_MTG_Set[[#This Row],[Collector Booster Expected Market Value]]/tbl_MTG_Set[[#This Row],[Collector Boost Sealed Market Value]]</f>
        <v/>
      </c>
      <c r="BM7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2" s="10">
        <f>tbl_MTG_Set[[#This Row],[Collector Singles CardMarket Profit]]/tbl_MTG_Set[[#This Row],[Collector Booster Cost]]</f>
        <v/>
      </c>
      <c r="BO702" s="10">
        <f>tbl_MTG_Set[[#This Row],[Collector Singles CardMarket Profit]]&gt;0</f>
        <v/>
      </c>
      <c r="BP7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3">
      <c r="A703" t="n">
        <v>701</v>
      </c>
      <c r="B703" t="inlineStr">
        <is>
          <t>Avacyn Restored Promos PAVR</t>
        </is>
      </c>
      <c r="C703" t="n">
        <v>6</v>
      </c>
      <c r="D703" s="3" t="n">
        <v>41027</v>
      </c>
      <c r="F703" t="inlineStr">
        <is>
          <t>en es fr de it pt ja ko ru 汉语 漢語</t>
        </is>
      </c>
      <c r="G703" t="n">
        <v>1348</v>
      </c>
      <c r="H703">
        <f>MONTH(NOW())+12*YEAR(NOW())-MONTH(tbl_MTG_Set[[#This Row],[Released On]])-12*YEAR(tbl_MTG_Set[[#This Row],[Released On]])</f>
        <v/>
      </c>
      <c r="I703">
        <f>_xlfn.XLOOKUP(tbl_MTG_Set[[#This Row],[Type Name]], tbl_MTG_Set_Type[Set Type], tbl_MTG_Set_Type[Index], "(Set Type not found)")</f>
        <v/>
      </c>
      <c r="J703">
        <f>_xlfn.XLOOKUP(tbl_MTG_Set[[#This Row],[Type Name]], tbl_MTG_Set_Type[Set Type], tbl_MTG_Set_Type[Buy Window Month Start], "(Set Type not found)")</f>
        <v/>
      </c>
      <c r="K703" s="3">
        <f>tbl_MTG_Set[[#This Row],[Released On]]+tbl_MTG_Set[[#This Row],[Buy Window Month Start]]*365.25/12</f>
        <v/>
      </c>
      <c r="L703">
        <f>_xlfn.XLOOKUP(tbl_MTG_Set[[#This Row],[Type Name]], tbl_MTG_Set_Type[Set Type], tbl_MTG_Set_Type[Buy Window Month End], "(Set Type not found)", 0, 1)</f>
        <v/>
      </c>
      <c r="M703" s="3">
        <f>tbl_MTG_Set[[#This Row],[Released On]]+tbl_MTG_Set[[#This Row],[Buy Window Month End]]*365.25/12</f>
        <v/>
      </c>
      <c r="N703" s="3">
        <f>AND(NOW()&gt;=tbl_MTG_Set[[#This Row],[Buy Window Start]], NOW()&lt;=tbl_MTG_Set[[#This Row],[Buy Window End]])</f>
        <v/>
      </c>
      <c r="O703">
        <f>_xlfn.XLOOKUP(tbl_MTG_Set[[#This Row],[Type Name]], tbl_MTG_Set_Type[Set Type], tbl_MTG_Set_Type[Heavy Printing Window Month Start], "(Set Type not found)", 0, 1)</f>
        <v/>
      </c>
      <c r="P703" s="3">
        <f>tbl_MTG_Set[[#This Row],[Released On]]+tbl_MTG_Set[[#This Row],[Heavy Printing Window Month Start]]*365.25/12</f>
        <v/>
      </c>
      <c r="Q703">
        <f>_xlfn.XLOOKUP(tbl_MTG_Set[[#This Row],[Type Name]], tbl_MTG_Set_Type[Set Type], tbl_MTG_Set_Type[Heavy Printing Window Month End], "(Set Type not found)", 0, 1)</f>
        <v/>
      </c>
      <c r="R703" s="3">
        <f>tbl_MTG_Set[[#This Row],[Released On]]+tbl_MTG_Set[[#This Row],[Heavy Printing Window Month End]]*365.25/12</f>
        <v/>
      </c>
      <c r="S703" s="3">
        <f>AND(NOW()&gt;=tbl_MTG_Set[[#This Row],[Heavy Printing Window Start]], NOW()&lt;=tbl_MTG_Set[[#This Row],[Heavy Printing Window End]])</f>
        <v/>
      </c>
      <c r="T703">
        <f>_xlfn.XLOOKUP(tbl_MTG_Set[[#This Row],[Type Name]], tbl_MTG_Set_Type[Set Type], tbl_MTG_Set_Type[Sell Window Month Start], "(Set Type not found)", 0, 1)</f>
        <v/>
      </c>
      <c r="U703" s="3">
        <f>tbl_MTG_Set[[#This Row],[Released On]]+tbl_MTG_Set[[#This Row],[Sell Window Month Start]]*365.25/12</f>
        <v/>
      </c>
      <c r="V703">
        <f>_xlfn.XLOOKUP(tbl_MTG_Set[[#This Row],[Type Name]], tbl_MTG_Set_Type[Set Type], tbl_MTG_Set_Type[Sell Window Month End], "(Set Type not found)", 0, 1)</f>
        <v/>
      </c>
      <c r="W703" s="3">
        <f>tbl_MTG_Set[[#This Row],[Released On]]+tbl_MTG_Set[[#This Row],[Sell Window Month End]]*365.25/12</f>
        <v/>
      </c>
      <c r="X703" s="3">
        <f>AND(NOW()&gt;=tbl_MTG_Set[[#This Row],[Sell Window Start]], NOW()&lt;=tbl_MTG_Set[[#This Row],[Sell Window End]])</f>
        <v/>
      </c>
      <c r="AG703" s="10" t="n"/>
      <c r="AH703" s="10" t="n"/>
      <c r="AM703" s="10">
        <f t="array" ref="AM7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3" s="10">
        <f t="array" ref="AN7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3" s="4">
        <f>_xlfn.XLOOKUP(tbl_MTG_Set[[#This Row],[Play Booster Box Product Id]], tbl_Product[Product Id], tbl_Product[Pack Size])</f>
        <v/>
      </c>
      <c r="AP703" s="10">
        <f>(tbl_MTG_Set[[#This Row],[Play Booster Box Cost]]+v_Item_Shipping_Cost_In)/tbl_MTG_Set[[#This Row],[Play Booster Box Size]]</f>
        <v/>
      </c>
      <c r="AQ703" s="10">
        <f t="array" ref="AQ7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3" s="10" t="n"/>
      <c r="AS703" s="10" t="n"/>
      <c r="AT703" s="17">
        <f>tbl_MTG_Set[[#This Row],[Play Booster CardMarket Profit]]/tbl_MTG_Set[[#This Row],[Play Booster Cost]]</f>
        <v/>
      </c>
      <c r="AU703" s="10">
        <f>_xlfn.XLOOKUP(tbl_MTG_Set[[#This Row],[Collector Booster Box Product Id]], tbl_Product[Product Id], tbl_Product[Min Cost])</f>
        <v/>
      </c>
      <c r="AV703" s="10">
        <f>_xlfn.XLOOKUP(tbl_MTG_Set[[#This Row],[Collector Booster Box Product Id]], tbl_Product[Product Id], tbl_Product[Best Source])</f>
        <v/>
      </c>
      <c r="AW703" s="4">
        <f>_xlfn.XLOOKUP(tbl_MTG_Set[[#This Row],[Collector Booster Box Product Id]], tbl_Product[Product Id], tbl_Product[Pack Size])</f>
        <v/>
      </c>
      <c r="AX703" s="10">
        <f>(tbl_MTG_Set[[#This Row],[Collector Booster Box Cost]] + v_Item_Shipping_Cost_In) / tbl_MTG_Set[[#This Row],[Collector Booster Box Size]]</f>
        <v/>
      </c>
      <c r="AY703" s="10">
        <f t="array" ref="AY7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3" s="10" t="n"/>
      <c r="BA7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3" s="17">
        <f>tbl_MTG_Set[[#This Row],[Collector Booster CardMarket Profit]]/tbl_MTG_Set[[#This Row],[Collector Booster Cost]]</f>
        <v/>
      </c>
      <c r="BC703" s="10" t="n"/>
      <c r="BF703" s="10">
        <f>tbl_MTG_Set[[#This Row],[Play Booster Sell Price CardMarket]]*tbl_MTG_Set[[#This Row],[Play Booster Expected Market Value]]/tbl_MTG_Set[[#This Row],[Play Boost Sealed Market Value]]</f>
        <v/>
      </c>
      <c r="BG7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3" s="10">
        <f>tbl_MTG_Set[[#This Row],[Play Singles CardMarket Profit]]/tbl_MTG_Set[[#This Row],[Play Booster Cost]]</f>
        <v/>
      </c>
      <c r="BI703" s="10">
        <f>tbl_MTG_Set[[#This Row],[Play Singles CardMarket Profit]]&gt;0</f>
        <v/>
      </c>
      <c r="BJ703" s="10" t="n"/>
      <c r="BK703" s="10" t="n"/>
      <c r="BL703" s="10">
        <f>tbl_MTG_Set[[#This Row],[Collector Booster Sell Price CardMarket]]*tbl_MTG_Set[[#This Row],[Collector Booster Expected Market Value]]/tbl_MTG_Set[[#This Row],[Collector Boost Sealed Market Value]]</f>
        <v/>
      </c>
      <c r="BM7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3" s="10">
        <f>tbl_MTG_Set[[#This Row],[Collector Singles CardMarket Profit]]/tbl_MTG_Set[[#This Row],[Collector Booster Cost]]</f>
        <v/>
      </c>
      <c r="BO703" s="10">
        <f>tbl_MTG_Set[[#This Row],[Collector Singles CardMarket Profit]]&gt;0</f>
        <v/>
      </c>
      <c r="BP7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4">
      <c r="A704" t="n">
        <v>702</v>
      </c>
      <c r="B704" t="inlineStr">
        <is>
          <t>Avacyn Restored Tokens TAVR</t>
        </is>
      </c>
      <c r="C704" t="n">
        <v>8</v>
      </c>
      <c r="D704" s="3" t="n">
        <v>41033</v>
      </c>
      <c r="F704" t="inlineStr">
        <is>
          <t>en es fr de it pt ja ko ru 汉语 漢語</t>
        </is>
      </c>
      <c r="G704" t="n">
        <v>1350</v>
      </c>
      <c r="H704">
        <f>MONTH(NOW())+12*YEAR(NOW())-MONTH(tbl_MTG_Set[[#This Row],[Released On]])-12*YEAR(tbl_MTG_Set[[#This Row],[Released On]])</f>
        <v/>
      </c>
      <c r="I704">
        <f>_xlfn.XLOOKUP(tbl_MTG_Set[[#This Row],[Type Name]], tbl_MTG_Set_Type[Set Type], tbl_MTG_Set_Type[Index], "(Set Type not found)")</f>
        <v/>
      </c>
      <c r="J704">
        <f>_xlfn.XLOOKUP(tbl_MTG_Set[[#This Row],[Type Name]], tbl_MTG_Set_Type[Set Type], tbl_MTG_Set_Type[Buy Window Month Start], "(Set Type not found)")</f>
        <v/>
      </c>
      <c r="K704" s="3">
        <f>tbl_MTG_Set[[#This Row],[Released On]]+tbl_MTG_Set[[#This Row],[Buy Window Month Start]]*365.25/12</f>
        <v/>
      </c>
      <c r="L704">
        <f>_xlfn.XLOOKUP(tbl_MTG_Set[[#This Row],[Type Name]], tbl_MTG_Set_Type[Set Type], tbl_MTG_Set_Type[Buy Window Month End], "(Set Type not found)", 0, 1)</f>
        <v/>
      </c>
      <c r="M704" s="3">
        <f>tbl_MTG_Set[[#This Row],[Released On]]+tbl_MTG_Set[[#This Row],[Buy Window Month End]]*365.25/12</f>
        <v/>
      </c>
      <c r="N704" s="3">
        <f>AND(NOW()&gt;=tbl_MTG_Set[[#This Row],[Buy Window Start]], NOW()&lt;=tbl_MTG_Set[[#This Row],[Buy Window End]])</f>
        <v/>
      </c>
      <c r="O704">
        <f>_xlfn.XLOOKUP(tbl_MTG_Set[[#This Row],[Type Name]], tbl_MTG_Set_Type[Set Type], tbl_MTG_Set_Type[Heavy Printing Window Month Start], "(Set Type not found)", 0, 1)</f>
        <v/>
      </c>
      <c r="P704" s="3">
        <f>tbl_MTG_Set[[#This Row],[Released On]]+tbl_MTG_Set[[#This Row],[Heavy Printing Window Month Start]]*365.25/12</f>
        <v/>
      </c>
      <c r="Q704">
        <f>_xlfn.XLOOKUP(tbl_MTG_Set[[#This Row],[Type Name]], tbl_MTG_Set_Type[Set Type], tbl_MTG_Set_Type[Heavy Printing Window Month End], "(Set Type not found)", 0, 1)</f>
        <v/>
      </c>
      <c r="R704" s="3">
        <f>tbl_MTG_Set[[#This Row],[Released On]]+tbl_MTG_Set[[#This Row],[Heavy Printing Window Month End]]*365.25/12</f>
        <v/>
      </c>
      <c r="S704" s="3">
        <f>AND(NOW()&gt;=tbl_MTG_Set[[#This Row],[Heavy Printing Window Start]], NOW()&lt;=tbl_MTG_Set[[#This Row],[Heavy Printing Window End]])</f>
        <v/>
      </c>
      <c r="T704">
        <f>_xlfn.XLOOKUP(tbl_MTG_Set[[#This Row],[Type Name]], tbl_MTG_Set_Type[Set Type], tbl_MTG_Set_Type[Sell Window Month Start], "(Set Type not found)", 0, 1)</f>
        <v/>
      </c>
      <c r="U704" s="3">
        <f>tbl_MTG_Set[[#This Row],[Released On]]+tbl_MTG_Set[[#This Row],[Sell Window Month Start]]*365.25/12</f>
        <v/>
      </c>
      <c r="V704">
        <f>_xlfn.XLOOKUP(tbl_MTG_Set[[#This Row],[Type Name]], tbl_MTG_Set_Type[Set Type], tbl_MTG_Set_Type[Sell Window Month End], "(Set Type not found)", 0, 1)</f>
        <v/>
      </c>
      <c r="W704" s="3">
        <f>tbl_MTG_Set[[#This Row],[Released On]]+tbl_MTG_Set[[#This Row],[Sell Window Month End]]*365.25/12</f>
        <v/>
      </c>
      <c r="X704" s="3">
        <f>AND(NOW()&gt;=tbl_MTG_Set[[#This Row],[Sell Window Start]], NOW()&lt;=tbl_MTG_Set[[#This Row],[Sell Window End]])</f>
        <v/>
      </c>
      <c r="AG704" s="10" t="n"/>
      <c r="AH704" s="10" t="n"/>
      <c r="AM704" s="10">
        <f t="array" ref="AM7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4" s="10">
        <f t="array" ref="AN7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4" s="4">
        <f>_xlfn.XLOOKUP(tbl_MTG_Set[[#This Row],[Play Booster Box Product Id]], tbl_Product[Product Id], tbl_Product[Pack Size])</f>
        <v/>
      </c>
      <c r="AP704" s="10">
        <f>(tbl_MTG_Set[[#This Row],[Play Booster Box Cost]]+v_Item_Shipping_Cost_In)/tbl_MTG_Set[[#This Row],[Play Booster Box Size]]</f>
        <v/>
      </c>
      <c r="AQ704" s="10">
        <f t="array" ref="AQ7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4" s="10" t="n"/>
      <c r="AS704" s="10" t="n"/>
      <c r="AT704" s="17">
        <f>tbl_MTG_Set[[#This Row],[Play Booster CardMarket Profit]]/tbl_MTG_Set[[#This Row],[Play Booster Cost]]</f>
        <v/>
      </c>
      <c r="AU704" s="10">
        <f>_xlfn.XLOOKUP(tbl_MTG_Set[[#This Row],[Collector Booster Box Product Id]], tbl_Product[Product Id], tbl_Product[Min Cost])</f>
        <v/>
      </c>
      <c r="AV704" s="10">
        <f>_xlfn.XLOOKUP(tbl_MTG_Set[[#This Row],[Collector Booster Box Product Id]], tbl_Product[Product Id], tbl_Product[Best Source])</f>
        <v/>
      </c>
      <c r="AW704" s="4">
        <f>_xlfn.XLOOKUP(tbl_MTG_Set[[#This Row],[Collector Booster Box Product Id]], tbl_Product[Product Id], tbl_Product[Pack Size])</f>
        <v/>
      </c>
      <c r="AX704" s="10">
        <f>(tbl_MTG_Set[[#This Row],[Collector Booster Box Cost]] + v_Item_Shipping_Cost_In) / tbl_MTG_Set[[#This Row],[Collector Booster Box Size]]</f>
        <v/>
      </c>
      <c r="AY704" s="10">
        <f t="array" ref="AY7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4" s="10" t="n"/>
      <c r="BA7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4" s="17">
        <f>tbl_MTG_Set[[#This Row],[Collector Booster CardMarket Profit]]/tbl_MTG_Set[[#This Row],[Collector Booster Cost]]</f>
        <v/>
      </c>
      <c r="BC704" s="10" t="n"/>
      <c r="BF704" s="10">
        <f>tbl_MTG_Set[[#This Row],[Play Booster Sell Price CardMarket]]*tbl_MTG_Set[[#This Row],[Play Booster Expected Market Value]]/tbl_MTG_Set[[#This Row],[Play Boost Sealed Market Value]]</f>
        <v/>
      </c>
      <c r="BG7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4" s="10">
        <f>tbl_MTG_Set[[#This Row],[Play Singles CardMarket Profit]]/tbl_MTG_Set[[#This Row],[Play Booster Cost]]</f>
        <v/>
      </c>
      <c r="BI704" s="10">
        <f>tbl_MTG_Set[[#This Row],[Play Singles CardMarket Profit]]&gt;0</f>
        <v/>
      </c>
      <c r="BJ704" s="10" t="n"/>
      <c r="BK704" s="10" t="n"/>
      <c r="BL704" s="10">
        <f>tbl_MTG_Set[[#This Row],[Collector Booster Sell Price CardMarket]]*tbl_MTG_Set[[#This Row],[Collector Booster Expected Market Value]]/tbl_MTG_Set[[#This Row],[Collector Boost Sealed Market Value]]</f>
        <v/>
      </c>
      <c r="BM7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4" s="10">
        <f>tbl_MTG_Set[[#This Row],[Collector Singles CardMarket Profit]]/tbl_MTG_Set[[#This Row],[Collector Booster Cost]]</f>
        <v/>
      </c>
      <c r="BO704" s="10">
        <f>tbl_MTG_Set[[#This Row],[Collector Singles CardMarket Profit]]&gt;0</f>
        <v/>
      </c>
      <c r="BP7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5">
      <c r="A705" t="n">
        <v>703</v>
      </c>
      <c r="B705" t="inlineStr">
        <is>
          <t>Open the Helvault PHEL</t>
        </is>
      </c>
      <c r="C705" t="n">
        <v>6</v>
      </c>
      <c r="D705" s="3" t="n">
        <v>41027</v>
      </c>
      <c r="F705" t="inlineStr">
        <is>
          <t>en es fr de it pt ja ko ru 汉语 漢語</t>
        </is>
      </c>
      <c r="G705" t="n">
        <v>1352</v>
      </c>
      <c r="H705">
        <f>MONTH(NOW())+12*YEAR(NOW())-MONTH(tbl_MTG_Set[[#This Row],[Released On]])-12*YEAR(tbl_MTG_Set[[#This Row],[Released On]])</f>
        <v/>
      </c>
      <c r="I705">
        <f>_xlfn.XLOOKUP(tbl_MTG_Set[[#This Row],[Type Name]], tbl_MTG_Set_Type[Set Type], tbl_MTG_Set_Type[Index], "(Set Type not found)")</f>
        <v/>
      </c>
      <c r="J705">
        <f>_xlfn.XLOOKUP(tbl_MTG_Set[[#This Row],[Type Name]], tbl_MTG_Set_Type[Set Type], tbl_MTG_Set_Type[Buy Window Month Start], "(Set Type not found)")</f>
        <v/>
      </c>
      <c r="K705" s="3">
        <f>tbl_MTG_Set[[#This Row],[Released On]]+tbl_MTG_Set[[#This Row],[Buy Window Month Start]]*365.25/12</f>
        <v/>
      </c>
      <c r="L705">
        <f>_xlfn.XLOOKUP(tbl_MTG_Set[[#This Row],[Type Name]], tbl_MTG_Set_Type[Set Type], tbl_MTG_Set_Type[Buy Window Month End], "(Set Type not found)", 0, 1)</f>
        <v/>
      </c>
      <c r="M705" s="3">
        <f>tbl_MTG_Set[[#This Row],[Released On]]+tbl_MTG_Set[[#This Row],[Buy Window Month End]]*365.25/12</f>
        <v/>
      </c>
      <c r="N705" s="3">
        <f>AND(NOW()&gt;=tbl_MTG_Set[[#This Row],[Buy Window Start]], NOW()&lt;=tbl_MTG_Set[[#This Row],[Buy Window End]])</f>
        <v/>
      </c>
      <c r="O705">
        <f>_xlfn.XLOOKUP(tbl_MTG_Set[[#This Row],[Type Name]], tbl_MTG_Set_Type[Set Type], tbl_MTG_Set_Type[Heavy Printing Window Month Start], "(Set Type not found)", 0, 1)</f>
        <v/>
      </c>
      <c r="P705" s="3">
        <f>tbl_MTG_Set[[#This Row],[Released On]]+tbl_MTG_Set[[#This Row],[Heavy Printing Window Month Start]]*365.25/12</f>
        <v/>
      </c>
      <c r="Q705">
        <f>_xlfn.XLOOKUP(tbl_MTG_Set[[#This Row],[Type Name]], tbl_MTG_Set_Type[Set Type], tbl_MTG_Set_Type[Heavy Printing Window Month End], "(Set Type not found)", 0, 1)</f>
        <v/>
      </c>
      <c r="R705" s="3">
        <f>tbl_MTG_Set[[#This Row],[Released On]]+tbl_MTG_Set[[#This Row],[Heavy Printing Window Month End]]*365.25/12</f>
        <v/>
      </c>
      <c r="S705" s="3">
        <f>AND(NOW()&gt;=tbl_MTG_Set[[#This Row],[Heavy Printing Window Start]], NOW()&lt;=tbl_MTG_Set[[#This Row],[Heavy Printing Window End]])</f>
        <v/>
      </c>
      <c r="T705">
        <f>_xlfn.XLOOKUP(tbl_MTG_Set[[#This Row],[Type Name]], tbl_MTG_Set_Type[Set Type], tbl_MTG_Set_Type[Sell Window Month Start], "(Set Type not found)", 0, 1)</f>
        <v/>
      </c>
      <c r="U705" s="3">
        <f>tbl_MTG_Set[[#This Row],[Released On]]+tbl_MTG_Set[[#This Row],[Sell Window Month Start]]*365.25/12</f>
        <v/>
      </c>
      <c r="V705">
        <f>_xlfn.XLOOKUP(tbl_MTG_Set[[#This Row],[Type Name]], tbl_MTG_Set_Type[Set Type], tbl_MTG_Set_Type[Sell Window Month End], "(Set Type not found)", 0, 1)</f>
        <v/>
      </c>
      <c r="W705" s="3">
        <f>tbl_MTG_Set[[#This Row],[Released On]]+tbl_MTG_Set[[#This Row],[Sell Window Month End]]*365.25/12</f>
        <v/>
      </c>
      <c r="X705" s="3">
        <f>AND(NOW()&gt;=tbl_MTG_Set[[#This Row],[Sell Window Start]], NOW()&lt;=tbl_MTG_Set[[#This Row],[Sell Window End]])</f>
        <v/>
      </c>
      <c r="AG705" s="10" t="n"/>
      <c r="AH705" s="10" t="n"/>
      <c r="AM705" s="10">
        <f t="array" ref="AM7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5" s="10">
        <f t="array" ref="AN7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5" s="4">
        <f>_xlfn.XLOOKUP(tbl_MTG_Set[[#This Row],[Play Booster Box Product Id]], tbl_Product[Product Id], tbl_Product[Pack Size])</f>
        <v/>
      </c>
      <c r="AP705" s="10">
        <f>(tbl_MTG_Set[[#This Row],[Play Booster Box Cost]]+v_Item_Shipping_Cost_In)/tbl_MTG_Set[[#This Row],[Play Booster Box Size]]</f>
        <v/>
      </c>
      <c r="AQ705" s="10">
        <f t="array" ref="AQ7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5" s="10" t="n"/>
      <c r="AS705" s="10" t="n"/>
      <c r="AT705" s="17">
        <f>tbl_MTG_Set[[#This Row],[Play Booster CardMarket Profit]]/tbl_MTG_Set[[#This Row],[Play Booster Cost]]</f>
        <v/>
      </c>
      <c r="AU705" s="10">
        <f>_xlfn.XLOOKUP(tbl_MTG_Set[[#This Row],[Collector Booster Box Product Id]], tbl_Product[Product Id], tbl_Product[Min Cost])</f>
        <v/>
      </c>
      <c r="AV705" s="10">
        <f>_xlfn.XLOOKUP(tbl_MTG_Set[[#This Row],[Collector Booster Box Product Id]], tbl_Product[Product Id], tbl_Product[Best Source])</f>
        <v/>
      </c>
      <c r="AW705" s="4">
        <f>_xlfn.XLOOKUP(tbl_MTG_Set[[#This Row],[Collector Booster Box Product Id]], tbl_Product[Product Id], tbl_Product[Pack Size])</f>
        <v/>
      </c>
      <c r="AX705" s="10">
        <f>(tbl_MTG_Set[[#This Row],[Collector Booster Box Cost]] + v_Item_Shipping_Cost_In) / tbl_MTG_Set[[#This Row],[Collector Booster Box Size]]</f>
        <v/>
      </c>
      <c r="AY705" s="10">
        <f t="array" ref="AY7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5" s="10" t="n"/>
      <c r="BA7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5" s="17">
        <f>tbl_MTG_Set[[#This Row],[Collector Booster CardMarket Profit]]/tbl_MTG_Set[[#This Row],[Collector Booster Cost]]</f>
        <v/>
      </c>
      <c r="BC705" s="10" t="n"/>
      <c r="BF705" s="10">
        <f>tbl_MTG_Set[[#This Row],[Play Booster Sell Price CardMarket]]*tbl_MTG_Set[[#This Row],[Play Booster Expected Market Value]]/tbl_MTG_Set[[#This Row],[Play Boost Sealed Market Value]]</f>
        <v/>
      </c>
      <c r="BG7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5" s="10">
        <f>tbl_MTG_Set[[#This Row],[Play Singles CardMarket Profit]]/tbl_MTG_Set[[#This Row],[Play Booster Cost]]</f>
        <v/>
      </c>
      <c r="BI705" s="10">
        <f>tbl_MTG_Set[[#This Row],[Play Singles CardMarket Profit]]&gt;0</f>
        <v/>
      </c>
      <c r="BJ705" s="10" t="n"/>
      <c r="BK705" s="10" t="n"/>
      <c r="BL705" s="10">
        <f>tbl_MTG_Set[[#This Row],[Collector Booster Sell Price CardMarket]]*tbl_MTG_Set[[#This Row],[Collector Booster Expected Market Value]]/tbl_MTG_Set[[#This Row],[Collector Boost Sealed Market Value]]</f>
        <v/>
      </c>
      <c r="BM7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5" s="10">
        <f>tbl_MTG_Set[[#This Row],[Collector Singles CardMarket Profit]]/tbl_MTG_Set[[#This Row],[Collector Booster Cost]]</f>
        <v/>
      </c>
      <c r="BO705" s="10">
        <f>tbl_MTG_Set[[#This Row],[Collector Singles CardMarket Profit]]&gt;0</f>
        <v/>
      </c>
      <c r="BP7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6">
      <c r="A706" t="n">
        <v>704</v>
      </c>
      <c r="B706" t="inlineStr">
        <is>
          <t>Duel Decks: Venser vs. Koth DDI</t>
        </is>
      </c>
      <c r="C706" t="n">
        <v>77</v>
      </c>
      <c r="D706" s="3" t="n">
        <v>40998</v>
      </c>
      <c r="F706" t="inlineStr">
        <is>
          <t>en es fr de it pt ja ko ru 汉语 漢語</t>
        </is>
      </c>
      <c r="G706" t="n">
        <v>1354</v>
      </c>
      <c r="H706">
        <f>MONTH(NOW())+12*YEAR(NOW())-MONTH(tbl_MTG_Set[[#This Row],[Released On]])-12*YEAR(tbl_MTG_Set[[#This Row],[Released On]])</f>
        <v/>
      </c>
      <c r="I706">
        <f>_xlfn.XLOOKUP(tbl_MTG_Set[[#This Row],[Type Name]], tbl_MTG_Set_Type[Set Type], tbl_MTG_Set_Type[Index], "(Set Type not found)")</f>
        <v/>
      </c>
      <c r="J706">
        <f>_xlfn.XLOOKUP(tbl_MTG_Set[[#This Row],[Type Name]], tbl_MTG_Set_Type[Set Type], tbl_MTG_Set_Type[Buy Window Month Start], "(Set Type not found)")</f>
        <v/>
      </c>
      <c r="K706" s="3">
        <f>tbl_MTG_Set[[#This Row],[Released On]]+tbl_MTG_Set[[#This Row],[Buy Window Month Start]]*365.25/12</f>
        <v/>
      </c>
      <c r="L706">
        <f>_xlfn.XLOOKUP(tbl_MTG_Set[[#This Row],[Type Name]], tbl_MTG_Set_Type[Set Type], tbl_MTG_Set_Type[Buy Window Month End], "(Set Type not found)", 0, 1)</f>
        <v/>
      </c>
      <c r="M706" s="3">
        <f>tbl_MTG_Set[[#This Row],[Released On]]+tbl_MTG_Set[[#This Row],[Buy Window Month End]]*365.25/12</f>
        <v/>
      </c>
      <c r="N706" s="3">
        <f>AND(NOW()&gt;=tbl_MTG_Set[[#This Row],[Buy Window Start]], NOW()&lt;=tbl_MTG_Set[[#This Row],[Buy Window End]])</f>
        <v/>
      </c>
      <c r="O706">
        <f>_xlfn.XLOOKUP(tbl_MTG_Set[[#This Row],[Type Name]], tbl_MTG_Set_Type[Set Type], tbl_MTG_Set_Type[Heavy Printing Window Month Start], "(Set Type not found)", 0, 1)</f>
        <v/>
      </c>
      <c r="P706" s="3">
        <f>tbl_MTG_Set[[#This Row],[Released On]]+tbl_MTG_Set[[#This Row],[Heavy Printing Window Month Start]]*365.25/12</f>
        <v/>
      </c>
      <c r="Q706">
        <f>_xlfn.XLOOKUP(tbl_MTG_Set[[#This Row],[Type Name]], tbl_MTG_Set_Type[Set Type], tbl_MTG_Set_Type[Heavy Printing Window Month End], "(Set Type not found)", 0, 1)</f>
        <v/>
      </c>
      <c r="R706" s="3">
        <f>tbl_MTG_Set[[#This Row],[Released On]]+tbl_MTG_Set[[#This Row],[Heavy Printing Window Month End]]*365.25/12</f>
        <v/>
      </c>
      <c r="S706" s="3">
        <f>AND(NOW()&gt;=tbl_MTG_Set[[#This Row],[Heavy Printing Window Start]], NOW()&lt;=tbl_MTG_Set[[#This Row],[Heavy Printing Window End]])</f>
        <v/>
      </c>
      <c r="T706">
        <f>_xlfn.XLOOKUP(tbl_MTG_Set[[#This Row],[Type Name]], tbl_MTG_Set_Type[Set Type], tbl_MTG_Set_Type[Sell Window Month Start], "(Set Type not found)", 0, 1)</f>
        <v/>
      </c>
      <c r="U706" s="3">
        <f>tbl_MTG_Set[[#This Row],[Released On]]+tbl_MTG_Set[[#This Row],[Sell Window Month Start]]*365.25/12</f>
        <v/>
      </c>
      <c r="V706">
        <f>_xlfn.XLOOKUP(tbl_MTG_Set[[#This Row],[Type Name]], tbl_MTG_Set_Type[Set Type], tbl_MTG_Set_Type[Sell Window Month End], "(Set Type not found)", 0, 1)</f>
        <v/>
      </c>
      <c r="W706" s="3">
        <f>tbl_MTG_Set[[#This Row],[Released On]]+tbl_MTG_Set[[#This Row],[Sell Window Month End]]*365.25/12</f>
        <v/>
      </c>
      <c r="X706" s="3">
        <f>AND(NOW()&gt;=tbl_MTG_Set[[#This Row],[Sell Window Start]], NOW()&lt;=tbl_MTG_Set[[#This Row],[Sell Window End]])</f>
        <v/>
      </c>
      <c r="AG706" s="10" t="n"/>
      <c r="AH706" s="10" t="n"/>
      <c r="AM706" s="10">
        <f t="array" ref="AM7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6" s="10">
        <f t="array" ref="AN7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6" s="4">
        <f>_xlfn.XLOOKUP(tbl_MTG_Set[[#This Row],[Play Booster Box Product Id]], tbl_Product[Product Id], tbl_Product[Pack Size])</f>
        <v/>
      </c>
      <c r="AP706" s="10">
        <f>(tbl_MTG_Set[[#This Row],[Play Booster Box Cost]]+v_Item_Shipping_Cost_In)/tbl_MTG_Set[[#This Row],[Play Booster Box Size]]</f>
        <v/>
      </c>
      <c r="AQ706" s="10">
        <f t="array" ref="AQ7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6" s="10" t="n"/>
      <c r="AS706" s="10" t="n"/>
      <c r="AT706" s="17">
        <f>tbl_MTG_Set[[#This Row],[Play Booster CardMarket Profit]]/tbl_MTG_Set[[#This Row],[Play Booster Cost]]</f>
        <v/>
      </c>
      <c r="AU706" s="10">
        <f>_xlfn.XLOOKUP(tbl_MTG_Set[[#This Row],[Collector Booster Box Product Id]], tbl_Product[Product Id], tbl_Product[Min Cost])</f>
        <v/>
      </c>
      <c r="AV706" s="10">
        <f>_xlfn.XLOOKUP(tbl_MTG_Set[[#This Row],[Collector Booster Box Product Id]], tbl_Product[Product Id], tbl_Product[Best Source])</f>
        <v/>
      </c>
      <c r="AW706" s="4">
        <f>_xlfn.XLOOKUP(tbl_MTG_Set[[#This Row],[Collector Booster Box Product Id]], tbl_Product[Product Id], tbl_Product[Pack Size])</f>
        <v/>
      </c>
      <c r="AX706" s="10">
        <f>(tbl_MTG_Set[[#This Row],[Collector Booster Box Cost]] + v_Item_Shipping_Cost_In) / tbl_MTG_Set[[#This Row],[Collector Booster Box Size]]</f>
        <v/>
      </c>
      <c r="AY706" s="10">
        <f t="array" ref="AY7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6" s="10" t="n"/>
      <c r="BA7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6" s="17">
        <f>tbl_MTG_Set[[#This Row],[Collector Booster CardMarket Profit]]/tbl_MTG_Set[[#This Row],[Collector Booster Cost]]</f>
        <v/>
      </c>
      <c r="BC706" s="10" t="n"/>
      <c r="BF706" s="10">
        <f>tbl_MTG_Set[[#This Row],[Play Booster Sell Price CardMarket]]*tbl_MTG_Set[[#This Row],[Play Booster Expected Market Value]]/tbl_MTG_Set[[#This Row],[Play Boost Sealed Market Value]]</f>
        <v/>
      </c>
      <c r="BG7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6" s="10">
        <f>tbl_MTG_Set[[#This Row],[Play Singles CardMarket Profit]]/tbl_MTG_Set[[#This Row],[Play Booster Cost]]</f>
        <v/>
      </c>
      <c r="BI706" s="10">
        <f>tbl_MTG_Set[[#This Row],[Play Singles CardMarket Profit]]&gt;0</f>
        <v/>
      </c>
      <c r="BJ706" s="10" t="n"/>
      <c r="BK706" s="10" t="n"/>
      <c r="BL706" s="10">
        <f>tbl_MTG_Set[[#This Row],[Collector Booster Sell Price CardMarket]]*tbl_MTG_Set[[#This Row],[Collector Booster Expected Market Value]]/tbl_MTG_Set[[#This Row],[Collector Boost Sealed Market Value]]</f>
        <v/>
      </c>
      <c r="BM7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6" s="10">
        <f>tbl_MTG_Set[[#This Row],[Collector Singles CardMarket Profit]]/tbl_MTG_Set[[#This Row],[Collector Booster Cost]]</f>
        <v/>
      </c>
      <c r="BO706" s="10">
        <f>tbl_MTG_Set[[#This Row],[Collector Singles CardMarket Profit]]&gt;0</f>
        <v/>
      </c>
      <c r="BP7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7">
      <c r="A707" t="n">
        <v>705</v>
      </c>
      <c r="B707" t="inlineStr">
        <is>
          <t>Duel Decks: Venser vs. Koth Tokens TDDI</t>
        </is>
      </c>
      <c r="C707" t="n">
        <v>2</v>
      </c>
      <c r="D707" s="3" t="n">
        <v>40998</v>
      </c>
      <c r="F707" t="inlineStr">
        <is>
          <t>en es fr de it pt ja ko ru 汉语 漢語</t>
        </is>
      </c>
      <c r="G707" t="n">
        <v>1356</v>
      </c>
      <c r="H707">
        <f>MONTH(NOW())+12*YEAR(NOW())-MONTH(tbl_MTG_Set[[#This Row],[Released On]])-12*YEAR(tbl_MTG_Set[[#This Row],[Released On]])</f>
        <v/>
      </c>
      <c r="I707">
        <f>_xlfn.XLOOKUP(tbl_MTG_Set[[#This Row],[Type Name]], tbl_MTG_Set_Type[Set Type], tbl_MTG_Set_Type[Index], "(Set Type not found)")</f>
        <v/>
      </c>
      <c r="J707">
        <f>_xlfn.XLOOKUP(tbl_MTG_Set[[#This Row],[Type Name]], tbl_MTG_Set_Type[Set Type], tbl_MTG_Set_Type[Buy Window Month Start], "(Set Type not found)")</f>
        <v/>
      </c>
      <c r="K707" s="3">
        <f>tbl_MTG_Set[[#This Row],[Released On]]+tbl_MTG_Set[[#This Row],[Buy Window Month Start]]*365.25/12</f>
        <v/>
      </c>
      <c r="L707">
        <f>_xlfn.XLOOKUP(tbl_MTG_Set[[#This Row],[Type Name]], tbl_MTG_Set_Type[Set Type], tbl_MTG_Set_Type[Buy Window Month End], "(Set Type not found)", 0, 1)</f>
        <v/>
      </c>
      <c r="M707" s="3">
        <f>tbl_MTG_Set[[#This Row],[Released On]]+tbl_MTG_Set[[#This Row],[Buy Window Month End]]*365.25/12</f>
        <v/>
      </c>
      <c r="N707" s="3">
        <f>AND(NOW()&gt;=tbl_MTG_Set[[#This Row],[Buy Window Start]], NOW()&lt;=tbl_MTG_Set[[#This Row],[Buy Window End]])</f>
        <v/>
      </c>
      <c r="O707">
        <f>_xlfn.XLOOKUP(tbl_MTG_Set[[#This Row],[Type Name]], tbl_MTG_Set_Type[Set Type], tbl_MTG_Set_Type[Heavy Printing Window Month Start], "(Set Type not found)", 0, 1)</f>
        <v/>
      </c>
      <c r="P707" s="3">
        <f>tbl_MTG_Set[[#This Row],[Released On]]+tbl_MTG_Set[[#This Row],[Heavy Printing Window Month Start]]*365.25/12</f>
        <v/>
      </c>
      <c r="Q707">
        <f>_xlfn.XLOOKUP(tbl_MTG_Set[[#This Row],[Type Name]], tbl_MTG_Set_Type[Set Type], tbl_MTG_Set_Type[Heavy Printing Window Month End], "(Set Type not found)", 0, 1)</f>
        <v/>
      </c>
      <c r="R707" s="3">
        <f>tbl_MTG_Set[[#This Row],[Released On]]+tbl_MTG_Set[[#This Row],[Heavy Printing Window Month End]]*365.25/12</f>
        <v/>
      </c>
      <c r="S707" s="3">
        <f>AND(NOW()&gt;=tbl_MTG_Set[[#This Row],[Heavy Printing Window Start]], NOW()&lt;=tbl_MTG_Set[[#This Row],[Heavy Printing Window End]])</f>
        <v/>
      </c>
      <c r="T707">
        <f>_xlfn.XLOOKUP(tbl_MTG_Set[[#This Row],[Type Name]], tbl_MTG_Set_Type[Set Type], tbl_MTG_Set_Type[Sell Window Month Start], "(Set Type not found)", 0, 1)</f>
        <v/>
      </c>
      <c r="U707" s="3">
        <f>tbl_MTG_Set[[#This Row],[Released On]]+tbl_MTG_Set[[#This Row],[Sell Window Month Start]]*365.25/12</f>
        <v/>
      </c>
      <c r="V707">
        <f>_xlfn.XLOOKUP(tbl_MTG_Set[[#This Row],[Type Name]], tbl_MTG_Set_Type[Set Type], tbl_MTG_Set_Type[Sell Window Month End], "(Set Type not found)", 0, 1)</f>
        <v/>
      </c>
      <c r="W707" s="3">
        <f>tbl_MTG_Set[[#This Row],[Released On]]+tbl_MTG_Set[[#This Row],[Sell Window Month End]]*365.25/12</f>
        <v/>
      </c>
      <c r="X707" s="3">
        <f>AND(NOW()&gt;=tbl_MTG_Set[[#This Row],[Sell Window Start]], NOW()&lt;=tbl_MTG_Set[[#This Row],[Sell Window End]])</f>
        <v/>
      </c>
      <c r="AG707" s="10" t="n"/>
      <c r="AH707" s="10" t="n"/>
      <c r="AM707" s="10">
        <f t="array" ref="AM7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7" s="10">
        <f t="array" ref="AN7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7" s="4">
        <f>_xlfn.XLOOKUP(tbl_MTG_Set[[#This Row],[Play Booster Box Product Id]], tbl_Product[Product Id], tbl_Product[Pack Size])</f>
        <v/>
      </c>
      <c r="AP707" s="10">
        <f>(tbl_MTG_Set[[#This Row],[Play Booster Box Cost]]+v_Item_Shipping_Cost_In)/tbl_MTG_Set[[#This Row],[Play Booster Box Size]]</f>
        <v/>
      </c>
      <c r="AQ707" s="10">
        <f t="array" ref="AQ7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7" s="10" t="n"/>
      <c r="AS707" s="10" t="n"/>
      <c r="AT707" s="17">
        <f>tbl_MTG_Set[[#This Row],[Play Booster CardMarket Profit]]/tbl_MTG_Set[[#This Row],[Play Booster Cost]]</f>
        <v/>
      </c>
      <c r="AU707" s="10">
        <f>_xlfn.XLOOKUP(tbl_MTG_Set[[#This Row],[Collector Booster Box Product Id]], tbl_Product[Product Id], tbl_Product[Min Cost])</f>
        <v/>
      </c>
      <c r="AV707" s="10">
        <f>_xlfn.XLOOKUP(tbl_MTG_Set[[#This Row],[Collector Booster Box Product Id]], tbl_Product[Product Id], tbl_Product[Best Source])</f>
        <v/>
      </c>
      <c r="AW707" s="4">
        <f>_xlfn.XLOOKUP(tbl_MTG_Set[[#This Row],[Collector Booster Box Product Id]], tbl_Product[Product Id], tbl_Product[Pack Size])</f>
        <v/>
      </c>
      <c r="AX707" s="10">
        <f>(tbl_MTG_Set[[#This Row],[Collector Booster Box Cost]] + v_Item_Shipping_Cost_In) / tbl_MTG_Set[[#This Row],[Collector Booster Box Size]]</f>
        <v/>
      </c>
      <c r="AY707" s="10">
        <f t="array" ref="AY7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7" s="10" t="n"/>
      <c r="BA7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7" s="17">
        <f>tbl_MTG_Set[[#This Row],[Collector Booster CardMarket Profit]]/tbl_MTG_Set[[#This Row],[Collector Booster Cost]]</f>
        <v/>
      </c>
      <c r="BC707" s="10" t="n"/>
      <c r="BF707" s="10">
        <f>tbl_MTG_Set[[#This Row],[Play Booster Sell Price CardMarket]]*tbl_MTG_Set[[#This Row],[Play Booster Expected Market Value]]/tbl_MTG_Set[[#This Row],[Play Boost Sealed Market Value]]</f>
        <v/>
      </c>
      <c r="BG7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7" s="10">
        <f>tbl_MTG_Set[[#This Row],[Play Singles CardMarket Profit]]/tbl_MTG_Set[[#This Row],[Play Booster Cost]]</f>
        <v/>
      </c>
      <c r="BI707" s="10">
        <f>tbl_MTG_Set[[#This Row],[Play Singles CardMarket Profit]]&gt;0</f>
        <v/>
      </c>
      <c r="BJ707" s="10" t="n"/>
      <c r="BK707" s="10" t="n"/>
      <c r="BL707" s="10">
        <f>tbl_MTG_Set[[#This Row],[Collector Booster Sell Price CardMarket]]*tbl_MTG_Set[[#This Row],[Collector Booster Expected Market Value]]/tbl_MTG_Set[[#This Row],[Collector Boost Sealed Market Value]]</f>
        <v/>
      </c>
      <c r="BM7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7" s="10">
        <f>tbl_MTG_Set[[#This Row],[Collector Singles CardMarket Profit]]/tbl_MTG_Set[[#This Row],[Collector Booster Cost]]</f>
        <v/>
      </c>
      <c r="BO707" s="10">
        <f>tbl_MTG_Set[[#This Row],[Collector Singles CardMarket Profit]]&gt;0</f>
        <v/>
      </c>
      <c r="BP7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8">
      <c r="A708" t="n">
        <v>706</v>
      </c>
      <c r="B708" t="inlineStr">
        <is>
          <t>Dark Ascension DKA</t>
        </is>
      </c>
      <c r="C708" t="n">
        <v>158</v>
      </c>
      <c r="D708" s="3" t="n">
        <v>40942</v>
      </c>
      <c r="F708" t="inlineStr">
        <is>
          <t>en es fr de it pt ja ko ru 汉语 漢語</t>
        </is>
      </c>
      <c r="G708" t="n">
        <v>1358</v>
      </c>
      <c r="H708">
        <f>MONTH(NOW())+12*YEAR(NOW())-MONTH(tbl_MTG_Set[[#This Row],[Released On]])-12*YEAR(tbl_MTG_Set[[#This Row],[Released On]])</f>
        <v/>
      </c>
      <c r="I708">
        <f>_xlfn.XLOOKUP(tbl_MTG_Set[[#This Row],[Type Name]], tbl_MTG_Set_Type[Set Type], tbl_MTG_Set_Type[Index], "(Set Type not found)")</f>
        <v/>
      </c>
      <c r="J708">
        <f>_xlfn.XLOOKUP(tbl_MTG_Set[[#This Row],[Type Name]], tbl_MTG_Set_Type[Set Type], tbl_MTG_Set_Type[Buy Window Month Start], "(Set Type not found)")</f>
        <v/>
      </c>
      <c r="K708" s="3">
        <f>tbl_MTG_Set[[#This Row],[Released On]]+tbl_MTG_Set[[#This Row],[Buy Window Month Start]]*365.25/12</f>
        <v/>
      </c>
      <c r="L708">
        <f>_xlfn.XLOOKUP(tbl_MTG_Set[[#This Row],[Type Name]], tbl_MTG_Set_Type[Set Type], tbl_MTG_Set_Type[Buy Window Month End], "(Set Type not found)", 0, 1)</f>
        <v/>
      </c>
      <c r="M708" s="3">
        <f>tbl_MTG_Set[[#This Row],[Released On]]+tbl_MTG_Set[[#This Row],[Buy Window Month End]]*365.25/12</f>
        <v/>
      </c>
      <c r="N708" s="3">
        <f>AND(NOW()&gt;=tbl_MTG_Set[[#This Row],[Buy Window Start]], NOW()&lt;=tbl_MTG_Set[[#This Row],[Buy Window End]])</f>
        <v/>
      </c>
      <c r="O708">
        <f>_xlfn.XLOOKUP(tbl_MTG_Set[[#This Row],[Type Name]], tbl_MTG_Set_Type[Set Type], tbl_MTG_Set_Type[Heavy Printing Window Month Start], "(Set Type not found)", 0, 1)</f>
        <v/>
      </c>
      <c r="P708" s="3">
        <f>tbl_MTG_Set[[#This Row],[Released On]]+tbl_MTG_Set[[#This Row],[Heavy Printing Window Month Start]]*365.25/12</f>
        <v/>
      </c>
      <c r="Q708">
        <f>_xlfn.XLOOKUP(tbl_MTG_Set[[#This Row],[Type Name]], tbl_MTG_Set_Type[Set Type], tbl_MTG_Set_Type[Heavy Printing Window Month End], "(Set Type not found)", 0, 1)</f>
        <v/>
      </c>
      <c r="R708" s="3">
        <f>tbl_MTG_Set[[#This Row],[Released On]]+tbl_MTG_Set[[#This Row],[Heavy Printing Window Month End]]*365.25/12</f>
        <v/>
      </c>
      <c r="S708" s="3">
        <f>AND(NOW()&gt;=tbl_MTG_Set[[#This Row],[Heavy Printing Window Start]], NOW()&lt;=tbl_MTG_Set[[#This Row],[Heavy Printing Window End]])</f>
        <v/>
      </c>
      <c r="T708">
        <f>_xlfn.XLOOKUP(tbl_MTG_Set[[#This Row],[Type Name]], tbl_MTG_Set_Type[Set Type], tbl_MTG_Set_Type[Sell Window Month Start], "(Set Type not found)", 0, 1)</f>
        <v/>
      </c>
      <c r="U708" s="3">
        <f>tbl_MTG_Set[[#This Row],[Released On]]+tbl_MTG_Set[[#This Row],[Sell Window Month Start]]*365.25/12</f>
        <v/>
      </c>
      <c r="V708">
        <f>_xlfn.XLOOKUP(tbl_MTG_Set[[#This Row],[Type Name]], tbl_MTG_Set_Type[Set Type], tbl_MTG_Set_Type[Sell Window Month End], "(Set Type not found)", 0, 1)</f>
        <v/>
      </c>
      <c r="W708" s="3">
        <f>tbl_MTG_Set[[#This Row],[Released On]]+tbl_MTG_Set[[#This Row],[Sell Window Month End]]*365.25/12</f>
        <v/>
      </c>
      <c r="X708" s="3">
        <f>AND(NOW()&gt;=tbl_MTG_Set[[#This Row],[Sell Window Start]], NOW()&lt;=tbl_MTG_Set[[#This Row],[Sell Window End]])</f>
        <v/>
      </c>
      <c r="AG708" s="10" t="n"/>
      <c r="AH708" s="10" t="n"/>
      <c r="AM708" s="10">
        <f t="array" ref="AM7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8" s="10">
        <f t="array" ref="AN7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8" s="4">
        <f>_xlfn.XLOOKUP(tbl_MTG_Set[[#This Row],[Play Booster Box Product Id]], tbl_Product[Product Id], tbl_Product[Pack Size])</f>
        <v/>
      </c>
      <c r="AP708" s="10">
        <f>(tbl_MTG_Set[[#This Row],[Play Booster Box Cost]]+v_Item_Shipping_Cost_In)/tbl_MTG_Set[[#This Row],[Play Booster Box Size]]</f>
        <v/>
      </c>
      <c r="AQ708" s="10">
        <f t="array" ref="AQ7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8" s="10" t="n"/>
      <c r="AS708" s="10" t="n"/>
      <c r="AT708" s="17">
        <f>tbl_MTG_Set[[#This Row],[Play Booster CardMarket Profit]]/tbl_MTG_Set[[#This Row],[Play Booster Cost]]</f>
        <v/>
      </c>
      <c r="AU708" s="10">
        <f>_xlfn.XLOOKUP(tbl_MTG_Set[[#This Row],[Collector Booster Box Product Id]], tbl_Product[Product Id], tbl_Product[Min Cost])</f>
        <v/>
      </c>
      <c r="AV708" s="10">
        <f>_xlfn.XLOOKUP(tbl_MTG_Set[[#This Row],[Collector Booster Box Product Id]], tbl_Product[Product Id], tbl_Product[Best Source])</f>
        <v/>
      </c>
      <c r="AW708" s="4">
        <f>_xlfn.XLOOKUP(tbl_MTG_Set[[#This Row],[Collector Booster Box Product Id]], tbl_Product[Product Id], tbl_Product[Pack Size])</f>
        <v/>
      </c>
      <c r="AX708" s="10">
        <f>(tbl_MTG_Set[[#This Row],[Collector Booster Box Cost]] + v_Item_Shipping_Cost_In) / tbl_MTG_Set[[#This Row],[Collector Booster Box Size]]</f>
        <v/>
      </c>
      <c r="AY708" s="10">
        <f t="array" ref="AY7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8" s="10" t="n"/>
      <c r="BA7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8" s="17">
        <f>tbl_MTG_Set[[#This Row],[Collector Booster CardMarket Profit]]/tbl_MTG_Set[[#This Row],[Collector Booster Cost]]</f>
        <v/>
      </c>
      <c r="BC708" s="10" t="n"/>
      <c r="BF708" s="10">
        <f>tbl_MTG_Set[[#This Row],[Play Booster Sell Price CardMarket]]*tbl_MTG_Set[[#This Row],[Play Booster Expected Market Value]]/tbl_MTG_Set[[#This Row],[Play Boost Sealed Market Value]]</f>
        <v/>
      </c>
      <c r="BG7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8" s="10">
        <f>tbl_MTG_Set[[#This Row],[Play Singles CardMarket Profit]]/tbl_MTG_Set[[#This Row],[Play Booster Cost]]</f>
        <v/>
      </c>
      <c r="BI708" s="10">
        <f>tbl_MTG_Set[[#This Row],[Play Singles CardMarket Profit]]&gt;0</f>
        <v/>
      </c>
      <c r="BJ708" s="10" t="n"/>
      <c r="BK708" s="10" t="n"/>
      <c r="BL708" s="10">
        <f>tbl_MTG_Set[[#This Row],[Collector Booster Sell Price CardMarket]]*tbl_MTG_Set[[#This Row],[Collector Booster Expected Market Value]]/tbl_MTG_Set[[#This Row],[Collector Boost Sealed Market Value]]</f>
        <v/>
      </c>
      <c r="BM7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8" s="10">
        <f>tbl_MTG_Set[[#This Row],[Collector Singles CardMarket Profit]]/tbl_MTG_Set[[#This Row],[Collector Booster Cost]]</f>
        <v/>
      </c>
      <c r="BO708" s="10">
        <f>tbl_MTG_Set[[#This Row],[Collector Singles CardMarket Profit]]&gt;0</f>
        <v/>
      </c>
      <c r="BP7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9">
      <c r="A709" t="n">
        <v>707</v>
      </c>
      <c r="B709" t="inlineStr">
        <is>
          <t>Dark Ascension Promos PDKA</t>
        </is>
      </c>
      <c r="C709" t="n">
        <v>5</v>
      </c>
      <c r="D709" s="3" t="n">
        <v>40936</v>
      </c>
      <c r="F709" t="inlineStr">
        <is>
          <t>en es fr de it pt ja ko ru 汉语 漢語</t>
        </is>
      </c>
      <c r="G709" t="n">
        <v>1360</v>
      </c>
      <c r="H709">
        <f>MONTH(NOW())+12*YEAR(NOW())-MONTH(tbl_MTG_Set[[#This Row],[Released On]])-12*YEAR(tbl_MTG_Set[[#This Row],[Released On]])</f>
        <v/>
      </c>
      <c r="I709">
        <f>_xlfn.XLOOKUP(tbl_MTG_Set[[#This Row],[Type Name]], tbl_MTG_Set_Type[Set Type], tbl_MTG_Set_Type[Index], "(Set Type not found)")</f>
        <v/>
      </c>
      <c r="J709">
        <f>_xlfn.XLOOKUP(tbl_MTG_Set[[#This Row],[Type Name]], tbl_MTG_Set_Type[Set Type], tbl_MTG_Set_Type[Buy Window Month Start], "(Set Type not found)")</f>
        <v/>
      </c>
      <c r="K709" s="3">
        <f>tbl_MTG_Set[[#This Row],[Released On]]+tbl_MTG_Set[[#This Row],[Buy Window Month Start]]*365.25/12</f>
        <v/>
      </c>
      <c r="L709">
        <f>_xlfn.XLOOKUP(tbl_MTG_Set[[#This Row],[Type Name]], tbl_MTG_Set_Type[Set Type], tbl_MTG_Set_Type[Buy Window Month End], "(Set Type not found)", 0, 1)</f>
        <v/>
      </c>
      <c r="M709" s="3">
        <f>tbl_MTG_Set[[#This Row],[Released On]]+tbl_MTG_Set[[#This Row],[Buy Window Month End]]*365.25/12</f>
        <v/>
      </c>
      <c r="N709" s="3">
        <f>AND(NOW()&gt;=tbl_MTG_Set[[#This Row],[Buy Window Start]], NOW()&lt;=tbl_MTG_Set[[#This Row],[Buy Window End]])</f>
        <v/>
      </c>
      <c r="O709">
        <f>_xlfn.XLOOKUP(tbl_MTG_Set[[#This Row],[Type Name]], tbl_MTG_Set_Type[Set Type], tbl_MTG_Set_Type[Heavy Printing Window Month Start], "(Set Type not found)", 0, 1)</f>
        <v/>
      </c>
      <c r="P709" s="3">
        <f>tbl_MTG_Set[[#This Row],[Released On]]+tbl_MTG_Set[[#This Row],[Heavy Printing Window Month Start]]*365.25/12</f>
        <v/>
      </c>
      <c r="Q709">
        <f>_xlfn.XLOOKUP(tbl_MTG_Set[[#This Row],[Type Name]], tbl_MTG_Set_Type[Set Type], tbl_MTG_Set_Type[Heavy Printing Window Month End], "(Set Type not found)", 0, 1)</f>
        <v/>
      </c>
      <c r="R709" s="3">
        <f>tbl_MTG_Set[[#This Row],[Released On]]+tbl_MTG_Set[[#This Row],[Heavy Printing Window Month End]]*365.25/12</f>
        <v/>
      </c>
      <c r="S709" s="3">
        <f>AND(NOW()&gt;=tbl_MTG_Set[[#This Row],[Heavy Printing Window Start]], NOW()&lt;=tbl_MTG_Set[[#This Row],[Heavy Printing Window End]])</f>
        <v/>
      </c>
      <c r="T709">
        <f>_xlfn.XLOOKUP(tbl_MTG_Set[[#This Row],[Type Name]], tbl_MTG_Set_Type[Set Type], tbl_MTG_Set_Type[Sell Window Month Start], "(Set Type not found)", 0, 1)</f>
        <v/>
      </c>
      <c r="U709" s="3">
        <f>tbl_MTG_Set[[#This Row],[Released On]]+tbl_MTG_Set[[#This Row],[Sell Window Month Start]]*365.25/12</f>
        <v/>
      </c>
      <c r="V709">
        <f>_xlfn.XLOOKUP(tbl_MTG_Set[[#This Row],[Type Name]], tbl_MTG_Set_Type[Set Type], tbl_MTG_Set_Type[Sell Window Month End], "(Set Type not found)", 0, 1)</f>
        <v/>
      </c>
      <c r="W709" s="3">
        <f>tbl_MTG_Set[[#This Row],[Released On]]+tbl_MTG_Set[[#This Row],[Sell Window Month End]]*365.25/12</f>
        <v/>
      </c>
      <c r="X709" s="3">
        <f>AND(NOW()&gt;=tbl_MTG_Set[[#This Row],[Sell Window Start]], NOW()&lt;=tbl_MTG_Set[[#This Row],[Sell Window End]])</f>
        <v/>
      </c>
      <c r="AG709" s="10" t="n"/>
      <c r="AH709" s="10" t="n"/>
      <c r="AM709" s="10">
        <f t="array" ref="AM7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9" s="10">
        <f t="array" ref="AN7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9" s="4">
        <f>_xlfn.XLOOKUP(tbl_MTG_Set[[#This Row],[Play Booster Box Product Id]], tbl_Product[Product Id], tbl_Product[Pack Size])</f>
        <v/>
      </c>
      <c r="AP709" s="10">
        <f>(tbl_MTG_Set[[#This Row],[Play Booster Box Cost]]+v_Item_Shipping_Cost_In)/tbl_MTG_Set[[#This Row],[Play Booster Box Size]]</f>
        <v/>
      </c>
      <c r="AQ709" s="10">
        <f t="array" ref="AQ7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09" s="10" t="n"/>
      <c r="AS709" s="10" t="n"/>
      <c r="AT709" s="17">
        <f>tbl_MTG_Set[[#This Row],[Play Booster CardMarket Profit]]/tbl_MTG_Set[[#This Row],[Play Booster Cost]]</f>
        <v/>
      </c>
      <c r="AU709" s="10">
        <f>_xlfn.XLOOKUP(tbl_MTG_Set[[#This Row],[Collector Booster Box Product Id]], tbl_Product[Product Id], tbl_Product[Min Cost])</f>
        <v/>
      </c>
      <c r="AV709" s="10">
        <f>_xlfn.XLOOKUP(tbl_MTG_Set[[#This Row],[Collector Booster Box Product Id]], tbl_Product[Product Id], tbl_Product[Best Source])</f>
        <v/>
      </c>
      <c r="AW709" s="4">
        <f>_xlfn.XLOOKUP(tbl_MTG_Set[[#This Row],[Collector Booster Box Product Id]], tbl_Product[Product Id], tbl_Product[Pack Size])</f>
        <v/>
      </c>
      <c r="AX709" s="10">
        <f>(tbl_MTG_Set[[#This Row],[Collector Booster Box Cost]] + v_Item_Shipping_Cost_In) / tbl_MTG_Set[[#This Row],[Collector Booster Box Size]]</f>
        <v/>
      </c>
      <c r="AY709" s="10">
        <f t="array" ref="AY7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09" s="10" t="n"/>
      <c r="BA7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9" s="17">
        <f>tbl_MTG_Set[[#This Row],[Collector Booster CardMarket Profit]]/tbl_MTG_Set[[#This Row],[Collector Booster Cost]]</f>
        <v/>
      </c>
      <c r="BC709" s="10" t="n"/>
      <c r="BF709" s="10">
        <f>tbl_MTG_Set[[#This Row],[Play Booster Sell Price CardMarket]]*tbl_MTG_Set[[#This Row],[Play Booster Expected Market Value]]/tbl_MTG_Set[[#This Row],[Play Boost Sealed Market Value]]</f>
        <v/>
      </c>
      <c r="BG7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9" s="10">
        <f>tbl_MTG_Set[[#This Row],[Play Singles CardMarket Profit]]/tbl_MTG_Set[[#This Row],[Play Booster Cost]]</f>
        <v/>
      </c>
      <c r="BI709" s="10">
        <f>tbl_MTG_Set[[#This Row],[Play Singles CardMarket Profit]]&gt;0</f>
        <v/>
      </c>
      <c r="BJ709" s="10" t="n"/>
      <c r="BK709" s="10" t="n"/>
      <c r="BL709" s="10">
        <f>tbl_MTG_Set[[#This Row],[Collector Booster Sell Price CardMarket]]*tbl_MTG_Set[[#This Row],[Collector Booster Expected Market Value]]/tbl_MTG_Set[[#This Row],[Collector Boost Sealed Market Value]]</f>
        <v/>
      </c>
      <c r="BM7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9" s="10">
        <f>tbl_MTG_Set[[#This Row],[Collector Singles CardMarket Profit]]/tbl_MTG_Set[[#This Row],[Collector Booster Cost]]</f>
        <v/>
      </c>
      <c r="BO709" s="10">
        <f>tbl_MTG_Set[[#This Row],[Collector Singles CardMarket Profit]]&gt;0</f>
        <v/>
      </c>
      <c r="BP7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0">
      <c r="A710" t="n">
        <v>708</v>
      </c>
      <c r="B710" t="inlineStr">
        <is>
          <t>Dark Ascension Tokens TDKA</t>
        </is>
      </c>
      <c r="C710" t="n">
        <v>4</v>
      </c>
      <c r="D710" s="3" t="n">
        <v>40942</v>
      </c>
      <c r="F710" t="inlineStr">
        <is>
          <t>en es fr de it pt ja ko ru 汉语 漢語</t>
        </is>
      </c>
      <c r="G710" t="n">
        <v>1362</v>
      </c>
      <c r="H710">
        <f>MONTH(NOW())+12*YEAR(NOW())-MONTH(tbl_MTG_Set[[#This Row],[Released On]])-12*YEAR(tbl_MTG_Set[[#This Row],[Released On]])</f>
        <v/>
      </c>
      <c r="I710">
        <f>_xlfn.XLOOKUP(tbl_MTG_Set[[#This Row],[Type Name]], tbl_MTG_Set_Type[Set Type], tbl_MTG_Set_Type[Index], "(Set Type not found)")</f>
        <v/>
      </c>
      <c r="J710">
        <f>_xlfn.XLOOKUP(tbl_MTG_Set[[#This Row],[Type Name]], tbl_MTG_Set_Type[Set Type], tbl_MTG_Set_Type[Buy Window Month Start], "(Set Type not found)")</f>
        <v/>
      </c>
      <c r="K710" s="3">
        <f>tbl_MTG_Set[[#This Row],[Released On]]+tbl_MTG_Set[[#This Row],[Buy Window Month Start]]*365.25/12</f>
        <v/>
      </c>
      <c r="L710">
        <f>_xlfn.XLOOKUP(tbl_MTG_Set[[#This Row],[Type Name]], tbl_MTG_Set_Type[Set Type], tbl_MTG_Set_Type[Buy Window Month End], "(Set Type not found)", 0, 1)</f>
        <v/>
      </c>
      <c r="M710" s="3">
        <f>tbl_MTG_Set[[#This Row],[Released On]]+tbl_MTG_Set[[#This Row],[Buy Window Month End]]*365.25/12</f>
        <v/>
      </c>
      <c r="N710" s="3">
        <f>AND(NOW()&gt;=tbl_MTG_Set[[#This Row],[Buy Window Start]], NOW()&lt;=tbl_MTG_Set[[#This Row],[Buy Window End]])</f>
        <v/>
      </c>
      <c r="O710">
        <f>_xlfn.XLOOKUP(tbl_MTG_Set[[#This Row],[Type Name]], tbl_MTG_Set_Type[Set Type], tbl_MTG_Set_Type[Heavy Printing Window Month Start], "(Set Type not found)", 0, 1)</f>
        <v/>
      </c>
      <c r="P710" s="3">
        <f>tbl_MTG_Set[[#This Row],[Released On]]+tbl_MTG_Set[[#This Row],[Heavy Printing Window Month Start]]*365.25/12</f>
        <v/>
      </c>
      <c r="Q710">
        <f>_xlfn.XLOOKUP(tbl_MTG_Set[[#This Row],[Type Name]], tbl_MTG_Set_Type[Set Type], tbl_MTG_Set_Type[Heavy Printing Window Month End], "(Set Type not found)", 0, 1)</f>
        <v/>
      </c>
      <c r="R710" s="3">
        <f>tbl_MTG_Set[[#This Row],[Released On]]+tbl_MTG_Set[[#This Row],[Heavy Printing Window Month End]]*365.25/12</f>
        <v/>
      </c>
      <c r="S710" s="3">
        <f>AND(NOW()&gt;=tbl_MTG_Set[[#This Row],[Heavy Printing Window Start]], NOW()&lt;=tbl_MTG_Set[[#This Row],[Heavy Printing Window End]])</f>
        <v/>
      </c>
      <c r="T710">
        <f>_xlfn.XLOOKUP(tbl_MTG_Set[[#This Row],[Type Name]], tbl_MTG_Set_Type[Set Type], tbl_MTG_Set_Type[Sell Window Month Start], "(Set Type not found)", 0, 1)</f>
        <v/>
      </c>
      <c r="U710" s="3">
        <f>tbl_MTG_Set[[#This Row],[Released On]]+tbl_MTG_Set[[#This Row],[Sell Window Month Start]]*365.25/12</f>
        <v/>
      </c>
      <c r="V710">
        <f>_xlfn.XLOOKUP(tbl_MTG_Set[[#This Row],[Type Name]], tbl_MTG_Set_Type[Set Type], tbl_MTG_Set_Type[Sell Window Month End], "(Set Type not found)", 0, 1)</f>
        <v/>
      </c>
      <c r="W710" s="3">
        <f>tbl_MTG_Set[[#This Row],[Released On]]+tbl_MTG_Set[[#This Row],[Sell Window Month End]]*365.25/12</f>
        <v/>
      </c>
      <c r="X710" s="3">
        <f>AND(NOW()&gt;=tbl_MTG_Set[[#This Row],[Sell Window Start]], NOW()&lt;=tbl_MTG_Set[[#This Row],[Sell Window End]])</f>
        <v/>
      </c>
      <c r="AG710" s="10" t="n"/>
      <c r="AH710" s="10" t="n"/>
      <c r="AM710" s="10">
        <f t="array" ref="AM7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0" s="10">
        <f t="array" ref="AN7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0" s="4">
        <f>_xlfn.XLOOKUP(tbl_MTG_Set[[#This Row],[Play Booster Box Product Id]], tbl_Product[Product Id], tbl_Product[Pack Size])</f>
        <v/>
      </c>
      <c r="AP710" s="10">
        <f>(tbl_MTG_Set[[#This Row],[Play Booster Box Cost]]+v_Item_Shipping_Cost_In)/tbl_MTG_Set[[#This Row],[Play Booster Box Size]]</f>
        <v/>
      </c>
      <c r="AQ710" s="10">
        <f t="array" ref="AQ7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0" s="10" t="n"/>
      <c r="AS710" s="10" t="n"/>
      <c r="AT710" s="17">
        <f>tbl_MTG_Set[[#This Row],[Play Booster CardMarket Profit]]/tbl_MTG_Set[[#This Row],[Play Booster Cost]]</f>
        <v/>
      </c>
      <c r="AU710" s="10">
        <f>_xlfn.XLOOKUP(tbl_MTG_Set[[#This Row],[Collector Booster Box Product Id]], tbl_Product[Product Id], tbl_Product[Min Cost])</f>
        <v/>
      </c>
      <c r="AV710" s="10">
        <f>_xlfn.XLOOKUP(tbl_MTG_Set[[#This Row],[Collector Booster Box Product Id]], tbl_Product[Product Id], tbl_Product[Best Source])</f>
        <v/>
      </c>
      <c r="AW710" s="4">
        <f>_xlfn.XLOOKUP(tbl_MTG_Set[[#This Row],[Collector Booster Box Product Id]], tbl_Product[Product Id], tbl_Product[Pack Size])</f>
        <v/>
      </c>
      <c r="AX710" s="10">
        <f>(tbl_MTG_Set[[#This Row],[Collector Booster Box Cost]] + v_Item_Shipping_Cost_In) / tbl_MTG_Set[[#This Row],[Collector Booster Box Size]]</f>
        <v/>
      </c>
      <c r="AY710" s="10">
        <f t="array" ref="AY7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0" s="10" t="n"/>
      <c r="BA7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0" s="17">
        <f>tbl_MTG_Set[[#This Row],[Collector Booster CardMarket Profit]]/tbl_MTG_Set[[#This Row],[Collector Booster Cost]]</f>
        <v/>
      </c>
      <c r="BC710" s="10" t="n"/>
      <c r="BF710" s="10">
        <f>tbl_MTG_Set[[#This Row],[Play Booster Sell Price CardMarket]]*tbl_MTG_Set[[#This Row],[Play Booster Expected Market Value]]/tbl_MTG_Set[[#This Row],[Play Boost Sealed Market Value]]</f>
        <v/>
      </c>
      <c r="BG7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0" s="10">
        <f>tbl_MTG_Set[[#This Row],[Play Singles CardMarket Profit]]/tbl_MTG_Set[[#This Row],[Play Booster Cost]]</f>
        <v/>
      </c>
      <c r="BI710" s="10">
        <f>tbl_MTG_Set[[#This Row],[Play Singles CardMarket Profit]]&gt;0</f>
        <v/>
      </c>
      <c r="BJ710" s="10" t="n"/>
      <c r="BK710" s="10" t="n"/>
      <c r="BL710" s="10">
        <f>tbl_MTG_Set[[#This Row],[Collector Booster Sell Price CardMarket]]*tbl_MTG_Set[[#This Row],[Collector Booster Expected Market Value]]/tbl_MTG_Set[[#This Row],[Collector Boost Sealed Market Value]]</f>
        <v/>
      </c>
      <c r="BM7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0" s="10">
        <f>tbl_MTG_Set[[#This Row],[Collector Singles CardMarket Profit]]/tbl_MTG_Set[[#This Row],[Collector Booster Cost]]</f>
        <v/>
      </c>
      <c r="BO710" s="10">
        <f>tbl_MTG_Set[[#This Row],[Collector Singles CardMarket Profit]]&gt;0</f>
        <v/>
      </c>
      <c r="BP7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1">
      <c r="A711" t="n">
        <v>709</v>
      </c>
      <c r="B711" t="inlineStr">
        <is>
          <t>Wizards Play Network 2012 PW12</t>
        </is>
      </c>
      <c r="C711" t="n">
        <v>3</v>
      </c>
      <c r="D711" s="3" t="n">
        <v>40909</v>
      </c>
      <c r="F711" t="inlineStr">
        <is>
          <t>en es fr de it pt ja ko ru 汉语 漢語</t>
        </is>
      </c>
      <c r="G711" t="n">
        <v>1364</v>
      </c>
      <c r="H711">
        <f>MONTH(NOW())+12*YEAR(NOW())-MONTH(tbl_MTG_Set[[#This Row],[Released On]])-12*YEAR(tbl_MTG_Set[[#This Row],[Released On]])</f>
        <v/>
      </c>
      <c r="I711">
        <f>_xlfn.XLOOKUP(tbl_MTG_Set[[#This Row],[Type Name]], tbl_MTG_Set_Type[Set Type], tbl_MTG_Set_Type[Index], "(Set Type not found)")</f>
        <v/>
      </c>
      <c r="J711">
        <f>_xlfn.XLOOKUP(tbl_MTG_Set[[#This Row],[Type Name]], tbl_MTG_Set_Type[Set Type], tbl_MTG_Set_Type[Buy Window Month Start], "(Set Type not found)")</f>
        <v/>
      </c>
      <c r="K711" s="3">
        <f>tbl_MTG_Set[[#This Row],[Released On]]+tbl_MTG_Set[[#This Row],[Buy Window Month Start]]*365.25/12</f>
        <v/>
      </c>
      <c r="L711">
        <f>_xlfn.XLOOKUP(tbl_MTG_Set[[#This Row],[Type Name]], tbl_MTG_Set_Type[Set Type], tbl_MTG_Set_Type[Buy Window Month End], "(Set Type not found)", 0, 1)</f>
        <v/>
      </c>
      <c r="M711" s="3">
        <f>tbl_MTG_Set[[#This Row],[Released On]]+tbl_MTG_Set[[#This Row],[Buy Window Month End]]*365.25/12</f>
        <v/>
      </c>
      <c r="N711" s="3">
        <f>AND(NOW()&gt;=tbl_MTG_Set[[#This Row],[Buy Window Start]], NOW()&lt;=tbl_MTG_Set[[#This Row],[Buy Window End]])</f>
        <v/>
      </c>
      <c r="O711">
        <f>_xlfn.XLOOKUP(tbl_MTG_Set[[#This Row],[Type Name]], tbl_MTG_Set_Type[Set Type], tbl_MTG_Set_Type[Heavy Printing Window Month Start], "(Set Type not found)", 0, 1)</f>
        <v/>
      </c>
      <c r="P711" s="3">
        <f>tbl_MTG_Set[[#This Row],[Released On]]+tbl_MTG_Set[[#This Row],[Heavy Printing Window Month Start]]*365.25/12</f>
        <v/>
      </c>
      <c r="Q711">
        <f>_xlfn.XLOOKUP(tbl_MTG_Set[[#This Row],[Type Name]], tbl_MTG_Set_Type[Set Type], tbl_MTG_Set_Type[Heavy Printing Window Month End], "(Set Type not found)", 0, 1)</f>
        <v/>
      </c>
      <c r="R711" s="3">
        <f>tbl_MTG_Set[[#This Row],[Released On]]+tbl_MTG_Set[[#This Row],[Heavy Printing Window Month End]]*365.25/12</f>
        <v/>
      </c>
      <c r="S711" s="3">
        <f>AND(NOW()&gt;=tbl_MTG_Set[[#This Row],[Heavy Printing Window Start]], NOW()&lt;=tbl_MTG_Set[[#This Row],[Heavy Printing Window End]])</f>
        <v/>
      </c>
      <c r="T711">
        <f>_xlfn.XLOOKUP(tbl_MTG_Set[[#This Row],[Type Name]], tbl_MTG_Set_Type[Set Type], tbl_MTG_Set_Type[Sell Window Month Start], "(Set Type not found)", 0, 1)</f>
        <v/>
      </c>
      <c r="U711" s="3">
        <f>tbl_MTG_Set[[#This Row],[Released On]]+tbl_MTG_Set[[#This Row],[Sell Window Month Start]]*365.25/12</f>
        <v/>
      </c>
      <c r="V711">
        <f>_xlfn.XLOOKUP(tbl_MTG_Set[[#This Row],[Type Name]], tbl_MTG_Set_Type[Set Type], tbl_MTG_Set_Type[Sell Window Month End], "(Set Type not found)", 0, 1)</f>
        <v/>
      </c>
      <c r="W711" s="3">
        <f>tbl_MTG_Set[[#This Row],[Released On]]+tbl_MTG_Set[[#This Row],[Sell Window Month End]]*365.25/12</f>
        <v/>
      </c>
      <c r="X711" s="3">
        <f>AND(NOW()&gt;=tbl_MTG_Set[[#This Row],[Sell Window Start]], NOW()&lt;=tbl_MTG_Set[[#This Row],[Sell Window End]])</f>
        <v/>
      </c>
      <c r="AG711" s="10" t="n"/>
      <c r="AH711" s="10" t="n"/>
      <c r="AM711" s="10">
        <f t="array" ref="AM7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1" s="10">
        <f t="array" ref="AN7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1" s="4">
        <f>_xlfn.XLOOKUP(tbl_MTG_Set[[#This Row],[Play Booster Box Product Id]], tbl_Product[Product Id], tbl_Product[Pack Size])</f>
        <v/>
      </c>
      <c r="AP711" s="10">
        <f>(tbl_MTG_Set[[#This Row],[Play Booster Box Cost]]+v_Item_Shipping_Cost_In)/tbl_MTG_Set[[#This Row],[Play Booster Box Size]]</f>
        <v/>
      </c>
      <c r="AQ711" s="10">
        <f t="array" ref="AQ7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1" s="10" t="n"/>
      <c r="AS711" s="10" t="n"/>
      <c r="AT711" s="17">
        <f>tbl_MTG_Set[[#This Row],[Play Booster CardMarket Profit]]/tbl_MTG_Set[[#This Row],[Play Booster Cost]]</f>
        <v/>
      </c>
      <c r="AU711" s="10">
        <f>_xlfn.XLOOKUP(tbl_MTG_Set[[#This Row],[Collector Booster Box Product Id]], tbl_Product[Product Id], tbl_Product[Min Cost])</f>
        <v/>
      </c>
      <c r="AV711" s="10">
        <f>_xlfn.XLOOKUP(tbl_MTG_Set[[#This Row],[Collector Booster Box Product Id]], tbl_Product[Product Id], tbl_Product[Best Source])</f>
        <v/>
      </c>
      <c r="AW711" s="4">
        <f>_xlfn.XLOOKUP(tbl_MTG_Set[[#This Row],[Collector Booster Box Product Id]], tbl_Product[Product Id], tbl_Product[Pack Size])</f>
        <v/>
      </c>
      <c r="AX711" s="10">
        <f>(tbl_MTG_Set[[#This Row],[Collector Booster Box Cost]] + v_Item_Shipping_Cost_In) / tbl_MTG_Set[[#This Row],[Collector Booster Box Size]]</f>
        <v/>
      </c>
      <c r="AY711" s="10">
        <f t="array" ref="AY7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1" s="10" t="n"/>
      <c r="BA7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1" s="17">
        <f>tbl_MTG_Set[[#This Row],[Collector Booster CardMarket Profit]]/tbl_MTG_Set[[#This Row],[Collector Booster Cost]]</f>
        <v/>
      </c>
      <c r="BC711" s="10" t="n"/>
      <c r="BF711" s="10">
        <f>tbl_MTG_Set[[#This Row],[Play Booster Sell Price CardMarket]]*tbl_MTG_Set[[#This Row],[Play Booster Expected Market Value]]/tbl_MTG_Set[[#This Row],[Play Boost Sealed Market Value]]</f>
        <v/>
      </c>
      <c r="BG7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1" s="10">
        <f>tbl_MTG_Set[[#This Row],[Play Singles CardMarket Profit]]/tbl_MTG_Set[[#This Row],[Play Booster Cost]]</f>
        <v/>
      </c>
      <c r="BI711" s="10">
        <f>tbl_MTG_Set[[#This Row],[Play Singles CardMarket Profit]]&gt;0</f>
        <v/>
      </c>
      <c r="BJ711" s="10" t="n"/>
      <c r="BK711" s="10" t="n"/>
      <c r="BL711" s="10">
        <f>tbl_MTG_Set[[#This Row],[Collector Booster Sell Price CardMarket]]*tbl_MTG_Set[[#This Row],[Collector Booster Expected Market Value]]/tbl_MTG_Set[[#This Row],[Collector Boost Sealed Market Value]]</f>
        <v/>
      </c>
      <c r="BM7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1" s="10">
        <f>tbl_MTG_Set[[#This Row],[Collector Singles CardMarket Profit]]/tbl_MTG_Set[[#This Row],[Collector Booster Cost]]</f>
        <v/>
      </c>
      <c r="BO711" s="10">
        <f>tbl_MTG_Set[[#This Row],[Collector Singles CardMarket Profit]]&gt;0</f>
        <v/>
      </c>
      <c r="BP7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2">
      <c r="A712" t="n">
        <v>710</v>
      </c>
      <c r="B712" t="inlineStr">
        <is>
          <t>Duels of the Planeswalkers 2013 Promos PDP13</t>
        </is>
      </c>
      <c r="C712" t="n">
        <v>3</v>
      </c>
      <c r="D712" s="3" t="n">
        <v>40909</v>
      </c>
      <c r="F712" t="inlineStr">
        <is>
          <t>en es fr de it pt ja ko ru 汉语 漢語</t>
        </is>
      </c>
      <c r="G712" t="n">
        <v>1366</v>
      </c>
      <c r="H712">
        <f>MONTH(NOW())+12*YEAR(NOW())-MONTH(tbl_MTG_Set[[#This Row],[Released On]])-12*YEAR(tbl_MTG_Set[[#This Row],[Released On]])</f>
        <v/>
      </c>
      <c r="I712">
        <f>_xlfn.XLOOKUP(tbl_MTG_Set[[#This Row],[Type Name]], tbl_MTG_Set_Type[Set Type], tbl_MTG_Set_Type[Index], "(Set Type not found)")</f>
        <v/>
      </c>
      <c r="J712">
        <f>_xlfn.XLOOKUP(tbl_MTG_Set[[#This Row],[Type Name]], tbl_MTG_Set_Type[Set Type], tbl_MTG_Set_Type[Buy Window Month Start], "(Set Type not found)")</f>
        <v/>
      </c>
      <c r="K712" s="3">
        <f>tbl_MTG_Set[[#This Row],[Released On]]+tbl_MTG_Set[[#This Row],[Buy Window Month Start]]*365.25/12</f>
        <v/>
      </c>
      <c r="L712">
        <f>_xlfn.XLOOKUP(tbl_MTG_Set[[#This Row],[Type Name]], tbl_MTG_Set_Type[Set Type], tbl_MTG_Set_Type[Buy Window Month End], "(Set Type not found)", 0, 1)</f>
        <v/>
      </c>
      <c r="M712" s="3">
        <f>tbl_MTG_Set[[#This Row],[Released On]]+tbl_MTG_Set[[#This Row],[Buy Window Month End]]*365.25/12</f>
        <v/>
      </c>
      <c r="N712" s="3">
        <f>AND(NOW()&gt;=tbl_MTG_Set[[#This Row],[Buy Window Start]], NOW()&lt;=tbl_MTG_Set[[#This Row],[Buy Window End]])</f>
        <v/>
      </c>
      <c r="O712">
        <f>_xlfn.XLOOKUP(tbl_MTG_Set[[#This Row],[Type Name]], tbl_MTG_Set_Type[Set Type], tbl_MTG_Set_Type[Heavy Printing Window Month Start], "(Set Type not found)", 0, 1)</f>
        <v/>
      </c>
      <c r="P712" s="3">
        <f>tbl_MTG_Set[[#This Row],[Released On]]+tbl_MTG_Set[[#This Row],[Heavy Printing Window Month Start]]*365.25/12</f>
        <v/>
      </c>
      <c r="Q712">
        <f>_xlfn.XLOOKUP(tbl_MTG_Set[[#This Row],[Type Name]], tbl_MTG_Set_Type[Set Type], tbl_MTG_Set_Type[Heavy Printing Window Month End], "(Set Type not found)", 0, 1)</f>
        <v/>
      </c>
      <c r="R712" s="3">
        <f>tbl_MTG_Set[[#This Row],[Released On]]+tbl_MTG_Set[[#This Row],[Heavy Printing Window Month End]]*365.25/12</f>
        <v/>
      </c>
      <c r="S712" s="3">
        <f>AND(NOW()&gt;=tbl_MTG_Set[[#This Row],[Heavy Printing Window Start]], NOW()&lt;=tbl_MTG_Set[[#This Row],[Heavy Printing Window End]])</f>
        <v/>
      </c>
      <c r="T712">
        <f>_xlfn.XLOOKUP(tbl_MTG_Set[[#This Row],[Type Name]], tbl_MTG_Set_Type[Set Type], tbl_MTG_Set_Type[Sell Window Month Start], "(Set Type not found)", 0, 1)</f>
        <v/>
      </c>
      <c r="U712" s="3">
        <f>tbl_MTG_Set[[#This Row],[Released On]]+tbl_MTG_Set[[#This Row],[Sell Window Month Start]]*365.25/12</f>
        <v/>
      </c>
      <c r="V712">
        <f>_xlfn.XLOOKUP(tbl_MTG_Set[[#This Row],[Type Name]], tbl_MTG_Set_Type[Set Type], tbl_MTG_Set_Type[Sell Window Month End], "(Set Type not found)", 0, 1)</f>
        <v/>
      </c>
      <c r="W712" s="3">
        <f>tbl_MTG_Set[[#This Row],[Released On]]+tbl_MTG_Set[[#This Row],[Sell Window Month End]]*365.25/12</f>
        <v/>
      </c>
      <c r="X712" s="3">
        <f>AND(NOW()&gt;=tbl_MTG_Set[[#This Row],[Sell Window Start]], NOW()&lt;=tbl_MTG_Set[[#This Row],[Sell Window End]])</f>
        <v/>
      </c>
      <c r="AG712" s="10" t="n"/>
      <c r="AH712" s="10" t="n"/>
      <c r="AM712" s="10">
        <f t="array" ref="AM7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2" s="10">
        <f t="array" ref="AN7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2" s="4">
        <f>_xlfn.XLOOKUP(tbl_MTG_Set[[#This Row],[Play Booster Box Product Id]], tbl_Product[Product Id], tbl_Product[Pack Size])</f>
        <v/>
      </c>
      <c r="AP712" s="10">
        <f>(tbl_MTG_Set[[#This Row],[Play Booster Box Cost]]+v_Item_Shipping_Cost_In)/tbl_MTG_Set[[#This Row],[Play Booster Box Size]]</f>
        <v/>
      </c>
      <c r="AQ712" s="10">
        <f t="array" ref="AQ7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2" s="10" t="n"/>
      <c r="AS712" s="10" t="n"/>
      <c r="AT712" s="17">
        <f>tbl_MTG_Set[[#This Row],[Play Booster CardMarket Profit]]/tbl_MTG_Set[[#This Row],[Play Booster Cost]]</f>
        <v/>
      </c>
      <c r="AU712" s="10">
        <f>_xlfn.XLOOKUP(tbl_MTG_Set[[#This Row],[Collector Booster Box Product Id]], tbl_Product[Product Id], tbl_Product[Min Cost])</f>
        <v/>
      </c>
      <c r="AV712" s="10">
        <f>_xlfn.XLOOKUP(tbl_MTG_Set[[#This Row],[Collector Booster Box Product Id]], tbl_Product[Product Id], tbl_Product[Best Source])</f>
        <v/>
      </c>
      <c r="AW712" s="4">
        <f>_xlfn.XLOOKUP(tbl_MTG_Set[[#This Row],[Collector Booster Box Product Id]], tbl_Product[Product Id], tbl_Product[Pack Size])</f>
        <v/>
      </c>
      <c r="AX712" s="10">
        <f>(tbl_MTG_Set[[#This Row],[Collector Booster Box Cost]] + v_Item_Shipping_Cost_In) / tbl_MTG_Set[[#This Row],[Collector Booster Box Size]]</f>
        <v/>
      </c>
      <c r="AY712" s="10">
        <f t="array" ref="AY7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2" s="10" t="n"/>
      <c r="BA7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2" s="17">
        <f>tbl_MTG_Set[[#This Row],[Collector Booster CardMarket Profit]]/tbl_MTG_Set[[#This Row],[Collector Booster Cost]]</f>
        <v/>
      </c>
      <c r="BC712" s="10" t="n"/>
      <c r="BF712" s="10">
        <f>tbl_MTG_Set[[#This Row],[Play Booster Sell Price CardMarket]]*tbl_MTG_Set[[#This Row],[Play Booster Expected Market Value]]/tbl_MTG_Set[[#This Row],[Play Boost Sealed Market Value]]</f>
        <v/>
      </c>
      <c r="BG7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2" s="10">
        <f>tbl_MTG_Set[[#This Row],[Play Singles CardMarket Profit]]/tbl_MTG_Set[[#This Row],[Play Booster Cost]]</f>
        <v/>
      </c>
      <c r="BI712" s="10">
        <f>tbl_MTG_Set[[#This Row],[Play Singles CardMarket Profit]]&gt;0</f>
        <v/>
      </c>
      <c r="BJ712" s="10" t="n"/>
      <c r="BK712" s="10" t="n"/>
      <c r="BL712" s="10">
        <f>tbl_MTG_Set[[#This Row],[Collector Booster Sell Price CardMarket]]*tbl_MTG_Set[[#This Row],[Collector Booster Expected Market Value]]/tbl_MTG_Set[[#This Row],[Collector Boost Sealed Market Value]]</f>
        <v/>
      </c>
      <c r="BM7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2" s="10">
        <f>tbl_MTG_Set[[#This Row],[Collector Singles CardMarket Profit]]/tbl_MTG_Set[[#This Row],[Collector Booster Cost]]</f>
        <v/>
      </c>
      <c r="BO712" s="10">
        <f>tbl_MTG_Set[[#This Row],[Collector Singles CardMarket Profit]]&gt;0</f>
        <v/>
      </c>
      <c r="BP7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3">
      <c r="A713" t="n">
        <v>711</v>
      </c>
      <c r="B713" t="inlineStr">
        <is>
          <t>IDW Comics Inserts PIDW</t>
        </is>
      </c>
      <c r="C713" t="n">
        <v>17</v>
      </c>
      <c r="D713" s="3" t="n">
        <v>40909</v>
      </c>
      <c r="F713" t="inlineStr">
        <is>
          <t>en es fr de it pt ja ko ru 汉语 漢語</t>
        </is>
      </c>
      <c r="G713" t="n">
        <v>1368</v>
      </c>
      <c r="H713">
        <f>MONTH(NOW())+12*YEAR(NOW())-MONTH(tbl_MTG_Set[[#This Row],[Released On]])-12*YEAR(tbl_MTG_Set[[#This Row],[Released On]])</f>
        <v/>
      </c>
      <c r="I713">
        <f>_xlfn.XLOOKUP(tbl_MTG_Set[[#This Row],[Type Name]], tbl_MTG_Set_Type[Set Type], tbl_MTG_Set_Type[Index], "(Set Type not found)")</f>
        <v/>
      </c>
      <c r="J713">
        <f>_xlfn.XLOOKUP(tbl_MTG_Set[[#This Row],[Type Name]], tbl_MTG_Set_Type[Set Type], tbl_MTG_Set_Type[Buy Window Month Start], "(Set Type not found)")</f>
        <v/>
      </c>
      <c r="K713" s="3">
        <f>tbl_MTG_Set[[#This Row],[Released On]]+tbl_MTG_Set[[#This Row],[Buy Window Month Start]]*365.25/12</f>
        <v/>
      </c>
      <c r="L713">
        <f>_xlfn.XLOOKUP(tbl_MTG_Set[[#This Row],[Type Name]], tbl_MTG_Set_Type[Set Type], tbl_MTG_Set_Type[Buy Window Month End], "(Set Type not found)", 0, 1)</f>
        <v/>
      </c>
      <c r="M713" s="3">
        <f>tbl_MTG_Set[[#This Row],[Released On]]+tbl_MTG_Set[[#This Row],[Buy Window Month End]]*365.25/12</f>
        <v/>
      </c>
      <c r="N713" s="3">
        <f>AND(NOW()&gt;=tbl_MTG_Set[[#This Row],[Buy Window Start]], NOW()&lt;=tbl_MTG_Set[[#This Row],[Buy Window End]])</f>
        <v/>
      </c>
      <c r="O713">
        <f>_xlfn.XLOOKUP(tbl_MTG_Set[[#This Row],[Type Name]], tbl_MTG_Set_Type[Set Type], tbl_MTG_Set_Type[Heavy Printing Window Month Start], "(Set Type not found)", 0, 1)</f>
        <v/>
      </c>
      <c r="P713" s="3">
        <f>tbl_MTG_Set[[#This Row],[Released On]]+tbl_MTG_Set[[#This Row],[Heavy Printing Window Month Start]]*365.25/12</f>
        <v/>
      </c>
      <c r="Q713">
        <f>_xlfn.XLOOKUP(tbl_MTG_Set[[#This Row],[Type Name]], tbl_MTG_Set_Type[Set Type], tbl_MTG_Set_Type[Heavy Printing Window Month End], "(Set Type not found)", 0, 1)</f>
        <v/>
      </c>
      <c r="R713" s="3">
        <f>tbl_MTG_Set[[#This Row],[Released On]]+tbl_MTG_Set[[#This Row],[Heavy Printing Window Month End]]*365.25/12</f>
        <v/>
      </c>
      <c r="S713" s="3">
        <f>AND(NOW()&gt;=tbl_MTG_Set[[#This Row],[Heavy Printing Window Start]], NOW()&lt;=tbl_MTG_Set[[#This Row],[Heavy Printing Window End]])</f>
        <v/>
      </c>
      <c r="T713">
        <f>_xlfn.XLOOKUP(tbl_MTG_Set[[#This Row],[Type Name]], tbl_MTG_Set_Type[Set Type], tbl_MTG_Set_Type[Sell Window Month Start], "(Set Type not found)", 0, 1)</f>
        <v/>
      </c>
      <c r="U713" s="3">
        <f>tbl_MTG_Set[[#This Row],[Released On]]+tbl_MTG_Set[[#This Row],[Sell Window Month Start]]*365.25/12</f>
        <v/>
      </c>
      <c r="V713">
        <f>_xlfn.XLOOKUP(tbl_MTG_Set[[#This Row],[Type Name]], tbl_MTG_Set_Type[Set Type], tbl_MTG_Set_Type[Sell Window Month End], "(Set Type not found)", 0, 1)</f>
        <v/>
      </c>
      <c r="W713" s="3">
        <f>tbl_MTG_Set[[#This Row],[Released On]]+tbl_MTG_Set[[#This Row],[Sell Window Month End]]*365.25/12</f>
        <v/>
      </c>
      <c r="X713" s="3">
        <f>AND(NOW()&gt;=tbl_MTG_Set[[#This Row],[Sell Window Start]], NOW()&lt;=tbl_MTG_Set[[#This Row],[Sell Window End]])</f>
        <v/>
      </c>
      <c r="AG713" s="10" t="n"/>
      <c r="AH713" s="10" t="n"/>
      <c r="AM713" s="10">
        <f t="array" ref="AM7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3" s="10">
        <f t="array" ref="AN7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3" s="4">
        <f>_xlfn.XLOOKUP(tbl_MTG_Set[[#This Row],[Play Booster Box Product Id]], tbl_Product[Product Id], tbl_Product[Pack Size])</f>
        <v/>
      </c>
      <c r="AP713" s="10">
        <f>(tbl_MTG_Set[[#This Row],[Play Booster Box Cost]]+v_Item_Shipping_Cost_In)/tbl_MTG_Set[[#This Row],[Play Booster Box Size]]</f>
        <v/>
      </c>
      <c r="AQ713" s="10">
        <f t="array" ref="AQ7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3" s="10" t="n"/>
      <c r="AS713" s="10" t="n"/>
      <c r="AT713" s="17">
        <f>tbl_MTG_Set[[#This Row],[Play Booster CardMarket Profit]]/tbl_MTG_Set[[#This Row],[Play Booster Cost]]</f>
        <v/>
      </c>
      <c r="AU713" s="10">
        <f>_xlfn.XLOOKUP(tbl_MTG_Set[[#This Row],[Collector Booster Box Product Id]], tbl_Product[Product Id], tbl_Product[Min Cost])</f>
        <v/>
      </c>
      <c r="AV713" s="10">
        <f>_xlfn.XLOOKUP(tbl_MTG_Set[[#This Row],[Collector Booster Box Product Id]], tbl_Product[Product Id], tbl_Product[Best Source])</f>
        <v/>
      </c>
      <c r="AW713" s="4">
        <f>_xlfn.XLOOKUP(tbl_MTG_Set[[#This Row],[Collector Booster Box Product Id]], tbl_Product[Product Id], tbl_Product[Pack Size])</f>
        <v/>
      </c>
      <c r="AX713" s="10">
        <f>(tbl_MTG_Set[[#This Row],[Collector Booster Box Cost]] + v_Item_Shipping_Cost_In) / tbl_MTG_Set[[#This Row],[Collector Booster Box Size]]</f>
        <v/>
      </c>
      <c r="AY713" s="10">
        <f t="array" ref="AY7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3" s="10" t="n"/>
      <c r="BA7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3" s="17">
        <f>tbl_MTG_Set[[#This Row],[Collector Booster CardMarket Profit]]/tbl_MTG_Set[[#This Row],[Collector Booster Cost]]</f>
        <v/>
      </c>
      <c r="BC713" s="10" t="n"/>
      <c r="BF713" s="10">
        <f>tbl_MTG_Set[[#This Row],[Play Booster Sell Price CardMarket]]*tbl_MTG_Set[[#This Row],[Play Booster Expected Market Value]]/tbl_MTG_Set[[#This Row],[Play Boost Sealed Market Value]]</f>
        <v/>
      </c>
      <c r="BG7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3" s="10">
        <f>tbl_MTG_Set[[#This Row],[Play Singles CardMarket Profit]]/tbl_MTG_Set[[#This Row],[Play Booster Cost]]</f>
        <v/>
      </c>
      <c r="BI713" s="10">
        <f>tbl_MTG_Set[[#This Row],[Play Singles CardMarket Profit]]&gt;0</f>
        <v/>
      </c>
      <c r="BJ713" s="10" t="n"/>
      <c r="BK713" s="10" t="n"/>
      <c r="BL713" s="10">
        <f>tbl_MTG_Set[[#This Row],[Collector Booster Sell Price CardMarket]]*tbl_MTG_Set[[#This Row],[Collector Booster Expected Market Value]]/tbl_MTG_Set[[#This Row],[Collector Boost Sealed Market Value]]</f>
        <v/>
      </c>
      <c r="BM7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3" s="10">
        <f>tbl_MTG_Set[[#This Row],[Collector Singles CardMarket Profit]]/tbl_MTG_Set[[#This Row],[Collector Booster Cost]]</f>
        <v/>
      </c>
      <c r="BO713" s="10">
        <f>tbl_MTG_Set[[#This Row],[Collector Singles CardMarket Profit]]&gt;0</f>
        <v/>
      </c>
      <c r="BP7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4">
      <c r="A714" t="n">
        <v>712</v>
      </c>
      <c r="B714" t="inlineStr">
        <is>
          <t>League Tokens 2012 L12</t>
        </is>
      </c>
      <c r="C714" t="n">
        <v>2</v>
      </c>
      <c r="D714" s="3" t="n">
        <v>40909</v>
      </c>
      <c r="F714" t="inlineStr">
        <is>
          <t>en es fr de it pt ja ko ru 汉语 漢語</t>
        </is>
      </c>
      <c r="G714" t="n">
        <v>1370</v>
      </c>
      <c r="H714">
        <f>MONTH(NOW())+12*YEAR(NOW())-MONTH(tbl_MTG_Set[[#This Row],[Released On]])-12*YEAR(tbl_MTG_Set[[#This Row],[Released On]])</f>
        <v/>
      </c>
      <c r="I714">
        <f>_xlfn.XLOOKUP(tbl_MTG_Set[[#This Row],[Type Name]], tbl_MTG_Set_Type[Set Type], tbl_MTG_Set_Type[Index], "(Set Type not found)")</f>
        <v/>
      </c>
      <c r="J714">
        <f>_xlfn.XLOOKUP(tbl_MTG_Set[[#This Row],[Type Name]], tbl_MTG_Set_Type[Set Type], tbl_MTG_Set_Type[Buy Window Month Start], "(Set Type not found)")</f>
        <v/>
      </c>
      <c r="K714" s="3">
        <f>tbl_MTG_Set[[#This Row],[Released On]]+tbl_MTG_Set[[#This Row],[Buy Window Month Start]]*365.25/12</f>
        <v/>
      </c>
      <c r="L714">
        <f>_xlfn.XLOOKUP(tbl_MTG_Set[[#This Row],[Type Name]], tbl_MTG_Set_Type[Set Type], tbl_MTG_Set_Type[Buy Window Month End], "(Set Type not found)", 0, 1)</f>
        <v/>
      </c>
      <c r="M714" s="3">
        <f>tbl_MTG_Set[[#This Row],[Released On]]+tbl_MTG_Set[[#This Row],[Buy Window Month End]]*365.25/12</f>
        <v/>
      </c>
      <c r="N714" s="3">
        <f>AND(NOW()&gt;=tbl_MTG_Set[[#This Row],[Buy Window Start]], NOW()&lt;=tbl_MTG_Set[[#This Row],[Buy Window End]])</f>
        <v/>
      </c>
      <c r="O714">
        <f>_xlfn.XLOOKUP(tbl_MTG_Set[[#This Row],[Type Name]], tbl_MTG_Set_Type[Set Type], tbl_MTG_Set_Type[Heavy Printing Window Month Start], "(Set Type not found)", 0, 1)</f>
        <v/>
      </c>
      <c r="P714" s="3">
        <f>tbl_MTG_Set[[#This Row],[Released On]]+tbl_MTG_Set[[#This Row],[Heavy Printing Window Month Start]]*365.25/12</f>
        <v/>
      </c>
      <c r="Q714">
        <f>_xlfn.XLOOKUP(tbl_MTG_Set[[#This Row],[Type Name]], tbl_MTG_Set_Type[Set Type], tbl_MTG_Set_Type[Heavy Printing Window Month End], "(Set Type not found)", 0, 1)</f>
        <v/>
      </c>
      <c r="R714" s="3">
        <f>tbl_MTG_Set[[#This Row],[Released On]]+tbl_MTG_Set[[#This Row],[Heavy Printing Window Month End]]*365.25/12</f>
        <v/>
      </c>
      <c r="S714" s="3">
        <f>AND(NOW()&gt;=tbl_MTG_Set[[#This Row],[Heavy Printing Window Start]], NOW()&lt;=tbl_MTG_Set[[#This Row],[Heavy Printing Window End]])</f>
        <v/>
      </c>
      <c r="T714">
        <f>_xlfn.XLOOKUP(tbl_MTG_Set[[#This Row],[Type Name]], tbl_MTG_Set_Type[Set Type], tbl_MTG_Set_Type[Sell Window Month Start], "(Set Type not found)", 0, 1)</f>
        <v/>
      </c>
      <c r="U714" s="3">
        <f>tbl_MTG_Set[[#This Row],[Released On]]+tbl_MTG_Set[[#This Row],[Sell Window Month Start]]*365.25/12</f>
        <v/>
      </c>
      <c r="V714">
        <f>_xlfn.XLOOKUP(tbl_MTG_Set[[#This Row],[Type Name]], tbl_MTG_Set_Type[Set Type], tbl_MTG_Set_Type[Sell Window Month End], "(Set Type not found)", 0, 1)</f>
        <v/>
      </c>
      <c r="W714" s="3">
        <f>tbl_MTG_Set[[#This Row],[Released On]]+tbl_MTG_Set[[#This Row],[Sell Window Month End]]*365.25/12</f>
        <v/>
      </c>
      <c r="X714" s="3">
        <f>AND(NOW()&gt;=tbl_MTG_Set[[#This Row],[Sell Window Start]], NOW()&lt;=tbl_MTG_Set[[#This Row],[Sell Window End]])</f>
        <v/>
      </c>
      <c r="AG714" s="10" t="n"/>
      <c r="AH714" s="10" t="n"/>
      <c r="AM714" s="10">
        <f t="array" ref="AM7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4" s="10">
        <f t="array" ref="AN7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4" s="4">
        <f>_xlfn.XLOOKUP(tbl_MTG_Set[[#This Row],[Play Booster Box Product Id]], tbl_Product[Product Id], tbl_Product[Pack Size])</f>
        <v/>
      </c>
      <c r="AP714" s="10">
        <f>(tbl_MTG_Set[[#This Row],[Play Booster Box Cost]]+v_Item_Shipping_Cost_In)/tbl_MTG_Set[[#This Row],[Play Booster Box Size]]</f>
        <v/>
      </c>
      <c r="AQ714" s="10">
        <f t="array" ref="AQ7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4" s="10" t="n"/>
      <c r="AS714" s="10" t="n"/>
      <c r="AT714" s="17">
        <f>tbl_MTG_Set[[#This Row],[Play Booster CardMarket Profit]]/tbl_MTG_Set[[#This Row],[Play Booster Cost]]</f>
        <v/>
      </c>
      <c r="AU714" s="10">
        <f>_xlfn.XLOOKUP(tbl_MTG_Set[[#This Row],[Collector Booster Box Product Id]], tbl_Product[Product Id], tbl_Product[Min Cost])</f>
        <v/>
      </c>
      <c r="AV714" s="10">
        <f>_xlfn.XLOOKUP(tbl_MTG_Set[[#This Row],[Collector Booster Box Product Id]], tbl_Product[Product Id], tbl_Product[Best Source])</f>
        <v/>
      </c>
      <c r="AW714" s="4">
        <f>_xlfn.XLOOKUP(tbl_MTG_Set[[#This Row],[Collector Booster Box Product Id]], tbl_Product[Product Id], tbl_Product[Pack Size])</f>
        <v/>
      </c>
      <c r="AX714" s="10">
        <f>(tbl_MTG_Set[[#This Row],[Collector Booster Box Cost]] + v_Item_Shipping_Cost_In) / tbl_MTG_Set[[#This Row],[Collector Booster Box Size]]</f>
        <v/>
      </c>
      <c r="AY714" s="10">
        <f t="array" ref="AY7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4" s="10" t="n"/>
      <c r="BA7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4" s="17">
        <f>tbl_MTG_Set[[#This Row],[Collector Booster CardMarket Profit]]/tbl_MTG_Set[[#This Row],[Collector Booster Cost]]</f>
        <v/>
      </c>
      <c r="BC714" s="10" t="n"/>
      <c r="BF714" s="10">
        <f>tbl_MTG_Set[[#This Row],[Play Booster Sell Price CardMarket]]*tbl_MTG_Set[[#This Row],[Play Booster Expected Market Value]]/tbl_MTG_Set[[#This Row],[Play Boost Sealed Market Value]]</f>
        <v/>
      </c>
      <c r="BG7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4" s="10">
        <f>tbl_MTG_Set[[#This Row],[Play Singles CardMarket Profit]]/tbl_MTG_Set[[#This Row],[Play Booster Cost]]</f>
        <v/>
      </c>
      <c r="BI714" s="10">
        <f>tbl_MTG_Set[[#This Row],[Play Singles CardMarket Profit]]&gt;0</f>
        <v/>
      </c>
      <c r="BJ714" s="10" t="n"/>
      <c r="BK714" s="10" t="n"/>
      <c r="BL714" s="10">
        <f>tbl_MTG_Set[[#This Row],[Collector Booster Sell Price CardMarket]]*tbl_MTG_Set[[#This Row],[Collector Booster Expected Market Value]]/tbl_MTG_Set[[#This Row],[Collector Boost Sealed Market Value]]</f>
        <v/>
      </c>
      <c r="BM7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4" s="10">
        <f>tbl_MTG_Set[[#This Row],[Collector Singles CardMarket Profit]]/tbl_MTG_Set[[#This Row],[Collector Booster Cost]]</f>
        <v/>
      </c>
      <c r="BO714" s="10">
        <f>tbl_MTG_Set[[#This Row],[Collector Singles CardMarket Profit]]&gt;0</f>
        <v/>
      </c>
      <c r="BP7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5">
      <c r="A715" t="n">
        <v>713</v>
      </c>
      <c r="B715" t="inlineStr">
        <is>
          <t>Judge Gift Cards 2012 J12</t>
        </is>
      </c>
      <c r="C715" t="n">
        <v>9</v>
      </c>
      <c r="D715" s="3" t="n">
        <v>40909</v>
      </c>
      <c r="F715" t="inlineStr">
        <is>
          <t>en es fr de it pt ja ko ru 汉语 漢語</t>
        </is>
      </c>
      <c r="G715" t="n">
        <v>1372</v>
      </c>
      <c r="H715">
        <f>MONTH(NOW())+12*YEAR(NOW())-MONTH(tbl_MTG_Set[[#This Row],[Released On]])-12*YEAR(tbl_MTG_Set[[#This Row],[Released On]])</f>
        <v/>
      </c>
      <c r="I715">
        <f>_xlfn.XLOOKUP(tbl_MTG_Set[[#This Row],[Type Name]], tbl_MTG_Set_Type[Set Type], tbl_MTG_Set_Type[Index], "(Set Type not found)")</f>
        <v/>
      </c>
      <c r="J715">
        <f>_xlfn.XLOOKUP(tbl_MTG_Set[[#This Row],[Type Name]], tbl_MTG_Set_Type[Set Type], tbl_MTG_Set_Type[Buy Window Month Start], "(Set Type not found)")</f>
        <v/>
      </c>
      <c r="K715" s="3">
        <f>tbl_MTG_Set[[#This Row],[Released On]]+tbl_MTG_Set[[#This Row],[Buy Window Month Start]]*365.25/12</f>
        <v/>
      </c>
      <c r="L715">
        <f>_xlfn.XLOOKUP(tbl_MTG_Set[[#This Row],[Type Name]], tbl_MTG_Set_Type[Set Type], tbl_MTG_Set_Type[Buy Window Month End], "(Set Type not found)", 0, 1)</f>
        <v/>
      </c>
      <c r="M715" s="3">
        <f>tbl_MTG_Set[[#This Row],[Released On]]+tbl_MTG_Set[[#This Row],[Buy Window Month End]]*365.25/12</f>
        <v/>
      </c>
      <c r="N715" s="3">
        <f>AND(NOW()&gt;=tbl_MTG_Set[[#This Row],[Buy Window Start]], NOW()&lt;=tbl_MTG_Set[[#This Row],[Buy Window End]])</f>
        <v/>
      </c>
      <c r="O715">
        <f>_xlfn.XLOOKUP(tbl_MTG_Set[[#This Row],[Type Name]], tbl_MTG_Set_Type[Set Type], tbl_MTG_Set_Type[Heavy Printing Window Month Start], "(Set Type not found)", 0, 1)</f>
        <v/>
      </c>
      <c r="P715" s="3">
        <f>tbl_MTG_Set[[#This Row],[Released On]]+tbl_MTG_Set[[#This Row],[Heavy Printing Window Month Start]]*365.25/12</f>
        <v/>
      </c>
      <c r="Q715">
        <f>_xlfn.XLOOKUP(tbl_MTG_Set[[#This Row],[Type Name]], tbl_MTG_Set_Type[Set Type], tbl_MTG_Set_Type[Heavy Printing Window Month End], "(Set Type not found)", 0, 1)</f>
        <v/>
      </c>
      <c r="R715" s="3">
        <f>tbl_MTG_Set[[#This Row],[Released On]]+tbl_MTG_Set[[#This Row],[Heavy Printing Window Month End]]*365.25/12</f>
        <v/>
      </c>
      <c r="S715" s="3">
        <f>AND(NOW()&gt;=tbl_MTG_Set[[#This Row],[Heavy Printing Window Start]], NOW()&lt;=tbl_MTG_Set[[#This Row],[Heavy Printing Window End]])</f>
        <v/>
      </c>
      <c r="T715">
        <f>_xlfn.XLOOKUP(tbl_MTG_Set[[#This Row],[Type Name]], tbl_MTG_Set_Type[Set Type], tbl_MTG_Set_Type[Sell Window Month Start], "(Set Type not found)", 0, 1)</f>
        <v/>
      </c>
      <c r="U715" s="3">
        <f>tbl_MTG_Set[[#This Row],[Released On]]+tbl_MTG_Set[[#This Row],[Sell Window Month Start]]*365.25/12</f>
        <v/>
      </c>
      <c r="V715">
        <f>_xlfn.XLOOKUP(tbl_MTG_Set[[#This Row],[Type Name]], tbl_MTG_Set_Type[Set Type], tbl_MTG_Set_Type[Sell Window Month End], "(Set Type not found)", 0, 1)</f>
        <v/>
      </c>
      <c r="W715" s="3">
        <f>tbl_MTG_Set[[#This Row],[Released On]]+tbl_MTG_Set[[#This Row],[Sell Window Month End]]*365.25/12</f>
        <v/>
      </c>
      <c r="X715" s="3">
        <f>AND(NOW()&gt;=tbl_MTG_Set[[#This Row],[Sell Window Start]], NOW()&lt;=tbl_MTG_Set[[#This Row],[Sell Window End]])</f>
        <v/>
      </c>
      <c r="AG715" s="10" t="n"/>
      <c r="AH715" s="10" t="n"/>
      <c r="AM715" s="10">
        <f t="array" ref="AM7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5" s="10">
        <f t="array" ref="AN7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5" s="4">
        <f>_xlfn.XLOOKUP(tbl_MTG_Set[[#This Row],[Play Booster Box Product Id]], tbl_Product[Product Id], tbl_Product[Pack Size])</f>
        <v/>
      </c>
      <c r="AP715" s="10">
        <f>(tbl_MTG_Set[[#This Row],[Play Booster Box Cost]]+v_Item_Shipping_Cost_In)/tbl_MTG_Set[[#This Row],[Play Booster Box Size]]</f>
        <v/>
      </c>
      <c r="AQ715" s="10">
        <f t="array" ref="AQ7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5" s="10" t="n"/>
      <c r="AS715" s="10" t="n"/>
      <c r="AT715" s="17">
        <f>tbl_MTG_Set[[#This Row],[Play Booster CardMarket Profit]]/tbl_MTG_Set[[#This Row],[Play Booster Cost]]</f>
        <v/>
      </c>
      <c r="AU715" s="10">
        <f>_xlfn.XLOOKUP(tbl_MTG_Set[[#This Row],[Collector Booster Box Product Id]], tbl_Product[Product Id], tbl_Product[Min Cost])</f>
        <v/>
      </c>
      <c r="AV715" s="10">
        <f>_xlfn.XLOOKUP(tbl_MTG_Set[[#This Row],[Collector Booster Box Product Id]], tbl_Product[Product Id], tbl_Product[Best Source])</f>
        <v/>
      </c>
      <c r="AW715" s="4">
        <f>_xlfn.XLOOKUP(tbl_MTG_Set[[#This Row],[Collector Booster Box Product Id]], tbl_Product[Product Id], tbl_Product[Pack Size])</f>
        <v/>
      </c>
      <c r="AX715" s="10">
        <f>(tbl_MTG_Set[[#This Row],[Collector Booster Box Cost]] + v_Item_Shipping_Cost_In) / tbl_MTG_Set[[#This Row],[Collector Booster Box Size]]</f>
        <v/>
      </c>
      <c r="AY715" s="10">
        <f t="array" ref="AY7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5" s="10" t="n"/>
      <c r="BA7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5" s="17">
        <f>tbl_MTG_Set[[#This Row],[Collector Booster CardMarket Profit]]/tbl_MTG_Set[[#This Row],[Collector Booster Cost]]</f>
        <v/>
      </c>
      <c r="BC715" s="10" t="n"/>
      <c r="BF715" s="10">
        <f>tbl_MTG_Set[[#This Row],[Play Booster Sell Price CardMarket]]*tbl_MTG_Set[[#This Row],[Play Booster Expected Market Value]]/tbl_MTG_Set[[#This Row],[Play Boost Sealed Market Value]]</f>
        <v/>
      </c>
      <c r="BG7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5" s="10">
        <f>tbl_MTG_Set[[#This Row],[Play Singles CardMarket Profit]]/tbl_MTG_Set[[#This Row],[Play Booster Cost]]</f>
        <v/>
      </c>
      <c r="BI715" s="10">
        <f>tbl_MTG_Set[[#This Row],[Play Singles CardMarket Profit]]&gt;0</f>
        <v/>
      </c>
      <c r="BJ715" s="10" t="n"/>
      <c r="BK715" s="10" t="n"/>
      <c r="BL715" s="10">
        <f>tbl_MTG_Set[[#This Row],[Collector Booster Sell Price CardMarket]]*tbl_MTG_Set[[#This Row],[Collector Booster Expected Market Value]]/tbl_MTG_Set[[#This Row],[Collector Boost Sealed Market Value]]</f>
        <v/>
      </c>
      <c r="BM7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5" s="10">
        <f>tbl_MTG_Set[[#This Row],[Collector Singles CardMarket Profit]]/tbl_MTG_Set[[#This Row],[Collector Booster Cost]]</f>
        <v/>
      </c>
      <c r="BO715" s="10">
        <f>tbl_MTG_Set[[#This Row],[Collector Singles CardMarket Profit]]&gt;0</f>
        <v/>
      </c>
      <c r="BP7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6">
      <c r="A716" t="n">
        <v>714</v>
      </c>
      <c r="B716" t="inlineStr">
        <is>
          <t>Friday Night Magic 2012 F12</t>
        </is>
      </c>
      <c r="C716" t="n">
        <v>13</v>
      </c>
      <c r="D716" s="3" t="n">
        <v>40909</v>
      </c>
      <c r="F716" t="inlineStr">
        <is>
          <t>en es fr de it pt ja ko ru 汉语 漢語</t>
        </is>
      </c>
      <c r="G716" t="n">
        <v>1374</v>
      </c>
      <c r="H716">
        <f>MONTH(NOW())+12*YEAR(NOW())-MONTH(tbl_MTG_Set[[#This Row],[Released On]])-12*YEAR(tbl_MTG_Set[[#This Row],[Released On]])</f>
        <v/>
      </c>
      <c r="I716">
        <f>_xlfn.XLOOKUP(tbl_MTG_Set[[#This Row],[Type Name]], tbl_MTG_Set_Type[Set Type], tbl_MTG_Set_Type[Index], "(Set Type not found)")</f>
        <v/>
      </c>
      <c r="J716">
        <f>_xlfn.XLOOKUP(tbl_MTG_Set[[#This Row],[Type Name]], tbl_MTG_Set_Type[Set Type], tbl_MTG_Set_Type[Buy Window Month Start], "(Set Type not found)")</f>
        <v/>
      </c>
      <c r="K716" s="3">
        <f>tbl_MTG_Set[[#This Row],[Released On]]+tbl_MTG_Set[[#This Row],[Buy Window Month Start]]*365.25/12</f>
        <v/>
      </c>
      <c r="L716">
        <f>_xlfn.XLOOKUP(tbl_MTG_Set[[#This Row],[Type Name]], tbl_MTG_Set_Type[Set Type], tbl_MTG_Set_Type[Buy Window Month End], "(Set Type not found)", 0, 1)</f>
        <v/>
      </c>
      <c r="M716" s="3">
        <f>tbl_MTG_Set[[#This Row],[Released On]]+tbl_MTG_Set[[#This Row],[Buy Window Month End]]*365.25/12</f>
        <v/>
      </c>
      <c r="N716" s="3">
        <f>AND(NOW()&gt;=tbl_MTG_Set[[#This Row],[Buy Window Start]], NOW()&lt;=tbl_MTG_Set[[#This Row],[Buy Window End]])</f>
        <v/>
      </c>
      <c r="O716">
        <f>_xlfn.XLOOKUP(tbl_MTG_Set[[#This Row],[Type Name]], tbl_MTG_Set_Type[Set Type], tbl_MTG_Set_Type[Heavy Printing Window Month Start], "(Set Type not found)", 0, 1)</f>
        <v/>
      </c>
      <c r="P716" s="3">
        <f>tbl_MTG_Set[[#This Row],[Released On]]+tbl_MTG_Set[[#This Row],[Heavy Printing Window Month Start]]*365.25/12</f>
        <v/>
      </c>
      <c r="Q716">
        <f>_xlfn.XLOOKUP(tbl_MTG_Set[[#This Row],[Type Name]], tbl_MTG_Set_Type[Set Type], tbl_MTG_Set_Type[Heavy Printing Window Month End], "(Set Type not found)", 0, 1)</f>
        <v/>
      </c>
      <c r="R716" s="3">
        <f>tbl_MTG_Set[[#This Row],[Released On]]+tbl_MTG_Set[[#This Row],[Heavy Printing Window Month End]]*365.25/12</f>
        <v/>
      </c>
      <c r="S716" s="3">
        <f>AND(NOW()&gt;=tbl_MTG_Set[[#This Row],[Heavy Printing Window Start]], NOW()&lt;=tbl_MTG_Set[[#This Row],[Heavy Printing Window End]])</f>
        <v/>
      </c>
      <c r="T716">
        <f>_xlfn.XLOOKUP(tbl_MTG_Set[[#This Row],[Type Name]], tbl_MTG_Set_Type[Set Type], tbl_MTG_Set_Type[Sell Window Month Start], "(Set Type not found)", 0, 1)</f>
        <v/>
      </c>
      <c r="U716" s="3">
        <f>tbl_MTG_Set[[#This Row],[Released On]]+tbl_MTG_Set[[#This Row],[Sell Window Month Start]]*365.25/12</f>
        <v/>
      </c>
      <c r="V716">
        <f>_xlfn.XLOOKUP(tbl_MTG_Set[[#This Row],[Type Name]], tbl_MTG_Set_Type[Set Type], tbl_MTG_Set_Type[Sell Window Month End], "(Set Type not found)", 0, 1)</f>
        <v/>
      </c>
      <c r="W716" s="3">
        <f>tbl_MTG_Set[[#This Row],[Released On]]+tbl_MTG_Set[[#This Row],[Sell Window Month End]]*365.25/12</f>
        <v/>
      </c>
      <c r="X716" s="3">
        <f>AND(NOW()&gt;=tbl_MTG_Set[[#This Row],[Sell Window Start]], NOW()&lt;=tbl_MTG_Set[[#This Row],[Sell Window End]])</f>
        <v/>
      </c>
      <c r="AG716" s="10" t="n"/>
      <c r="AH716" s="10" t="n"/>
      <c r="AM716" s="10">
        <f t="array" ref="AM7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6" s="10">
        <f t="array" ref="AN7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6" s="4">
        <f>_xlfn.XLOOKUP(tbl_MTG_Set[[#This Row],[Play Booster Box Product Id]], tbl_Product[Product Id], tbl_Product[Pack Size])</f>
        <v/>
      </c>
      <c r="AP716" s="10">
        <f>(tbl_MTG_Set[[#This Row],[Play Booster Box Cost]]+v_Item_Shipping_Cost_In)/tbl_MTG_Set[[#This Row],[Play Booster Box Size]]</f>
        <v/>
      </c>
      <c r="AQ716" s="10">
        <f t="array" ref="AQ7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6" s="10" t="n"/>
      <c r="AS716" s="10" t="n"/>
      <c r="AT716" s="17">
        <f>tbl_MTG_Set[[#This Row],[Play Booster CardMarket Profit]]/tbl_MTG_Set[[#This Row],[Play Booster Cost]]</f>
        <v/>
      </c>
      <c r="AU716" s="10">
        <f>_xlfn.XLOOKUP(tbl_MTG_Set[[#This Row],[Collector Booster Box Product Id]], tbl_Product[Product Id], tbl_Product[Min Cost])</f>
        <v/>
      </c>
      <c r="AV716" s="10">
        <f>_xlfn.XLOOKUP(tbl_MTG_Set[[#This Row],[Collector Booster Box Product Id]], tbl_Product[Product Id], tbl_Product[Best Source])</f>
        <v/>
      </c>
      <c r="AW716" s="4">
        <f>_xlfn.XLOOKUP(tbl_MTG_Set[[#This Row],[Collector Booster Box Product Id]], tbl_Product[Product Id], tbl_Product[Pack Size])</f>
        <v/>
      </c>
      <c r="AX716" s="10">
        <f>(tbl_MTG_Set[[#This Row],[Collector Booster Box Cost]] + v_Item_Shipping_Cost_In) / tbl_MTG_Set[[#This Row],[Collector Booster Box Size]]</f>
        <v/>
      </c>
      <c r="AY716" s="10">
        <f t="array" ref="AY7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6" s="10" t="n"/>
      <c r="BA7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6" s="17">
        <f>tbl_MTG_Set[[#This Row],[Collector Booster CardMarket Profit]]/tbl_MTG_Set[[#This Row],[Collector Booster Cost]]</f>
        <v/>
      </c>
      <c r="BC716" s="10" t="n"/>
      <c r="BF716" s="10">
        <f>tbl_MTG_Set[[#This Row],[Play Booster Sell Price CardMarket]]*tbl_MTG_Set[[#This Row],[Play Booster Expected Market Value]]/tbl_MTG_Set[[#This Row],[Play Boost Sealed Market Value]]</f>
        <v/>
      </c>
      <c r="BG7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6" s="10">
        <f>tbl_MTG_Set[[#This Row],[Play Singles CardMarket Profit]]/tbl_MTG_Set[[#This Row],[Play Booster Cost]]</f>
        <v/>
      </c>
      <c r="BI716" s="10">
        <f>tbl_MTG_Set[[#This Row],[Play Singles CardMarket Profit]]&gt;0</f>
        <v/>
      </c>
      <c r="BJ716" s="10" t="n"/>
      <c r="BK716" s="10" t="n"/>
      <c r="BL716" s="10">
        <f>tbl_MTG_Set[[#This Row],[Collector Booster Sell Price CardMarket]]*tbl_MTG_Set[[#This Row],[Collector Booster Expected Market Value]]/tbl_MTG_Set[[#This Row],[Collector Boost Sealed Market Value]]</f>
        <v/>
      </c>
      <c r="BM7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6" s="10">
        <f>tbl_MTG_Set[[#This Row],[Collector Singles CardMarket Profit]]/tbl_MTG_Set[[#This Row],[Collector Booster Cost]]</f>
        <v/>
      </c>
      <c r="BO716" s="10">
        <f>tbl_MTG_Set[[#This Row],[Collector Singles CardMarket Profit]]&gt;0</f>
        <v/>
      </c>
      <c r="BP7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7">
      <c r="A717" t="n">
        <v>715</v>
      </c>
      <c r="B717" t="inlineStr">
        <is>
          <t>Premium Deck Series: Graveborn PD3</t>
        </is>
      </c>
      <c r="C717" t="n">
        <v>30</v>
      </c>
      <c r="D717" s="3" t="n">
        <v>40865</v>
      </c>
      <c r="F717" t="inlineStr">
        <is>
          <t>en es fr de it pt ja ko ru 汉语 漢語</t>
        </is>
      </c>
      <c r="G717" t="n">
        <v>1376</v>
      </c>
      <c r="H717">
        <f>MONTH(NOW())+12*YEAR(NOW())-MONTH(tbl_MTG_Set[[#This Row],[Released On]])-12*YEAR(tbl_MTG_Set[[#This Row],[Released On]])</f>
        <v/>
      </c>
      <c r="I717">
        <f>_xlfn.XLOOKUP(tbl_MTG_Set[[#This Row],[Type Name]], tbl_MTG_Set_Type[Set Type], tbl_MTG_Set_Type[Index], "(Set Type not found)")</f>
        <v/>
      </c>
      <c r="J717">
        <f>_xlfn.XLOOKUP(tbl_MTG_Set[[#This Row],[Type Name]], tbl_MTG_Set_Type[Set Type], tbl_MTG_Set_Type[Buy Window Month Start], "(Set Type not found)")</f>
        <v/>
      </c>
      <c r="K717" s="3">
        <f>tbl_MTG_Set[[#This Row],[Released On]]+tbl_MTG_Set[[#This Row],[Buy Window Month Start]]*365.25/12</f>
        <v/>
      </c>
      <c r="L717">
        <f>_xlfn.XLOOKUP(tbl_MTG_Set[[#This Row],[Type Name]], tbl_MTG_Set_Type[Set Type], tbl_MTG_Set_Type[Buy Window Month End], "(Set Type not found)", 0, 1)</f>
        <v/>
      </c>
      <c r="M717" s="3">
        <f>tbl_MTG_Set[[#This Row],[Released On]]+tbl_MTG_Set[[#This Row],[Buy Window Month End]]*365.25/12</f>
        <v/>
      </c>
      <c r="N717" s="3">
        <f>AND(NOW()&gt;=tbl_MTG_Set[[#This Row],[Buy Window Start]], NOW()&lt;=tbl_MTG_Set[[#This Row],[Buy Window End]])</f>
        <v/>
      </c>
      <c r="O717">
        <f>_xlfn.XLOOKUP(tbl_MTG_Set[[#This Row],[Type Name]], tbl_MTG_Set_Type[Set Type], tbl_MTG_Set_Type[Heavy Printing Window Month Start], "(Set Type not found)", 0, 1)</f>
        <v/>
      </c>
      <c r="P717" s="3">
        <f>tbl_MTG_Set[[#This Row],[Released On]]+tbl_MTG_Set[[#This Row],[Heavy Printing Window Month Start]]*365.25/12</f>
        <v/>
      </c>
      <c r="Q717">
        <f>_xlfn.XLOOKUP(tbl_MTG_Set[[#This Row],[Type Name]], tbl_MTG_Set_Type[Set Type], tbl_MTG_Set_Type[Heavy Printing Window Month End], "(Set Type not found)", 0, 1)</f>
        <v/>
      </c>
      <c r="R717" s="3">
        <f>tbl_MTG_Set[[#This Row],[Released On]]+tbl_MTG_Set[[#This Row],[Heavy Printing Window Month End]]*365.25/12</f>
        <v/>
      </c>
      <c r="S717" s="3">
        <f>AND(NOW()&gt;=tbl_MTG_Set[[#This Row],[Heavy Printing Window Start]], NOW()&lt;=tbl_MTG_Set[[#This Row],[Heavy Printing Window End]])</f>
        <v/>
      </c>
      <c r="T717">
        <f>_xlfn.XLOOKUP(tbl_MTG_Set[[#This Row],[Type Name]], tbl_MTG_Set_Type[Set Type], tbl_MTG_Set_Type[Sell Window Month Start], "(Set Type not found)", 0, 1)</f>
        <v/>
      </c>
      <c r="U717" s="3">
        <f>tbl_MTG_Set[[#This Row],[Released On]]+tbl_MTG_Set[[#This Row],[Sell Window Month Start]]*365.25/12</f>
        <v/>
      </c>
      <c r="V717">
        <f>_xlfn.XLOOKUP(tbl_MTG_Set[[#This Row],[Type Name]], tbl_MTG_Set_Type[Set Type], tbl_MTG_Set_Type[Sell Window Month End], "(Set Type not found)", 0, 1)</f>
        <v/>
      </c>
      <c r="W717" s="3">
        <f>tbl_MTG_Set[[#This Row],[Released On]]+tbl_MTG_Set[[#This Row],[Sell Window Month End]]*365.25/12</f>
        <v/>
      </c>
      <c r="X717" s="3">
        <f>AND(NOW()&gt;=tbl_MTG_Set[[#This Row],[Sell Window Start]], NOW()&lt;=tbl_MTG_Set[[#This Row],[Sell Window End]])</f>
        <v/>
      </c>
      <c r="AG717" s="10" t="n"/>
      <c r="AH717" s="10" t="n"/>
      <c r="AM717" s="10">
        <f t="array" ref="AM7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7" s="10">
        <f t="array" ref="AN7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7" s="4">
        <f>_xlfn.XLOOKUP(tbl_MTG_Set[[#This Row],[Play Booster Box Product Id]], tbl_Product[Product Id], tbl_Product[Pack Size])</f>
        <v/>
      </c>
      <c r="AP717" s="10">
        <f>(tbl_MTG_Set[[#This Row],[Play Booster Box Cost]]+v_Item_Shipping_Cost_In)/tbl_MTG_Set[[#This Row],[Play Booster Box Size]]</f>
        <v/>
      </c>
      <c r="AQ717" s="10">
        <f t="array" ref="AQ7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7" s="10" t="n"/>
      <c r="AS717" s="10" t="n"/>
      <c r="AT717" s="17">
        <f>tbl_MTG_Set[[#This Row],[Play Booster CardMarket Profit]]/tbl_MTG_Set[[#This Row],[Play Booster Cost]]</f>
        <v/>
      </c>
      <c r="AU717" s="10">
        <f>_xlfn.XLOOKUP(tbl_MTG_Set[[#This Row],[Collector Booster Box Product Id]], tbl_Product[Product Id], tbl_Product[Min Cost])</f>
        <v/>
      </c>
      <c r="AV717" s="10">
        <f>_xlfn.XLOOKUP(tbl_MTG_Set[[#This Row],[Collector Booster Box Product Id]], tbl_Product[Product Id], tbl_Product[Best Source])</f>
        <v/>
      </c>
      <c r="AW717" s="4">
        <f>_xlfn.XLOOKUP(tbl_MTG_Set[[#This Row],[Collector Booster Box Product Id]], tbl_Product[Product Id], tbl_Product[Pack Size])</f>
        <v/>
      </c>
      <c r="AX717" s="10">
        <f>(tbl_MTG_Set[[#This Row],[Collector Booster Box Cost]] + v_Item_Shipping_Cost_In) / tbl_MTG_Set[[#This Row],[Collector Booster Box Size]]</f>
        <v/>
      </c>
      <c r="AY717" s="10">
        <f t="array" ref="AY7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7" s="10" t="n"/>
      <c r="BA7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7" s="17">
        <f>tbl_MTG_Set[[#This Row],[Collector Booster CardMarket Profit]]/tbl_MTG_Set[[#This Row],[Collector Booster Cost]]</f>
        <v/>
      </c>
      <c r="BC717" s="10" t="n"/>
      <c r="BF717" s="10">
        <f>tbl_MTG_Set[[#This Row],[Play Booster Sell Price CardMarket]]*tbl_MTG_Set[[#This Row],[Play Booster Expected Market Value]]/tbl_MTG_Set[[#This Row],[Play Boost Sealed Market Value]]</f>
        <v/>
      </c>
      <c r="BG7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7" s="10">
        <f>tbl_MTG_Set[[#This Row],[Play Singles CardMarket Profit]]/tbl_MTG_Set[[#This Row],[Play Booster Cost]]</f>
        <v/>
      </c>
      <c r="BI717" s="10">
        <f>tbl_MTG_Set[[#This Row],[Play Singles CardMarket Profit]]&gt;0</f>
        <v/>
      </c>
      <c r="BJ717" s="10" t="n"/>
      <c r="BK717" s="10" t="n"/>
      <c r="BL717" s="10">
        <f>tbl_MTG_Set[[#This Row],[Collector Booster Sell Price CardMarket]]*tbl_MTG_Set[[#This Row],[Collector Booster Expected Market Value]]/tbl_MTG_Set[[#This Row],[Collector Boost Sealed Market Value]]</f>
        <v/>
      </c>
      <c r="BM7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7" s="10">
        <f>tbl_MTG_Set[[#This Row],[Collector Singles CardMarket Profit]]/tbl_MTG_Set[[#This Row],[Collector Booster Cost]]</f>
        <v/>
      </c>
      <c r="BO717" s="10">
        <f>tbl_MTG_Set[[#This Row],[Collector Singles CardMarket Profit]]&gt;0</f>
        <v/>
      </c>
      <c r="BP7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8">
      <c r="A718" t="n">
        <v>716</v>
      </c>
      <c r="B718" t="inlineStr">
        <is>
          <t>Innistrad ISD</t>
        </is>
      </c>
      <c r="C718" t="n">
        <v>264</v>
      </c>
      <c r="D718" s="3" t="n">
        <v>40816</v>
      </c>
      <c r="F718" t="inlineStr">
        <is>
          <t>en es fr de it pt ja ko ru 汉语 漢語</t>
        </is>
      </c>
      <c r="G718" t="n">
        <v>1378</v>
      </c>
      <c r="H718">
        <f>MONTH(NOW())+12*YEAR(NOW())-MONTH(tbl_MTG_Set[[#This Row],[Released On]])-12*YEAR(tbl_MTG_Set[[#This Row],[Released On]])</f>
        <v/>
      </c>
      <c r="I718">
        <f>_xlfn.XLOOKUP(tbl_MTG_Set[[#This Row],[Type Name]], tbl_MTG_Set_Type[Set Type], tbl_MTG_Set_Type[Index], "(Set Type not found)")</f>
        <v/>
      </c>
      <c r="J718">
        <f>_xlfn.XLOOKUP(tbl_MTG_Set[[#This Row],[Type Name]], tbl_MTG_Set_Type[Set Type], tbl_MTG_Set_Type[Buy Window Month Start], "(Set Type not found)")</f>
        <v/>
      </c>
      <c r="K718" s="3">
        <f>tbl_MTG_Set[[#This Row],[Released On]]+tbl_MTG_Set[[#This Row],[Buy Window Month Start]]*365.25/12</f>
        <v/>
      </c>
      <c r="L718">
        <f>_xlfn.XLOOKUP(tbl_MTG_Set[[#This Row],[Type Name]], tbl_MTG_Set_Type[Set Type], tbl_MTG_Set_Type[Buy Window Month End], "(Set Type not found)", 0, 1)</f>
        <v/>
      </c>
      <c r="M718" s="3">
        <f>tbl_MTG_Set[[#This Row],[Released On]]+tbl_MTG_Set[[#This Row],[Buy Window Month End]]*365.25/12</f>
        <v/>
      </c>
      <c r="N718" s="3">
        <f>AND(NOW()&gt;=tbl_MTG_Set[[#This Row],[Buy Window Start]], NOW()&lt;=tbl_MTG_Set[[#This Row],[Buy Window End]])</f>
        <v/>
      </c>
      <c r="O718">
        <f>_xlfn.XLOOKUP(tbl_MTG_Set[[#This Row],[Type Name]], tbl_MTG_Set_Type[Set Type], tbl_MTG_Set_Type[Heavy Printing Window Month Start], "(Set Type not found)", 0, 1)</f>
        <v/>
      </c>
      <c r="P718" s="3">
        <f>tbl_MTG_Set[[#This Row],[Released On]]+tbl_MTG_Set[[#This Row],[Heavy Printing Window Month Start]]*365.25/12</f>
        <v/>
      </c>
      <c r="Q718">
        <f>_xlfn.XLOOKUP(tbl_MTG_Set[[#This Row],[Type Name]], tbl_MTG_Set_Type[Set Type], tbl_MTG_Set_Type[Heavy Printing Window Month End], "(Set Type not found)", 0, 1)</f>
        <v/>
      </c>
      <c r="R718" s="3">
        <f>tbl_MTG_Set[[#This Row],[Released On]]+tbl_MTG_Set[[#This Row],[Heavy Printing Window Month End]]*365.25/12</f>
        <v/>
      </c>
      <c r="S718" s="3">
        <f>AND(NOW()&gt;=tbl_MTG_Set[[#This Row],[Heavy Printing Window Start]], NOW()&lt;=tbl_MTG_Set[[#This Row],[Heavy Printing Window End]])</f>
        <v/>
      </c>
      <c r="T718">
        <f>_xlfn.XLOOKUP(tbl_MTG_Set[[#This Row],[Type Name]], tbl_MTG_Set_Type[Set Type], tbl_MTG_Set_Type[Sell Window Month Start], "(Set Type not found)", 0, 1)</f>
        <v/>
      </c>
      <c r="U718" s="3">
        <f>tbl_MTG_Set[[#This Row],[Released On]]+tbl_MTG_Set[[#This Row],[Sell Window Month Start]]*365.25/12</f>
        <v/>
      </c>
      <c r="V718">
        <f>_xlfn.XLOOKUP(tbl_MTG_Set[[#This Row],[Type Name]], tbl_MTG_Set_Type[Set Type], tbl_MTG_Set_Type[Sell Window Month End], "(Set Type not found)", 0, 1)</f>
        <v/>
      </c>
      <c r="W718" s="3">
        <f>tbl_MTG_Set[[#This Row],[Released On]]+tbl_MTG_Set[[#This Row],[Sell Window Month End]]*365.25/12</f>
        <v/>
      </c>
      <c r="X718" s="3">
        <f>AND(NOW()&gt;=tbl_MTG_Set[[#This Row],[Sell Window Start]], NOW()&lt;=tbl_MTG_Set[[#This Row],[Sell Window End]])</f>
        <v/>
      </c>
      <c r="AG718" s="10" t="n"/>
      <c r="AH718" s="10" t="n"/>
      <c r="AM718" s="10">
        <f t="array" ref="AM7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8" s="10">
        <f t="array" ref="AN7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8" s="4">
        <f>_xlfn.XLOOKUP(tbl_MTG_Set[[#This Row],[Play Booster Box Product Id]], tbl_Product[Product Id], tbl_Product[Pack Size])</f>
        <v/>
      </c>
      <c r="AP718" s="10">
        <f>(tbl_MTG_Set[[#This Row],[Play Booster Box Cost]]+v_Item_Shipping_Cost_In)/tbl_MTG_Set[[#This Row],[Play Booster Box Size]]</f>
        <v/>
      </c>
      <c r="AQ718" s="10">
        <f t="array" ref="AQ7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8" s="10" t="n"/>
      <c r="AS718" s="10" t="n"/>
      <c r="AT718" s="17">
        <f>tbl_MTG_Set[[#This Row],[Play Booster CardMarket Profit]]/tbl_MTG_Set[[#This Row],[Play Booster Cost]]</f>
        <v/>
      </c>
      <c r="AU718" s="10">
        <f>_xlfn.XLOOKUP(tbl_MTG_Set[[#This Row],[Collector Booster Box Product Id]], tbl_Product[Product Id], tbl_Product[Min Cost])</f>
        <v/>
      </c>
      <c r="AV718" s="10">
        <f>_xlfn.XLOOKUP(tbl_MTG_Set[[#This Row],[Collector Booster Box Product Id]], tbl_Product[Product Id], tbl_Product[Best Source])</f>
        <v/>
      </c>
      <c r="AW718" s="4">
        <f>_xlfn.XLOOKUP(tbl_MTG_Set[[#This Row],[Collector Booster Box Product Id]], tbl_Product[Product Id], tbl_Product[Pack Size])</f>
        <v/>
      </c>
      <c r="AX718" s="10">
        <f>(tbl_MTG_Set[[#This Row],[Collector Booster Box Cost]] + v_Item_Shipping_Cost_In) / tbl_MTG_Set[[#This Row],[Collector Booster Box Size]]</f>
        <v/>
      </c>
      <c r="AY718" s="10">
        <f t="array" ref="AY7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8" s="10" t="n"/>
      <c r="BA7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8" s="17">
        <f>tbl_MTG_Set[[#This Row],[Collector Booster CardMarket Profit]]/tbl_MTG_Set[[#This Row],[Collector Booster Cost]]</f>
        <v/>
      </c>
      <c r="BC718" s="10" t="n"/>
      <c r="BF718" s="10">
        <f>tbl_MTG_Set[[#This Row],[Play Booster Sell Price CardMarket]]*tbl_MTG_Set[[#This Row],[Play Booster Expected Market Value]]/tbl_MTG_Set[[#This Row],[Play Boost Sealed Market Value]]</f>
        <v/>
      </c>
      <c r="BG7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8" s="10">
        <f>tbl_MTG_Set[[#This Row],[Play Singles CardMarket Profit]]/tbl_MTG_Set[[#This Row],[Play Booster Cost]]</f>
        <v/>
      </c>
      <c r="BI718" s="10">
        <f>tbl_MTG_Set[[#This Row],[Play Singles CardMarket Profit]]&gt;0</f>
        <v/>
      </c>
      <c r="BJ718" s="10" t="n"/>
      <c r="BK718" s="10" t="n"/>
      <c r="BL718" s="10">
        <f>tbl_MTG_Set[[#This Row],[Collector Booster Sell Price CardMarket]]*tbl_MTG_Set[[#This Row],[Collector Booster Expected Market Value]]/tbl_MTG_Set[[#This Row],[Collector Boost Sealed Market Value]]</f>
        <v/>
      </c>
      <c r="BM7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8" s="10">
        <f>tbl_MTG_Set[[#This Row],[Collector Singles CardMarket Profit]]/tbl_MTG_Set[[#This Row],[Collector Booster Cost]]</f>
        <v/>
      </c>
      <c r="BO718" s="10">
        <f>tbl_MTG_Set[[#This Row],[Collector Singles CardMarket Profit]]&gt;0</f>
        <v/>
      </c>
      <c r="BP7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9">
      <c r="A719" t="n">
        <v>717</v>
      </c>
      <c r="B719" t="inlineStr">
        <is>
          <t>Innistrad Promos PISD</t>
        </is>
      </c>
      <c r="C719" t="n">
        <v>5</v>
      </c>
      <c r="D719" s="3" t="n">
        <v>40810</v>
      </c>
      <c r="F719" t="inlineStr">
        <is>
          <t>en es fr de it pt ja ko ru 汉语 漢語</t>
        </is>
      </c>
      <c r="G719" t="n">
        <v>1380</v>
      </c>
      <c r="H719">
        <f>MONTH(NOW())+12*YEAR(NOW())-MONTH(tbl_MTG_Set[[#This Row],[Released On]])-12*YEAR(tbl_MTG_Set[[#This Row],[Released On]])</f>
        <v/>
      </c>
      <c r="I719">
        <f>_xlfn.XLOOKUP(tbl_MTG_Set[[#This Row],[Type Name]], tbl_MTG_Set_Type[Set Type], tbl_MTG_Set_Type[Index], "(Set Type not found)")</f>
        <v/>
      </c>
      <c r="J719">
        <f>_xlfn.XLOOKUP(tbl_MTG_Set[[#This Row],[Type Name]], tbl_MTG_Set_Type[Set Type], tbl_MTG_Set_Type[Buy Window Month Start], "(Set Type not found)")</f>
        <v/>
      </c>
      <c r="K719" s="3">
        <f>tbl_MTG_Set[[#This Row],[Released On]]+tbl_MTG_Set[[#This Row],[Buy Window Month Start]]*365.25/12</f>
        <v/>
      </c>
      <c r="L719">
        <f>_xlfn.XLOOKUP(tbl_MTG_Set[[#This Row],[Type Name]], tbl_MTG_Set_Type[Set Type], tbl_MTG_Set_Type[Buy Window Month End], "(Set Type not found)", 0, 1)</f>
        <v/>
      </c>
      <c r="M719" s="3">
        <f>tbl_MTG_Set[[#This Row],[Released On]]+tbl_MTG_Set[[#This Row],[Buy Window Month End]]*365.25/12</f>
        <v/>
      </c>
      <c r="N719" s="3">
        <f>AND(NOW()&gt;=tbl_MTG_Set[[#This Row],[Buy Window Start]], NOW()&lt;=tbl_MTG_Set[[#This Row],[Buy Window End]])</f>
        <v/>
      </c>
      <c r="O719">
        <f>_xlfn.XLOOKUP(tbl_MTG_Set[[#This Row],[Type Name]], tbl_MTG_Set_Type[Set Type], tbl_MTG_Set_Type[Heavy Printing Window Month Start], "(Set Type not found)", 0, 1)</f>
        <v/>
      </c>
      <c r="P719" s="3">
        <f>tbl_MTG_Set[[#This Row],[Released On]]+tbl_MTG_Set[[#This Row],[Heavy Printing Window Month Start]]*365.25/12</f>
        <v/>
      </c>
      <c r="Q719">
        <f>_xlfn.XLOOKUP(tbl_MTG_Set[[#This Row],[Type Name]], tbl_MTG_Set_Type[Set Type], tbl_MTG_Set_Type[Heavy Printing Window Month End], "(Set Type not found)", 0, 1)</f>
        <v/>
      </c>
      <c r="R719" s="3">
        <f>tbl_MTG_Set[[#This Row],[Released On]]+tbl_MTG_Set[[#This Row],[Heavy Printing Window Month End]]*365.25/12</f>
        <v/>
      </c>
      <c r="S719" s="3">
        <f>AND(NOW()&gt;=tbl_MTG_Set[[#This Row],[Heavy Printing Window Start]], NOW()&lt;=tbl_MTG_Set[[#This Row],[Heavy Printing Window End]])</f>
        <v/>
      </c>
      <c r="T719">
        <f>_xlfn.XLOOKUP(tbl_MTG_Set[[#This Row],[Type Name]], tbl_MTG_Set_Type[Set Type], tbl_MTG_Set_Type[Sell Window Month Start], "(Set Type not found)", 0, 1)</f>
        <v/>
      </c>
      <c r="U719" s="3">
        <f>tbl_MTG_Set[[#This Row],[Released On]]+tbl_MTG_Set[[#This Row],[Sell Window Month Start]]*365.25/12</f>
        <v/>
      </c>
      <c r="V719">
        <f>_xlfn.XLOOKUP(tbl_MTG_Set[[#This Row],[Type Name]], tbl_MTG_Set_Type[Set Type], tbl_MTG_Set_Type[Sell Window Month End], "(Set Type not found)", 0, 1)</f>
        <v/>
      </c>
      <c r="W719" s="3">
        <f>tbl_MTG_Set[[#This Row],[Released On]]+tbl_MTG_Set[[#This Row],[Sell Window Month End]]*365.25/12</f>
        <v/>
      </c>
      <c r="X719" s="3">
        <f>AND(NOW()&gt;=tbl_MTG_Set[[#This Row],[Sell Window Start]], NOW()&lt;=tbl_MTG_Set[[#This Row],[Sell Window End]])</f>
        <v/>
      </c>
      <c r="AG719" s="10" t="n"/>
      <c r="AH719" s="10" t="n"/>
      <c r="AM719" s="10">
        <f t="array" ref="AM7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9" s="10">
        <f t="array" ref="AN7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9" s="4">
        <f>_xlfn.XLOOKUP(tbl_MTG_Set[[#This Row],[Play Booster Box Product Id]], tbl_Product[Product Id], tbl_Product[Pack Size])</f>
        <v/>
      </c>
      <c r="AP719" s="10">
        <f>(tbl_MTG_Set[[#This Row],[Play Booster Box Cost]]+v_Item_Shipping_Cost_In)/tbl_MTG_Set[[#This Row],[Play Booster Box Size]]</f>
        <v/>
      </c>
      <c r="AQ719" s="10">
        <f t="array" ref="AQ7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19" s="10" t="n"/>
      <c r="AS719" s="10" t="n"/>
      <c r="AT719" s="17">
        <f>tbl_MTG_Set[[#This Row],[Play Booster CardMarket Profit]]/tbl_MTG_Set[[#This Row],[Play Booster Cost]]</f>
        <v/>
      </c>
      <c r="AU719" s="10">
        <f>_xlfn.XLOOKUP(tbl_MTG_Set[[#This Row],[Collector Booster Box Product Id]], tbl_Product[Product Id], tbl_Product[Min Cost])</f>
        <v/>
      </c>
      <c r="AV719" s="10">
        <f>_xlfn.XLOOKUP(tbl_MTG_Set[[#This Row],[Collector Booster Box Product Id]], tbl_Product[Product Id], tbl_Product[Best Source])</f>
        <v/>
      </c>
      <c r="AW719" s="4">
        <f>_xlfn.XLOOKUP(tbl_MTG_Set[[#This Row],[Collector Booster Box Product Id]], tbl_Product[Product Id], tbl_Product[Pack Size])</f>
        <v/>
      </c>
      <c r="AX719" s="10">
        <f>(tbl_MTG_Set[[#This Row],[Collector Booster Box Cost]] + v_Item_Shipping_Cost_In) / tbl_MTG_Set[[#This Row],[Collector Booster Box Size]]</f>
        <v/>
      </c>
      <c r="AY719" s="10">
        <f t="array" ref="AY7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19" s="10" t="n"/>
      <c r="BA7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9" s="17">
        <f>tbl_MTG_Set[[#This Row],[Collector Booster CardMarket Profit]]/tbl_MTG_Set[[#This Row],[Collector Booster Cost]]</f>
        <v/>
      </c>
      <c r="BC719" s="10" t="n"/>
      <c r="BF719" s="10">
        <f>tbl_MTG_Set[[#This Row],[Play Booster Sell Price CardMarket]]*tbl_MTG_Set[[#This Row],[Play Booster Expected Market Value]]/tbl_MTG_Set[[#This Row],[Play Boost Sealed Market Value]]</f>
        <v/>
      </c>
      <c r="BG7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9" s="10">
        <f>tbl_MTG_Set[[#This Row],[Play Singles CardMarket Profit]]/tbl_MTG_Set[[#This Row],[Play Booster Cost]]</f>
        <v/>
      </c>
      <c r="BI719" s="10">
        <f>tbl_MTG_Set[[#This Row],[Play Singles CardMarket Profit]]&gt;0</f>
        <v/>
      </c>
      <c r="BJ719" s="10" t="n"/>
      <c r="BK719" s="10" t="n"/>
      <c r="BL719" s="10">
        <f>tbl_MTG_Set[[#This Row],[Collector Booster Sell Price CardMarket]]*tbl_MTG_Set[[#This Row],[Collector Booster Expected Market Value]]/tbl_MTG_Set[[#This Row],[Collector Boost Sealed Market Value]]</f>
        <v/>
      </c>
      <c r="BM7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9" s="10">
        <f>tbl_MTG_Set[[#This Row],[Collector Singles CardMarket Profit]]/tbl_MTG_Set[[#This Row],[Collector Booster Cost]]</f>
        <v/>
      </c>
      <c r="BO719" s="10">
        <f>tbl_MTG_Set[[#This Row],[Collector Singles CardMarket Profit]]&gt;0</f>
        <v/>
      </c>
      <c r="BP7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0">
      <c r="A720" t="n">
        <v>718</v>
      </c>
      <c r="B720" t="inlineStr">
        <is>
          <t>Innistrad Tokens TISD</t>
        </is>
      </c>
      <c r="C720" t="n">
        <v>13</v>
      </c>
      <c r="D720" s="3" t="n">
        <v>40816</v>
      </c>
      <c r="E720" t="inlineStr">
        <is>
          <t>Standard Expansion</t>
        </is>
      </c>
      <c r="F720" t="inlineStr">
        <is>
          <t>en es fr de it pt ja ko ru 汉语 漢語</t>
        </is>
      </c>
      <c r="G720" t="n">
        <v>1382</v>
      </c>
      <c r="H720">
        <f>MONTH(NOW())+12*YEAR(NOW())-MONTH(tbl_MTG_Set[[#This Row],[Released On]])-12*YEAR(tbl_MTG_Set[[#This Row],[Released On]])</f>
        <v/>
      </c>
      <c r="I720">
        <f>_xlfn.XLOOKUP(tbl_MTG_Set[[#This Row],[Type Name]], tbl_MTG_Set_Type[Set Type], tbl_MTG_Set_Type[Index], "(Set Type not found)")</f>
        <v/>
      </c>
      <c r="J720">
        <f>_xlfn.XLOOKUP(tbl_MTG_Set[[#This Row],[Type Name]], tbl_MTG_Set_Type[Set Type], tbl_MTG_Set_Type[Buy Window Month Start], "(Set Type not found)")</f>
        <v/>
      </c>
      <c r="K720" s="3">
        <f>tbl_MTG_Set[[#This Row],[Released On]]+tbl_MTG_Set[[#This Row],[Buy Window Month Start]]*365.25/12</f>
        <v/>
      </c>
      <c r="L720">
        <f>_xlfn.XLOOKUP(tbl_MTG_Set[[#This Row],[Type Name]], tbl_MTG_Set_Type[Set Type], tbl_MTG_Set_Type[Buy Window Month End], "(Set Type not found)", 0, 1)</f>
        <v/>
      </c>
      <c r="M720" s="3">
        <f>tbl_MTG_Set[[#This Row],[Released On]]+tbl_MTG_Set[[#This Row],[Buy Window Month End]]*365.25/12</f>
        <v/>
      </c>
      <c r="N720" s="3">
        <f>AND(NOW()&gt;=tbl_MTG_Set[[#This Row],[Buy Window Start]], NOW()&lt;=tbl_MTG_Set[[#This Row],[Buy Window End]])</f>
        <v/>
      </c>
      <c r="O720">
        <f>_xlfn.XLOOKUP(tbl_MTG_Set[[#This Row],[Type Name]], tbl_MTG_Set_Type[Set Type], tbl_MTG_Set_Type[Heavy Printing Window Month Start], "(Set Type not found)", 0, 1)</f>
        <v/>
      </c>
      <c r="P720" s="3">
        <f>tbl_MTG_Set[[#This Row],[Released On]]+tbl_MTG_Set[[#This Row],[Heavy Printing Window Month Start]]*365.25/12</f>
        <v/>
      </c>
      <c r="Q720">
        <f>_xlfn.XLOOKUP(tbl_MTG_Set[[#This Row],[Type Name]], tbl_MTG_Set_Type[Set Type], tbl_MTG_Set_Type[Heavy Printing Window Month End], "(Set Type not found)", 0, 1)</f>
        <v/>
      </c>
      <c r="R720" s="3">
        <f>tbl_MTG_Set[[#This Row],[Released On]]+tbl_MTG_Set[[#This Row],[Heavy Printing Window Month End]]*365.25/12</f>
        <v/>
      </c>
      <c r="S720" s="3">
        <f>AND(NOW()&gt;=tbl_MTG_Set[[#This Row],[Heavy Printing Window Start]], NOW()&lt;=tbl_MTG_Set[[#This Row],[Heavy Printing Window End]])</f>
        <v/>
      </c>
      <c r="T720">
        <f>_xlfn.XLOOKUP(tbl_MTG_Set[[#This Row],[Type Name]], tbl_MTG_Set_Type[Set Type], tbl_MTG_Set_Type[Sell Window Month Start], "(Set Type not found)", 0, 1)</f>
        <v/>
      </c>
      <c r="U720" s="3">
        <f>tbl_MTG_Set[[#This Row],[Released On]]+tbl_MTG_Set[[#This Row],[Sell Window Month Start]]*365.25/12</f>
        <v/>
      </c>
      <c r="V720">
        <f>_xlfn.XLOOKUP(tbl_MTG_Set[[#This Row],[Type Name]], tbl_MTG_Set_Type[Set Type], tbl_MTG_Set_Type[Sell Window Month End], "(Set Type not found)", 0, 1)</f>
        <v/>
      </c>
      <c r="W720" s="3">
        <f>tbl_MTG_Set[[#This Row],[Released On]]+tbl_MTG_Set[[#This Row],[Sell Window Month End]]*365.25/12</f>
        <v/>
      </c>
      <c r="X720" s="3">
        <f>AND(NOW()&gt;=tbl_MTG_Set[[#This Row],[Sell Window Start]], NOW()&lt;=tbl_MTG_Set[[#This Row],[Sell Window End]])</f>
        <v/>
      </c>
      <c r="AG720" s="10" t="n"/>
      <c r="AH720" s="10" t="n"/>
      <c r="AM720" s="10">
        <f t="array" ref="AM7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0" s="10">
        <f t="array" ref="AN7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0" s="4">
        <f>_xlfn.XLOOKUP(tbl_MTG_Set[[#This Row],[Play Booster Box Product Id]], tbl_Product[Product Id], tbl_Product[Pack Size])</f>
        <v/>
      </c>
      <c r="AP720" s="10">
        <f>(tbl_MTG_Set[[#This Row],[Play Booster Box Cost]]+v_Item_Shipping_Cost_In)/tbl_MTG_Set[[#This Row],[Play Booster Box Size]]</f>
        <v/>
      </c>
      <c r="AQ720" s="10">
        <f t="array" ref="AQ7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0" s="10" t="n"/>
      <c r="AS720" s="10" t="n"/>
      <c r="AT720" s="17">
        <f>tbl_MTG_Set[[#This Row],[Play Booster CardMarket Profit]]/tbl_MTG_Set[[#This Row],[Play Booster Cost]]</f>
        <v/>
      </c>
      <c r="AU720" s="10">
        <f>_xlfn.XLOOKUP(tbl_MTG_Set[[#This Row],[Collector Booster Box Product Id]], tbl_Product[Product Id], tbl_Product[Min Cost])</f>
        <v/>
      </c>
      <c r="AV720" s="10">
        <f>_xlfn.XLOOKUP(tbl_MTG_Set[[#This Row],[Collector Booster Box Product Id]], tbl_Product[Product Id], tbl_Product[Best Source])</f>
        <v/>
      </c>
      <c r="AW720" s="4">
        <f>_xlfn.XLOOKUP(tbl_MTG_Set[[#This Row],[Collector Booster Box Product Id]], tbl_Product[Product Id], tbl_Product[Pack Size])</f>
        <v/>
      </c>
      <c r="AX720" s="10">
        <f>(tbl_MTG_Set[[#This Row],[Collector Booster Box Cost]] + v_Item_Shipping_Cost_In) / tbl_MTG_Set[[#This Row],[Collector Booster Box Size]]</f>
        <v/>
      </c>
      <c r="AY720" s="10">
        <f t="array" ref="AY7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0" s="10" t="n"/>
      <c r="BA7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0" s="17">
        <f>tbl_MTG_Set[[#This Row],[Collector Booster CardMarket Profit]]/tbl_MTG_Set[[#This Row],[Collector Booster Cost]]</f>
        <v/>
      </c>
      <c r="BC720" s="10" t="n"/>
      <c r="BF720" s="10">
        <f>tbl_MTG_Set[[#This Row],[Play Booster Sell Price CardMarket]]*tbl_MTG_Set[[#This Row],[Play Booster Expected Market Value]]/tbl_MTG_Set[[#This Row],[Play Boost Sealed Market Value]]</f>
        <v/>
      </c>
      <c r="BG7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0" s="10">
        <f>tbl_MTG_Set[[#This Row],[Play Singles CardMarket Profit]]/tbl_MTG_Set[[#This Row],[Play Booster Cost]]</f>
        <v/>
      </c>
      <c r="BI720" s="10">
        <f>tbl_MTG_Set[[#This Row],[Play Singles CardMarket Profit]]&gt;0</f>
        <v/>
      </c>
      <c r="BJ720" s="10" t="n"/>
      <c r="BK720" s="10" t="n"/>
      <c r="BL720" s="10">
        <f>tbl_MTG_Set[[#This Row],[Collector Booster Sell Price CardMarket]]*tbl_MTG_Set[[#This Row],[Collector Booster Expected Market Value]]/tbl_MTG_Set[[#This Row],[Collector Boost Sealed Market Value]]</f>
        <v/>
      </c>
      <c r="BM7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0" s="10">
        <f>tbl_MTG_Set[[#This Row],[Collector Singles CardMarket Profit]]/tbl_MTG_Set[[#This Row],[Collector Booster Cost]]</f>
        <v/>
      </c>
      <c r="BO720" s="10">
        <f>tbl_MTG_Set[[#This Row],[Collector Singles CardMarket Profit]]&gt;0</f>
        <v/>
      </c>
      <c r="BP7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1">
      <c r="A721" t="n">
        <v>719</v>
      </c>
      <c r="B721" t="inlineStr">
        <is>
          <t>Duel Decks: Ajani vs. Nicol Bolas DDH</t>
        </is>
      </c>
      <c r="C721" t="n">
        <v>80</v>
      </c>
      <c r="D721" s="3" t="n">
        <v>40788</v>
      </c>
      <c r="F721" t="inlineStr">
        <is>
          <t>en es fr de it pt ja ko ru 汉语 漢語</t>
        </is>
      </c>
      <c r="G721" t="n">
        <v>1384</v>
      </c>
      <c r="H721">
        <f>MONTH(NOW())+12*YEAR(NOW())-MONTH(tbl_MTG_Set[[#This Row],[Released On]])-12*YEAR(tbl_MTG_Set[[#This Row],[Released On]])</f>
        <v/>
      </c>
      <c r="I721">
        <f>_xlfn.XLOOKUP(tbl_MTG_Set[[#This Row],[Type Name]], tbl_MTG_Set_Type[Set Type], tbl_MTG_Set_Type[Index], "(Set Type not found)")</f>
        <v/>
      </c>
      <c r="J721">
        <f>_xlfn.XLOOKUP(tbl_MTG_Set[[#This Row],[Type Name]], tbl_MTG_Set_Type[Set Type], tbl_MTG_Set_Type[Buy Window Month Start], "(Set Type not found)")</f>
        <v/>
      </c>
      <c r="K721" s="3">
        <f>tbl_MTG_Set[[#This Row],[Released On]]+tbl_MTG_Set[[#This Row],[Buy Window Month Start]]*365.25/12</f>
        <v/>
      </c>
      <c r="L721">
        <f>_xlfn.XLOOKUP(tbl_MTG_Set[[#This Row],[Type Name]], tbl_MTG_Set_Type[Set Type], tbl_MTG_Set_Type[Buy Window Month End], "(Set Type not found)", 0, 1)</f>
        <v/>
      </c>
      <c r="M721" s="3">
        <f>tbl_MTG_Set[[#This Row],[Released On]]+tbl_MTG_Set[[#This Row],[Buy Window Month End]]*365.25/12</f>
        <v/>
      </c>
      <c r="N721" s="3">
        <f>AND(NOW()&gt;=tbl_MTG_Set[[#This Row],[Buy Window Start]], NOW()&lt;=tbl_MTG_Set[[#This Row],[Buy Window End]])</f>
        <v/>
      </c>
      <c r="O721">
        <f>_xlfn.XLOOKUP(tbl_MTG_Set[[#This Row],[Type Name]], tbl_MTG_Set_Type[Set Type], tbl_MTG_Set_Type[Heavy Printing Window Month Start], "(Set Type not found)", 0, 1)</f>
        <v/>
      </c>
      <c r="P721" s="3">
        <f>tbl_MTG_Set[[#This Row],[Released On]]+tbl_MTG_Set[[#This Row],[Heavy Printing Window Month Start]]*365.25/12</f>
        <v/>
      </c>
      <c r="Q721">
        <f>_xlfn.XLOOKUP(tbl_MTG_Set[[#This Row],[Type Name]], tbl_MTG_Set_Type[Set Type], tbl_MTG_Set_Type[Heavy Printing Window Month End], "(Set Type not found)", 0, 1)</f>
        <v/>
      </c>
      <c r="R721" s="3">
        <f>tbl_MTG_Set[[#This Row],[Released On]]+tbl_MTG_Set[[#This Row],[Heavy Printing Window Month End]]*365.25/12</f>
        <v/>
      </c>
      <c r="S721" s="3">
        <f>AND(NOW()&gt;=tbl_MTG_Set[[#This Row],[Heavy Printing Window Start]], NOW()&lt;=tbl_MTG_Set[[#This Row],[Heavy Printing Window End]])</f>
        <v/>
      </c>
      <c r="T721">
        <f>_xlfn.XLOOKUP(tbl_MTG_Set[[#This Row],[Type Name]], tbl_MTG_Set_Type[Set Type], tbl_MTG_Set_Type[Sell Window Month Start], "(Set Type not found)", 0, 1)</f>
        <v/>
      </c>
      <c r="U721" s="3">
        <f>tbl_MTG_Set[[#This Row],[Released On]]+tbl_MTG_Set[[#This Row],[Sell Window Month Start]]*365.25/12</f>
        <v/>
      </c>
      <c r="V721">
        <f>_xlfn.XLOOKUP(tbl_MTG_Set[[#This Row],[Type Name]], tbl_MTG_Set_Type[Set Type], tbl_MTG_Set_Type[Sell Window Month End], "(Set Type not found)", 0, 1)</f>
        <v/>
      </c>
      <c r="W721" s="3">
        <f>tbl_MTG_Set[[#This Row],[Released On]]+tbl_MTG_Set[[#This Row],[Sell Window Month End]]*365.25/12</f>
        <v/>
      </c>
      <c r="X721" s="3">
        <f>AND(NOW()&gt;=tbl_MTG_Set[[#This Row],[Sell Window Start]], NOW()&lt;=tbl_MTG_Set[[#This Row],[Sell Window End]])</f>
        <v/>
      </c>
      <c r="AG721" s="10" t="n"/>
      <c r="AH721" s="10" t="n"/>
      <c r="AM721" s="10">
        <f t="array" ref="AM7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1" s="10">
        <f t="array" ref="AN7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1" s="4">
        <f>_xlfn.XLOOKUP(tbl_MTG_Set[[#This Row],[Play Booster Box Product Id]], tbl_Product[Product Id], tbl_Product[Pack Size])</f>
        <v/>
      </c>
      <c r="AP721" s="10">
        <f>(tbl_MTG_Set[[#This Row],[Play Booster Box Cost]]+v_Item_Shipping_Cost_In)/tbl_MTG_Set[[#This Row],[Play Booster Box Size]]</f>
        <v/>
      </c>
      <c r="AQ721" s="10">
        <f t="array" ref="AQ7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1" s="10" t="n"/>
      <c r="AS721" s="10" t="n"/>
      <c r="AT721" s="17">
        <f>tbl_MTG_Set[[#This Row],[Play Booster CardMarket Profit]]/tbl_MTG_Set[[#This Row],[Play Booster Cost]]</f>
        <v/>
      </c>
      <c r="AU721" s="10">
        <f>_xlfn.XLOOKUP(tbl_MTG_Set[[#This Row],[Collector Booster Box Product Id]], tbl_Product[Product Id], tbl_Product[Min Cost])</f>
        <v/>
      </c>
      <c r="AV721" s="10">
        <f>_xlfn.XLOOKUP(tbl_MTG_Set[[#This Row],[Collector Booster Box Product Id]], tbl_Product[Product Id], tbl_Product[Best Source])</f>
        <v/>
      </c>
      <c r="AW721" s="4">
        <f>_xlfn.XLOOKUP(tbl_MTG_Set[[#This Row],[Collector Booster Box Product Id]], tbl_Product[Product Id], tbl_Product[Pack Size])</f>
        <v/>
      </c>
      <c r="AX721" s="10">
        <f>(tbl_MTG_Set[[#This Row],[Collector Booster Box Cost]] + v_Item_Shipping_Cost_In) / tbl_MTG_Set[[#This Row],[Collector Booster Box Size]]</f>
        <v/>
      </c>
      <c r="AY721" s="10">
        <f t="array" ref="AY7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1" s="10" t="n"/>
      <c r="BA7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1" s="17">
        <f>tbl_MTG_Set[[#This Row],[Collector Booster CardMarket Profit]]/tbl_MTG_Set[[#This Row],[Collector Booster Cost]]</f>
        <v/>
      </c>
      <c r="BC721" s="10" t="n"/>
      <c r="BF721" s="10">
        <f>tbl_MTG_Set[[#This Row],[Play Booster Sell Price CardMarket]]*tbl_MTG_Set[[#This Row],[Play Booster Expected Market Value]]/tbl_MTG_Set[[#This Row],[Play Boost Sealed Market Value]]</f>
        <v/>
      </c>
      <c r="BG7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1" s="10">
        <f>tbl_MTG_Set[[#This Row],[Play Singles CardMarket Profit]]/tbl_MTG_Set[[#This Row],[Play Booster Cost]]</f>
        <v/>
      </c>
      <c r="BI721" s="10">
        <f>tbl_MTG_Set[[#This Row],[Play Singles CardMarket Profit]]&gt;0</f>
        <v/>
      </c>
      <c r="BJ721" s="10" t="n"/>
      <c r="BK721" s="10" t="n"/>
      <c r="BL721" s="10">
        <f>tbl_MTG_Set[[#This Row],[Collector Booster Sell Price CardMarket]]*tbl_MTG_Set[[#This Row],[Collector Booster Expected Market Value]]/tbl_MTG_Set[[#This Row],[Collector Boost Sealed Market Value]]</f>
        <v/>
      </c>
      <c r="BM7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1" s="10">
        <f>tbl_MTG_Set[[#This Row],[Collector Singles CardMarket Profit]]/tbl_MTG_Set[[#This Row],[Collector Booster Cost]]</f>
        <v/>
      </c>
      <c r="BO721" s="10">
        <f>tbl_MTG_Set[[#This Row],[Collector Singles CardMarket Profit]]&gt;0</f>
        <v/>
      </c>
      <c r="BP7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2">
      <c r="A722" t="n">
        <v>720</v>
      </c>
      <c r="B722" t="inlineStr">
        <is>
          <t>Duel Decks: Ajani vs. Nicol Bolas Tokens TDDH</t>
        </is>
      </c>
      <c r="C722" t="n">
        <v>2</v>
      </c>
      <c r="D722" s="3" t="n">
        <v>40788</v>
      </c>
      <c r="F722" t="inlineStr">
        <is>
          <t>en es fr de it pt ja ko ru 汉语 漢語</t>
        </is>
      </c>
      <c r="G722" t="n">
        <v>1386</v>
      </c>
      <c r="H722">
        <f>MONTH(NOW())+12*YEAR(NOW())-MONTH(tbl_MTG_Set[[#This Row],[Released On]])-12*YEAR(tbl_MTG_Set[[#This Row],[Released On]])</f>
        <v/>
      </c>
      <c r="I722">
        <f>_xlfn.XLOOKUP(tbl_MTG_Set[[#This Row],[Type Name]], tbl_MTG_Set_Type[Set Type], tbl_MTG_Set_Type[Index], "(Set Type not found)")</f>
        <v/>
      </c>
      <c r="J722">
        <f>_xlfn.XLOOKUP(tbl_MTG_Set[[#This Row],[Type Name]], tbl_MTG_Set_Type[Set Type], tbl_MTG_Set_Type[Buy Window Month Start], "(Set Type not found)")</f>
        <v/>
      </c>
      <c r="K722" s="3">
        <f>tbl_MTG_Set[[#This Row],[Released On]]+tbl_MTG_Set[[#This Row],[Buy Window Month Start]]*365.25/12</f>
        <v/>
      </c>
      <c r="L722">
        <f>_xlfn.XLOOKUP(tbl_MTG_Set[[#This Row],[Type Name]], tbl_MTG_Set_Type[Set Type], tbl_MTG_Set_Type[Buy Window Month End], "(Set Type not found)", 0, 1)</f>
        <v/>
      </c>
      <c r="M722" s="3">
        <f>tbl_MTG_Set[[#This Row],[Released On]]+tbl_MTG_Set[[#This Row],[Buy Window Month End]]*365.25/12</f>
        <v/>
      </c>
      <c r="N722" s="3">
        <f>AND(NOW()&gt;=tbl_MTG_Set[[#This Row],[Buy Window Start]], NOW()&lt;=tbl_MTG_Set[[#This Row],[Buy Window End]])</f>
        <v/>
      </c>
      <c r="O722">
        <f>_xlfn.XLOOKUP(tbl_MTG_Set[[#This Row],[Type Name]], tbl_MTG_Set_Type[Set Type], tbl_MTG_Set_Type[Heavy Printing Window Month Start], "(Set Type not found)", 0, 1)</f>
        <v/>
      </c>
      <c r="P722" s="3">
        <f>tbl_MTG_Set[[#This Row],[Released On]]+tbl_MTG_Set[[#This Row],[Heavy Printing Window Month Start]]*365.25/12</f>
        <v/>
      </c>
      <c r="Q722">
        <f>_xlfn.XLOOKUP(tbl_MTG_Set[[#This Row],[Type Name]], tbl_MTG_Set_Type[Set Type], tbl_MTG_Set_Type[Heavy Printing Window Month End], "(Set Type not found)", 0, 1)</f>
        <v/>
      </c>
      <c r="R722" s="3">
        <f>tbl_MTG_Set[[#This Row],[Released On]]+tbl_MTG_Set[[#This Row],[Heavy Printing Window Month End]]*365.25/12</f>
        <v/>
      </c>
      <c r="S722" s="3">
        <f>AND(NOW()&gt;=tbl_MTG_Set[[#This Row],[Heavy Printing Window Start]], NOW()&lt;=tbl_MTG_Set[[#This Row],[Heavy Printing Window End]])</f>
        <v/>
      </c>
      <c r="T722">
        <f>_xlfn.XLOOKUP(tbl_MTG_Set[[#This Row],[Type Name]], tbl_MTG_Set_Type[Set Type], tbl_MTG_Set_Type[Sell Window Month Start], "(Set Type not found)", 0, 1)</f>
        <v/>
      </c>
      <c r="U722" s="3">
        <f>tbl_MTG_Set[[#This Row],[Released On]]+tbl_MTG_Set[[#This Row],[Sell Window Month Start]]*365.25/12</f>
        <v/>
      </c>
      <c r="V722">
        <f>_xlfn.XLOOKUP(tbl_MTG_Set[[#This Row],[Type Name]], tbl_MTG_Set_Type[Set Type], tbl_MTG_Set_Type[Sell Window Month End], "(Set Type not found)", 0, 1)</f>
        <v/>
      </c>
      <c r="W722" s="3">
        <f>tbl_MTG_Set[[#This Row],[Released On]]+tbl_MTG_Set[[#This Row],[Sell Window Month End]]*365.25/12</f>
        <v/>
      </c>
      <c r="X722" s="3">
        <f>AND(NOW()&gt;=tbl_MTG_Set[[#This Row],[Sell Window Start]], NOW()&lt;=tbl_MTG_Set[[#This Row],[Sell Window End]])</f>
        <v/>
      </c>
      <c r="AG722" s="10" t="n"/>
      <c r="AH722" s="10" t="n"/>
      <c r="AM722" s="10">
        <f t="array" ref="AM7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2" s="10">
        <f t="array" ref="AN7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2" s="4">
        <f>_xlfn.XLOOKUP(tbl_MTG_Set[[#This Row],[Play Booster Box Product Id]], tbl_Product[Product Id], tbl_Product[Pack Size])</f>
        <v/>
      </c>
      <c r="AP722" s="10">
        <f>(tbl_MTG_Set[[#This Row],[Play Booster Box Cost]]+v_Item_Shipping_Cost_In)/tbl_MTG_Set[[#This Row],[Play Booster Box Size]]</f>
        <v/>
      </c>
      <c r="AQ722" s="10">
        <f t="array" ref="AQ7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2" s="10" t="n"/>
      <c r="AS722" s="10" t="n"/>
      <c r="AT722" s="17">
        <f>tbl_MTG_Set[[#This Row],[Play Booster CardMarket Profit]]/tbl_MTG_Set[[#This Row],[Play Booster Cost]]</f>
        <v/>
      </c>
      <c r="AU722" s="10">
        <f>_xlfn.XLOOKUP(tbl_MTG_Set[[#This Row],[Collector Booster Box Product Id]], tbl_Product[Product Id], tbl_Product[Min Cost])</f>
        <v/>
      </c>
      <c r="AV722" s="10">
        <f>_xlfn.XLOOKUP(tbl_MTG_Set[[#This Row],[Collector Booster Box Product Id]], tbl_Product[Product Id], tbl_Product[Best Source])</f>
        <v/>
      </c>
      <c r="AW722" s="4">
        <f>_xlfn.XLOOKUP(tbl_MTG_Set[[#This Row],[Collector Booster Box Product Id]], tbl_Product[Product Id], tbl_Product[Pack Size])</f>
        <v/>
      </c>
      <c r="AX722" s="10">
        <f>(tbl_MTG_Set[[#This Row],[Collector Booster Box Cost]] + v_Item_Shipping_Cost_In) / tbl_MTG_Set[[#This Row],[Collector Booster Box Size]]</f>
        <v/>
      </c>
      <c r="AY722" s="10">
        <f t="array" ref="AY7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2" s="10" t="n"/>
      <c r="BA7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2" s="17">
        <f>tbl_MTG_Set[[#This Row],[Collector Booster CardMarket Profit]]/tbl_MTG_Set[[#This Row],[Collector Booster Cost]]</f>
        <v/>
      </c>
      <c r="BC722" s="10" t="n"/>
      <c r="BF722" s="10">
        <f>tbl_MTG_Set[[#This Row],[Play Booster Sell Price CardMarket]]*tbl_MTG_Set[[#This Row],[Play Booster Expected Market Value]]/tbl_MTG_Set[[#This Row],[Play Boost Sealed Market Value]]</f>
        <v/>
      </c>
      <c r="BG7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2" s="10">
        <f>tbl_MTG_Set[[#This Row],[Play Singles CardMarket Profit]]/tbl_MTG_Set[[#This Row],[Play Booster Cost]]</f>
        <v/>
      </c>
      <c r="BI722" s="10">
        <f>tbl_MTG_Set[[#This Row],[Play Singles CardMarket Profit]]&gt;0</f>
        <v/>
      </c>
      <c r="BJ722" s="10" t="n"/>
      <c r="BK722" s="10" t="n"/>
      <c r="BL722" s="10">
        <f>tbl_MTG_Set[[#This Row],[Collector Booster Sell Price CardMarket]]*tbl_MTG_Set[[#This Row],[Collector Booster Expected Market Value]]/tbl_MTG_Set[[#This Row],[Collector Boost Sealed Market Value]]</f>
        <v/>
      </c>
      <c r="BM7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2" s="10">
        <f>tbl_MTG_Set[[#This Row],[Collector Singles CardMarket Profit]]/tbl_MTG_Set[[#This Row],[Collector Booster Cost]]</f>
        <v/>
      </c>
      <c r="BO722" s="10">
        <f>tbl_MTG_Set[[#This Row],[Collector Singles CardMarket Profit]]&gt;0</f>
        <v/>
      </c>
      <c r="BP7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3">
      <c r="A723" t="n">
        <v>721</v>
      </c>
      <c r="B723" t="inlineStr">
        <is>
          <t>From the Vault: Legends V11</t>
        </is>
      </c>
      <c r="C723" t="n">
        <v>15</v>
      </c>
      <c r="D723" s="3" t="n">
        <v>40781</v>
      </c>
      <c r="F723" t="inlineStr">
        <is>
          <t>en es fr de it pt ja ko ru 汉语 漢語</t>
        </is>
      </c>
      <c r="G723" t="n">
        <v>1388</v>
      </c>
      <c r="H723">
        <f>MONTH(NOW())+12*YEAR(NOW())-MONTH(tbl_MTG_Set[[#This Row],[Released On]])-12*YEAR(tbl_MTG_Set[[#This Row],[Released On]])</f>
        <v/>
      </c>
      <c r="I723">
        <f>_xlfn.XLOOKUP(tbl_MTG_Set[[#This Row],[Type Name]], tbl_MTG_Set_Type[Set Type], tbl_MTG_Set_Type[Index], "(Set Type not found)")</f>
        <v/>
      </c>
      <c r="J723">
        <f>_xlfn.XLOOKUP(tbl_MTG_Set[[#This Row],[Type Name]], tbl_MTG_Set_Type[Set Type], tbl_MTG_Set_Type[Buy Window Month Start], "(Set Type not found)")</f>
        <v/>
      </c>
      <c r="K723" s="3">
        <f>tbl_MTG_Set[[#This Row],[Released On]]+tbl_MTG_Set[[#This Row],[Buy Window Month Start]]*365.25/12</f>
        <v/>
      </c>
      <c r="L723">
        <f>_xlfn.XLOOKUP(tbl_MTG_Set[[#This Row],[Type Name]], tbl_MTG_Set_Type[Set Type], tbl_MTG_Set_Type[Buy Window Month End], "(Set Type not found)", 0, 1)</f>
        <v/>
      </c>
      <c r="M723" s="3">
        <f>tbl_MTG_Set[[#This Row],[Released On]]+tbl_MTG_Set[[#This Row],[Buy Window Month End]]*365.25/12</f>
        <v/>
      </c>
      <c r="N723" s="3">
        <f>AND(NOW()&gt;=tbl_MTG_Set[[#This Row],[Buy Window Start]], NOW()&lt;=tbl_MTG_Set[[#This Row],[Buy Window End]])</f>
        <v/>
      </c>
      <c r="O723">
        <f>_xlfn.XLOOKUP(tbl_MTG_Set[[#This Row],[Type Name]], tbl_MTG_Set_Type[Set Type], tbl_MTG_Set_Type[Heavy Printing Window Month Start], "(Set Type not found)", 0, 1)</f>
        <v/>
      </c>
      <c r="P723" s="3">
        <f>tbl_MTG_Set[[#This Row],[Released On]]+tbl_MTG_Set[[#This Row],[Heavy Printing Window Month Start]]*365.25/12</f>
        <v/>
      </c>
      <c r="Q723">
        <f>_xlfn.XLOOKUP(tbl_MTG_Set[[#This Row],[Type Name]], tbl_MTG_Set_Type[Set Type], tbl_MTG_Set_Type[Heavy Printing Window Month End], "(Set Type not found)", 0, 1)</f>
        <v/>
      </c>
      <c r="R723" s="3">
        <f>tbl_MTG_Set[[#This Row],[Released On]]+tbl_MTG_Set[[#This Row],[Heavy Printing Window Month End]]*365.25/12</f>
        <v/>
      </c>
      <c r="S723" s="3">
        <f>AND(NOW()&gt;=tbl_MTG_Set[[#This Row],[Heavy Printing Window Start]], NOW()&lt;=tbl_MTG_Set[[#This Row],[Heavy Printing Window End]])</f>
        <v/>
      </c>
      <c r="T723">
        <f>_xlfn.XLOOKUP(tbl_MTG_Set[[#This Row],[Type Name]], tbl_MTG_Set_Type[Set Type], tbl_MTG_Set_Type[Sell Window Month Start], "(Set Type not found)", 0, 1)</f>
        <v/>
      </c>
      <c r="U723" s="3">
        <f>tbl_MTG_Set[[#This Row],[Released On]]+tbl_MTG_Set[[#This Row],[Sell Window Month Start]]*365.25/12</f>
        <v/>
      </c>
      <c r="V723">
        <f>_xlfn.XLOOKUP(tbl_MTG_Set[[#This Row],[Type Name]], tbl_MTG_Set_Type[Set Type], tbl_MTG_Set_Type[Sell Window Month End], "(Set Type not found)", 0, 1)</f>
        <v/>
      </c>
      <c r="W723" s="3">
        <f>tbl_MTG_Set[[#This Row],[Released On]]+tbl_MTG_Set[[#This Row],[Sell Window Month End]]*365.25/12</f>
        <v/>
      </c>
      <c r="X723" s="3">
        <f>AND(NOW()&gt;=tbl_MTG_Set[[#This Row],[Sell Window Start]], NOW()&lt;=tbl_MTG_Set[[#This Row],[Sell Window End]])</f>
        <v/>
      </c>
      <c r="AG723" s="10" t="n"/>
      <c r="AH723" s="10" t="n"/>
      <c r="AM723" s="10">
        <f t="array" ref="AM7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3" s="10">
        <f t="array" ref="AN7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3" s="4">
        <f>_xlfn.XLOOKUP(tbl_MTG_Set[[#This Row],[Play Booster Box Product Id]], tbl_Product[Product Id], tbl_Product[Pack Size])</f>
        <v/>
      </c>
      <c r="AP723" s="10">
        <f>(tbl_MTG_Set[[#This Row],[Play Booster Box Cost]]+v_Item_Shipping_Cost_In)/tbl_MTG_Set[[#This Row],[Play Booster Box Size]]</f>
        <v/>
      </c>
      <c r="AQ723" s="10">
        <f t="array" ref="AQ7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3" s="10" t="n"/>
      <c r="AS723" s="10" t="n"/>
      <c r="AT723" s="17">
        <f>tbl_MTG_Set[[#This Row],[Play Booster CardMarket Profit]]/tbl_MTG_Set[[#This Row],[Play Booster Cost]]</f>
        <v/>
      </c>
      <c r="AU723" s="10">
        <f>_xlfn.XLOOKUP(tbl_MTG_Set[[#This Row],[Collector Booster Box Product Id]], tbl_Product[Product Id], tbl_Product[Min Cost])</f>
        <v/>
      </c>
      <c r="AV723" s="10">
        <f>_xlfn.XLOOKUP(tbl_MTG_Set[[#This Row],[Collector Booster Box Product Id]], tbl_Product[Product Id], tbl_Product[Best Source])</f>
        <v/>
      </c>
      <c r="AW723" s="4">
        <f>_xlfn.XLOOKUP(tbl_MTG_Set[[#This Row],[Collector Booster Box Product Id]], tbl_Product[Product Id], tbl_Product[Pack Size])</f>
        <v/>
      </c>
      <c r="AX723" s="10">
        <f>(tbl_MTG_Set[[#This Row],[Collector Booster Box Cost]] + v_Item_Shipping_Cost_In) / tbl_MTG_Set[[#This Row],[Collector Booster Box Size]]</f>
        <v/>
      </c>
      <c r="AY723" s="10">
        <f t="array" ref="AY7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3" s="10" t="n"/>
      <c r="BA7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3" s="17">
        <f>tbl_MTG_Set[[#This Row],[Collector Booster CardMarket Profit]]/tbl_MTG_Set[[#This Row],[Collector Booster Cost]]</f>
        <v/>
      </c>
      <c r="BC723" s="10" t="n"/>
      <c r="BF723" s="10">
        <f>tbl_MTG_Set[[#This Row],[Play Booster Sell Price CardMarket]]*tbl_MTG_Set[[#This Row],[Play Booster Expected Market Value]]/tbl_MTG_Set[[#This Row],[Play Boost Sealed Market Value]]</f>
        <v/>
      </c>
      <c r="BG7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3" s="10">
        <f>tbl_MTG_Set[[#This Row],[Play Singles CardMarket Profit]]/tbl_MTG_Set[[#This Row],[Play Booster Cost]]</f>
        <v/>
      </c>
      <c r="BI723" s="10">
        <f>tbl_MTG_Set[[#This Row],[Play Singles CardMarket Profit]]&gt;0</f>
        <v/>
      </c>
      <c r="BJ723" s="10" t="n"/>
      <c r="BK723" s="10" t="n"/>
      <c r="BL723" s="10">
        <f>tbl_MTG_Set[[#This Row],[Collector Booster Sell Price CardMarket]]*tbl_MTG_Set[[#This Row],[Collector Booster Expected Market Value]]/tbl_MTG_Set[[#This Row],[Collector Boost Sealed Market Value]]</f>
        <v/>
      </c>
      <c r="BM7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3" s="10">
        <f>tbl_MTG_Set[[#This Row],[Collector Singles CardMarket Profit]]/tbl_MTG_Set[[#This Row],[Collector Booster Cost]]</f>
        <v/>
      </c>
      <c r="BO723" s="10">
        <f>tbl_MTG_Set[[#This Row],[Collector Singles CardMarket Profit]]&gt;0</f>
        <v/>
      </c>
      <c r="BP7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4">
      <c r="A724" t="n">
        <v>722</v>
      </c>
      <c r="B724" t="inlineStr">
        <is>
          <t>Magic 2012 M12</t>
        </is>
      </c>
      <c r="C724" t="n">
        <v>249</v>
      </c>
      <c r="D724" s="3" t="n">
        <v>40739</v>
      </c>
      <c r="F724" t="inlineStr">
        <is>
          <t>en es fr de it pt ja ko ru 汉语 漢語</t>
        </is>
      </c>
      <c r="G724" t="n">
        <v>1390</v>
      </c>
      <c r="H724">
        <f>MONTH(NOW())+12*YEAR(NOW())-MONTH(tbl_MTG_Set[[#This Row],[Released On]])-12*YEAR(tbl_MTG_Set[[#This Row],[Released On]])</f>
        <v/>
      </c>
      <c r="I724">
        <f>_xlfn.XLOOKUP(tbl_MTG_Set[[#This Row],[Type Name]], tbl_MTG_Set_Type[Set Type], tbl_MTG_Set_Type[Index], "(Set Type not found)")</f>
        <v/>
      </c>
      <c r="J724">
        <f>_xlfn.XLOOKUP(tbl_MTG_Set[[#This Row],[Type Name]], tbl_MTG_Set_Type[Set Type], tbl_MTG_Set_Type[Buy Window Month Start], "(Set Type not found)")</f>
        <v/>
      </c>
      <c r="K724" s="3">
        <f>tbl_MTG_Set[[#This Row],[Released On]]+tbl_MTG_Set[[#This Row],[Buy Window Month Start]]*365.25/12</f>
        <v/>
      </c>
      <c r="L724">
        <f>_xlfn.XLOOKUP(tbl_MTG_Set[[#This Row],[Type Name]], tbl_MTG_Set_Type[Set Type], tbl_MTG_Set_Type[Buy Window Month End], "(Set Type not found)", 0, 1)</f>
        <v/>
      </c>
      <c r="M724" s="3">
        <f>tbl_MTG_Set[[#This Row],[Released On]]+tbl_MTG_Set[[#This Row],[Buy Window Month End]]*365.25/12</f>
        <v/>
      </c>
      <c r="N724" s="3">
        <f>AND(NOW()&gt;=tbl_MTG_Set[[#This Row],[Buy Window Start]], NOW()&lt;=tbl_MTG_Set[[#This Row],[Buy Window End]])</f>
        <v/>
      </c>
      <c r="O724">
        <f>_xlfn.XLOOKUP(tbl_MTG_Set[[#This Row],[Type Name]], tbl_MTG_Set_Type[Set Type], tbl_MTG_Set_Type[Heavy Printing Window Month Start], "(Set Type not found)", 0, 1)</f>
        <v/>
      </c>
      <c r="P724" s="3">
        <f>tbl_MTG_Set[[#This Row],[Released On]]+tbl_MTG_Set[[#This Row],[Heavy Printing Window Month Start]]*365.25/12</f>
        <v/>
      </c>
      <c r="Q724">
        <f>_xlfn.XLOOKUP(tbl_MTG_Set[[#This Row],[Type Name]], tbl_MTG_Set_Type[Set Type], tbl_MTG_Set_Type[Heavy Printing Window Month End], "(Set Type not found)", 0, 1)</f>
        <v/>
      </c>
      <c r="R724" s="3">
        <f>tbl_MTG_Set[[#This Row],[Released On]]+tbl_MTG_Set[[#This Row],[Heavy Printing Window Month End]]*365.25/12</f>
        <v/>
      </c>
      <c r="S724" s="3">
        <f>AND(NOW()&gt;=tbl_MTG_Set[[#This Row],[Heavy Printing Window Start]], NOW()&lt;=tbl_MTG_Set[[#This Row],[Heavy Printing Window End]])</f>
        <v/>
      </c>
      <c r="T724">
        <f>_xlfn.XLOOKUP(tbl_MTG_Set[[#This Row],[Type Name]], tbl_MTG_Set_Type[Set Type], tbl_MTG_Set_Type[Sell Window Month Start], "(Set Type not found)", 0, 1)</f>
        <v/>
      </c>
      <c r="U724" s="3">
        <f>tbl_MTG_Set[[#This Row],[Released On]]+tbl_MTG_Set[[#This Row],[Sell Window Month Start]]*365.25/12</f>
        <v/>
      </c>
      <c r="V724">
        <f>_xlfn.XLOOKUP(tbl_MTG_Set[[#This Row],[Type Name]], tbl_MTG_Set_Type[Set Type], tbl_MTG_Set_Type[Sell Window Month End], "(Set Type not found)", 0, 1)</f>
        <v/>
      </c>
      <c r="W724" s="3">
        <f>tbl_MTG_Set[[#This Row],[Released On]]+tbl_MTG_Set[[#This Row],[Sell Window Month End]]*365.25/12</f>
        <v/>
      </c>
      <c r="X724" s="3">
        <f>AND(NOW()&gt;=tbl_MTG_Set[[#This Row],[Sell Window Start]], NOW()&lt;=tbl_MTG_Set[[#This Row],[Sell Window End]])</f>
        <v/>
      </c>
      <c r="AG724" s="10" t="n"/>
      <c r="AH724" s="10" t="n"/>
      <c r="AM724" s="10">
        <f t="array" ref="AM7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4" s="10">
        <f t="array" ref="AN7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4" s="4">
        <f>_xlfn.XLOOKUP(tbl_MTG_Set[[#This Row],[Play Booster Box Product Id]], tbl_Product[Product Id], tbl_Product[Pack Size])</f>
        <v/>
      </c>
      <c r="AP724" s="10">
        <f>(tbl_MTG_Set[[#This Row],[Play Booster Box Cost]]+v_Item_Shipping_Cost_In)/tbl_MTG_Set[[#This Row],[Play Booster Box Size]]</f>
        <v/>
      </c>
      <c r="AQ724" s="10">
        <f t="array" ref="AQ7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4" s="10" t="n"/>
      <c r="AS724" s="10" t="n"/>
      <c r="AT724" s="17">
        <f>tbl_MTG_Set[[#This Row],[Play Booster CardMarket Profit]]/tbl_MTG_Set[[#This Row],[Play Booster Cost]]</f>
        <v/>
      </c>
      <c r="AU724" s="10">
        <f>_xlfn.XLOOKUP(tbl_MTG_Set[[#This Row],[Collector Booster Box Product Id]], tbl_Product[Product Id], tbl_Product[Min Cost])</f>
        <v/>
      </c>
      <c r="AV724" s="10">
        <f>_xlfn.XLOOKUP(tbl_MTG_Set[[#This Row],[Collector Booster Box Product Id]], tbl_Product[Product Id], tbl_Product[Best Source])</f>
        <v/>
      </c>
      <c r="AW724" s="4">
        <f>_xlfn.XLOOKUP(tbl_MTG_Set[[#This Row],[Collector Booster Box Product Id]], tbl_Product[Product Id], tbl_Product[Pack Size])</f>
        <v/>
      </c>
      <c r="AX724" s="10">
        <f>(tbl_MTG_Set[[#This Row],[Collector Booster Box Cost]] + v_Item_Shipping_Cost_In) / tbl_MTG_Set[[#This Row],[Collector Booster Box Size]]</f>
        <v/>
      </c>
      <c r="AY724" s="10">
        <f t="array" ref="AY7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4" s="10" t="n"/>
      <c r="BA7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4" s="17">
        <f>tbl_MTG_Set[[#This Row],[Collector Booster CardMarket Profit]]/tbl_MTG_Set[[#This Row],[Collector Booster Cost]]</f>
        <v/>
      </c>
      <c r="BC724" s="10" t="n"/>
      <c r="BF724" s="10">
        <f>tbl_MTG_Set[[#This Row],[Play Booster Sell Price CardMarket]]*tbl_MTG_Set[[#This Row],[Play Booster Expected Market Value]]/tbl_MTG_Set[[#This Row],[Play Boost Sealed Market Value]]</f>
        <v/>
      </c>
      <c r="BG7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4" s="10">
        <f>tbl_MTG_Set[[#This Row],[Play Singles CardMarket Profit]]/tbl_MTG_Set[[#This Row],[Play Booster Cost]]</f>
        <v/>
      </c>
      <c r="BI724" s="10">
        <f>tbl_MTG_Set[[#This Row],[Play Singles CardMarket Profit]]&gt;0</f>
        <v/>
      </c>
      <c r="BJ724" s="10" t="n"/>
      <c r="BK724" s="10" t="n"/>
      <c r="BL724" s="10">
        <f>tbl_MTG_Set[[#This Row],[Collector Booster Sell Price CardMarket]]*tbl_MTG_Set[[#This Row],[Collector Booster Expected Market Value]]/tbl_MTG_Set[[#This Row],[Collector Boost Sealed Market Value]]</f>
        <v/>
      </c>
      <c r="BM7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4" s="10">
        <f>tbl_MTG_Set[[#This Row],[Collector Singles CardMarket Profit]]/tbl_MTG_Set[[#This Row],[Collector Booster Cost]]</f>
        <v/>
      </c>
      <c r="BO724" s="10">
        <f>tbl_MTG_Set[[#This Row],[Collector Singles CardMarket Profit]]&gt;0</f>
        <v/>
      </c>
      <c r="BP7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5">
      <c r="A725" t="n">
        <v>723</v>
      </c>
      <c r="B725" t="inlineStr">
        <is>
          <t>Magic 2012 Promos PM12</t>
        </is>
      </c>
      <c r="C725" t="n">
        <v>3</v>
      </c>
      <c r="D725" s="3" t="n">
        <v>40738</v>
      </c>
      <c r="F725" t="inlineStr">
        <is>
          <t>en es fr de it pt ja ko ru 汉语 漢語</t>
        </is>
      </c>
      <c r="G725" t="n">
        <v>1392</v>
      </c>
      <c r="H725">
        <f>MONTH(NOW())+12*YEAR(NOW())-MONTH(tbl_MTG_Set[[#This Row],[Released On]])-12*YEAR(tbl_MTG_Set[[#This Row],[Released On]])</f>
        <v/>
      </c>
      <c r="I725">
        <f>_xlfn.XLOOKUP(tbl_MTG_Set[[#This Row],[Type Name]], tbl_MTG_Set_Type[Set Type], tbl_MTG_Set_Type[Index], "(Set Type not found)")</f>
        <v/>
      </c>
      <c r="J725">
        <f>_xlfn.XLOOKUP(tbl_MTG_Set[[#This Row],[Type Name]], tbl_MTG_Set_Type[Set Type], tbl_MTG_Set_Type[Buy Window Month Start], "(Set Type not found)")</f>
        <v/>
      </c>
      <c r="K725" s="3">
        <f>tbl_MTG_Set[[#This Row],[Released On]]+tbl_MTG_Set[[#This Row],[Buy Window Month Start]]*365.25/12</f>
        <v/>
      </c>
      <c r="L725">
        <f>_xlfn.XLOOKUP(tbl_MTG_Set[[#This Row],[Type Name]], tbl_MTG_Set_Type[Set Type], tbl_MTG_Set_Type[Buy Window Month End], "(Set Type not found)", 0, 1)</f>
        <v/>
      </c>
      <c r="M725" s="3">
        <f>tbl_MTG_Set[[#This Row],[Released On]]+tbl_MTG_Set[[#This Row],[Buy Window Month End]]*365.25/12</f>
        <v/>
      </c>
      <c r="N725" s="3">
        <f>AND(NOW()&gt;=tbl_MTG_Set[[#This Row],[Buy Window Start]], NOW()&lt;=tbl_MTG_Set[[#This Row],[Buy Window End]])</f>
        <v/>
      </c>
      <c r="O725">
        <f>_xlfn.XLOOKUP(tbl_MTG_Set[[#This Row],[Type Name]], tbl_MTG_Set_Type[Set Type], tbl_MTG_Set_Type[Heavy Printing Window Month Start], "(Set Type not found)", 0, 1)</f>
        <v/>
      </c>
      <c r="P725" s="3">
        <f>tbl_MTG_Set[[#This Row],[Released On]]+tbl_MTG_Set[[#This Row],[Heavy Printing Window Month Start]]*365.25/12</f>
        <v/>
      </c>
      <c r="Q725">
        <f>_xlfn.XLOOKUP(tbl_MTG_Set[[#This Row],[Type Name]], tbl_MTG_Set_Type[Set Type], tbl_MTG_Set_Type[Heavy Printing Window Month End], "(Set Type not found)", 0, 1)</f>
        <v/>
      </c>
      <c r="R725" s="3">
        <f>tbl_MTG_Set[[#This Row],[Released On]]+tbl_MTG_Set[[#This Row],[Heavy Printing Window Month End]]*365.25/12</f>
        <v/>
      </c>
      <c r="S725" s="3">
        <f>AND(NOW()&gt;=tbl_MTG_Set[[#This Row],[Heavy Printing Window Start]], NOW()&lt;=tbl_MTG_Set[[#This Row],[Heavy Printing Window End]])</f>
        <v/>
      </c>
      <c r="T725">
        <f>_xlfn.XLOOKUP(tbl_MTG_Set[[#This Row],[Type Name]], tbl_MTG_Set_Type[Set Type], tbl_MTG_Set_Type[Sell Window Month Start], "(Set Type not found)", 0, 1)</f>
        <v/>
      </c>
      <c r="U725" s="3">
        <f>tbl_MTG_Set[[#This Row],[Released On]]+tbl_MTG_Set[[#This Row],[Sell Window Month Start]]*365.25/12</f>
        <v/>
      </c>
      <c r="V725">
        <f>_xlfn.XLOOKUP(tbl_MTG_Set[[#This Row],[Type Name]], tbl_MTG_Set_Type[Set Type], tbl_MTG_Set_Type[Sell Window Month End], "(Set Type not found)", 0, 1)</f>
        <v/>
      </c>
      <c r="W725" s="3">
        <f>tbl_MTG_Set[[#This Row],[Released On]]+tbl_MTG_Set[[#This Row],[Sell Window Month End]]*365.25/12</f>
        <v/>
      </c>
      <c r="X725" s="3">
        <f>AND(NOW()&gt;=tbl_MTG_Set[[#This Row],[Sell Window Start]], NOW()&lt;=tbl_MTG_Set[[#This Row],[Sell Window End]])</f>
        <v/>
      </c>
      <c r="AG725" s="10" t="n"/>
      <c r="AH725" s="10" t="n"/>
      <c r="AM725" s="10">
        <f t="array" ref="AM7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5" s="10">
        <f t="array" ref="AN7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5" s="4">
        <f>_xlfn.XLOOKUP(tbl_MTG_Set[[#This Row],[Play Booster Box Product Id]], tbl_Product[Product Id], tbl_Product[Pack Size])</f>
        <v/>
      </c>
      <c r="AP725" s="10">
        <f>(tbl_MTG_Set[[#This Row],[Play Booster Box Cost]]+v_Item_Shipping_Cost_In)/tbl_MTG_Set[[#This Row],[Play Booster Box Size]]</f>
        <v/>
      </c>
      <c r="AQ725" s="10">
        <f t="array" ref="AQ7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5" s="10" t="n"/>
      <c r="AS725" s="10" t="n"/>
      <c r="AT725" s="17">
        <f>tbl_MTG_Set[[#This Row],[Play Booster CardMarket Profit]]/tbl_MTG_Set[[#This Row],[Play Booster Cost]]</f>
        <v/>
      </c>
      <c r="AU725" s="10">
        <f>_xlfn.XLOOKUP(tbl_MTG_Set[[#This Row],[Collector Booster Box Product Id]], tbl_Product[Product Id], tbl_Product[Min Cost])</f>
        <v/>
      </c>
      <c r="AV725" s="10">
        <f>_xlfn.XLOOKUP(tbl_MTG_Set[[#This Row],[Collector Booster Box Product Id]], tbl_Product[Product Id], tbl_Product[Best Source])</f>
        <v/>
      </c>
      <c r="AW725" s="4">
        <f>_xlfn.XLOOKUP(tbl_MTG_Set[[#This Row],[Collector Booster Box Product Id]], tbl_Product[Product Id], tbl_Product[Pack Size])</f>
        <v/>
      </c>
      <c r="AX725" s="10">
        <f>(tbl_MTG_Set[[#This Row],[Collector Booster Box Cost]] + v_Item_Shipping_Cost_In) / tbl_MTG_Set[[#This Row],[Collector Booster Box Size]]</f>
        <v/>
      </c>
      <c r="AY725" s="10">
        <f t="array" ref="AY7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5" s="10" t="n"/>
      <c r="BA7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5" s="17">
        <f>tbl_MTG_Set[[#This Row],[Collector Booster CardMarket Profit]]/tbl_MTG_Set[[#This Row],[Collector Booster Cost]]</f>
        <v/>
      </c>
      <c r="BC725" s="10" t="n"/>
      <c r="BF725" s="10">
        <f>tbl_MTG_Set[[#This Row],[Play Booster Sell Price CardMarket]]*tbl_MTG_Set[[#This Row],[Play Booster Expected Market Value]]/tbl_MTG_Set[[#This Row],[Play Boost Sealed Market Value]]</f>
        <v/>
      </c>
      <c r="BG7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5" s="10">
        <f>tbl_MTG_Set[[#This Row],[Play Singles CardMarket Profit]]/tbl_MTG_Set[[#This Row],[Play Booster Cost]]</f>
        <v/>
      </c>
      <c r="BI725" s="10">
        <f>tbl_MTG_Set[[#This Row],[Play Singles CardMarket Profit]]&gt;0</f>
        <v/>
      </c>
      <c r="BJ725" s="10" t="n"/>
      <c r="BK725" s="10" t="n"/>
      <c r="BL725" s="10">
        <f>tbl_MTG_Set[[#This Row],[Collector Booster Sell Price CardMarket]]*tbl_MTG_Set[[#This Row],[Collector Booster Expected Market Value]]/tbl_MTG_Set[[#This Row],[Collector Boost Sealed Market Value]]</f>
        <v/>
      </c>
      <c r="BM7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5" s="10">
        <f>tbl_MTG_Set[[#This Row],[Collector Singles CardMarket Profit]]/tbl_MTG_Set[[#This Row],[Collector Booster Cost]]</f>
        <v/>
      </c>
      <c r="BO725" s="10">
        <f>tbl_MTG_Set[[#This Row],[Collector Singles CardMarket Profit]]&gt;0</f>
        <v/>
      </c>
      <c r="BP7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6">
      <c r="A726" t="n">
        <v>724</v>
      </c>
      <c r="B726" t="inlineStr">
        <is>
          <t>Magic 2012 Tokens TM12</t>
        </is>
      </c>
      <c r="C726" t="n">
        <v>7</v>
      </c>
      <c r="D726" s="3" t="n">
        <v>40739</v>
      </c>
      <c r="F726" t="inlineStr">
        <is>
          <t>en es fr de it pt ja ko ru 汉语 漢語</t>
        </is>
      </c>
      <c r="G726" t="n">
        <v>1394</v>
      </c>
      <c r="H726">
        <f>MONTH(NOW())+12*YEAR(NOW())-MONTH(tbl_MTG_Set[[#This Row],[Released On]])-12*YEAR(tbl_MTG_Set[[#This Row],[Released On]])</f>
        <v/>
      </c>
      <c r="I726">
        <f>_xlfn.XLOOKUP(tbl_MTG_Set[[#This Row],[Type Name]], tbl_MTG_Set_Type[Set Type], tbl_MTG_Set_Type[Index], "(Set Type not found)")</f>
        <v/>
      </c>
      <c r="J726">
        <f>_xlfn.XLOOKUP(tbl_MTG_Set[[#This Row],[Type Name]], tbl_MTG_Set_Type[Set Type], tbl_MTG_Set_Type[Buy Window Month Start], "(Set Type not found)")</f>
        <v/>
      </c>
      <c r="K726" s="3">
        <f>tbl_MTG_Set[[#This Row],[Released On]]+tbl_MTG_Set[[#This Row],[Buy Window Month Start]]*365.25/12</f>
        <v/>
      </c>
      <c r="L726">
        <f>_xlfn.XLOOKUP(tbl_MTG_Set[[#This Row],[Type Name]], tbl_MTG_Set_Type[Set Type], tbl_MTG_Set_Type[Buy Window Month End], "(Set Type not found)", 0, 1)</f>
        <v/>
      </c>
      <c r="M726" s="3">
        <f>tbl_MTG_Set[[#This Row],[Released On]]+tbl_MTG_Set[[#This Row],[Buy Window Month End]]*365.25/12</f>
        <v/>
      </c>
      <c r="N726" s="3">
        <f>AND(NOW()&gt;=tbl_MTG_Set[[#This Row],[Buy Window Start]], NOW()&lt;=tbl_MTG_Set[[#This Row],[Buy Window End]])</f>
        <v/>
      </c>
      <c r="O726">
        <f>_xlfn.XLOOKUP(tbl_MTG_Set[[#This Row],[Type Name]], tbl_MTG_Set_Type[Set Type], tbl_MTG_Set_Type[Heavy Printing Window Month Start], "(Set Type not found)", 0, 1)</f>
        <v/>
      </c>
      <c r="P726" s="3">
        <f>tbl_MTG_Set[[#This Row],[Released On]]+tbl_MTG_Set[[#This Row],[Heavy Printing Window Month Start]]*365.25/12</f>
        <v/>
      </c>
      <c r="Q726">
        <f>_xlfn.XLOOKUP(tbl_MTG_Set[[#This Row],[Type Name]], tbl_MTG_Set_Type[Set Type], tbl_MTG_Set_Type[Heavy Printing Window Month End], "(Set Type not found)", 0, 1)</f>
        <v/>
      </c>
      <c r="R726" s="3">
        <f>tbl_MTG_Set[[#This Row],[Released On]]+tbl_MTG_Set[[#This Row],[Heavy Printing Window Month End]]*365.25/12</f>
        <v/>
      </c>
      <c r="S726" s="3">
        <f>AND(NOW()&gt;=tbl_MTG_Set[[#This Row],[Heavy Printing Window Start]], NOW()&lt;=tbl_MTG_Set[[#This Row],[Heavy Printing Window End]])</f>
        <v/>
      </c>
      <c r="T726">
        <f>_xlfn.XLOOKUP(tbl_MTG_Set[[#This Row],[Type Name]], tbl_MTG_Set_Type[Set Type], tbl_MTG_Set_Type[Sell Window Month Start], "(Set Type not found)", 0, 1)</f>
        <v/>
      </c>
      <c r="U726" s="3">
        <f>tbl_MTG_Set[[#This Row],[Released On]]+tbl_MTG_Set[[#This Row],[Sell Window Month Start]]*365.25/12</f>
        <v/>
      </c>
      <c r="V726">
        <f>_xlfn.XLOOKUP(tbl_MTG_Set[[#This Row],[Type Name]], tbl_MTG_Set_Type[Set Type], tbl_MTG_Set_Type[Sell Window Month End], "(Set Type not found)", 0, 1)</f>
        <v/>
      </c>
      <c r="W726" s="3">
        <f>tbl_MTG_Set[[#This Row],[Released On]]+tbl_MTG_Set[[#This Row],[Sell Window Month End]]*365.25/12</f>
        <v/>
      </c>
      <c r="X726" s="3">
        <f>AND(NOW()&gt;=tbl_MTG_Set[[#This Row],[Sell Window Start]], NOW()&lt;=tbl_MTG_Set[[#This Row],[Sell Window End]])</f>
        <v/>
      </c>
      <c r="AG726" s="10" t="n"/>
      <c r="AH726" s="10" t="n"/>
      <c r="AM726" s="10">
        <f t="array" ref="AM7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6" s="10">
        <f t="array" ref="AN7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6" s="4">
        <f>_xlfn.XLOOKUP(tbl_MTG_Set[[#This Row],[Play Booster Box Product Id]], tbl_Product[Product Id], tbl_Product[Pack Size])</f>
        <v/>
      </c>
      <c r="AP726" s="10">
        <f>(tbl_MTG_Set[[#This Row],[Play Booster Box Cost]]+v_Item_Shipping_Cost_In)/tbl_MTG_Set[[#This Row],[Play Booster Box Size]]</f>
        <v/>
      </c>
      <c r="AQ726" s="10">
        <f t="array" ref="AQ7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6" s="10" t="n"/>
      <c r="AS726" s="10" t="n"/>
      <c r="AT726" s="17">
        <f>tbl_MTG_Set[[#This Row],[Play Booster CardMarket Profit]]/tbl_MTG_Set[[#This Row],[Play Booster Cost]]</f>
        <v/>
      </c>
      <c r="AU726" s="10">
        <f>_xlfn.XLOOKUP(tbl_MTG_Set[[#This Row],[Collector Booster Box Product Id]], tbl_Product[Product Id], tbl_Product[Min Cost])</f>
        <v/>
      </c>
      <c r="AV726" s="10">
        <f>_xlfn.XLOOKUP(tbl_MTG_Set[[#This Row],[Collector Booster Box Product Id]], tbl_Product[Product Id], tbl_Product[Best Source])</f>
        <v/>
      </c>
      <c r="AW726" s="4">
        <f>_xlfn.XLOOKUP(tbl_MTG_Set[[#This Row],[Collector Booster Box Product Id]], tbl_Product[Product Id], tbl_Product[Pack Size])</f>
        <v/>
      </c>
      <c r="AX726" s="10">
        <f>(tbl_MTG_Set[[#This Row],[Collector Booster Box Cost]] + v_Item_Shipping_Cost_In) / tbl_MTG_Set[[#This Row],[Collector Booster Box Size]]</f>
        <v/>
      </c>
      <c r="AY726" s="10">
        <f t="array" ref="AY7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6" s="10" t="n"/>
      <c r="BA7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6" s="17">
        <f>tbl_MTG_Set[[#This Row],[Collector Booster CardMarket Profit]]/tbl_MTG_Set[[#This Row],[Collector Booster Cost]]</f>
        <v/>
      </c>
      <c r="BC726" s="10" t="n"/>
      <c r="BF726" s="10">
        <f>tbl_MTG_Set[[#This Row],[Play Booster Sell Price CardMarket]]*tbl_MTG_Set[[#This Row],[Play Booster Expected Market Value]]/tbl_MTG_Set[[#This Row],[Play Boost Sealed Market Value]]</f>
        <v/>
      </c>
      <c r="BG7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6" s="10">
        <f>tbl_MTG_Set[[#This Row],[Play Singles CardMarket Profit]]/tbl_MTG_Set[[#This Row],[Play Booster Cost]]</f>
        <v/>
      </c>
      <c r="BI726" s="10">
        <f>tbl_MTG_Set[[#This Row],[Play Singles CardMarket Profit]]&gt;0</f>
        <v/>
      </c>
      <c r="BJ726" s="10" t="n"/>
      <c r="BK726" s="10" t="n"/>
      <c r="BL726" s="10">
        <f>tbl_MTG_Set[[#This Row],[Collector Booster Sell Price CardMarket]]*tbl_MTG_Set[[#This Row],[Collector Booster Expected Market Value]]/tbl_MTG_Set[[#This Row],[Collector Boost Sealed Market Value]]</f>
        <v/>
      </c>
      <c r="BM7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6" s="10">
        <f>tbl_MTG_Set[[#This Row],[Collector Singles CardMarket Profit]]/tbl_MTG_Set[[#This Row],[Collector Booster Cost]]</f>
        <v/>
      </c>
      <c r="BO726" s="10">
        <f>tbl_MTG_Set[[#This Row],[Collector Singles CardMarket Profit]]&gt;0</f>
        <v/>
      </c>
      <c r="BP7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7">
      <c r="A727" t="n">
        <v>725</v>
      </c>
      <c r="B727" t="inlineStr">
        <is>
          <t>Commander 2011 CMD</t>
        </is>
      </c>
      <c r="C727" t="n">
        <v>318</v>
      </c>
      <c r="D727" s="3" t="n">
        <v>40711</v>
      </c>
      <c r="F727" t="inlineStr">
        <is>
          <t>en es fr de it pt ja ko ru 汉语 漢語</t>
        </is>
      </c>
      <c r="G727" t="n">
        <v>1396</v>
      </c>
      <c r="H727">
        <f>MONTH(NOW())+12*YEAR(NOW())-MONTH(tbl_MTG_Set[[#This Row],[Released On]])-12*YEAR(tbl_MTG_Set[[#This Row],[Released On]])</f>
        <v/>
      </c>
      <c r="I727">
        <f>_xlfn.XLOOKUP(tbl_MTG_Set[[#This Row],[Type Name]], tbl_MTG_Set_Type[Set Type], tbl_MTG_Set_Type[Index], "(Set Type not found)")</f>
        <v/>
      </c>
      <c r="J727">
        <f>_xlfn.XLOOKUP(tbl_MTG_Set[[#This Row],[Type Name]], tbl_MTG_Set_Type[Set Type], tbl_MTG_Set_Type[Buy Window Month Start], "(Set Type not found)")</f>
        <v/>
      </c>
      <c r="K727" s="3">
        <f>tbl_MTG_Set[[#This Row],[Released On]]+tbl_MTG_Set[[#This Row],[Buy Window Month Start]]*365.25/12</f>
        <v/>
      </c>
      <c r="L727">
        <f>_xlfn.XLOOKUP(tbl_MTG_Set[[#This Row],[Type Name]], tbl_MTG_Set_Type[Set Type], tbl_MTG_Set_Type[Buy Window Month End], "(Set Type not found)", 0, 1)</f>
        <v/>
      </c>
      <c r="M727" s="3">
        <f>tbl_MTG_Set[[#This Row],[Released On]]+tbl_MTG_Set[[#This Row],[Buy Window Month End]]*365.25/12</f>
        <v/>
      </c>
      <c r="N727" s="3">
        <f>AND(NOW()&gt;=tbl_MTG_Set[[#This Row],[Buy Window Start]], NOW()&lt;=tbl_MTG_Set[[#This Row],[Buy Window End]])</f>
        <v/>
      </c>
      <c r="O727">
        <f>_xlfn.XLOOKUP(tbl_MTG_Set[[#This Row],[Type Name]], tbl_MTG_Set_Type[Set Type], tbl_MTG_Set_Type[Heavy Printing Window Month Start], "(Set Type not found)", 0, 1)</f>
        <v/>
      </c>
      <c r="P727" s="3">
        <f>tbl_MTG_Set[[#This Row],[Released On]]+tbl_MTG_Set[[#This Row],[Heavy Printing Window Month Start]]*365.25/12</f>
        <v/>
      </c>
      <c r="Q727">
        <f>_xlfn.XLOOKUP(tbl_MTG_Set[[#This Row],[Type Name]], tbl_MTG_Set_Type[Set Type], tbl_MTG_Set_Type[Heavy Printing Window Month End], "(Set Type not found)", 0, 1)</f>
        <v/>
      </c>
      <c r="R727" s="3">
        <f>tbl_MTG_Set[[#This Row],[Released On]]+tbl_MTG_Set[[#This Row],[Heavy Printing Window Month End]]*365.25/12</f>
        <v/>
      </c>
      <c r="S727" s="3">
        <f>AND(NOW()&gt;=tbl_MTG_Set[[#This Row],[Heavy Printing Window Start]], NOW()&lt;=tbl_MTG_Set[[#This Row],[Heavy Printing Window End]])</f>
        <v/>
      </c>
      <c r="T727">
        <f>_xlfn.XLOOKUP(tbl_MTG_Set[[#This Row],[Type Name]], tbl_MTG_Set_Type[Set Type], tbl_MTG_Set_Type[Sell Window Month Start], "(Set Type not found)", 0, 1)</f>
        <v/>
      </c>
      <c r="U727" s="3">
        <f>tbl_MTG_Set[[#This Row],[Released On]]+tbl_MTG_Set[[#This Row],[Sell Window Month Start]]*365.25/12</f>
        <v/>
      </c>
      <c r="V727">
        <f>_xlfn.XLOOKUP(tbl_MTG_Set[[#This Row],[Type Name]], tbl_MTG_Set_Type[Set Type], tbl_MTG_Set_Type[Sell Window Month End], "(Set Type not found)", 0, 1)</f>
        <v/>
      </c>
      <c r="W727" s="3">
        <f>tbl_MTG_Set[[#This Row],[Released On]]+tbl_MTG_Set[[#This Row],[Sell Window Month End]]*365.25/12</f>
        <v/>
      </c>
      <c r="X727" s="3">
        <f>AND(NOW()&gt;=tbl_MTG_Set[[#This Row],[Sell Window Start]], NOW()&lt;=tbl_MTG_Set[[#This Row],[Sell Window End]])</f>
        <v/>
      </c>
      <c r="AG727" s="10" t="n"/>
      <c r="AH727" s="10" t="n"/>
      <c r="AM727" s="10">
        <f t="array" ref="AM7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7" s="10">
        <f t="array" ref="AN7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7" s="4">
        <f>_xlfn.XLOOKUP(tbl_MTG_Set[[#This Row],[Play Booster Box Product Id]], tbl_Product[Product Id], tbl_Product[Pack Size])</f>
        <v/>
      </c>
      <c r="AP727" s="10">
        <f>(tbl_MTG_Set[[#This Row],[Play Booster Box Cost]]+v_Item_Shipping_Cost_In)/tbl_MTG_Set[[#This Row],[Play Booster Box Size]]</f>
        <v/>
      </c>
      <c r="AQ727" s="10">
        <f t="array" ref="AQ7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7" s="10" t="n"/>
      <c r="AS727" s="10" t="n"/>
      <c r="AT727" s="17">
        <f>tbl_MTG_Set[[#This Row],[Play Booster CardMarket Profit]]/tbl_MTG_Set[[#This Row],[Play Booster Cost]]</f>
        <v/>
      </c>
      <c r="AU727" s="10">
        <f>_xlfn.XLOOKUP(tbl_MTG_Set[[#This Row],[Collector Booster Box Product Id]], tbl_Product[Product Id], tbl_Product[Min Cost])</f>
        <v/>
      </c>
      <c r="AV727" s="10">
        <f>_xlfn.XLOOKUP(tbl_MTG_Set[[#This Row],[Collector Booster Box Product Id]], tbl_Product[Product Id], tbl_Product[Best Source])</f>
        <v/>
      </c>
      <c r="AW727" s="4">
        <f>_xlfn.XLOOKUP(tbl_MTG_Set[[#This Row],[Collector Booster Box Product Id]], tbl_Product[Product Id], tbl_Product[Pack Size])</f>
        <v/>
      </c>
      <c r="AX727" s="10">
        <f>(tbl_MTG_Set[[#This Row],[Collector Booster Box Cost]] + v_Item_Shipping_Cost_In) / tbl_MTG_Set[[#This Row],[Collector Booster Box Size]]</f>
        <v/>
      </c>
      <c r="AY727" s="10">
        <f t="array" ref="AY7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7" s="10" t="n"/>
      <c r="BA7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7" s="17">
        <f>tbl_MTG_Set[[#This Row],[Collector Booster CardMarket Profit]]/tbl_MTG_Set[[#This Row],[Collector Booster Cost]]</f>
        <v/>
      </c>
      <c r="BC727" s="10" t="n"/>
      <c r="BF727" s="10">
        <f>tbl_MTG_Set[[#This Row],[Play Booster Sell Price CardMarket]]*tbl_MTG_Set[[#This Row],[Play Booster Expected Market Value]]/tbl_MTG_Set[[#This Row],[Play Boost Sealed Market Value]]</f>
        <v/>
      </c>
      <c r="BG7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7" s="10">
        <f>tbl_MTG_Set[[#This Row],[Play Singles CardMarket Profit]]/tbl_MTG_Set[[#This Row],[Play Booster Cost]]</f>
        <v/>
      </c>
      <c r="BI727" s="10">
        <f>tbl_MTG_Set[[#This Row],[Play Singles CardMarket Profit]]&gt;0</f>
        <v/>
      </c>
      <c r="BJ727" s="10" t="n"/>
      <c r="BK727" s="10" t="n"/>
      <c r="BL727" s="10">
        <f>tbl_MTG_Set[[#This Row],[Collector Booster Sell Price CardMarket]]*tbl_MTG_Set[[#This Row],[Collector Booster Expected Market Value]]/tbl_MTG_Set[[#This Row],[Collector Boost Sealed Market Value]]</f>
        <v/>
      </c>
      <c r="BM7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7" s="10">
        <f>tbl_MTG_Set[[#This Row],[Collector Singles CardMarket Profit]]/tbl_MTG_Set[[#This Row],[Collector Booster Cost]]</f>
        <v/>
      </c>
      <c r="BO727" s="10">
        <f>tbl_MTG_Set[[#This Row],[Collector Singles CardMarket Profit]]&gt;0</f>
        <v/>
      </c>
      <c r="BP7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8">
      <c r="A728" t="n">
        <v>726</v>
      </c>
      <c r="B728" t="inlineStr">
        <is>
          <t>Commander 2011 Launch Party PCMD</t>
        </is>
      </c>
      <c r="C728" t="n">
        <v>5</v>
      </c>
      <c r="D728" s="3" t="n">
        <v>40711</v>
      </c>
      <c r="F728" t="inlineStr">
        <is>
          <t>en es fr de it pt ja ko ru 汉语 漢語</t>
        </is>
      </c>
      <c r="G728" t="n">
        <v>1398</v>
      </c>
      <c r="H728">
        <f>MONTH(NOW())+12*YEAR(NOW())-MONTH(tbl_MTG_Set[[#This Row],[Released On]])-12*YEAR(tbl_MTG_Set[[#This Row],[Released On]])</f>
        <v/>
      </c>
      <c r="I728">
        <f>_xlfn.XLOOKUP(tbl_MTG_Set[[#This Row],[Type Name]], tbl_MTG_Set_Type[Set Type], tbl_MTG_Set_Type[Index], "(Set Type not found)")</f>
        <v/>
      </c>
      <c r="J728">
        <f>_xlfn.XLOOKUP(tbl_MTG_Set[[#This Row],[Type Name]], tbl_MTG_Set_Type[Set Type], tbl_MTG_Set_Type[Buy Window Month Start], "(Set Type not found)")</f>
        <v/>
      </c>
      <c r="K728" s="3">
        <f>tbl_MTG_Set[[#This Row],[Released On]]+tbl_MTG_Set[[#This Row],[Buy Window Month Start]]*365.25/12</f>
        <v/>
      </c>
      <c r="L728">
        <f>_xlfn.XLOOKUP(tbl_MTG_Set[[#This Row],[Type Name]], tbl_MTG_Set_Type[Set Type], tbl_MTG_Set_Type[Buy Window Month End], "(Set Type not found)", 0, 1)</f>
        <v/>
      </c>
      <c r="M728" s="3">
        <f>tbl_MTG_Set[[#This Row],[Released On]]+tbl_MTG_Set[[#This Row],[Buy Window Month End]]*365.25/12</f>
        <v/>
      </c>
      <c r="N728" s="3">
        <f>AND(NOW()&gt;=tbl_MTG_Set[[#This Row],[Buy Window Start]], NOW()&lt;=tbl_MTG_Set[[#This Row],[Buy Window End]])</f>
        <v/>
      </c>
      <c r="O728">
        <f>_xlfn.XLOOKUP(tbl_MTG_Set[[#This Row],[Type Name]], tbl_MTG_Set_Type[Set Type], tbl_MTG_Set_Type[Heavy Printing Window Month Start], "(Set Type not found)", 0, 1)</f>
        <v/>
      </c>
      <c r="P728" s="3">
        <f>tbl_MTG_Set[[#This Row],[Released On]]+tbl_MTG_Set[[#This Row],[Heavy Printing Window Month Start]]*365.25/12</f>
        <v/>
      </c>
      <c r="Q728">
        <f>_xlfn.XLOOKUP(tbl_MTG_Set[[#This Row],[Type Name]], tbl_MTG_Set_Type[Set Type], tbl_MTG_Set_Type[Heavy Printing Window Month End], "(Set Type not found)", 0, 1)</f>
        <v/>
      </c>
      <c r="R728" s="3">
        <f>tbl_MTG_Set[[#This Row],[Released On]]+tbl_MTG_Set[[#This Row],[Heavy Printing Window Month End]]*365.25/12</f>
        <v/>
      </c>
      <c r="S728" s="3">
        <f>AND(NOW()&gt;=tbl_MTG_Set[[#This Row],[Heavy Printing Window Start]], NOW()&lt;=tbl_MTG_Set[[#This Row],[Heavy Printing Window End]])</f>
        <v/>
      </c>
      <c r="T728">
        <f>_xlfn.XLOOKUP(tbl_MTG_Set[[#This Row],[Type Name]], tbl_MTG_Set_Type[Set Type], tbl_MTG_Set_Type[Sell Window Month Start], "(Set Type not found)", 0, 1)</f>
        <v/>
      </c>
      <c r="U728" s="3">
        <f>tbl_MTG_Set[[#This Row],[Released On]]+tbl_MTG_Set[[#This Row],[Sell Window Month Start]]*365.25/12</f>
        <v/>
      </c>
      <c r="V728">
        <f>_xlfn.XLOOKUP(tbl_MTG_Set[[#This Row],[Type Name]], tbl_MTG_Set_Type[Set Type], tbl_MTG_Set_Type[Sell Window Month End], "(Set Type not found)", 0, 1)</f>
        <v/>
      </c>
      <c r="W728" s="3">
        <f>tbl_MTG_Set[[#This Row],[Released On]]+tbl_MTG_Set[[#This Row],[Sell Window Month End]]*365.25/12</f>
        <v/>
      </c>
      <c r="X728" s="3">
        <f>AND(NOW()&gt;=tbl_MTG_Set[[#This Row],[Sell Window Start]], NOW()&lt;=tbl_MTG_Set[[#This Row],[Sell Window End]])</f>
        <v/>
      </c>
      <c r="AG728" s="10" t="n"/>
      <c r="AH728" s="10" t="n"/>
      <c r="AM728" s="10">
        <f t="array" ref="AM7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8" s="10">
        <f t="array" ref="AN7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8" s="4">
        <f>_xlfn.XLOOKUP(tbl_MTG_Set[[#This Row],[Play Booster Box Product Id]], tbl_Product[Product Id], tbl_Product[Pack Size])</f>
        <v/>
      </c>
      <c r="AP728" s="10">
        <f>(tbl_MTG_Set[[#This Row],[Play Booster Box Cost]]+v_Item_Shipping_Cost_In)/tbl_MTG_Set[[#This Row],[Play Booster Box Size]]</f>
        <v/>
      </c>
      <c r="AQ728" s="10">
        <f t="array" ref="AQ7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8" s="10" t="n"/>
      <c r="AS728" s="10" t="n"/>
      <c r="AT728" s="17">
        <f>tbl_MTG_Set[[#This Row],[Play Booster CardMarket Profit]]/tbl_MTG_Set[[#This Row],[Play Booster Cost]]</f>
        <v/>
      </c>
      <c r="AU728" s="10">
        <f>_xlfn.XLOOKUP(tbl_MTG_Set[[#This Row],[Collector Booster Box Product Id]], tbl_Product[Product Id], tbl_Product[Min Cost])</f>
        <v/>
      </c>
      <c r="AV728" s="10">
        <f>_xlfn.XLOOKUP(tbl_MTG_Set[[#This Row],[Collector Booster Box Product Id]], tbl_Product[Product Id], tbl_Product[Best Source])</f>
        <v/>
      </c>
      <c r="AW728" s="4">
        <f>_xlfn.XLOOKUP(tbl_MTG_Set[[#This Row],[Collector Booster Box Product Id]], tbl_Product[Product Id], tbl_Product[Pack Size])</f>
        <v/>
      </c>
      <c r="AX728" s="10">
        <f>(tbl_MTG_Set[[#This Row],[Collector Booster Box Cost]] + v_Item_Shipping_Cost_In) / tbl_MTG_Set[[#This Row],[Collector Booster Box Size]]</f>
        <v/>
      </c>
      <c r="AY728" s="10">
        <f t="array" ref="AY7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8" s="10" t="n"/>
      <c r="BA7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8" s="17">
        <f>tbl_MTG_Set[[#This Row],[Collector Booster CardMarket Profit]]/tbl_MTG_Set[[#This Row],[Collector Booster Cost]]</f>
        <v/>
      </c>
      <c r="BC728" s="10" t="n"/>
      <c r="BF728" s="10">
        <f>tbl_MTG_Set[[#This Row],[Play Booster Sell Price CardMarket]]*tbl_MTG_Set[[#This Row],[Play Booster Expected Market Value]]/tbl_MTG_Set[[#This Row],[Play Boost Sealed Market Value]]</f>
        <v/>
      </c>
      <c r="BG7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8" s="10">
        <f>tbl_MTG_Set[[#This Row],[Play Singles CardMarket Profit]]/tbl_MTG_Set[[#This Row],[Play Booster Cost]]</f>
        <v/>
      </c>
      <c r="BI728" s="10">
        <f>tbl_MTG_Set[[#This Row],[Play Singles CardMarket Profit]]&gt;0</f>
        <v/>
      </c>
      <c r="BJ728" s="10" t="n"/>
      <c r="BK728" s="10" t="n"/>
      <c r="BL728" s="10">
        <f>tbl_MTG_Set[[#This Row],[Collector Booster Sell Price CardMarket]]*tbl_MTG_Set[[#This Row],[Collector Booster Expected Market Value]]/tbl_MTG_Set[[#This Row],[Collector Boost Sealed Market Value]]</f>
        <v/>
      </c>
      <c r="BM7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8" s="10">
        <f>tbl_MTG_Set[[#This Row],[Collector Singles CardMarket Profit]]/tbl_MTG_Set[[#This Row],[Collector Booster Cost]]</f>
        <v/>
      </c>
      <c r="BO728" s="10">
        <f>tbl_MTG_Set[[#This Row],[Collector Singles CardMarket Profit]]&gt;0</f>
        <v/>
      </c>
      <c r="BP7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9">
      <c r="A729" t="n">
        <v>727</v>
      </c>
      <c r="B729" t="inlineStr">
        <is>
          <t>Commander 2011 Oversized OCMD</t>
        </is>
      </c>
      <c r="C729" t="n">
        <v>15</v>
      </c>
      <c r="D729" s="3" t="n">
        <v>40711</v>
      </c>
      <c r="F729" t="inlineStr">
        <is>
          <t>en es fr de it pt ja ko ru 汉语 漢語</t>
        </is>
      </c>
      <c r="G729" t="n">
        <v>1400</v>
      </c>
      <c r="H729">
        <f>MONTH(NOW())+12*YEAR(NOW())-MONTH(tbl_MTG_Set[[#This Row],[Released On]])-12*YEAR(tbl_MTG_Set[[#This Row],[Released On]])</f>
        <v/>
      </c>
      <c r="I729">
        <f>_xlfn.XLOOKUP(tbl_MTG_Set[[#This Row],[Type Name]], tbl_MTG_Set_Type[Set Type], tbl_MTG_Set_Type[Index], "(Set Type not found)")</f>
        <v/>
      </c>
      <c r="J729">
        <f>_xlfn.XLOOKUP(tbl_MTG_Set[[#This Row],[Type Name]], tbl_MTG_Set_Type[Set Type], tbl_MTG_Set_Type[Buy Window Month Start], "(Set Type not found)")</f>
        <v/>
      </c>
      <c r="K729" s="3">
        <f>tbl_MTG_Set[[#This Row],[Released On]]+tbl_MTG_Set[[#This Row],[Buy Window Month Start]]*365.25/12</f>
        <v/>
      </c>
      <c r="L729">
        <f>_xlfn.XLOOKUP(tbl_MTG_Set[[#This Row],[Type Name]], tbl_MTG_Set_Type[Set Type], tbl_MTG_Set_Type[Buy Window Month End], "(Set Type not found)", 0, 1)</f>
        <v/>
      </c>
      <c r="M729" s="3">
        <f>tbl_MTG_Set[[#This Row],[Released On]]+tbl_MTG_Set[[#This Row],[Buy Window Month End]]*365.25/12</f>
        <v/>
      </c>
      <c r="N729" s="3">
        <f>AND(NOW()&gt;=tbl_MTG_Set[[#This Row],[Buy Window Start]], NOW()&lt;=tbl_MTG_Set[[#This Row],[Buy Window End]])</f>
        <v/>
      </c>
      <c r="O729">
        <f>_xlfn.XLOOKUP(tbl_MTG_Set[[#This Row],[Type Name]], tbl_MTG_Set_Type[Set Type], tbl_MTG_Set_Type[Heavy Printing Window Month Start], "(Set Type not found)", 0, 1)</f>
        <v/>
      </c>
      <c r="P729" s="3">
        <f>tbl_MTG_Set[[#This Row],[Released On]]+tbl_MTG_Set[[#This Row],[Heavy Printing Window Month Start]]*365.25/12</f>
        <v/>
      </c>
      <c r="Q729">
        <f>_xlfn.XLOOKUP(tbl_MTG_Set[[#This Row],[Type Name]], tbl_MTG_Set_Type[Set Type], tbl_MTG_Set_Type[Heavy Printing Window Month End], "(Set Type not found)", 0, 1)</f>
        <v/>
      </c>
      <c r="R729" s="3">
        <f>tbl_MTG_Set[[#This Row],[Released On]]+tbl_MTG_Set[[#This Row],[Heavy Printing Window Month End]]*365.25/12</f>
        <v/>
      </c>
      <c r="S729" s="3">
        <f>AND(NOW()&gt;=tbl_MTG_Set[[#This Row],[Heavy Printing Window Start]], NOW()&lt;=tbl_MTG_Set[[#This Row],[Heavy Printing Window End]])</f>
        <v/>
      </c>
      <c r="T729">
        <f>_xlfn.XLOOKUP(tbl_MTG_Set[[#This Row],[Type Name]], tbl_MTG_Set_Type[Set Type], tbl_MTG_Set_Type[Sell Window Month Start], "(Set Type not found)", 0, 1)</f>
        <v/>
      </c>
      <c r="U729" s="3">
        <f>tbl_MTG_Set[[#This Row],[Released On]]+tbl_MTG_Set[[#This Row],[Sell Window Month Start]]*365.25/12</f>
        <v/>
      </c>
      <c r="V729">
        <f>_xlfn.XLOOKUP(tbl_MTG_Set[[#This Row],[Type Name]], tbl_MTG_Set_Type[Set Type], tbl_MTG_Set_Type[Sell Window Month End], "(Set Type not found)", 0, 1)</f>
        <v/>
      </c>
      <c r="W729" s="3">
        <f>tbl_MTG_Set[[#This Row],[Released On]]+tbl_MTG_Set[[#This Row],[Sell Window Month End]]*365.25/12</f>
        <v/>
      </c>
      <c r="X729" s="3">
        <f>AND(NOW()&gt;=tbl_MTG_Set[[#This Row],[Sell Window Start]], NOW()&lt;=tbl_MTG_Set[[#This Row],[Sell Window End]])</f>
        <v/>
      </c>
      <c r="AG729" s="10" t="n"/>
      <c r="AH729" s="10" t="n"/>
      <c r="AM729" s="10">
        <f t="array" ref="AM7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9" s="10">
        <f t="array" ref="AN7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9" s="4">
        <f>_xlfn.XLOOKUP(tbl_MTG_Set[[#This Row],[Play Booster Box Product Id]], tbl_Product[Product Id], tbl_Product[Pack Size])</f>
        <v/>
      </c>
      <c r="AP729" s="10">
        <f>(tbl_MTG_Set[[#This Row],[Play Booster Box Cost]]+v_Item_Shipping_Cost_In)/tbl_MTG_Set[[#This Row],[Play Booster Box Size]]</f>
        <v/>
      </c>
      <c r="AQ729" s="10">
        <f t="array" ref="AQ7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29" s="10" t="n"/>
      <c r="AS729" s="10" t="n"/>
      <c r="AT729" s="17">
        <f>tbl_MTG_Set[[#This Row],[Play Booster CardMarket Profit]]/tbl_MTG_Set[[#This Row],[Play Booster Cost]]</f>
        <v/>
      </c>
      <c r="AU729" s="10">
        <f>_xlfn.XLOOKUP(tbl_MTG_Set[[#This Row],[Collector Booster Box Product Id]], tbl_Product[Product Id], tbl_Product[Min Cost])</f>
        <v/>
      </c>
      <c r="AV729" s="10">
        <f>_xlfn.XLOOKUP(tbl_MTG_Set[[#This Row],[Collector Booster Box Product Id]], tbl_Product[Product Id], tbl_Product[Best Source])</f>
        <v/>
      </c>
      <c r="AW729" s="4">
        <f>_xlfn.XLOOKUP(tbl_MTG_Set[[#This Row],[Collector Booster Box Product Id]], tbl_Product[Product Id], tbl_Product[Pack Size])</f>
        <v/>
      </c>
      <c r="AX729" s="10">
        <f>(tbl_MTG_Set[[#This Row],[Collector Booster Box Cost]] + v_Item_Shipping_Cost_In) / tbl_MTG_Set[[#This Row],[Collector Booster Box Size]]</f>
        <v/>
      </c>
      <c r="AY729" s="10">
        <f t="array" ref="AY7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29" s="10" t="n"/>
      <c r="BA7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9" s="17">
        <f>tbl_MTG_Set[[#This Row],[Collector Booster CardMarket Profit]]/tbl_MTG_Set[[#This Row],[Collector Booster Cost]]</f>
        <v/>
      </c>
      <c r="BC729" s="10" t="n"/>
      <c r="BF729" s="10">
        <f>tbl_MTG_Set[[#This Row],[Play Booster Sell Price CardMarket]]*tbl_MTG_Set[[#This Row],[Play Booster Expected Market Value]]/tbl_MTG_Set[[#This Row],[Play Boost Sealed Market Value]]</f>
        <v/>
      </c>
      <c r="BG7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9" s="10">
        <f>tbl_MTG_Set[[#This Row],[Play Singles CardMarket Profit]]/tbl_MTG_Set[[#This Row],[Play Booster Cost]]</f>
        <v/>
      </c>
      <c r="BI729" s="10">
        <f>tbl_MTG_Set[[#This Row],[Play Singles CardMarket Profit]]&gt;0</f>
        <v/>
      </c>
      <c r="BJ729" s="10" t="n"/>
      <c r="BK729" s="10" t="n"/>
      <c r="BL729" s="10">
        <f>tbl_MTG_Set[[#This Row],[Collector Booster Sell Price CardMarket]]*tbl_MTG_Set[[#This Row],[Collector Booster Expected Market Value]]/tbl_MTG_Set[[#This Row],[Collector Boost Sealed Market Value]]</f>
        <v/>
      </c>
      <c r="BM7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9" s="10">
        <f>tbl_MTG_Set[[#This Row],[Collector Singles CardMarket Profit]]/tbl_MTG_Set[[#This Row],[Collector Booster Cost]]</f>
        <v/>
      </c>
      <c r="BO729" s="10">
        <f>tbl_MTG_Set[[#This Row],[Collector Singles CardMarket Profit]]&gt;0</f>
        <v/>
      </c>
      <c r="BP7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0">
      <c r="A730" t="n">
        <v>728</v>
      </c>
      <c r="B730" t="inlineStr">
        <is>
          <t>Duel Decks: Mirrodin Pure vs. New Phyrexia TD2</t>
        </is>
      </c>
      <c r="C730" t="n">
        <v>88</v>
      </c>
      <c r="D730" s="3" t="n">
        <v>40677</v>
      </c>
      <c r="F730" t="inlineStr">
        <is>
          <t>en es fr de it pt ja ko ru 汉语 漢語</t>
        </is>
      </c>
      <c r="G730" t="n">
        <v>1402</v>
      </c>
      <c r="H730">
        <f>MONTH(NOW())+12*YEAR(NOW())-MONTH(tbl_MTG_Set[[#This Row],[Released On]])-12*YEAR(tbl_MTG_Set[[#This Row],[Released On]])</f>
        <v/>
      </c>
      <c r="I730">
        <f>_xlfn.XLOOKUP(tbl_MTG_Set[[#This Row],[Type Name]], tbl_MTG_Set_Type[Set Type], tbl_MTG_Set_Type[Index], "(Set Type not found)")</f>
        <v/>
      </c>
      <c r="J730">
        <f>_xlfn.XLOOKUP(tbl_MTG_Set[[#This Row],[Type Name]], tbl_MTG_Set_Type[Set Type], tbl_MTG_Set_Type[Buy Window Month Start], "(Set Type not found)")</f>
        <v/>
      </c>
      <c r="K730" s="3">
        <f>tbl_MTG_Set[[#This Row],[Released On]]+tbl_MTG_Set[[#This Row],[Buy Window Month Start]]*365.25/12</f>
        <v/>
      </c>
      <c r="L730">
        <f>_xlfn.XLOOKUP(tbl_MTG_Set[[#This Row],[Type Name]], tbl_MTG_Set_Type[Set Type], tbl_MTG_Set_Type[Buy Window Month End], "(Set Type not found)", 0, 1)</f>
        <v/>
      </c>
      <c r="M730" s="3">
        <f>tbl_MTG_Set[[#This Row],[Released On]]+tbl_MTG_Set[[#This Row],[Buy Window Month End]]*365.25/12</f>
        <v/>
      </c>
      <c r="N730" s="3">
        <f>AND(NOW()&gt;=tbl_MTG_Set[[#This Row],[Buy Window Start]], NOW()&lt;=tbl_MTG_Set[[#This Row],[Buy Window End]])</f>
        <v/>
      </c>
      <c r="O730">
        <f>_xlfn.XLOOKUP(tbl_MTG_Set[[#This Row],[Type Name]], tbl_MTG_Set_Type[Set Type], tbl_MTG_Set_Type[Heavy Printing Window Month Start], "(Set Type not found)", 0, 1)</f>
        <v/>
      </c>
      <c r="P730" s="3">
        <f>tbl_MTG_Set[[#This Row],[Released On]]+tbl_MTG_Set[[#This Row],[Heavy Printing Window Month Start]]*365.25/12</f>
        <v/>
      </c>
      <c r="Q730">
        <f>_xlfn.XLOOKUP(tbl_MTG_Set[[#This Row],[Type Name]], tbl_MTG_Set_Type[Set Type], tbl_MTG_Set_Type[Heavy Printing Window Month End], "(Set Type not found)", 0, 1)</f>
        <v/>
      </c>
      <c r="R730" s="3">
        <f>tbl_MTG_Set[[#This Row],[Released On]]+tbl_MTG_Set[[#This Row],[Heavy Printing Window Month End]]*365.25/12</f>
        <v/>
      </c>
      <c r="S730" s="3">
        <f>AND(NOW()&gt;=tbl_MTG_Set[[#This Row],[Heavy Printing Window Start]], NOW()&lt;=tbl_MTG_Set[[#This Row],[Heavy Printing Window End]])</f>
        <v/>
      </c>
      <c r="T730">
        <f>_xlfn.XLOOKUP(tbl_MTG_Set[[#This Row],[Type Name]], tbl_MTG_Set_Type[Set Type], tbl_MTG_Set_Type[Sell Window Month Start], "(Set Type not found)", 0, 1)</f>
        <v/>
      </c>
      <c r="U730" s="3">
        <f>tbl_MTG_Set[[#This Row],[Released On]]+tbl_MTG_Set[[#This Row],[Sell Window Month Start]]*365.25/12</f>
        <v/>
      </c>
      <c r="V730">
        <f>_xlfn.XLOOKUP(tbl_MTG_Set[[#This Row],[Type Name]], tbl_MTG_Set_Type[Set Type], tbl_MTG_Set_Type[Sell Window Month End], "(Set Type not found)", 0, 1)</f>
        <v/>
      </c>
      <c r="W730" s="3">
        <f>tbl_MTG_Set[[#This Row],[Released On]]+tbl_MTG_Set[[#This Row],[Sell Window Month End]]*365.25/12</f>
        <v/>
      </c>
      <c r="X730" s="3">
        <f>AND(NOW()&gt;=tbl_MTG_Set[[#This Row],[Sell Window Start]], NOW()&lt;=tbl_MTG_Set[[#This Row],[Sell Window End]])</f>
        <v/>
      </c>
      <c r="AG730" s="10" t="n"/>
      <c r="AH730" s="10" t="n"/>
      <c r="AM730" s="10">
        <f t="array" ref="AM7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0" s="10">
        <f t="array" ref="AN7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0" s="4">
        <f>_xlfn.XLOOKUP(tbl_MTG_Set[[#This Row],[Play Booster Box Product Id]], tbl_Product[Product Id], tbl_Product[Pack Size])</f>
        <v/>
      </c>
      <c r="AP730" s="10">
        <f>(tbl_MTG_Set[[#This Row],[Play Booster Box Cost]]+v_Item_Shipping_Cost_In)/tbl_MTG_Set[[#This Row],[Play Booster Box Size]]</f>
        <v/>
      </c>
      <c r="AQ730" s="10">
        <f t="array" ref="AQ7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0" s="10" t="n"/>
      <c r="AS730" s="10" t="n"/>
      <c r="AT730" s="17">
        <f>tbl_MTG_Set[[#This Row],[Play Booster CardMarket Profit]]/tbl_MTG_Set[[#This Row],[Play Booster Cost]]</f>
        <v/>
      </c>
      <c r="AU730" s="10">
        <f>_xlfn.XLOOKUP(tbl_MTG_Set[[#This Row],[Collector Booster Box Product Id]], tbl_Product[Product Id], tbl_Product[Min Cost])</f>
        <v/>
      </c>
      <c r="AV730" s="10">
        <f>_xlfn.XLOOKUP(tbl_MTG_Set[[#This Row],[Collector Booster Box Product Id]], tbl_Product[Product Id], tbl_Product[Best Source])</f>
        <v/>
      </c>
      <c r="AW730" s="4">
        <f>_xlfn.XLOOKUP(tbl_MTG_Set[[#This Row],[Collector Booster Box Product Id]], tbl_Product[Product Id], tbl_Product[Pack Size])</f>
        <v/>
      </c>
      <c r="AX730" s="10">
        <f>(tbl_MTG_Set[[#This Row],[Collector Booster Box Cost]] + v_Item_Shipping_Cost_In) / tbl_MTG_Set[[#This Row],[Collector Booster Box Size]]</f>
        <v/>
      </c>
      <c r="AY730" s="10">
        <f t="array" ref="AY7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0" s="10" t="n"/>
      <c r="BA7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0" s="17">
        <f>tbl_MTG_Set[[#This Row],[Collector Booster CardMarket Profit]]/tbl_MTG_Set[[#This Row],[Collector Booster Cost]]</f>
        <v/>
      </c>
      <c r="BC730" s="10" t="n"/>
      <c r="BF730" s="10">
        <f>tbl_MTG_Set[[#This Row],[Play Booster Sell Price CardMarket]]*tbl_MTG_Set[[#This Row],[Play Booster Expected Market Value]]/tbl_MTG_Set[[#This Row],[Play Boost Sealed Market Value]]</f>
        <v/>
      </c>
      <c r="BG7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0" s="10">
        <f>tbl_MTG_Set[[#This Row],[Play Singles CardMarket Profit]]/tbl_MTG_Set[[#This Row],[Play Booster Cost]]</f>
        <v/>
      </c>
      <c r="BI730" s="10">
        <f>tbl_MTG_Set[[#This Row],[Play Singles CardMarket Profit]]&gt;0</f>
        <v/>
      </c>
      <c r="BJ730" s="10" t="n"/>
      <c r="BK730" s="10" t="n"/>
      <c r="BL730" s="10">
        <f>tbl_MTG_Set[[#This Row],[Collector Booster Sell Price CardMarket]]*tbl_MTG_Set[[#This Row],[Collector Booster Expected Market Value]]/tbl_MTG_Set[[#This Row],[Collector Boost Sealed Market Value]]</f>
        <v/>
      </c>
      <c r="BM7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0" s="10">
        <f>tbl_MTG_Set[[#This Row],[Collector Singles CardMarket Profit]]/tbl_MTG_Set[[#This Row],[Collector Booster Cost]]</f>
        <v/>
      </c>
      <c r="BO730" s="10">
        <f>tbl_MTG_Set[[#This Row],[Collector Singles CardMarket Profit]]&gt;0</f>
        <v/>
      </c>
      <c r="BP7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1">
      <c r="A731" t="n">
        <v>729</v>
      </c>
      <c r="B731" t="inlineStr">
        <is>
          <t>New Phyrexia NPH</t>
        </is>
      </c>
      <c r="C731" t="n">
        <v>175</v>
      </c>
      <c r="D731" s="3" t="n">
        <v>40676</v>
      </c>
      <c r="F731" t="inlineStr">
        <is>
          <t>en es fr de it pt ja ko ru 汉语 漢語</t>
        </is>
      </c>
      <c r="G731" t="n">
        <v>1404</v>
      </c>
      <c r="H731">
        <f>MONTH(NOW())+12*YEAR(NOW())-MONTH(tbl_MTG_Set[[#This Row],[Released On]])-12*YEAR(tbl_MTG_Set[[#This Row],[Released On]])</f>
        <v/>
      </c>
      <c r="I731">
        <f>_xlfn.XLOOKUP(tbl_MTG_Set[[#This Row],[Type Name]], tbl_MTG_Set_Type[Set Type], tbl_MTG_Set_Type[Index], "(Set Type not found)")</f>
        <v/>
      </c>
      <c r="J731">
        <f>_xlfn.XLOOKUP(tbl_MTG_Set[[#This Row],[Type Name]], tbl_MTG_Set_Type[Set Type], tbl_MTG_Set_Type[Buy Window Month Start], "(Set Type not found)")</f>
        <v/>
      </c>
      <c r="K731" s="3">
        <f>tbl_MTG_Set[[#This Row],[Released On]]+tbl_MTG_Set[[#This Row],[Buy Window Month Start]]*365.25/12</f>
        <v/>
      </c>
      <c r="L731">
        <f>_xlfn.XLOOKUP(tbl_MTG_Set[[#This Row],[Type Name]], tbl_MTG_Set_Type[Set Type], tbl_MTG_Set_Type[Buy Window Month End], "(Set Type not found)", 0, 1)</f>
        <v/>
      </c>
      <c r="M731" s="3">
        <f>tbl_MTG_Set[[#This Row],[Released On]]+tbl_MTG_Set[[#This Row],[Buy Window Month End]]*365.25/12</f>
        <v/>
      </c>
      <c r="N731" s="3">
        <f>AND(NOW()&gt;=tbl_MTG_Set[[#This Row],[Buy Window Start]], NOW()&lt;=tbl_MTG_Set[[#This Row],[Buy Window End]])</f>
        <v/>
      </c>
      <c r="O731">
        <f>_xlfn.XLOOKUP(tbl_MTG_Set[[#This Row],[Type Name]], tbl_MTG_Set_Type[Set Type], tbl_MTG_Set_Type[Heavy Printing Window Month Start], "(Set Type not found)", 0, 1)</f>
        <v/>
      </c>
      <c r="P731" s="3">
        <f>tbl_MTG_Set[[#This Row],[Released On]]+tbl_MTG_Set[[#This Row],[Heavy Printing Window Month Start]]*365.25/12</f>
        <v/>
      </c>
      <c r="Q731">
        <f>_xlfn.XLOOKUP(tbl_MTG_Set[[#This Row],[Type Name]], tbl_MTG_Set_Type[Set Type], tbl_MTG_Set_Type[Heavy Printing Window Month End], "(Set Type not found)", 0, 1)</f>
        <v/>
      </c>
      <c r="R731" s="3">
        <f>tbl_MTG_Set[[#This Row],[Released On]]+tbl_MTG_Set[[#This Row],[Heavy Printing Window Month End]]*365.25/12</f>
        <v/>
      </c>
      <c r="S731" s="3">
        <f>AND(NOW()&gt;=tbl_MTG_Set[[#This Row],[Heavy Printing Window Start]], NOW()&lt;=tbl_MTG_Set[[#This Row],[Heavy Printing Window End]])</f>
        <v/>
      </c>
      <c r="T731">
        <f>_xlfn.XLOOKUP(tbl_MTG_Set[[#This Row],[Type Name]], tbl_MTG_Set_Type[Set Type], tbl_MTG_Set_Type[Sell Window Month Start], "(Set Type not found)", 0, 1)</f>
        <v/>
      </c>
      <c r="U731" s="3">
        <f>tbl_MTG_Set[[#This Row],[Released On]]+tbl_MTG_Set[[#This Row],[Sell Window Month Start]]*365.25/12</f>
        <v/>
      </c>
      <c r="V731">
        <f>_xlfn.XLOOKUP(tbl_MTG_Set[[#This Row],[Type Name]], tbl_MTG_Set_Type[Set Type], tbl_MTG_Set_Type[Sell Window Month End], "(Set Type not found)", 0, 1)</f>
        <v/>
      </c>
      <c r="W731" s="3">
        <f>tbl_MTG_Set[[#This Row],[Released On]]+tbl_MTG_Set[[#This Row],[Sell Window Month End]]*365.25/12</f>
        <v/>
      </c>
      <c r="X731" s="3">
        <f>AND(NOW()&gt;=tbl_MTG_Set[[#This Row],[Sell Window Start]], NOW()&lt;=tbl_MTG_Set[[#This Row],[Sell Window End]])</f>
        <v/>
      </c>
      <c r="AG731" s="10" t="n"/>
      <c r="AH731" s="10" t="n"/>
      <c r="AM731" s="10">
        <f t="array" ref="AM7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1" s="10">
        <f t="array" ref="AN7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1" s="4">
        <f>_xlfn.XLOOKUP(tbl_MTG_Set[[#This Row],[Play Booster Box Product Id]], tbl_Product[Product Id], tbl_Product[Pack Size])</f>
        <v/>
      </c>
      <c r="AP731" s="10">
        <f>(tbl_MTG_Set[[#This Row],[Play Booster Box Cost]]+v_Item_Shipping_Cost_In)/tbl_MTG_Set[[#This Row],[Play Booster Box Size]]</f>
        <v/>
      </c>
      <c r="AQ731" s="10">
        <f t="array" ref="AQ7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1" s="10" t="n"/>
      <c r="AS731" s="10" t="n"/>
      <c r="AT731" s="17">
        <f>tbl_MTG_Set[[#This Row],[Play Booster CardMarket Profit]]/tbl_MTG_Set[[#This Row],[Play Booster Cost]]</f>
        <v/>
      </c>
      <c r="AU731" s="10">
        <f>_xlfn.XLOOKUP(tbl_MTG_Set[[#This Row],[Collector Booster Box Product Id]], tbl_Product[Product Id], tbl_Product[Min Cost])</f>
        <v/>
      </c>
      <c r="AV731" s="10">
        <f>_xlfn.XLOOKUP(tbl_MTG_Set[[#This Row],[Collector Booster Box Product Id]], tbl_Product[Product Id], tbl_Product[Best Source])</f>
        <v/>
      </c>
      <c r="AW731" s="4">
        <f>_xlfn.XLOOKUP(tbl_MTG_Set[[#This Row],[Collector Booster Box Product Id]], tbl_Product[Product Id], tbl_Product[Pack Size])</f>
        <v/>
      </c>
      <c r="AX731" s="10">
        <f>(tbl_MTG_Set[[#This Row],[Collector Booster Box Cost]] + v_Item_Shipping_Cost_In) / tbl_MTG_Set[[#This Row],[Collector Booster Box Size]]</f>
        <v/>
      </c>
      <c r="AY731" s="10">
        <f t="array" ref="AY7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1" s="10" t="n"/>
      <c r="BA7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1" s="17">
        <f>tbl_MTG_Set[[#This Row],[Collector Booster CardMarket Profit]]/tbl_MTG_Set[[#This Row],[Collector Booster Cost]]</f>
        <v/>
      </c>
      <c r="BC731" s="10" t="n"/>
      <c r="BF731" s="10">
        <f>tbl_MTG_Set[[#This Row],[Play Booster Sell Price CardMarket]]*tbl_MTG_Set[[#This Row],[Play Booster Expected Market Value]]/tbl_MTG_Set[[#This Row],[Play Boost Sealed Market Value]]</f>
        <v/>
      </c>
      <c r="BG7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1" s="10">
        <f>tbl_MTG_Set[[#This Row],[Play Singles CardMarket Profit]]/tbl_MTG_Set[[#This Row],[Play Booster Cost]]</f>
        <v/>
      </c>
      <c r="BI731" s="10">
        <f>tbl_MTG_Set[[#This Row],[Play Singles CardMarket Profit]]&gt;0</f>
        <v/>
      </c>
      <c r="BJ731" s="10" t="n"/>
      <c r="BK731" s="10" t="n"/>
      <c r="BL731" s="10">
        <f>tbl_MTG_Set[[#This Row],[Collector Booster Sell Price CardMarket]]*tbl_MTG_Set[[#This Row],[Collector Booster Expected Market Value]]/tbl_MTG_Set[[#This Row],[Collector Boost Sealed Market Value]]</f>
        <v/>
      </c>
      <c r="BM7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1" s="10">
        <f>tbl_MTG_Set[[#This Row],[Collector Singles CardMarket Profit]]/tbl_MTG_Set[[#This Row],[Collector Booster Cost]]</f>
        <v/>
      </c>
      <c r="BO731" s="10">
        <f>tbl_MTG_Set[[#This Row],[Collector Singles CardMarket Profit]]&gt;0</f>
        <v/>
      </c>
      <c r="BP7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2">
      <c r="A732" t="n">
        <v>730</v>
      </c>
      <c r="B732" t="inlineStr">
        <is>
          <t>New Phyrexia Promos PNPH</t>
        </is>
      </c>
      <c r="C732" t="n">
        <v>4</v>
      </c>
      <c r="D732" s="3" t="n">
        <v>40675</v>
      </c>
      <c r="F732" t="inlineStr">
        <is>
          <t>en es fr de it pt ja ko ru 汉语 漢語</t>
        </is>
      </c>
      <c r="G732" t="n">
        <v>1406</v>
      </c>
      <c r="H732">
        <f>MONTH(NOW())+12*YEAR(NOW())-MONTH(tbl_MTG_Set[[#This Row],[Released On]])-12*YEAR(tbl_MTG_Set[[#This Row],[Released On]])</f>
        <v/>
      </c>
      <c r="I732">
        <f>_xlfn.XLOOKUP(tbl_MTG_Set[[#This Row],[Type Name]], tbl_MTG_Set_Type[Set Type], tbl_MTG_Set_Type[Index], "(Set Type not found)")</f>
        <v/>
      </c>
      <c r="J732">
        <f>_xlfn.XLOOKUP(tbl_MTG_Set[[#This Row],[Type Name]], tbl_MTG_Set_Type[Set Type], tbl_MTG_Set_Type[Buy Window Month Start], "(Set Type not found)")</f>
        <v/>
      </c>
      <c r="K732" s="3">
        <f>tbl_MTG_Set[[#This Row],[Released On]]+tbl_MTG_Set[[#This Row],[Buy Window Month Start]]*365.25/12</f>
        <v/>
      </c>
      <c r="L732">
        <f>_xlfn.XLOOKUP(tbl_MTG_Set[[#This Row],[Type Name]], tbl_MTG_Set_Type[Set Type], tbl_MTG_Set_Type[Buy Window Month End], "(Set Type not found)", 0, 1)</f>
        <v/>
      </c>
      <c r="M732" s="3">
        <f>tbl_MTG_Set[[#This Row],[Released On]]+tbl_MTG_Set[[#This Row],[Buy Window Month End]]*365.25/12</f>
        <v/>
      </c>
      <c r="N732" s="3">
        <f>AND(NOW()&gt;=tbl_MTG_Set[[#This Row],[Buy Window Start]], NOW()&lt;=tbl_MTG_Set[[#This Row],[Buy Window End]])</f>
        <v/>
      </c>
      <c r="O732">
        <f>_xlfn.XLOOKUP(tbl_MTG_Set[[#This Row],[Type Name]], tbl_MTG_Set_Type[Set Type], tbl_MTG_Set_Type[Heavy Printing Window Month Start], "(Set Type not found)", 0, 1)</f>
        <v/>
      </c>
      <c r="P732" s="3">
        <f>tbl_MTG_Set[[#This Row],[Released On]]+tbl_MTG_Set[[#This Row],[Heavy Printing Window Month Start]]*365.25/12</f>
        <v/>
      </c>
      <c r="Q732">
        <f>_xlfn.XLOOKUP(tbl_MTG_Set[[#This Row],[Type Name]], tbl_MTG_Set_Type[Set Type], tbl_MTG_Set_Type[Heavy Printing Window Month End], "(Set Type not found)", 0, 1)</f>
        <v/>
      </c>
      <c r="R732" s="3">
        <f>tbl_MTG_Set[[#This Row],[Released On]]+tbl_MTG_Set[[#This Row],[Heavy Printing Window Month End]]*365.25/12</f>
        <v/>
      </c>
      <c r="S732" s="3">
        <f>AND(NOW()&gt;=tbl_MTG_Set[[#This Row],[Heavy Printing Window Start]], NOW()&lt;=tbl_MTG_Set[[#This Row],[Heavy Printing Window End]])</f>
        <v/>
      </c>
      <c r="T732">
        <f>_xlfn.XLOOKUP(tbl_MTG_Set[[#This Row],[Type Name]], tbl_MTG_Set_Type[Set Type], tbl_MTG_Set_Type[Sell Window Month Start], "(Set Type not found)", 0, 1)</f>
        <v/>
      </c>
      <c r="U732" s="3">
        <f>tbl_MTG_Set[[#This Row],[Released On]]+tbl_MTG_Set[[#This Row],[Sell Window Month Start]]*365.25/12</f>
        <v/>
      </c>
      <c r="V732">
        <f>_xlfn.XLOOKUP(tbl_MTG_Set[[#This Row],[Type Name]], tbl_MTG_Set_Type[Set Type], tbl_MTG_Set_Type[Sell Window Month End], "(Set Type not found)", 0, 1)</f>
        <v/>
      </c>
      <c r="W732" s="3">
        <f>tbl_MTG_Set[[#This Row],[Released On]]+tbl_MTG_Set[[#This Row],[Sell Window Month End]]*365.25/12</f>
        <v/>
      </c>
      <c r="X732" s="3">
        <f>AND(NOW()&gt;=tbl_MTG_Set[[#This Row],[Sell Window Start]], NOW()&lt;=tbl_MTG_Set[[#This Row],[Sell Window End]])</f>
        <v/>
      </c>
      <c r="AG732" s="10" t="n"/>
      <c r="AH732" s="10" t="n"/>
      <c r="AM732" s="10">
        <f t="array" ref="AM7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2" s="10">
        <f t="array" ref="AN7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2" s="4">
        <f>_xlfn.XLOOKUP(tbl_MTG_Set[[#This Row],[Play Booster Box Product Id]], tbl_Product[Product Id], tbl_Product[Pack Size])</f>
        <v/>
      </c>
      <c r="AP732" s="10">
        <f>(tbl_MTG_Set[[#This Row],[Play Booster Box Cost]]+v_Item_Shipping_Cost_In)/tbl_MTG_Set[[#This Row],[Play Booster Box Size]]</f>
        <v/>
      </c>
      <c r="AQ732" s="10">
        <f t="array" ref="AQ7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2" s="10" t="n"/>
      <c r="AS732" s="10" t="n"/>
      <c r="AT732" s="17">
        <f>tbl_MTG_Set[[#This Row],[Play Booster CardMarket Profit]]/tbl_MTG_Set[[#This Row],[Play Booster Cost]]</f>
        <v/>
      </c>
      <c r="AU732" s="10">
        <f>_xlfn.XLOOKUP(tbl_MTG_Set[[#This Row],[Collector Booster Box Product Id]], tbl_Product[Product Id], tbl_Product[Min Cost])</f>
        <v/>
      </c>
      <c r="AV732" s="10">
        <f>_xlfn.XLOOKUP(tbl_MTG_Set[[#This Row],[Collector Booster Box Product Id]], tbl_Product[Product Id], tbl_Product[Best Source])</f>
        <v/>
      </c>
      <c r="AW732" s="4">
        <f>_xlfn.XLOOKUP(tbl_MTG_Set[[#This Row],[Collector Booster Box Product Id]], tbl_Product[Product Id], tbl_Product[Pack Size])</f>
        <v/>
      </c>
      <c r="AX732" s="10">
        <f>(tbl_MTG_Set[[#This Row],[Collector Booster Box Cost]] + v_Item_Shipping_Cost_In) / tbl_MTG_Set[[#This Row],[Collector Booster Box Size]]</f>
        <v/>
      </c>
      <c r="AY732" s="10">
        <f t="array" ref="AY7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2" s="10" t="n"/>
      <c r="BA7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2" s="17">
        <f>tbl_MTG_Set[[#This Row],[Collector Booster CardMarket Profit]]/tbl_MTG_Set[[#This Row],[Collector Booster Cost]]</f>
        <v/>
      </c>
      <c r="BC732" s="10" t="n"/>
      <c r="BF732" s="10">
        <f>tbl_MTG_Set[[#This Row],[Play Booster Sell Price CardMarket]]*tbl_MTG_Set[[#This Row],[Play Booster Expected Market Value]]/tbl_MTG_Set[[#This Row],[Play Boost Sealed Market Value]]</f>
        <v/>
      </c>
      <c r="BG7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2" s="10">
        <f>tbl_MTG_Set[[#This Row],[Play Singles CardMarket Profit]]/tbl_MTG_Set[[#This Row],[Play Booster Cost]]</f>
        <v/>
      </c>
      <c r="BI732" s="10">
        <f>tbl_MTG_Set[[#This Row],[Play Singles CardMarket Profit]]&gt;0</f>
        <v/>
      </c>
      <c r="BJ732" s="10" t="n"/>
      <c r="BK732" s="10" t="n"/>
      <c r="BL732" s="10">
        <f>tbl_MTG_Set[[#This Row],[Collector Booster Sell Price CardMarket]]*tbl_MTG_Set[[#This Row],[Collector Booster Expected Market Value]]/tbl_MTG_Set[[#This Row],[Collector Boost Sealed Market Value]]</f>
        <v/>
      </c>
      <c r="BM7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2" s="10">
        <f>tbl_MTG_Set[[#This Row],[Collector Singles CardMarket Profit]]/tbl_MTG_Set[[#This Row],[Collector Booster Cost]]</f>
        <v/>
      </c>
      <c r="BO732" s="10">
        <f>tbl_MTG_Set[[#This Row],[Collector Singles CardMarket Profit]]&gt;0</f>
        <v/>
      </c>
      <c r="BP7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3">
      <c r="A733" t="n">
        <v>731</v>
      </c>
      <c r="B733" t="inlineStr">
        <is>
          <t>New Phyrexia Tokens TNPH</t>
        </is>
      </c>
      <c r="C733" t="n">
        <v>5</v>
      </c>
      <c r="D733" s="3" t="n">
        <v>40676</v>
      </c>
      <c r="F733" t="inlineStr">
        <is>
          <t>en es fr de it pt ja ko ru 汉语 漢語</t>
        </is>
      </c>
      <c r="G733" t="n">
        <v>1408</v>
      </c>
      <c r="H733">
        <f>MONTH(NOW())+12*YEAR(NOW())-MONTH(tbl_MTG_Set[[#This Row],[Released On]])-12*YEAR(tbl_MTG_Set[[#This Row],[Released On]])</f>
        <v/>
      </c>
      <c r="I733">
        <f>_xlfn.XLOOKUP(tbl_MTG_Set[[#This Row],[Type Name]], tbl_MTG_Set_Type[Set Type], tbl_MTG_Set_Type[Index], "(Set Type not found)")</f>
        <v/>
      </c>
      <c r="J733">
        <f>_xlfn.XLOOKUP(tbl_MTG_Set[[#This Row],[Type Name]], tbl_MTG_Set_Type[Set Type], tbl_MTG_Set_Type[Buy Window Month Start], "(Set Type not found)")</f>
        <v/>
      </c>
      <c r="K733" s="3">
        <f>tbl_MTG_Set[[#This Row],[Released On]]+tbl_MTG_Set[[#This Row],[Buy Window Month Start]]*365.25/12</f>
        <v/>
      </c>
      <c r="L733">
        <f>_xlfn.XLOOKUP(tbl_MTG_Set[[#This Row],[Type Name]], tbl_MTG_Set_Type[Set Type], tbl_MTG_Set_Type[Buy Window Month End], "(Set Type not found)", 0, 1)</f>
        <v/>
      </c>
      <c r="M733" s="3">
        <f>tbl_MTG_Set[[#This Row],[Released On]]+tbl_MTG_Set[[#This Row],[Buy Window Month End]]*365.25/12</f>
        <v/>
      </c>
      <c r="N733" s="3">
        <f>AND(NOW()&gt;=tbl_MTG_Set[[#This Row],[Buy Window Start]], NOW()&lt;=tbl_MTG_Set[[#This Row],[Buy Window End]])</f>
        <v/>
      </c>
      <c r="O733">
        <f>_xlfn.XLOOKUP(tbl_MTG_Set[[#This Row],[Type Name]], tbl_MTG_Set_Type[Set Type], tbl_MTG_Set_Type[Heavy Printing Window Month Start], "(Set Type not found)", 0, 1)</f>
        <v/>
      </c>
      <c r="P733" s="3">
        <f>tbl_MTG_Set[[#This Row],[Released On]]+tbl_MTG_Set[[#This Row],[Heavy Printing Window Month Start]]*365.25/12</f>
        <v/>
      </c>
      <c r="Q733">
        <f>_xlfn.XLOOKUP(tbl_MTG_Set[[#This Row],[Type Name]], tbl_MTG_Set_Type[Set Type], tbl_MTG_Set_Type[Heavy Printing Window Month End], "(Set Type not found)", 0, 1)</f>
        <v/>
      </c>
      <c r="R733" s="3">
        <f>tbl_MTG_Set[[#This Row],[Released On]]+tbl_MTG_Set[[#This Row],[Heavy Printing Window Month End]]*365.25/12</f>
        <v/>
      </c>
      <c r="S733" s="3">
        <f>AND(NOW()&gt;=tbl_MTG_Set[[#This Row],[Heavy Printing Window Start]], NOW()&lt;=tbl_MTG_Set[[#This Row],[Heavy Printing Window End]])</f>
        <v/>
      </c>
      <c r="T733">
        <f>_xlfn.XLOOKUP(tbl_MTG_Set[[#This Row],[Type Name]], tbl_MTG_Set_Type[Set Type], tbl_MTG_Set_Type[Sell Window Month Start], "(Set Type not found)", 0, 1)</f>
        <v/>
      </c>
      <c r="U733" s="3">
        <f>tbl_MTG_Set[[#This Row],[Released On]]+tbl_MTG_Set[[#This Row],[Sell Window Month Start]]*365.25/12</f>
        <v/>
      </c>
      <c r="V733">
        <f>_xlfn.XLOOKUP(tbl_MTG_Set[[#This Row],[Type Name]], tbl_MTG_Set_Type[Set Type], tbl_MTG_Set_Type[Sell Window Month End], "(Set Type not found)", 0, 1)</f>
        <v/>
      </c>
      <c r="W733" s="3">
        <f>tbl_MTG_Set[[#This Row],[Released On]]+tbl_MTG_Set[[#This Row],[Sell Window Month End]]*365.25/12</f>
        <v/>
      </c>
      <c r="X733" s="3">
        <f>AND(NOW()&gt;=tbl_MTG_Set[[#This Row],[Sell Window Start]], NOW()&lt;=tbl_MTG_Set[[#This Row],[Sell Window End]])</f>
        <v/>
      </c>
      <c r="AG733" s="10" t="n"/>
      <c r="AH733" s="10" t="n"/>
      <c r="AM733" s="10">
        <f t="array" ref="AM7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3" s="10">
        <f t="array" ref="AN7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3" s="4">
        <f>_xlfn.XLOOKUP(tbl_MTG_Set[[#This Row],[Play Booster Box Product Id]], tbl_Product[Product Id], tbl_Product[Pack Size])</f>
        <v/>
      </c>
      <c r="AP733" s="10">
        <f>(tbl_MTG_Set[[#This Row],[Play Booster Box Cost]]+v_Item_Shipping_Cost_In)/tbl_MTG_Set[[#This Row],[Play Booster Box Size]]</f>
        <v/>
      </c>
      <c r="AQ733" s="10">
        <f t="array" ref="AQ7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3" s="10" t="n"/>
      <c r="AS733" s="10" t="n"/>
      <c r="AT733" s="17">
        <f>tbl_MTG_Set[[#This Row],[Play Booster CardMarket Profit]]/tbl_MTG_Set[[#This Row],[Play Booster Cost]]</f>
        <v/>
      </c>
      <c r="AU733" s="10">
        <f>_xlfn.XLOOKUP(tbl_MTG_Set[[#This Row],[Collector Booster Box Product Id]], tbl_Product[Product Id], tbl_Product[Min Cost])</f>
        <v/>
      </c>
      <c r="AV733" s="10">
        <f>_xlfn.XLOOKUP(tbl_MTG_Set[[#This Row],[Collector Booster Box Product Id]], tbl_Product[Product Id], tbl_Product[Best Source])</f>
        <v/>
      </c>
      <c r="AW733" s="4">
        <f>_xlfn.XLOOKUP(tbl_MTG_Set[[#This Row],[Collector Booster Box Product Id]], tbl_Product[Product Id], tbl_Product[Pack Size])</f>
        <v/>
      </c>
      <c r="AX733" s="10">
        <f>(tbl_MTG_Set[[#This Row],[Collector Booster Box Cost]] + v_Item_Shipping_Cost_In) / tbl_MTG_Set[[#This Row],[Collector Booster Box Size]]</f>
        <v/>
      </c>
      <c r="AY733" s="10">
        <f t="array" ref="AY7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3" s="10" t="n"/>
      <c r="BA7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3" s="17">
        <f>tbl_MTG_Set[[#This Row],[Collector Booster CardMarket Profit]]/tbl_MTG_Set[[#This Row],[Collector Booster Cost]]</f>
        <v/>
      </c>
      <c r="BC733" s="10" t="n"/>
      <c r="BF733" s="10">
        <f>tbl_MTG_Set[[#This Row],[Play Booster Sell Price CardMarket]]*tbl_MTG_Set[[#This Row],[Play Booster Expected Market Value]]/tbl_MTG_Set[[#This Row],[Play Boost Sealed Market Value]]</f>
        <v/>
      </c>
      <c r="BG7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3" s="10">
        <f>tbl_MTG_Set[[#This Row],[Play Singles CardMarket Profit]]/tbl_MTG_Set[[#This Row],[Play Booster Cost]]</f>
        <v/>
      </c>
      <c r="BI733" s="10">
        <f>tbl_MTG_Set[[#This Row],[Play Singles CardMarket Profit]]&gt;0</f>
        <v/>
      </c>
      <c r="BJ733" s="10" t="n"/>
      <c r="BK733" s="10" t="n"/>
      <c r="BL733" s="10">
        <f>tbl_MTG_Set[[#This Row],[Collector Booster Sell Price CardMarket]]*tbl_MTG_Set[[#This Row],[Collector Booster Expected Market Value]]/tbl_MTG_Set[[#This Row],[Collector Boost Sealed Market Value]]</f>
        <v/>
      </c>
      <c r="BM7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3" s="10">
        <f>tbl_MTG_Set[[#This Row],[Collector Singles CardMarket Profit]]/tbl_MTG_Set[[#This Row],[Collector Booster Cost]]</f>
        <v/>
      </c>
      <c r="BO733" s="10">
        <f>tbl_MTG_Set[[#This Row],[Collector Singles CardMarket Profit]]&gt;0</f>
        <v/>
      </c>
      <c r="BP7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4">
      <c r="A734" t="n">
        <v>732</v>
      </c>
      <c r="B734" t="inlineStr">
        <is>
          <t>Duel Decks: Knights vs. Dragons DDG</t>
        </is>
      </c>
      <c r="C734" t="n">
        <v>81</v>
      </c>
      <c r="D734" s="3" t="n">
        <v>40634</v>
      </c>
      <c r="F734" t="inlineStr">
        <is>
          <t>en es fr de it pt ja ko ru 汉语 漢語</t>
        </is>
      </c>
      <c r="G734" t="n">
        <v>1410</v>
      </c>
      <c r="H734">
        <f>MONTH(NOW())+12*YEAR(NOW())-MONTH(tbl_MTG_Set[[#This Row],[Released On]])-12*YEAR(tbl_MTG_Set[[#This Row],[Released On]])</f>
        <v/>
      </c>
      <c r="I734">
        <f>_xlfn.XLOOKUP(tbl_MTG_Set[[#This Row],[Type Name]], tbl_MTG_Set_Type[Set Type], tbl_MTG_Set_Type[Index], "(Set Type not found)")</f>
        <v/>
      </c>
      <c r="J734">
        <f>_xlfn.XLOOKUP(tbl_MTG_Set[[#This Row],[Type Name]], tbl_MTG_Set_Type[Set Type], tbl_MTG_Set_Type[Buy Window Month Start], "(Set Type not found)")</f>
        <v/>
      </c>
      <c r="K734" s="3">
        <f>tbl_MTG_Set[[#This Row],[Released On]]+tbl_MTG_Set[[#This Row],[Buy Window Month Start]]*365.25/12</f>
        <v/>
      </c>
      <c r="L734">
        <f>_xlfn.XLOOKUP(tbl_MTG_Set[[#This Row],[Type Name]], tbl_MTG_Set_Type[Set Type], tbl_MTG_Set_Type[Buy Window Month End], "(Set Type not found)", 0, 1)</f>
        <v/>
      </c>
      <c r="M734" s="3">
        <f>tbl_MTG_Set[[#This Row],[Released On]]+tbl_MTG_Set[[#This Row],[Buy Window Month End]]*365.25/12</f>
        <v/>
      </c>
      <c r="N734" s="3">
        <f>AND(NOW()&gt;=tbl_MTG_Set[[#This Row],[Buy Window Start]], NOW()&lt;=tbl_MTG_Set[[#This Row],[Buy Window End]])</f>
        <v/>
      </c>
      <c r="O734">
        <f>_xlfn.XLOOKUP(tbl_MTG_Set[[#This Row],[Type Name]], tbl_MTG_Set_Type[Set Type], tbl_MTG_Set_Type[Heavy Printing Window Month Start], "(Set Type not found)", 0, 1)</f>
        <v/>
      </c>
      <c r="P734" s="3">
        <f>tbl_MTG_Set[[#This Row],[Released On]]+tbl_MTG_Set[[#This Row],[Heavy Printing Window Month Start]]*365.25/12</f>
        <v/>
      </c>
      <c r="Q734">
        <f>_xlfn.XLOOKUP(tbl_MTG_Set[[#This Row],[Type Name]], tbl_MTG_Set_Type[Set Type], tbl_MTG_Set_Type[Heavy Printing Window Month End], "(Set Type not found)", 0, 1)</f>
        <v/>
      </c>
      <c r="R734" s="3">
        <f>tbl_MTG_Set[[#This Row],[Released On]]+tbl_MTG_Set[[#This Row],[Heavy Printing Window Month End]]*365.25/12</f>
        <v/>
      </c>
      <c r="S734" s="3">
        <f>AND(NOW()&gt;=tbl_MTG_Set[[#This Row],[Heavy Printing Window Start]], NOW()&lt;=tbl_MTG_Set[[#This Row],[Heavy Printing Window End]])</f>
        <v/>
      </c>
      <c r="T734">
        <f>_xlfn.XLOOKUP(tbl_MTG_Set[[#This Row],[Type Name]], tbl_MTG_Set_Type[Set Type], tbl_MTG_Set_Type[Sell Window Month Start], "(Set Type not found)", 0, 1)</f>
        <v/>
      </c>
      <c r="U734" s="3">
        <f>tbl_MTG_Set[[#This Row],[Released On]]+tbl_MTG_Set[[#This Row],[Sell Window Month Start]]*365.25/12</f>
        <v/>
      </c>
      <c r="V734">
        <f>_xlfn.XLOOKUP(tbl_MTG_Set[[#This Row],[Type Name]], tbl_MTG_Set_Type[Set Type], tbl_MTG_Set_Type[Sell Window Month End], "(Set Type not found)", 0, 1)</f>
        <v/>
      </c>
      <c r="W734" s="3">
        <f>tbl_MTG_Set[[#This Row],[Released On]]+tbl_MTG_Set[[#This Row],[Sell Window Month End]]*365.25/12</f>
        <v/>
      </c>
      <c r="X734" s="3">
        <f>AND(NOW()&gt;=tbl_MTG_Set[[#This Row],[Sell Window Start]], NOW()&lt;=tbl_MTG_Set[[#This Row],[Sell Window End]])</f>
        <v/>
      </c>
      <c r="AG734" s="10" t="n"/>
      <c r="AH734" s="10" t="n"/>
      <c r="AM734" s="10">
        <f t="array" ref="AM7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4" s="10">
        <f t="array" ref="AN7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4" s="4">
        <f>_xlfn.XLOOKUP(tbl_MTG_Set[[#This Row],[Play Booster Box Product Id]], tbl_Product[Product Id], tbl_Product[Pack Size])</f>
        <v/>
      </c>
      <c r="AP734" s="10">
        <f>(tbl_MTG_Set[[#This Row],[Play Booster Box Cost]]+v_Item_Shipping_Cost_In)/tbl_MTG_Set[[#This Row],[Play Booster Box Size]]</f>
        <v/>
      </c>
      <c r="AQ734" s="10">
        <f t="array" ref="AQ7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4" s="10" t="n"/>
      <c r="AS734" s="10" t="n"/>
      <c r="AT734" s="17">
        <f>tbl_MTG_Set[[#This Row],[Play Booster CardMarket Profit]]/tbl_MTG_Set[[#This Row],[Play Booster Cost]]</f>
        <v/>
      </c>
      <c r="AU734" s="10">
        <f>_xlfn.XLOOKUP(tbl_MTG_Set[[#This Row],[Collector Booster Box Product Id]], tbl_Product[Product Id], tbl_Product[Min Cost])</f>
        <v/>
      </c>
      <c r="AV734" s="10">
        <f>_xlfn.XLOOKUP(tbl_MTG_Set[[#This Row],[Collector Booster Box Product Id]], tbl_Product[Product Id], tbl_Product[Best Source])</f>
        <v/>
      </c>
      <c r="AW734" s="4">
        <f>_xlfn.XLOOKUP(tbl_MTG_Set[[#This Row],[Collector Booster Box Product Id]], tbl_Product[Product Id], tbl_Product[Pack Size])</f>
        <v/>
      </c>
      <c r="AX734" s="10">
        <f>(tbl_MTG_Set[[#This Row],[Collector Booster Box Cost]] + v_Item_Shipping_Cost_In) / tbl_MTG_Set[[#This Row],[Collector Booster Box Size]]</f>
        <v/>
      </c>
      <c r="AY734" s="10">
        <f t="array" ref="AY7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4" s="10" t="n"/>
      <c r="BA7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4" s="17">
        <f>tbl_MTG_Set[[#This Row],[Collector Booster CardMarket Profit]]/tbl_MTG_Set[[#This Row],[Collector Booster Cost]]</f>
        <v/>
      </c>
      <c r="BC734" s="10" t="n"/>
      <c r="BF734" s="10">
        <f>tbl_MTG_Set[[#This Row],[Play Booster Sell Price CardMarket]]*tbl_MTG_Set[[#This Row],[Play Booster Expected Market Value]]/tbl_MTG_Set[[#This Row],[Play Boost Sealed Market Value]]</f>
        <v/>
      </c>
      <c r="BG7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4" s="10">
        <f>tbl_MTG_Set[[#This Row],[Play Singles CardMarket Profit]]/tbl_MTG_Set[[#This Row],[Play Booster Cost]]</f>
        <v/>
      </c>
      <c r="BI734" s="10">
        <f>tbl_MTG_Set[[#This Row],[Play Singles CardMarket Profit]]&gt;0</f>
        <v/>
      </c>
      <c r="BJ734" s="10" t="n"/>
      <c r="BK734" s="10" t="n"/>
      <c r="BL734" s="10">
        <f>tbl_MTG_Set[[#This Row],[Collector Booster Sell Price CardMarket]]*tbl_MTG_Set[[#This Row],[Collector Booster Expected Market Value]]/tbl_MTG_Set[[#This Row],[Collector Boost Sealed Market Value]]</f>
        <v/>
      </c>
      <c r="BM7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4" s="10">
        <f>tbl_MTG_Set[[#This Row],[Collector Singles CardMarket Profit]]/tbl_MTG_Set[[#This Row],[Collector Booster Cost]]</f>
        <v/>
      </c>
      <c r="BO734" s="10">
        <f>tbl_MTG_Set[[#This Row],[Collector Singles CardMarket Profit]]&gt;0</f>
        <v/>
      </c>
      <c r="BP7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5">
      <c r="A735" t="n">
        <v>733</v>
      </c>
      <c r="B735" t="inlineStr">
        <is>
          <t>Duel Decks: Knights vs. Dragons Tokens TDDG</t>
        </is>
      </c>
      <c r="C735" t="n">
        <v>1</v>
      </c>
      <c r="D735" s="3" t="n">
        <v>40634</v>
      </c>
      <c r="F735" t="inlineStr">
        <is>
          <t>en es fr de it pt ja ko ru 汉语 漢語</t>
        </is>
      </c>
      <c r="G735" t="n">
        <v>1412</v>
      </c>
      <c r="H735">
        <f>MONTH(NOW())+12*YEAR(NOW())-MONTH(tbl_MTG_Set[[#This Row],[Released On]])-12*YEAR(tbl_MTG_Set[[#This Row],[Released On]])</f>
        <v/>
      </c>
      <c r="I735">
        <f>_xlfn.XLOOKUP(tbl_MTG_Set[[#This Row],[Type Name]], tbl_MTG_Set_Type[Set Type], tbl_MTG_Set_Type[Index], "(Set Type not found)")</f>
        <v/>
      </c>
      <c r="J735">
        <f>_xlfn.XLOOKUP(tbl_MTG_Set[[#This Row],[Type Name]], tbl_MTG_Set_Type[Set Type], tbl_MTG_Set_Type[Buy Window Month Start], "(Set Type not found)")</f>
        <v/>
      </c>
      <c r="K735" s="3">
        <f>tbl_MTG_Set[[#This Row],[Released On]]+tbl_MTG_Set[[#This Row],[Buy Window Month Start]]*365.25/12</f>
        <v/>
      </c>
      <c r="L735">
        <f>_xlfn.XLOOKUP(tbl_MTG_Set[[#This Row],[Type Name]], tbl_MTG_Set_Type[Set Type], tbl_MTG_Set_Type[Buy Window Month End], "(Set Type not found)", 0, 1)</f>
        <v/>
      </c>
      <c r="M735" s="3">
        <f>tbl_MTG_Set[[#This Row],[Released On]]+tbl_MTG_Set[[#This Row],[Buy Window Month End]]*365.25/12</f>
        <v/>
      </c>
      <c r="N735" s="3">
        <f>AND(NOW()&gt;=tbl_MTG_Set[[#This Row],[Buy Window Start]], NOW()&lt;=tbl_MTG_Set[[#This Row],[Buy Window End]])</f>
        <v/>
      </c>
      <c r="O735">
        <f>_xlfn.XLOOKUP(tbl_MTG_Set[[#This Row],[Type Name]], tbl_MTG_Set_Type[Set Type], tbl_MTG_Set_Type[Heavy Printing Window Month Start], "(Set Type not found)", 0, 1)</f>
        <v/>
      </c>
      <c r="P735" s="3">
        <f>tbl_MTG_Set[[#This Row],[Released On]]+tbl_MTG_Set[[#This Row],[Heavy Printing Window Month Start]]*365.25/12</f>
        <v/>
      </c>
      <c r="Q735">
        <f>_xlfn.XLOOKUP(tbl_MTG_Set[[#This Row],[Type Name]], tbl_MTG_Set_Type[Set Type], tbl_MTG_Set_Type[Heavy Printing Window Month End], "(Set Type not found)", 0, 1)</f>
        <v/>
      </c>
      <c r="R735" s="3">
        <f>tbl_MTG_Set[[#This Row],[Released On]]+tbl_MTG_Set[[#This Row],[Heavy Printing Window Month End]]*365.25/12</f>
        <v/>
      </c>
      <c r="S735" s="3">
        <f>AND(NOW()&gt;=tbl_MTG_Set[[#This Row],[Heavy Printing Window Start]], NOW()&lt;=tbl_MTG_Set[[#This Row],[Heavy Printing Window End]])</f>
        <v/>
      </c>
      <c r="T735">
        <f>_xlfn.XLOOKUP(tbl_MTG_Set[[#This Row],[Type Name]], tbl_MTG_Set_Type[Set Type], tbl_MTG_Set_Type[Sell Window Month Start], "(Set Type not found)", 0, 1)</f>
        <v/>
      </c>
      <c r="U735" s="3">
        <f>tbl_MTG_Set[[#This Row],[Released On]]+tbl_MTG_Set[[#This Row],[Sell Window Month Start]]*365.25/12</f>
        <v/>
      </c>
      <c r="V735">
        <f>_xlfn.XLOOKUP(tbl_MTG_Set[[#This Row],[Type Name]], tbl_MTG_Set_Type[Set Type], tbl_MTG_Set_Type[Sell Window Month End], "(Set Type not found)", 0, 1)</f>
        <v/>
      </c>
      <c r="W735" s="3">
        <f>tbl_MTG_Set[[#This Row],[Released On]]+tbl_MTG_Set[[#This Row],[Sell Window Month End]]*365.25/12</f>
        <v/>
      </c>
      <c r="X735" s="3">
        <f>AND(NOW()&gt;=tbl_MTG_Set[[#This Row],[Sell Window Start]], NOW()&lt;=tbl_MTG_Set[[#This Row],[Sell Window End]])</f>
        <v/>
      </c>
      <c r="AG735" s="10" t="n"/>
      <c r="AH735" s="10" t="n"/>
      <c r="AM735" s="10">
        <f t="array" ref="AM7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5" s="10">
        <f t="array" ref="AN7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5" s="4">
        <f>_xlfn.XLOOKUP(tbl_MTG_Set[[#This Row],[Play Booster Box Product Id]], tbl_Product[Product Id], tbl_Product[Pack Size])</f>
        <v/>
      </c>
      <c r="AP735" s="10">
        <f>(tbl_MTG_Set[[#This Row],[Play Booster Box Cost]]+v_Item_Shipping_Cost_In)/tbl_MTG_Set[[#This Row],[Play Booster Box Size]]</f>
        <v/>
      </c>
      <c r="AQ735" s="10">
        <f t="array" ref="AQ7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5" s="10" t="n"/>
      <c r="AS735" s="10" t="n"/>
      <c r="AT735" s="17">
        <f>tbl_MTG_Set[[#This Row],[Play Booster CardMarket Profit]]/tbl_MTG_Set[[#This Row],[Play Booster Cost]]</f>
        <v/>
      </c>
      <c r="AU735" s="10">
        <f>_xlfn.XLOOKUP(tbl_MTG_Set[[#This Row],[Collector Booster Box Product Id]], tbl_Product[Product Id], tbl_Product[Min Cost])</f>
        <v/>
      </c>
      <c r="AV735" s="10">
        <f>_xlfn.XLOOKUP(tbl_MTG_Set[[#This Row],[Collector Booster Box Product Id]], tbl_Product[Product Id], tbl_Product[Best Source])</f>
        <v/>
      </c>
      <c r="AW735" s="4">
        <f>_xlfn.XLOOKUP(tbl_MTG_Set[[#This Row],[Collector Booster Box Product Id]], tbl_Product[Product Id], tbl_Product[Pack Size])</f>
        <v/>
      </c>
      <c r="AX735" s="10">
        <f>(tbl_MTG_Set[[#This Row],[Collector Booster Box Cost]] + v_Item_Shipping_Cost_In) / tbl_MTG_Set[[#This Row],[Collector Booster Box Size]]</f>
        <v/>
      </c>
      <c r="AY735" s="10">
        <f t="array" ref="AY7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5" s="10" t="n"/>
      <c r="BA7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5" s="17">
        <f>tbl_MTG_Set[[#This Row],[Collector Booster CardMarket Profit]]/tbl_MTG_Set[[#This Row],[Collector Booster Cost]]</f>
        <v/>
      </c>
      <c r="BC735" s="10" t="n"/>
      <c r="BF735" s="10">
        <f>tbl_MTG_Set[[#This Row],[Play Booster Sell Price CardMarket]]*tbl_MTG_Set[[#This Row],[Play Booster Expected Market Value]]/tbl_MTG_Set[[#This Row],[Play Boost Sealed Market Value]]</f>
        <v/>
      </c>
      <c r="BG7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5" s="10">
        <f>tbl_MTG_Set[[#This Row],[Play Singles CardMarket Profit]]/tbl_MTG_Set[[#This Row],[Play Booster Cost]]</f>
        <v/>
      </c>
      <c r="BI735" s="10">
        <f>tbl_MTG_Set[[#This Row],[Play Singles CardMarket Profit]]&gt;0</f>
        <v/>
      </c>
      <c r="BJ735" s="10" t="n"/>
      <c r="BK735" s="10" t="n"/>
      <c r="BL735" s="10">
        <f>tbl_MTG_Set[[#This Row],[Collector Booster Sell Price CardMarket]]*tbl_MTG_Set[[#This Row],[Collector Booster Expected Market Value]]/tbl_MTG_Set[[#This Row],[Collector Boost Sealed Market Value]]</f>
        <v/>
      </c>
      <c r="BM7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5" s="10">
        <f>tbl_MTG_Set[[#This Row],[Collector Singles CardMarket Profit]]/tbl_MTG_Set[[#This Row],[Collector Booster Cost]]</f>
        <v/>
      </c>
      <c r="BO735" s="10">
        <f>tbl_MTG_Set[[#This Row],[Collector Singles CardMarket Profit]]&gt;0</f>
        <v/>
      </c>
      <c r="BP7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6">
      <c r="A736" t="n">
        <v>734</v>
      </c>
      <c r="B736" t="inlineStr">
        <is>
          <t>Mirrodin Besieged MBS</t>
        </is>
      </c>
      <c r="C736" t="n">
        <v>155</v>
      </c>
      <c r="D736" s="3" t="n">
        <v>40578</v>
      </c>
      <c r="F736" t="inlineStr">
        <is>
          <t>en es fr de it pt ja ko ru 汉语 漢語</t>
        </is>
      </c>
      <c r="G736" t="n">
        <v>1414</v>
      </c>
      <c r="H736">
        <f>MONTH(NOW())+12*YEAR(NOW())-MONTH(tbl_MTG_Set[[#This Row],[Released On]])-12*YEAR(tbl_MTG_Set[[#This Row],[Released On]])</f>
        <v/>
      </c>
      <c r="I736">
        <f>_xlfn.XLOOKUP(tbl_MTG_Set[[#This Row],[Type Name]], tbl_MTG_Set_Type[Set Type], tbl_MTG_Set_Type[Index], "(Set Type not found)")</f>
        <v/>
      </c>
      <c r="J736">
        <f>_xlfn.XLOOKUP(tbl_MTG_Set[[#This Row],[Type Name]], tbl_MTG_Set_Type[Set Type], tbl_MTG_Set_Type[Buy Window Month Start], "(Set Type not found)")</f>
        <v/>
      </c>
      <c r="K736" s="3">
        <f>tbl_MTG_Set[[#This Row],[Released On]]+tbl_MTG_Set[[#This Row],[Buy Window Month Start]]*365.25/12</f>
        <v/>
      </c>
      <c r="L736">
        <f>_xlfn.XLOOKUP(tbl_MTG_Set[[#This Row],[Type Name]], tbl_MTG_Set_Type[Set Type], tbl_MTG_Set_Type[Buy Window Month End], "(Set Type not found)", 0, 1)</f>
        <v/>
      </c>
      <c r="M736" s="3">
        <f>tbl_MTG_Set[[#This Row],[Released On]]+tbl_MTG_Set[[#This Row],[Buy Window Month End]]*365.25/12</f>
        <v/>
      </c>
      <c r="N736" s="3">
        <f>AND(NOW()&gt;=tbl_MTG_Set[[#This Row],[Buy Window Start]], NOW()&lt;=tbl_MTG_Set[[#This Row],[Buy Window End]])</f>
        <v/>
      </c>
      <c r="O736">
        <f>_xlfn.XLOOKUP(tbl_MTG_Set[[#This Row],[Type Name]], tbl_MTG_Set_Type[Set Type], tbl_MTG_Set_Type[Heavy Printing Window Month Start], "(Set Type not found)", 0, 1)</f>
        <v/>
      </c>
      <c r="P736" s="3">
        <f>tbl_MTG_Set[[#This Row],[Released On]]+tbl_MTG_Set[[#This Row],[Heavy Printing Window Month Start]]*365.25/12</f>
        <v/>
      </c>
      <c r="Q736">
        <f>_xlfn.XLOOKUP(tbl_MTG_Set[[#This Row],[Type Name]], tbl_MTG_Set_Type[Set Type], tbl_MTG_Set_Type[Heavy Printing Window Month End], "(Set Type not found)", 0, 1)</f>
        <v/>
      </c>
      <c r="R736" s="3">
        <f>tbl_MTG_Set[[#This Row],[Released On]]+tbl_MTG_Set[[#This Row],[Heavy Printing Window Month End]]*365.25/12</f>
        <v/>
      </c>
      <c r="S736" s="3">
        <f>AND(NOW()&gt;=tbl_MTG_Set[[#This Row],[Heavy Printing Window Start]], NOW()&lt;=tbl_MTG_Set[[#This Row],[Heavy Printing Window End]])</f>
        <v/>
      </c>
      <c r="T736">
        <f>_xlfn.XLOOKUP(tbl_MTG_Set[[#This Row],[Type Name]], tbl_MTG_Set_Type[Set Type], tbl_MTG_Set_Type[Sell Window Month Start], "(Set Type not found)", 0, 1)</f>
        <v/>
      </c>
      <c r="U736" s="3">
        <f>tbl_MTG_Set[[#This Row],[Released On]]+tbl_MTG_Set[[#This Row],[Sell Window Month Start]]*365.25/12</f>
        <v/>
      </c>
      <c r="V736">
        <f>_xlfn.XLOOKUP(tbl_MTG_Set[[#This Row],[Type Name]], tbl_MTG_Set_Type[Set Type], tbl_MTG_Set_Type[Sell Window Month End], "(Set Type not found)", 0, 1)</f>
        <v/>
      </c>
      <c r="W736" s="3">
        <f>tbl_MTG_Set[[#This Row],[Released On]]+tbl_MTG_Set[[#This Row],[Sell Window Month End]]*365.25/12</f>
        <v/>
      </c>
      <c r="X736" s="3">
        <f>AND(NOW()&gt;=tbl_MTG_Set[[#This Row],[Sell Window Start]], NOW()&lt;=tbl_MTG_Set[[#This Row],[Sell Window End]])</f>
        <v/>
      </c>
      <c r="AG736" s="10" t="n"/>
      <c r="AH736" s="10" t="n"/>
      <c r="AM736" s="10">
        <f t="array" ref="AM7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6" s="10">
        <f t="array" ref="AN7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6" s="4">
        <f>_xlfn.XLOOKUP(tbl_MTG_Set[[#This Row],[Play Booster Box Product Id]], tbl_Product[Product Id], tbl_Product[Pack Size])</f>
        <v/>
      </c>
      <c r="AP736" s="10">
        <f>(tbl_MTG_Set[[#This Row],[Play Booster Box Cost]]+v_Item_Shipping_Cost_In)/tbl_MTG_Set[[#This Row],[Play Booster Box Size]]</f>
        <v/>
      </c>
      <c r="AQ736" s="10">
        <f t="array" ref="AQ7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6" s="10" t="n"/>
      <c r="AS736" s="10" t="n"/>
      <c r="AT736" s="17">
        <f>tbl_MTG_Set[[#This Row],[Play Booster CardMarket Profit]]/tbl_MTG_Set[[#This Row],[Play Booster Cost]]</f>
        <v/>
      </c>
      <c r="AU736" s="10">
        <f>_xlfn.XLOOKUP(tbl_MTG_Set[[#This Row],[Collector Booster Box Product Id]], tbl_Product[Product Id], tbl_Product[Min Cost])</f>
        <v/>
      </c>
      <c r="AV736" s="10">
        <f>_xlfn.XLOOKUP(tbl_MTG_Set[[#This Row],[Collector Booster Box Product Id]], tbl_Product[Product Id], tbl_Product[Best Source])</f>
        <v/>
      </c>
      <c r="AW736" s="4">
        <f>_xlfn.XLOOKUP(tbl_MTG_Set[[#This Row],[Collector Booster Box Product Id]], tbl_Product[Product Id], tbl_Product[Pack Size])</f>
        <v/>
      </c>
      <c r="AX736" s="10">
        <f>(tbl_MTG_Set[[#This Row],[Collector Booster Box Cost]] + v_Item_Shipping_Cost_In) / tbl_MTG_Set[[#This Row],[Collector Booster Box Size]]</f>
        <v/>
      </c>
      <c r="AY736" s="10">
        <f t="array" ref="AY7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6" s="10" t="n"/>
      <c r="BA7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6" s="17">
        <f>tbl_MTG_Set[[#This Row],[Collector Booster CardMarket Profit]]/tbl_MTG_Set[[#This Row],[Collector Booster Cost]]</f>
        <v/>
      </c>
      <c r="BC736" s="10" t="n"/>
      <c r="BF736" s="10">
        <f>tbl_MTG_Set[[#This Row],[Play Booster Sell Price CardMarket]]*tbl_MTG_Set[[#This Row],[Play Booster Expected Market Value]]/tbl_MTG_Set[[#This Row],[Play Boost Sealed Market Value]]</f>
        <v/>
      </c>
      <c r="BG7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6" s="10">
        <f>tbl_MTG_Set[[#This Row],[Play Singles CardMarket Profit]]/tbl_MTG_Set[[#This Row],[Play Booster Cost]]</f>
        <v/>
      </c>
      <c r="BI736" s="10">
        <f>tbl_MTG_Set[[#This Row],[Play Singles CardMarket Profit]]&gt;0</f>
        <v/>
      </c>
      <c r="BJ736" s="10" t="n"/>
      <c r="BK736" s="10" t="n"/>
      <c r="BL736" s="10">
        <f>tbl_MTG_Set[[#This Row],[Collector Booster Sell Price CardMarket]]*tbl_MTG_Set[[#This Row],[Collector Booster Expected Market Value]]/tbl_MTG_Set[[#This Row],[Collector Boost Sealed Market Value]]</f>
        <v/>
      </c>
      <c r="BM7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6" s="10">
        <f>tbl_MTG_Set[[#This Row],[Collector Singles CardMarket Profit]]/tbl_MTG_Set[[#This Row],[Collector Booster Cost]]</f>
        <v/>
      </c>
      <c r="BO736" s="10">
        <f>tbl_MTG_Set[[#This Row],[Collector Singles CardMarket Profit]]&gt;0</f>
        <v/>
      </c>
      <c r="BP7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7">
      <c r="A737" t="n">
        <v>735</v>
      </c>
      <c r="B737" t="inlineStr">
        <is>
          <t>Mirrodin Besieged Promos PMBS</t>
        </is>
      </c>
      <c r="C737" t="n">
        <v>4</v>
      </c>
      <c r="D737" s="3" t="n">
        <v>40577</v>
      </c>
      <c r="F737" t="inlineStr">
        <is>
          <t>en es fr de it pt ja ko ru 汉语 漢語</t>
        </is>
      </c>
      <c r="G737" t="n">
        <v>1416</v>
      </c>
      <c r="H737">
        <f>MONTH(NOW())+12*YEAR(NOW())-MONTH(tbl_MTG_Set[[#This Row],[Released On]])-12*YEAR(tbl_MTG_Set[[#This Row],[Released On]])</f>
        <v/>
      </c>
      <c r="I737">
        <f>_xlfn.XLOOKUP(tbl_MTG_Set[[#This Row],[Type Name]], tbl_MTG_Set_Type[Set Type], tbl_MTG_Set_Type[Index], "(Set Type not found)")</f>
        <v/>
      </c>
      <c r="J737">
        <f>_xlfn.XLOOKUP(tbl_MTG_Set[[#This Row],[Type Name]], tbl_MTG_Set_Type[Set Type], tbl_MTG_Set_Type[Buy Window Month Start], "(Set Type not found)")</f>
        <v/>
      </c>
      <c r="K737" s="3">
        <f>tbl_MTG_Set[[#This Row],[Released On]]+tbl_MTG_Set[[#This Row],[Buy Window Month Start]]*365.25/12</f>
        <v/>
      </c>
      <c r="L737">
        <f>_xlfn.XLOOKUP(tbl_MTG_Set[[#This Row],[Type Name]], tbl_MTG_Set_Type[Set Type], tbl_MTG_Set_Type[Buy Window Month End], "(Set Type not found)", 0, 1)</f>
        <v/>
      </c>
      <c r="M737" s="3">
        <f>tbl_MTG_Set[[#This Row],[Released On]]+tbl_MTG_Set[[#This Row],[Buy Window Month End]]*365.25/12</f>
        <v/>
      </c>
      <c r="N737" s="3">
        <f>AND(NOW()&gt;=tbl_MTG_Set[[#This Row],[Buy Window Start]], NOW()&lt;=tbl_MTG_Set[[#This Row],[Buy Window End]])</f>
        <v/>
      </c>
      <c r="O737">
        <f>_xlfn.XLOOKUP(tbl_MTG_Set[[#This Row],[Type Name]], tbl_MTG_Set_Type[Set Type], tbl_MTG_Set_Type[Heavy Printing Window Month Start], "(Set Type not found)", 0, 1)</f>
        <v/>
      </c>
      <c r="P737" s="3">
        <f>tbl_MTG_Set[[#This Row],[Released On]]+tbl_MTG_Set[[#This Row],[Heavy Printing Window Month Start]]*365.25/12</f>
        <v/>
      </c>
      <c r="Q737">
        <f>_xlfn.XLOOKUP(tbl_MTG_Set[[#This Row],[Type Name]], tbl_MTG_Set_Type[Set Type], tbl_MTG_Set_Type[Heavy Printing Window Month End], "(Set Type not found)", 0, 1)</f>
        <v/>
      </c>
      <c r="R737" s="3">
        <f>tbl_MTG_Set[[#This Row],[Released On]]+tbl_MTG_Set[[#This Row],[Heavy Printing Window Month End]]*365.25/12</f>
        <v/>
      </c>
      <c r="S737" s="3">
        <f>AND(NOW()&gt;=tbl_MTG_Set[[#This Row],[Heavy Printing Window Start]], NOW()&lt;=tbl_MTG_Set[[#This Row],[Heavy Printing Window End]])</f>
        <v/>
      </c>
      <c r="T737">
        <f>_xlfn.XLOOKUP(tbl_MTG_Set[[#This Row],[Type Name]], tbl_MTG_Set_Type[Set Type], tbl_MTG_Set_Type[Sell Window Month Start], "(Set Type not found)", 0, 1)</f>
        <v/>
      </c>
      <c r="U737" s="3">
        <f>tbl_MTG_Set[[#This Row],[Released On]]+tbl_MTG_Set[[#This Row],[Sell Window Month Start]]*365.25/12</f>
        <v/>
      </c>
      <c r="V737">
        <f>_xlfn.XLOOKUP(tbl_MTG_Set[[#This Row],[Type Name]], tbl_MTG_Set_Type[Set Type], tbl_MTG_Set_Type[Sell Window Month End], "(Set Type not found)", 0, 1)</f>
        <v/>
      </c>
      <c r="W737" s="3">
        <f>tbl_MTG_Set[[#This Row],[Released On]]+tbl_MTG_Set[[#This Row],[Sell Window Month End]]*365.25/12</f>
        <v/>
      </c>
      <c r="X737" s="3">
        <f>AND(NOW()&gt;=tbl_MTG_Set[[#This Row],[Sell Window Start]], NOW()&lt;=tbl_MTG_Set[[#This Row],[Sell Window End]])</f>
        <v/>
      </c>
      <c r="AG737" s="10" t="n"/>
      <c r="AH737" s="10" t="n"/>
      <c r="AM737" s="10">
        <f t="array" ref="AM7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7" s="10">
        <f t="array" ref="AN7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7" s="4">
        <f>_xlfn.XLOOKUP(tbl_MTG_Set[[#This Row],[Play Booster Box Product Id]], tbl_Product[Product Id], tbl_Product[Pack Size])</f>
        <v/>
      </c>
      <c r="AP737" s="10">
        <f>(tbl_MTG_Set[[#This Row],[Play Booster Box Cost]]+v_Item_Shipping_Cost_In)/tbl_MTG_Set[[#This Row],[Play Booster Box Size]]</f>
        <v/>
      </c>
      <c r="AQ737" s="10">
        <f t="array" ref="AQ7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7" s="10" t="n"/>
      <c r="AS737" s="10" t="n"/>
      <c r="AT737" s="17">
        <f>tbl_MTG_Set[[#This Row],[Play Booster CardMarket Profit]]/tbl_MTG_Set[[#This Row],[Play Booster Cost]]</f>
        <v/>
      </c>
      <c r="AU737" s="10">
        <f>_xlfn.XLOOKUP(tbl_MTG_Set[[#This Row],[Collector Booster Box Product Id]], tbl_Product[Product Id], tbl_Product[Min Cost])</f>
        <v/>
      </c>
      <c r="AV737" s="10">
        <f>_xlfn.XLOOKUP(tbl_MTG_Set[[#This Row],[Collector Booster Box Product Id]], tbl_Product[Product Id], tbl_Product[Best Source])</f>
        <v/>
      </c>
      <c r="AW737" s="4">
        <f>_xlfn.XLOOKUP(tbl_MTG_Set[[#This Row],[Collector Booster Box Product Id]], tbl_Product[Product Id], tbl_Product[Pack Size])</f>
        <v/>
      </c>
      <c r="AX737" s="10">
        <f>(tbl_MTG_Set[[#This Row],[Collector Booster Box Cost]] + v_Item_Shipping_Cost_In) / tbl_MTG_Set[[#This Row],[Collector Booster Box Size]]</f>
        <v/>
      </c>
      <c r="AY737" s="10">
        <f t="array" ref="AY7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7" s="10" t="n"/>
      <c r="BA7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7" s="17">
        <f>tbl_MTG_Set[[#This Row],[Collector Booster CardMarket Profit]]/tbl_MTG_Set[[#This Row],[Collector Booster Cost]]</f>
        <v/>
      </c>
      <c r="BC737" s="10" t="n"/>
      <c r="BF737" s="10">
        <f>tbl_MTG_Set[[#This Row],[Play Booster Sell Price CardMarket]]*tbl_MTG_Set[[#This Row],[Play Booster Expected Market Value]]/tbl_MTG_Set[[#This Row],[Play Boost Sealed Market Value]]</f>
        <v/>
      </c>
      <c r="BG7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7" s="10">
        <f>tbl_MTG_Set[[#This Row],[Play Singles CardMarket Profit]]/tbl_MTG_Set[[#This Row],[Play Booster Cost]]</f>
        <v/>
      </c>
      <c r="BI737" s="10">
        <f>tbl_MTG_Set[[#This Row],[Play Singles CardMarket Profit]]&gt;0</f>
        <v/>
      </c>
      <c r="BJ737" s="10" t="n"/>
      <c r="BK737" s="10" t="n"/>
      <c r="BL737" s="10">
        <f>tbl_MTG_Set[[#This Row],[Collector Booster Sell Price CardMarket]]*tbl_MTG_Set[[#This Row],[Collector Booster Expected Market Value]]/tbl_MTG_Set[[#This Row],[Collector Boost Sealed Market Value]]</f>
        <v/>
      </c>
      <c r="BM7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7" s="10">
        <f>tbl_MTG_Set[[#This Row],[Collector Singles CardMarket Profit]]/tbl_MTG_Set[[#This Row],[Collector Booster Cost]]</f>
        <v/>
      </c>
      <c r="BO737" s="10">
        <f>tbl_MTG_Set[[#This Row],[Collector Singles CardMarket Profit]]&gt;0</f>
        <v/>
      </c>
      <c r="BP7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8">
      <c r="A738" t="n">
        <v>736</v>
      </c>
      <c r="B738" t="inlineStr">
        <is>
          <t>Mirrodin Besieged Tokens TMBS</t>
        </is>
      </c>
      <c r="C738" t="n">
        <v>6</v>
      </c>
      <c r="D738" s="3" t="n">
        <v>40578</v>
      </c>
      <c r="F738" t="inlineStr">
        <is>
          <t>en es fr de it pt ja ko ru 汉语 漢語</t>
        </is>
      </c>
      <c r="G738" t="n">
        <v>1418</v>
      </c>
      <c r="H738">
        <f>MONTH(NOW())+12*YEAR(NOW())-MONTH(tbl_MTG_Set[[#This Row],[Released On]])-12*YEAR(tbl_MTG_Set[[#This Row],[Released On]])</f>
        <v/>
      </c>
      <c r="I738">
        <f>_xlfn.XLOOKUP(tbl_MTG_Set[[#This Row],[Type Name]], tbl_MTG_Set_Type[Set Type], tbl_MTG_Set_Type[Index], "(Set Type not found)")</f>
        <v/>
      </c>
      <c r="J738">
        <f>_xlfn.XLOOKUP(tbl_MTG_Set[[#This Row],[Type Name]], tbl_MTG_Set_Type[Set Type], tbl_MTG_Set_Type[Buy Window Month Start], "(Set Type not found)")</f>
        <v/>
      </c>
      <c r="K738" s="3">
        <f>tbl_MTG_Set[[#This Row],[Released On]]+tbl_MTG_Set[[#This Row],[Buy Window Month Start]]*365.25/12</f>
        <v/>
      </c>
      <c r="L738">
        <f>_xlfn.XLOOKUP(tbl_MTG_Set[[#This Row],[Type Name]], tbl_MTG_Set_Type[Set Type], tbl_MTG_Set_Type[Buy Window Month End], "(Set Type not found)", 0, 1)</f>
        <v/>
      </c>
      <c r="M738" s="3">
        <f>tbl_MTG_Set[[#This Row],[Released On]]+tbl_MTG_Set[[#This Row],[Buy Window Month End]]*365.25/12</f>
        <v/>
      </c>
      <c r="N738" s="3">
        <f>AND(NOW()&gt;=tbl_MTG_Set[[#This Row],[Buy Window Start]], NOW()&lt;=tbl_MTG_Set[[#This Row],[Buy Window End]])</f>
        <v/>
      </c>
      <c r="O738">
        <f>_xlfn.XLOOKUP(tbl_MTG_Set[[#This Row],[Type Name]], tbl_MTG_Set_Type[Set Type], tbl_MTG_Set_Type[Heavy Printing Window Month Start], "(Set Type not found)", 0, 1)</f>
        <v/>
      </c>
      <c r="P738" s="3">
        <f>tbl_MTG_Set[[#This Row],[Released On]]+tbl_MTG_Set[[#This Row],[Heavy Printing Window Month Start]]*365.25/12</f>
        <v/>
      </c>
      <c r="Q738">
        <f>_xlfn.XLOOKUP(tbl_MTG_Set[[#This Row],[Type Name]], tbl_MTG_Set_Type[Set Type], tbl_MTG_Set_Type[Heavy Printing Window Month End], "(Set Type not found)", 0, 1)</f>
        <v/>
      </c>
      <c r="R738" s="3">
        <f>tbl_MTG_Set[[#This Row],[Released On]]+tbl_MTG_Set[[#This Row],[Heavy Printing Window Month End]]*365.25/12</f>
        <v/>
      </c>
      <c r="S738" s="3">
        <f>AND(NOW()&gt;=tbl_MTG_Set[[#This Row],[Heavy Printing Window Start]], NOW()&lt;=tbl_MTG_Set[[#This Row],[Heavy Printing Window End]])</f>
        <v/>
      </c>
      <c r="T738">
        <f>_xlfn.XLOOKUP(tbl_MTG_Set[[#This Row],[Type Name]], tbl_MTG_Set_Type[Set Type], tbl_MTG_Set_Type[Sell Window Month Start], "(Set Type not found)", 0, 1)</f>
        <v/>
      </c>
      <c r="U738" s="3">
        <f>tbl_MTG_Set[[#This Row],[Released On]]+tbl_MTG_Set[[#This Row],[Sell Window Month Start]]*365.25/12</f>
        <v/>
      </c>
      <c r="V738">
        <f>_xlfn.XLOOKUP(tbl_MTG_Set[[#This Row],[Type Name]], tbl_MTG_Set_Type[Set Type], tbl_MTG_Set_Type[Sell Window Month End], "(Set Type not found)", 0, 1)</f>
        <v/>
      </c>
      <c r="W738" s="3">
        <f>tbl_MTG_Set[[#This Row],[Released On]]+tbl_MTG_Set[[#This Row],[Sell Window Month End]]*365.25/12</f>
        <v/>
      </c>
      <c r="X738" s="3">
        <f>AND(NOW()&gt;=tbl_MTG_Set[[#This Row],[Sell Window Start]], NOW()&lt;=tbl_MTG_Set[[#This Row],[Sell Window End]])</f>
        <v/>
      </c>
      <c r="AG738" s="10" t="n"/>
      <c r="AH738" s="10" t="n"/>
      <c r="AM738" s="10">
        <f t="array" ref="AM7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8" s="10">
        <f t="array" ref="AN7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8" s="4">
        <f>_xlfn.XLOOKUP(tbl_MTG_Set[[#This Row],[Play Booster Box Product Id]], tbl_Product[Product Id], tbl_Product[Pack Size])</f>
        <v/>
      </c>
      <c r="AP738" s="10">
        <f>(tbl_MTG_Set[[#This Row],[Play Booster Box Cost]]+v_Item_Shipping_Cost_In)/tbl_MTG_Set[[#This Row],[Play Booster Box Size]]</f>
        <v/>
      </c>
      <c r="AQ738" s="10">
        <f t="array" ref="AQ7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8" s="10" t="n"/>
      <c r="AS738" s="10" t="n"/>
      <c r="AT738" s="17">
        <f>tbl_MTG_Set[[#This Row],[Play Booster CardMarket Profit]]/tbl_MTG_Set[[#This Row],[Play Booster Cost]]</f>
        <v/>
      </c>
      <c r="AU738" s="10">
        <f>_xlfn.XLOOKUP(tbl_MTG_Set[[#This Row],[Collector Booster Box Product Id]], tbl_Product[Product Id], tbl_Product[Min Cost])</f>
        <v/>
      </c>
      <c r="AV738" s="10">
        <f>_xlfn.XLOOKUP(tbl_MTG_Set[[#This Row],[Collector Booster Box Product Id]], tbl_Product[Product Id], tbl_Product[Best Source])</f>
        <v/>
      </c>
      <c r="AW738" s="4">
        <f>_xlfn.XLOOKUP(tbl_MTG_Set[[#This Row],[Collector Booster Box Product Id]], tbl_Product[Product Id], tbl_Product[Pack Size])</f>
        <v/>
      </c>
      <c r="AX738" s="10">
        <f>(tbl_MTG_Set[[#This Row],[Collector Booster Box Cost]] + v_Item_Shipping_Cost_In) / tbl_MTG_Set[[#This Row],[Collector Booster Box Size]]</f>
        <v/>
      </c>
      <c r="AY738" s="10">
        <f t="array" ref="AY7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8" s="10" t="n"/>
      <c r="BA7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8" s="17">
        <f>tbl_MTG_Set[[#This Row],[Collector Booster CardMarket Profit]]/tbl_MTG_Set[[#This Row],[Collector Booster Cost]]</f>
        <v/>
      </c>
      <c r="BC738" s="10" t="n"/>
      <c r="BF738" s="10">
        <f>tbl_MTG_Set[[#This Row],[Play Booster Sell Price CardMarket]]*tbl_MTG_Set[[#This Row],[Play Booster Expected Market Value]]/tbl_MTG_Set[[#This Row],[Play Boost Sealed Market Value]]</f>
        <v/>
      </c>
      <c r="BG7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8" s="10">
        <f>tbl_MTG_Set[[#This Row],[Play Singles CardMarket Profit]]/tbl_MTG_Set[[#This Row],[Play Booster Cost]]</f>
        <v/>
      </c>
      <c r="BI738" s="10">
        <f>tbl_MTG_Set[[#This Row],[Play Singles CardMarket Profit]]&gt;0</f>
        <v/>
      </c>
      <c r="BJ738" s="10" t="n"/>
      <c r="BK738" s="10" t="n"/>
      <c r="BL738" s="10">
        <f>tbl_MTG_Set[[#This Row],[Collector Booster Sell Price CardMarket]]*tbl_MTG_Set[[#This Row],[Collector Booster Expected Market Value]]/tbl_MTG_Set[[#This Row],[Collector Boost Sealed Market Value]]</f>
        <v/>
      </c>
      <c r="BM7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8" s="10">
        <f>tbl_MTG_Set[[#This Row],[Collector Singles CardMarket Profit]]/tbl_MTG_Set[[#This Row],[Collector Booster Cost]]</f>
        <v/>
      </c>
      <c r="BO738" s="10">
        <f>tbl_MTG_Set[[#This Row],[Collector Singles CardMarket Profit]]&gt;0</f>
        <v/>
      </c>
      <c r="BP7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9">
      <c r="A739" t="n">
        <v>737</v>
      </c>
      <c r="B739" t="inlineStr">
        <is>
          <t>Masters Edition IV ME4</t>
        </is>
      </c>
      <c r="C739" t="n">
        <v>269</v>
      </c>
      <c r="D739" s="3" t="n">
        <v>40553</v>
      </c>
      <c r="F739" t="inlineStr">
        <is>
          <t>en es fr de it pt ja ko ru 汉语 漢語</t>
        </is>
      </c>
      <c r="G739" t="n">
        <v>1420</v>
      </c>
      <c r="H739">
        <f>MONTH(NOW())+12*YEAR(NOW())-MONTH(tbl_MTG_Set[[#This Row],[Released On]])-12*YEAR(tbl_MTG_Set[[#This Row],[Released On]])</f>
        <v/>
      </c>
      <c r="I739">
        <f>_xlfn.XLOOKUP(tbl_MTG_Set[[#This Row],[Type Name]], tbl_MTG_Set_Type[Set Type], tbl_MTG_Set_Type[Index], "(Set Type not found)")</f>
        <v/>
      </c>
      <c r="J739">
        <f>_xlfn.XLOOKUP(tbl_MTG_Set[[#This Row],[Type Name]], tbl_MTG_Set_Type[Set Type], tbl_MTG_Set_Type[Buy Window Month Start], "(Set Type not found)")</f>
        <v/>
      </c>
      <c r="K739" s="3">
        <f>tbl_MTG_Set[[#This Row],[Released On]]+tbl_MTG_Set[[#This Row],[Buy Window Month Start]]*365.25/12</f>
        <v/>
      </c>
      <c r="L739">
        <f>_xlfn.XLOOKUP(tbl_MTG_Set[[#This Row],[Type Name]], tbl_MTG_Set_Type[Set Type], tbl_MTG_Set_Type[Buy Window Month End], "(Set Type not found)", 0, 1)</f>
        <v/>
      </c>
      <c r="M739" s="3">
        <f>tbl_MTG_Set[[#This Row],[Released On]]+tbl_MTG_Set[[#This Row],[Buy Window Month End]]*365.25/12</f>
        <v/>
      </c>
      <c r="N739" s="3">
        <f>AND(NOW()&gt;=tbl_MTG_Set[[#This Row],[Buy Window Start]], NOW()&lt;=tbl_MTG_Set[[#This Row],[Buy Window End]])</f>
        <v/>
      </c>
      <c r="O739">
        <f>_xlfn.XLOOKUP(tbl_MTG_Set[[#This Row],[Type Name]], tbl_MTG_Set_Type[Set Type], tbl_MTG_Set_Type[Heavy Printing Window Month Start], "(Set Type not found)", 0, 1)</f>
        <v/>
      </c>
      <c r="P739" s="3">
        <f>tbl_MTG_Set[[#This Row],[Released On]]+tbl_MTG_Set[[#This Row],[Heavy Printing Window Month Start]]*365.25/12</f>
        <v/>
      </c>
      <c r="Q739">
        <f>_xlfn.XLOOKUP(tbl_MTG_Set[[#This Row],[Type Name]], tbl_MTG_Set_Type[Set Type], tbl_MTG_Set_Type[Heavy Printing Window Month End], "(Set Type not found)", 0, 1)</f>
        <v/>
      </c>
      <c r="R739" s="3">
        <f>tbl_MTG_Set[[#This Row],[Released On]]+tbl_MTG_Set[[#This Row],[Heavy Printing Window Month End]]*365.25/12</f>
        <v/>
      </c>
      <c r="S739" s="3">
        <f>AND(NOW()&gt;=tbl_MTG_Set[[#This Row],[Heavy Printing Window Start]], NOW()&lt;=tbl_MTG_Set[[#This Row],[Heavy Printing Window End]])</f>
        <v/>
      </c>
      <c r="T739">
        <f>_xlfn.XLOOKUP(tbl_MTG_Set[[#This Row],[Type Name]], tbl_MTG_Set_Type[Set Type], tbl_MTG_Set_Type[Sell Window Month Start], "(Set Type not found)", 0, 1)</f>
        <v/>
      </c>
      <c r="U739" s="3">
        <f>tbl_MTG_Set[[#This Row],[Released On]]+tbl_MTG_Set[[#This Row],[Sell Window Month Start]]*365.25/12</f>
        <v/>
      </c>
      <c r="V739">
        <f>_xlfn.XLOOKUP(tbl_MTG_Set[[#This Row],[Type Name]], tbl_MTG_Set_Type[Set Type], tbl_MTG_Set_Type[Sell Window Month End], "(Set Type not found)", 0, 1)</f>
        <v/>
      </c>
      <c r="W739" s="3">
        <f>tbl_MTG_Set[[#This Row],[Released On]]+tbl_MTG_Set[[#This Row],[Sell Window Month End]]*365.25/12</f>
        <v/>
      </c>
      <c r="X739" s="3">
        <f>AND(NOW()&gt;=tbl_MTG_Set[[#This Row],[Sell Window Start]], NOW()&lt;=tbl_MTG_Set[[#This Row],[Sell Window End]])</f>
        <v/>
      </c>
      <c r="AG739" s="10" t="n"/>
      <c r="AH739" s="10" t="n"/>
      <c r="AM739" s="10">
        <f t="array" ref="AM7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9" s="10">
        <f t="array" ref="AN7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9" s="4">
        <f>_xlfn.XLOOKUP(tbl_MTG_Set[[#This Row],[Play Booster Box Product Id]], tbl_Product[Product Id], tbl_Product[Pack Size])</f>
        <v/>
      </c>
      <c r="AP739" s="10">
        <f>(tbl_MTG_Set[[#This Row],[Play Booster Box Cost]]+v_Item_Shipping_Cost_In)/tbl_MTG_Set[[#This Row],[Play Booster Box Size]]</f>
        <v/>
      </c>
      <c r="AQ739" s="10">
        <f t="array" ref="AQ7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39" s="10" t="n"/>
      <c r="AS739" s="10" t="n"/>
      <c r="AT739" s="17">
        <f>tbl_MTG_Set[[#This Row],[Play Booster CardMarket Profit]]/tbl_MTG_Set[[#This Row],[Play Booster Cost]]</f>
        <v/>
      </c>
      <c r="AU739" s="10">
        <f>_xlfn.XLOOKUP(tbl_MTG_Set[[#This Row],[Collector Booster Box Product Id]], tbl_Product[Product Id], tbl_Product[Min Cost])</f>
        <v/>
      </c>
      <c r="AV739" s="10">
        <f>_xlfn.XLOOKUP(tbl_MTG_Set[[#This Row],[Collector Booster Box Product Id]], tbl_Product[Product Id], tbl_Product[Best Source])</f>
        <v/>
      </c>
      <c r="AW739" s="4">
        <f>_xlfn.XLOOKUP(tbl_MTG_Set[[#This Row],[Collector Booster Box Product Id]], tbl_Product[Product Id], tbl_Product[Pack Size])</f>
        <v/>
      </c>
      <c r="AX739" s="10">
        <f>(tbl_MTG_Set[[#This Row],[Collector Booster Box Cost]] + v_Item_Shipping_Cost_In) / tbl_MTG_Set[[#This Row],[Collector Booster Box Size]]</f>
        <v/>
      </c>
      <c r="AY739" s="10">
        <f t="array" ref="AY7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39" s="10" t="n"/>
      <c r="BA7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9" s="17">
        <f>tbl_MTG_Set[[#This Row],[Collector Booster CardMarket Profit]]/tbl_MTG_Set[[#This Row],[Collector Booster Cost]]</f>
        <v/>
      </c>
      <c r="BC739" s="10" t="n"/>
      <c r="BF739" s="10">
        <f>tbl_MTG_Set[[#This Row],[Play Booster Sell Price CardMarket]]*tbl_MTG_Set[[#This Row],[Play Booster Expected Market Value]]/tbl_MTG_Set[[#This Row],[Play Boost Sealed Market Value]]</f>
        <v/>
      </c>
      <c r="BG7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9" s="10">
        <f>tbl_MTG_Set[[#This Row],[Play Singles CardMarket Profit]]/tbl_MTG_Set[[#This Row],[Play Booster Cost]]</f>
        <v/>
      </c>
      <c r="BI739" s="10">
        <f>tbl_MTG_Set[[#This Row],[Play Singles CardMarket Profit]]&gt;0</f>
        <v/>
      </c>
      <c r="BJ739" s="10" t="n"/>
      <c r="BK739" s="10" t="n"/>
      <c r="BL739" s="10">
        <f>tbl_MTG_Set[[#This Row],[Collector Booster Sell Price CardMarket]]*tbl_MTG_Set[[#This Row],[Collector Booster Expected Market Value]]/tbl_MTG_Set[[#This Row],[Collector Boost Sealed Market Value]]</f>
        <v/>
      </c>
      <c r="BM7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9" s="10">
        <f>tbl_MTG_Set[[#This Row],[Collector Singles CardMarket Profit]]/tbl_MTG_Set[[#This Row],[Collector Booster Cost]]</f>
        <v/>
      </c>
      <c r="BO739" s="10">
        <f>tbl_MTG_Set[[#This Row],[Collector Singles CardMarket Profit]]&gt;0</f>
        <v/>
      </c>
      <c r="BP7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0">
      <c r="A740" t="n">
        <v>738</v>
      </c>
      <c r="B740" t="inlineStr">
        <is>
          <t>Magic Premiere Shop 2011 PMPS11</t>
        </is>
      </c>
      <c r="C740" t="n">
        <v>5</v>
      </c>
      <c r="D740" s="3" t="n">
        <v>40544</v>
      </c>
      <c r="F740" t="inlineStr">
        <is>
          <t>en es fr de it pt ja ko ru 汉语 漢語</t>
        </is>
      </c>
      <c r="G740" t="n">
        <v>1422</v>
      </c>
      <c r="H740">
        <f>MONTH(NOW())+12*YEAR(NOW())-MONTH(tbl_MTG_Set[[#This Row],[Released On]])-12*YEAR(tbl_MTG_Set[[#This Row],[Released On]])</f>
        <v/>
      </c>
      <c r="I740">
        <f>_xlfn.XLOOKUP(tbl_MTG_Set[[#This Row],[Type Name]], tbl_MTG_Set_Type[Set Type], tbl_MTG_Set_Type[Index], "(Set Type not found)")</f>
        <v/>
      </c>
      <c r="J740">
        <f>_xlfn.XLOOKUP(tbl_MTG_Set[[#This Row],[Type Name]], tbl_MTG_Set_Type[Set Type], tbl_MTG_Set_Type[Buy Window Month Start], "(Set Type not found)")</f>
        <v/>
      </c>
      <c r="K740" s="3">
        <f>tbl_MTG_Set[[#This Row],[Released On]]+tbl_MTG_Set[[#This Row],[Buy Window Month Start]]*365.25/12</f>
        <v/>
      </c>
      <c r="L740">
        <f>_xlfn.XLOOKUP(tbl_MTG_Set[[#This Row],[Type Name]], tbl_MTG_Set_Type[Set Type], tbl_MTG_Set_Type[Buy Window Month End], "(Set Type not found)", 0, 1)</f>
        <v/>
      </c>
      <c r="M740" s="3">
        <f>tbl_MTG_Set[[#This Row],[Released On]]+tbl_MTG_Set[[#This Row],[Buy Window Month End]]*365.25/12</f>
        <v/>
      </c>
      <c r="N740" s="3">
        <f>AND(NOW()&gt;=tbl_MTG_Set[[#This Row],[Buy Window Start]], NOW()&lt;=tbl_MTG_Set[[#This Row],[Buy Window End]])</f>
        <v/>
      </c>
      <c r="O740">
        <f>_xlfn.XLOOKUP(tbl_MTG_Set[[#This Row],[Type Name]], tbl_MTG_Set_Type[Set Type], tbl_MTG_Set_Type[Heavy Printing Window Month Start], "(Set Type not found)", 0, 1)</f>
        <v/>
      </c>
      <c r="P740" s="3">
        <f>tbl_MTG_Set[[#This Row],[Released On]]+tbl_MTG_Set[[#This Row],[Heavy Printing Window Month Start]]*365.25/12</f>
        <v/>
      </c>
      <c r="Q740">
        <f>_xlfn.XLOOKUP(tbl_MTG_Set[[#This Row],[Type Name]], tbl_MTG_Set_Type[Set Type], tbl_MTG_Set_Type[Heavy Printing Window Month End], "(Set Type not found)", 0, 1)</f>
        <v/>
      </c>
      <c r="R740" s="3">
        <f>tbl_MTG_Set[[#This Row],[Released On]]+tbl_MTG_Set[[#This Row],[Heavy Printing Window Month End]]*365.25/12</f>
        <v/>
      </c>
      <c r="S740" s="3">
        <f>AND(NOW()&gt;=tbl_MTG_Set[[#This Row],[Heavy Printing Window Start]], NOW()&lt;=tbl_MTG_Set[[#This Row],[Heavy Printing Window End]])</f>
        <v/>
      </c>
      <c r="T740">
        <f>_xlfn.XLOOKUP(tbl_MTG_Set[[#This Row],[Type Name]], tbl_MTG_Set_Type[Set Type], tbl_MTG_Set_Type[Sell Window Month Start], "(Set Type not found)", 0, 1)</f>
        <v/>
      </c>
      <c r="U740" s="3">
        <f>tbl_MTG_Set[[#This Row],[Released On]]+tbl_MTG_Set[[#This Row],[Sell Window Month Start]]*365.25/12</f>
        <v/>
      </c>
      <c r="V740">
        <f>_xlfn.XLOOKUP(tbl_MTG_Set[[#This Row],[Type Name]], tbl_MTG_Set_Type[Set Type], tbl_MTG_Set_Type[Sell Window Month End], "(Set Type not found)", 0, 1)</f>
        <v/>
      </c>
      <c r="W740" s="3">
        <f>tbl_MTG_Set[[#This Row],[Released On]]+tbl_MTG_Set[[#This Row],[Sell Window Month End]]*365.25/12</f>
        <v/>
      </c>
      <c r="X740" s="3">
        <f>AND(NOW()&gt;=tbl_MTG_Set[[#This Row],[Sell Window Start]], NOW()&lt;=tbl_MTG_Set[[#This Row],[Sell Window End]])</f>
        <v/>
      </c>
      <c r="AG740" s="10" t="n"/>
      <c r="AH740" s="10" t="n"/>
      <c r="AM740" s="10">
        <f t="array" ref="AM7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0" s="10">
        <f t="array" ref="AN7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0" s="4">
        <f>_xlfn.XLOOKUP(tbl_MTG_Set[[#This Row],[Play Booster Box Product Id]], tbl_Product[Product Id], tbl_Product[Pack Size])</f>
        <v/>
      </c>
      <c r="AP740" s="10">
        <f>(tbl_MTG_Set[[#This Row],[Play Booster Box Cost]]+v_Item_Shipping_Cost_In)/tbl_MTG_Set[[#This Row],[Play Booster Box Size]]</f>
        <v/>
      </c>
      <c r="AQ740" s="10">
        <f t="array" ref="AQ7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0" s="10" t="n"/>
      <c r="AS740" s="10" t="n"/>
      <c r="AT740" s="17">
        <f>tbl_MTG_Set[[#This Row],[Play Booster CardMarket Profit]]/tbl_MTG_Set[[#This Row],[Play Booster Cost]]</f>
        <v/>
      </c>
      <c r="AU740" s="10">
        <f>_xlfn.XLOOKUP(tbl_MTG_Set[[#This Row],[Collector Booster Box Product Id]], tbl_Product[Product Id], tbl_Product[Min Cost])</f>
        <v/>
      </c>
      <c r="AV740" s="10">
        <f>_xlfn.XLOOKUP(tbl_MTG_Set[[#This Row],[Collector Booster Box Product Id]], tbl_Product[Product Id], tbl_Product[Best Source])</f>
        <v/>
      </c>
      <c r="AW740" s="4">
        <f>_xlfn.XLOOKUP(tbl_MTG_Set[[#This Row],[Collector Booster Box Product Id]], tbl_Product[Product Id], tbl_Product[Pack Size])</f>
        <v/>
      </c>
      <c r="AX740" s="10">
        <f>(tbl_MTG_Set[[#This Row],[Collector Booster Box Cost]] + v_Item_Shipping_Cost_In) / tbl_MTG_Set[[#This Row],[Collector Booster Box Size]]</f>
        <v/>
      </c>
      <c r="AY740" s="10">
        <f t="array" ref="AY7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0" s="10" t="n"/>
      <c r="BA7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0" s="17">
        <f>tbl_MTG_Set[[#This Row],[Collector Booster CardMarket Profit]]/tbl_MTG_Set[[#This Row],[Collector Booster Cost]]</f>
        <v/>
      </c>
      <c r="BC740" s="10" t="n"/>
      <c r="BF740" s="10">
        <f>tbl_MTG_Set[[#This Row],[Play Booster Sell Price CardMarket]]*tbl_MTG_Set[[#This Row],[Play Booster Expected Market Value]]/tbl_MTG_Set[[#This Row],[Play Boost Sealed Market Value]]</f>
        <v/>
      </c>
      <c r="BG7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0" s="10">
        <f>tbl_MTG_Set[[#This Row],[Play Singles CardMarket Profit]]/tbl_MTG_Set[[#This Row],[Play Booster Cost]]</f>
        <v/>
      </c>
      <c r="BI740" s="10">
        <f>tbl_MTG_Set[[#This Row],[Play Singles CardMarket Profit]]&gt;0</f>
        <v/>
      </c>
      <c r="BJ740" s="10" t="n"/>
      <c r="BK740" s="10" t="n"/>
      <c r="BL740" s="10">
        <f>tbl_MTG_Set[[#This Row],[Collector Booster Sell Price CardMarket]]*tbl_MTG_Set[[#This Row],[Collector Booster Expected Market Value]]/tbl_MTG_Set[[#This Row],[Collector Boost Sealed Market Value]]</f>
        <v/>
      </c>
      <c r="BM7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0" s="10">
        <f>tbl_MTG_Set[[#This Row],[Collector Singles CardMarket Profit]]/tbl_MTG_Set[[#This Row],[Collector Booster Cost]]</f>
        <v/>
      </c>
      <c r="BO740" s="10">
        <f>tbl_MTG_Set[[#This Row],[Collector Singles CardMarket Profit]]&gt;0</f>
        <v/>
      </c>
      <c r="BP7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1">
      <c r="A741" t="n">
        <v>739</v>
      </c>
      <c r="B741" t="inlineStr">
        <is>
          <t>Wizards Play Network 2011 PW11</t>
        </is>
      </c>
      <c r="C741" t="n">
        <v>3</v>
      </c>
      <c r="D741" s="3" t="n">
        <v>40544</v>
      </c>
      <c r="F741" t="inlineStr">
        <is>
          <t>en es fr de it pt ja ko ru 汉语 漢語</t>
        </is>
      </c>
      <c r="G741" t="n">
        <v>1424</v>
      </c>
      <c r="H741">
        <f>MONTH(NOW())+12*YEAR(NOW())-MONTH(tbl_MTG_Set[[#This Row],[Released On]])-12*YEAR(tbl_MTG_Set[[#This Row],[Released On]])</f>
        <v/>
      </c>
      <c r="I741">
        <f>_xlfn.XLOOKUP(tbl_MTG_Set[[#This Row],[Type Name]], tbl_MTG_Set_Type[Set Type], tbl_MTG_Set_Type[Index], "(Set Type not found)")</f>
        <v/>
      </c>
      <c r="J741">
        <f>_xlfn.XLOOKUP(tbl_MTG_Set[[#This Row],[Type Name]], tbl_MTG_Set_Type[Set Type], tbl_MTG_Set_Type[Buy Window Month Start], "(Set Type not found)")</f>
        <v/>
      </c>
      <c r="K741" s="3">
        <f>tbl_MTG_Set[[#This Row],[Released On]]+tbl_MTG_Set[[#This Row],[Buy Window Month Start]]*365.25/12</f>
        <v/>
      </c>
      <c r="L741">
        <f>_xlfn.XLOOKUP(tbl_MTG_Set[[#This Row],[Type Name]], tbl_MTG_Set_Type[Set Type], tbl_MTG_Set_Type[Buy Window Month End], "(Set Type not found)", 0, 1)</f>
        <v/>
      </c>
      <c r="M741" s="3">
        <f>tbl_MTG_Set[[#This Row],[Released On]]+tbl_MTG_Set[[#This Row],[Buy Window Month End]]*365.25/12</f>
        <v/>
      </c>
      <c r="N741" s="3">
        <f>AND(NOW()&gt;=tbl_MTG_Set[[#This Row],[Buy Window Start]], NOW()&lt;=tbl_MTG_Set[[#This Row],[Buy Window End]])</f>
        <v/>
      </c>
      <c r="O741">
        <f>_xlfn.XLOOKUP(tbl_MTG_Set[[#This Row],[Type Name]], tbl_MTG_Set_Type[Set Type], tbl_MTG_Set_Type[Heavy Printing Window Month Start], "(Set Type not found)", 0, 1)</f>
        <v/>
      </c>
      <c r="P741" s="3">
        <f>tbl_MTG_Set[[#This Row],[Released On]]+tbl_MTG_Set[[#This Row],[Heavy Printing Window Month Start]]*365.25/12</f>
        <v/>
      </c>
      <c r="Q741">
        <f>_xlfn.XLOOKUP(tbl_MTG_Set[[#This Row],[Type Name]], tbl_MTG_Set_Type[Set Type], tbl_MTG_Set_Type[Heavy Printing Window Month End], "(Set Type not found)", 0, 1)</f>
        <v/>
      </c>
      <c r="R741" s="3">
        <f>tbl_MTG_Set[[#This Row],[Released On]]+tbl_MTG_Set[[#This Row],[Heavy Printing Window Month End]]*365.25/12</f>
        <v/>
      </c>
      <c r="S741" s="3">
        <f>AND(NOW()&gt;=tbl_MTG_Set[[#This Row],[Heavy Printing Window Start]], NOW()&lt;=tbl_MTG_Set[[#This Row],[Heavy Printing Window End]])</f>
        <v/>
      </c>
      <c r="T741">
        <f>_xlfn.XLOOKUP(tbl_MTG_Set[[#This Row],[Type Name]], tbl_MTG_Set_Type[Set Type], tbl_MTG_Set_Type[Sell Window Month Start], "(Set Type not found)", 0, 1)</f>
        <v/>
      </c>
      <c r="U741" s="3">
        <f>tbl_MTG_Set[[#This Row],[Released On]]+tbl_MTG_Set[[#This Row],[Sell Window Month Start]]*365.25/12</f>
        <v/>
      </c>
      <c r="V741">
        <f>_xlfn.XLOOKUP(tbl_MTG_Set[[#This Row],[Type Name]], tbl_MTG_Set_Type[Set Type], tbl_MTG_Set_Type[Sell Window Month End], "(Set Type not found)", 0, 1)</f>
        <v/>
      </c>
      <c r="W741" s="3">
        <f>tbl_MTG_Set[[#This Row],[Released On]]+tbl_MTG_Set[[#This Row],[Sell Window Month End]]*365.25/12</f>
        <v/>
      </c>
      <c r="X741" s="3">
        <f>AND(NOW()&gt;=tbl_MTG_Set[[#This Row],[Sell Window Start]], NOW()&lt;=tbl_MTG_Set[[#This Row],[Sell Window End]])</f>
        <v/>
      </c>
      <c r="AG741" s="10" t="n"/>
      <c r="AH741" s="10" t="n"/>
      <c r="AM741" s="10">
        <f t="array" ref="AM7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1" s="10">
        <f t="array" ref="AN7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1" s="4">
        <f>_xlfn.XLOOKUP(tbl_MTG_Set[[#This Row],[Play Booster Box Product Id]], tbl_Product[Product Id], tbl_Product[Pack Size])</f>
        <v/>
      </c>
      <c r="AP741" s="10">
        <f>(tbl_MTG_Set[[#This Row],[Play Booster Box Cost]]+v_Item_Shipping_Cost_In)/tbl_MTG_Set[[#This Row],[Play Booster Box Size]]</f>
        <v/>
      </c>
      <c r="AQ741" s="10">
        <f t="array" ref="AQ7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1" s="10" t="n"/>
      <c r="AS741" s="10" t="n"/>
      <c r="AT741" s="17">
        <f>tbl_MTG_Set[[#This Row],[Play Booster CardMarket Profit]]/tbl_MTG_Set[[#This Row],[Play Booster Cost]]</f>
        <v/>
      </c>
      <c r="AU741" s="10">
        <f>_xlfn.XLOOKUP(tbl_MTG_Set[[#This Row],[Collector Booster Box Product Id]], tbl_Product[Product Id], tbl_Product[Min Cost])</f>
        <v/>
      </c>
      <c r="AV741" s="10">
        <f>_xlfn.XLOOKUP(tbl_MTG_Set[[#This Row],[Collector Booster Box Product Id]], tbl_Product[Product Id], tbl_Product[Best Source])</f>
        <v/>
      </c>
      <c r="AW741" s="4">
        <f>_xlfn.XLOOKUP(tbl_MTG_Set[[#This Row],[Collector Booster Box Product Id]], tbl_Product[Product Id], tbl_Product[Pack Size])</f>
        <v/>
      </c>
      <c r="AX741" s="10">
        <f>(tbl_MTG_Set[[#This Row],[Collector Booster Box Cost]] + v_Item_Shipping_Cost_In) / tbl_MTG_Set[[#This Row],[Collector Booster Box Size]]</f>
        <v/>
      </c>
      <c r="AY741" s="10">
        <f t="array" ref="AY7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1" s="10" t="n"/>
      <c r="BA7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1" s="17">
        <f>tbl_MTG_Set[[#This Row],[Collector Booster CardMarket Profit]]/tbl_MTG_Set[[#This Row],[Collector Booster Cost]]</f>
        <v/>
      </c>
      <c r="BC741" s="10" t="n"/>
      <c r="BF741" s="10">
        <f>tbl_MTG_Set[[#This Row],[Play Booster Sell Price CardMarket]]*tbl_MTG_Set[[#This Row],[Play Booster Expected Market Value]]/tbl_MTG_Set[[#This Row],[Play Boost Sealed Market Value]]</f>
        <v/>
      </c>
      <c r="BG7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1" s="10">
        <f>tbl_MTG_Set[[#This Row],[Play Singles CardMarket Profit]]/tbl_MTG_Set[[#This Row],[Play Booster Cost]]</f>
        <v/>
      </c>
      <c r="BI741" s="10">
        <f>tbl_MTG_Set[[#This Row],[Play Singles CardMarket Profit]]&gt;0</f>
        <v/>
      </c>
      <c r="BJ741" s="10" t="n"/>
      <c r="BK741" s="10" t="n"/>
      <c r="BL741" s="10">
        <f>tbl_MTG_Set[[#This Row],[Collector Booster Sell Price CardMarket]]*tbl_MTG_Set[[#This Row],[Collector Booster Expected Market Value]]/tbl_MTG_Set[[#This Row],[Collector Boost Sealed Market Value]]</f>
        <v/>
      </c>
      <c r="BM7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1" s="10">
        <f>tbl_MTG_Set[[#This Row],[Collector Singles CardMarket Profit]]/tbl_MTG_Set[[#This Row],[Collector Booster Cost]]</f>
        <v/>
      </c>
      <c r="BO741" s="10">
        <f>tbl_MTG_Set[[#This Row],[Collector Singles CardMarket Profit]]&gt;0</f>
        <v/>
      </c>
      <c r="BP7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2">
      <c r="A742" t="n">
        <v>740</v>
      </c>
      <c r="B742" t="inlineStr">
        <is>
          <t>Duels of the Planeswalkers 2012 Promos PDP12</t>
        </is>
      </c>
      <c r="C742" t="n">
        <v>3</v>
      </c>
      <c r="D742" s="3" t="n">
        <v>40544</v>
      </c>
      <c r="F742" t="inlineStr">
        <is>
          <t>en es fr de it pt ja ko ru 汉语 漢語</t>
        </is>
      </c>
      <c r="G742" t="n">
        <v>1426</v>
      </c>
      <c r="H742">
        <f>MONTH(NOW())+12*YEAR(NOW())-MONTH(tbl_MTG_Set[[#This Row],[Released On]])-12*YEAR(tbl_MTG_Set[[#This Row],[Released On]])</f>
        <v/>
      </c>
      <c r="I742">
        <f>_xlfn.XLOOKUP(tbl_MTG_Set[[#This Row],[Type Name]], tbl_MTG_Set_Type[Set Type], tbl_MTG_Set_Type[Index], "(Set Type not found)")</f>
        <v/>
      </c>
      <c r="J742">
        <f>_xlfn.XLOOKUP(tbl_MTG_Set[[#This Row],[Type Name]], tbl_MTG_Set_Type[Set Type], tbl_MTG_Set_Type[Buy Window Month Start], "(Set Type not found)")</f>
        <v/>
      </c>
      <c r="K742" s="3">
        <f>tbl_MTG_Set[[#This Row],[Released On]]+tbl_MTG_Set[[#This Row],[Buy Window Month Start]]*365.25/12</f>
        <v/>
      </c>
      <c r="L742">
        <f>_xlfn.XLOOKUP(tbl_MTG_Set[[#This Row],[Type Name]], tbl_MTG_Set_Type[Set Type], tbl_MTG_Set_Type[Buy Window Month End], "(Set Type not found)", 0, 1)</f>
        <v/>
      </c>
      <c r="M742" s="3">
        <f>tbl_MTG_Set[[#This Row],[Released On]]+tbl_MTG_Set[[#This Row],[Buy Window Month End]]*365.25/12</f>
        <v/>
      </c>
      <c r="N742" s="3">
        <f>AND(NOW()&gt;=tbl_MTG_Set[[#This Row],[Buy Window Start]], NOW()&lt;=tbl_MTG_Set[[#This Row],[Buy Window End]])</f>
        <v/>
      </c>
      <c r="O742">
        <f>_xlfn.XLOOKUP(tbl_MTG_Set[[#This Row],[Type Name]], tbl_MTG_Set_Type[Set Type], tbl_MTG_Set_Type[Heavy Printing Window Month Start], "(Set Type not found)", 0, 1)</f>
        <v/>
      </c>
      <c r="P742" s="3">
        <f>tbl_MTG_Set[[#This Row],[Released On]]+tbl_MTG_Set[[#This Row],[Heavy Printing Window Month Start]]*365.25/12</f>
        <v/>
      </c>
      <c r="Q742">
        <f>_xlfn.XLOOKUP(tbl_MTG_Set[[#This Row],[Type Name]], tbl_MTG_Set_Type[Set Type], tbl_MTG_Set_Type[Heavy Printing Window Month End], "(Set Type not found)", 0, 1)</f>
        <v/>
      </c>
      <c r="R742" s="3">
        <f>tbl_MTG_Set[[#This Row],[Released On]]+tbl_MTG_Set[[#This Row],[Heavy Printing Window Month End]]*365.25/12</f>
        <v/>
      </c>
      <c r="S742" s="3">
        <f>AND(NOW()&gt;=tbl_MTG_Set[[#This Row],[Heavy Printing Window Start]], NOW()&lt;=tbl_MTG_Set[[#This Row],[Heavy Printing Window End]])</f>
        <v/>
      </c>
      <c r="T742">
        <f>_xlfn.XLOOKUP(tbl_MTG_Set[[#This Row],[Type Name]], tbl_MTG_Set_Type[Set Type], tbl_MTG_Set_Type[Sell Window Month Start], "(Set Type not found)", 0, 1)</f>
        <v/>
      </c>
      <c r="U742" s="3">
        <f>tbl_MTG_Set[[#This Row],[Released On]]+tbl_MTG_Set[[#This Row],[Sell Window Month Start]]*365.25/12</f>
        <v/>
      </c>
      <c r="V742">
        <f>_xlfn.XLOOKUP(tbl_MTG_Set[[#This Row],[Type Name]], tbl_MTG_Set_Type[Set Type], tbl_MTG_Set_Type[Sell Window Month End], "(Set Type not found)", 0, 1)</f>
        <v/>
      </c>
      <c r="W742" s="3">
        <f>tbl_MTG_Set[[#This Row],[Released On]]+tbl_MTG_Set[[#This Row],[Sell Window Month End]]*365.25/12</f>
        <v/>
      </c>
      <c r="X742" s="3">
        <f>AND(NOW()&gt;=tbl_MTG_Set[[#This Row],[Sell Window Start]], NOW()&lt;=tbl_MTG_Set[[#This Row],[Sell Window End]])</f>
        <v/>
      </c>
      <c r="AG742" s="10" t="n"/>
      <c r="AH742" s="10" t="n"/>
      <c r="AM742" s="10">
        <f t="array" ref="AM7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2" s="10">
        <f t="array" ref="AN7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2" s="4">
        <f>_xlfn.XLOOKUP(tbl_MTG_Set[[#This Row],[Play Booster Box Product Id]], tbl_Product[Product Id], tbl_Product[Pack Size])</f>
        <v/>
      </c>
      <c r="AP742" s="10">
        <f>(tbl_MTG_Set[[#This Row],[Play Booster Box Cost]]+v_Item_Shipping_Cost_In)/tbl_MTG_Set[[#This Row],[Play Booster Box Size]]</f>
        <v/>
      </c>
      <c r="AQ742" s="10">
        <f t="array" ref="AQ7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2" s="10" t="n"/>
      <c r="AS742" s="10" t="n"/>
      <c r="AT742" s="17">
        <f>tbl_MTG_Set[[#This Row],[Play Booster CardMarket Profit]]/tbl_MTG_Set[[#This Row],[Play Booster Cost]]</f>
        <v/>
      </c>
      <c r="AU742" s="10">
        <f>_xlfn.XLOOKUP(tbl_MTG_Set[[#This Row],[Collector Booster Box Product Id]], tbl_Product[Product Id], tbl_Product[Min Cost])</f>
        <v/>
      </c>
      <c r="AV742" s="10">
        <f>_xlfn.XLOOKUP(tbl_MTG_Set[[#This Row],[Collector Booster Box Product Id]], tbl_Product[Product Id], tbl_Product[Best Source])</f>
        <v/>
      </c>
      <c r="AW742" s="4">
        <f>_xlfn.XLOOKUP(tbl_MTG_Set[[#This Row],[Collector Booster Box Product Id]], tbl_Product[Product Id], tbl_Product[Pack Size])</f>
        <v/>
      </c>
      <c r="AX742" s="10">
        <f>(tbl_MTG_Set[[#This Row],[Collector Booster Box Cost]] + v_Item_Shipping_Cost_In) / tbl_MTG_Set[[#This Row],[Collector Booster Box Size]]</f>
        <v/>
      </c>
      <c r="AY742" s="10">
        <f t="array" ref="AY7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2" s="10" t="n"/>
      <c r="BA7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2" s="17">
        <f>tbl_MTG_Set[[#This Row],[Collector Booster CardMarket Profit]]/tbl_MTG_Set[[#This Row],[Collector Booster Cost]]</f>
        <v/>
      </c>
      <c r="BC742" s="10" t="n"/>
      <c r="BF742" s="10">
        <f>tbl_MTG_Set[[#This Row],[Play Booster Sell Price CardMarket]]*tbl_MTG_Set[[#This Row],[Play Booster Expected Market Value]]/tbl_MTG_Set[[#This Row],[Play Boost Sealed Market Value]]</f>
        <v/>
      </c>
      <c r="BG7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2" s="10">
        <f>tbl_MTG_Set[[#This Row],[Play Singles CardMarket Profit]]/tbl_MTG_Set[[#This Row],[Play Booster Cost]]</f>
        <v/>
      </c>
      <c r="BI742" s="10">
        <f>tbl_MTG_Set[[#This Row],[Play Singles CardMarket Profit]]&gt;0</f>
        <v/>
      </c>
      <c r="BJ742" s="10" t="n"/>
      <c r="BK742" s="10" t="n"/>
      <c r="BL742" s="10">
        <f>tbl_MTG_Set[[#This Row],[Collector Booster Sell Price CardMarket]]*tbl_MTG_Set[[#This Row],[Collector Booster Expected Market Value]]/tbl_MTG_Set[[#This Row],[Collector Boost Sealed Market Value]]</f>
        <v/>
      </c>
      <c r="BM7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2" s="10">
        <f>tbl_MTG_Set[[#This Row],[Collector Singles CardMarket Profit]]/tbl_MTG_Set[[#This Row],[Collector Booster Cost]]</f>
        <v/>
      </c>
      <c r="BO742" s="10">
        <f>tbl_MTG_Set[[#This Row],[Collector Singles CardMarket Profit]]&gt;0</f>
        <v/>
      </c>
      <c r="BP7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3">
      <c r="A743" t="n">
        <v>741</v>
      </c>
      <c r="B743" t="inlineStr">
        <is>
          <t>Salvat 2011 PS11</t>
        </is>
      </c>
      <c r="C743" t="n">
        <v>224</v>
      </c>
      <c r="D743" s="3" t="n">
        <v>40544</v>
      </c>
      <c r="F743" t="inlineStr">
        <is>
          <t>en es fr de it pt ja ko ru 汉语 漢語</t>
        </is>
      </c>
      <c r="G743" t="n">
        <v>1428</v>
      </c>
      <c r="H743">
        <f>MONTH(NOW())+12*YEAR(NOW())-MONTH(tbl_MTG_Set[[#This Row],[Released On]])-12*YEAR(tbl_MTG_Set[[#This Row],[Released On]])</f>
        <v/>
      </c>
      <c r="I743">
        <f>_xlfn.XLOOKUP(tbl_MTG_Set[[#This Row],[Type Name]], tbl_MTG_Set_Type[Set Type], tbl_MTG_Set_Type[Index], "(Set Type not found)")</f>
        <v/>
      </c>
      <c r="J743">
        <f>_xlfn.XLOOKUP(tbl_MTG_Set[[#This Row],[Type Name]], tbl_MTG_Set_Type[Set Type], tbl_MTG_Set_Type[Buy Window Month Start], "(Set Type not found)")</f>
        <v/>
      </c>
      <c r="K743" s="3">
        <f>tbl_MTG_Set[[#This Row],[Released On]]+tbl_MTG_Set[[#This Row],[Buy Window Month Start]]*365.25/12</f>
        <v/>
      </c>
      <c r="L743">
        <f>_xlfn.XLOOKUP(tbl_MTG_Set[[#This Row],[Type Name]], tbl_MTG_Set_Type[Set Type], tbl_MTG_Set_Type[Buy Window Month End], "(Set Type not found)", 0, 1)</f>
        <v/>
      </c>
      <c r="M743" s="3">
        <f>tbl_MTG_Set[[#This Row],[Released On]]+tbl_MTG_Set[[#This Row],[Buy Window Month End]]*365.25/12</f>
        <v/>
      </c>
      <c r="N743" s="3">
        <f>AND(NOW()&gt;=tbl_MTG_Set[[#This Row],[Buy Window Start]], NOW()&lt;=tbl_MTG_Set[[#This Row],[Buy Window End]])</f>
        <v/>
      </c>
      <c r="O743">
        <f>_xlfn.XLOOKUP(tbl_MTG_Set[[#This Row],[Type Name]], tbl_MTG_Set_Type[Set Type], tbl_MTG_Set_Type[Heavy Printing Window Month Start], "(Set Type not found)", 0, 1)</f>
        <v/>
      </c>
      <c r="P743" s="3">
        <f>tbl_MTG_Set[[#This Row],[Released On]]+tbl_MTG_Set[[#This Row],[Heavy Printing Window Month Start]]*365.25/12</f>
        <v/>
      </c>
      <c r="Q743">
        <f>_xlfn.XLOOKUP(tbl_MTG_Set[[#This Row],[Type Name]], tbl_MTG_Set_Type[Set Type], tbl_MTG_Set_Type[Heavy Printing Window Month End], "(Set Type not found)", 0, 1)</f>
        <v/>
      </c>
      <c r="R743" s="3">
        <f>tbl_MTG_Set[[#This Row],[Released On]]+tbl_MTG_Set[[#This Row],[Heavy Printing Window Month End]]*365.25/12</f>
        <v/>
      </c>
      <c r="S743" s="3">
        <f>AND(NOW()&gt;=tbl_MTG_Set[[#This Row],[Heavy Printing Window Start]], NOW()&lt;=tbl_MTG_Set[[#This Row],[Heavy Printing Window End]])</f>
        <v/>
      </c>
      <c r="T743">
        <f>_xlfn.XLOOKUP(tbl_MTG_Set[[#This Row],[Type Name]], tbl_MTG_Set_Type[Set Type], tbl_MTG_Set_Type[Sell Window Month Start], "(Set Type not found)", 0, 1)</f>
        <v/>
      </c>
      <c r="U743" s="3">
        <f>tbl_MTG_Set[[#This Row],[Released On]]+tbl_MTG_Set[[#This Row],[Sell Window Month Start]]*365.25/12</f>
        <v/>
      </c>
      <c r="V743">
        <f>_xlfn.XLOOKUP(tbl_MTG_Set[[#This Row],[Type Name]], tbl_MTG_Set_Type[Set Type], tbl_MTG_Set_Type[Sell Window Month End], "(Set Type not found)", 0, 1)</f>
        <v/>
      </c>
      <c r="W743" s="3">
        <f>tbl_MTG_Set[[#This Row],[Released On]]+tbl_MTG_Set[[#This Row],[Sell Window Month End]]*365.25/12</f>
        <v/>
      </c>
      <c r="X743" s="3">
        <f>AND(NOW()&gt;=tbl_MTG_Set[[#This Row],[Sell Window Start]], NOW()&lt;=tbl_MTG_Set[[#This Row],[Sell Window End]])</f>
        <v/>
      </c>
      <c r="AG743" s="10" t="n"/>
      <c r="AH743" s="10" t="n"/>
      <c r="AM743" s="10">
        <f t="array" ref="AM7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3" s="10">
        <f t="array" ref="AN7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3" s="4">
        <f>_xlfn.XLOOKUP(tbl_MTG_Set[[#This Row],[Play Booster Box Product Id]], tbl_Product[Product Id], tbl_Product[Pack Size])</f>
        <v/>
      </c>
      <c r="AP743" s="10">
        <f>(tbl_MTG_Set[[#This Row],[Play Booster Box Cost]]+v_Item_Shipping_Cost_In)/tbl_MTG_Set[[#This Row],[Play Booster Box Size]]</f>
        <v/>
      </c>
      <c r="AQ743" s="10">
        <f t="array" ref="AQ7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3" s="10" t="n"/>
      <c r="AS743" s="10" t="n"/>
      <c r="AT743" s="17">
        <f>tbl_MTG_Set[[#This Row],[Play Booster CardMarket Profit]]/tbl_MTG_Set[[#This Row],[Play Booster Cost]]</f>
        <v/>
      </c>
      <c r="AU743" s="10">
        <f>_xlfn.XLOOKUP(tbl_MTG_Set[[#This Row],[Collector Booster Box Product Id]], tbl_Product[Product Id], tbl_Product[Min Cost])</f>
        <v/>
      </c>
      <c r="AV743" s="10">
        <f>_xlfn.XLOOKUP(tbl_MTG_Set[[#This Row],[Collector Booster Box Product Id]], tbl_Product[Product Id], tbl_Product[Best Source])</f>
        <v/>
      </c>
      <c r="AW743" s="4">
        <f>_xlfn.XLOOKUP(tbl_MTG_Set[[#This Row],[Collector Booster Box Product Id]], tbl_Product[Product Id], tbl_Product[Pack Size])</f>
        <v/>
      </c>
      <c r="AX743" s="10">
        <f>(tbl_MTG_Set[[#This Row],[Collector Booster Box Cost]] + v_Item_Shipping_Cost_In) / tbl_MTG_Set[[#This Row],[Collector Booster Box Size]]</f>
        <v/>
      </c>
      <c r="AY743" s="10">
        <f t="array" ref="AY7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3" s="10" t="n"/>
      <c r="BA7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3" s="17">
        <f>tbl_MTG_Set[[#This Row],[Collector Booster CardMarket Profit]]/tbl_MTG_Set[[#This Row],[Collector Booster Cost]]</f>
        <v/>
      </c>
      <c r="BC743" s="10" t="n"/>
      <c r="BF743" s="10">
        <f>tbl_MTG_Set[[#This Row],[Play Booster Sell Price CardMarket]]*tbl_MTG_Set[[#This Row],[Play Booster Expected Market Value]]/tbl_MTG_Set[[#This Row],[Play Boost Sealed Market Value]]</f>
        <v/>
      </c>
      <c r="BG7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3" s="10">
        <f>tbl_MTG_Set[[#This Row],[Play Singles CardMarket Profit]]/tbl_MTG_Set[[#This Row],[Play Booster Cost]]</f>
        <v/>
      </c>
      <c r="BI743" s="10">
        <f>tbl_MTG_Set[[#This Row],[Play Singles CardMarket Profit]]&gt;0</f>
        <v/>
      </c>
      <c r="BJ743" s="10" t="n"/>
      <c r="BK743" s="10" t="n"/>
      <c r="BL743" s="10">
        <f>tbl_MTG_Set[[#This Row],[Collector Booster Sell Price CardMarket]]*tbl_MTG_Set[[#This Row],[Collector Booster Expected Market Value]]/tbl_MTG_Set[[#This Row],[Collector Boost Sealed Market Value]]</f>
        <v/>
      </c>
      <c r="BM7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3" s="10">
        <f>tbl_MTG_Set[[#This Row],[Collector Singles CardMarket Profit]]/tbl_MTG_Set[[#This Row],[Collector Booster Cost]]</f>
        <v/>
      </c>
      <c r="BO743" s="10">
        <f>tbl_MTG_Set[[#This Row],[Collector Singles CardMarket Profit]]&gt;0</f>
        <v/>
      </c>
      <c r="BP7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4">
      <c r="A744" t="n">
        <v>742</v>
      </c>
      <c r="B744" t="inlineStr">
        <is>
          <t>Legacy Championship OLGC</t>
        </is>
      </c>
      <c r="C744" t="n">
        <v>27</v>
      </c>
      <c r="D744" s="3" t="n">
        <v>40544</v>
      </c>
      <c r="F744" t="inlineStr">
        <is>
          <t>en es fr de it pt ja ko ru 汉语 漢語</t>
        </is>
      </c>
      <c r="G744" t="n">
        <v>1430</v>
      </c>
      <c r="H744">
        <f>MONTH(NOW())+12*YEAR(NOW())-MONTH(tbl_MTG_Set[[#This Row],[Released On]])-12*YEAR(tbl_MTG_Set[[#This Row],[Released On]])</f>
        <v/>
      </c>
      <c r="I744">
        <f>_xlfn.XLOOKUP(tbl_MTG_Set[[#This Row],[Type Name]], tbl_MTG_Set_Type[Set Type], tbl_MTG_Set_Type[Index], "(Set Type not found)")</f>
        <v/>
      </c>
      <c r="J744">
        <f>_xlfn.XLOOKUP(tbl_MTG_Set[[#This Row],[Type Name]], tbl_MTG_Set_Type[Set Type], tbl_MTG_Set_Type[Buy Window Month Start], "(Set Type not found)")</f>
        <v/>
      </c>
      <c r="K744" s="3">
        <f>tbl_MTG_Set[[#This Row],[Released On]]+tbl_MTG_Set[[#This Row],[Buy Window Month Start]]*365.25/12</f>
        <v/>
      </c>
      <c r="L744">
        <f>_xlfn.XLOOKUP(tbl_MTG_Set[[#This Row],[Type Name]], tbl_MTG_Set_Type[Set Type], tbl_MTG_Set_Type[Buy Window Month End], "(Set Type not found)", 0, 1)</f>
        <v/>
      </c>
      <c r="M744" s="3">
        <f>tbl_MTG_Set[[#This Row],[Released On]]+tbl_MTG_Set[[#This Row],[Buy Window Month End]]*365.25/12</f>
        <v/>
      </c>
      <c r="N744" s="3">
        <f>AND(NOW()&gt;=tbl_MTG_Set[[#This Row],[Buy Window Start]], NOW()&lt;=tbl_MTG_Set[[#This Row],[Buy Window End]])</f>
        <v/>
      </c>
      <c r="O744">
        <f>_xlfn.XLOOKUP(tbl_MTG_Set[[#This Row],[Type Name]], tbl_MTG_Set_Type[Set Type], tbl_MTG_Set_Type[Heavy Printing Window Month Start], "(Set Type not found)", 0, 1)</f>
        <v/>
      </c>
      <c r="P744" s="3">
        <f>tbl_MTG_Set[[#This Row],[Released On]]+tbl_MTG_Set[[#This Row],[Heavy Printing Window Month Start]]*365.25/12</f>
        <v/>
      </c>
      <c r="Q744">
        <f>_xlfn.XLOOKUP(tbl_MTG_Set[[#This Row],[Type Name]], tbl_MTG_Set_Type[Set Type], tbl_MTG_Set_Type[Heavy Printing Window Month End], "(Set Type not found)", 0, 1)</f>
        <v/>
      </c>
      <c r="R744" s="3">
        <f>tbl_MTG_Set[[#This Row],[Released On]]+tbl_MTG_Set[[#This Row],[Heavy Printing Window Month End]]*365.25/12</f>
        <v/>
      </c>
      <c r="S744" s="3">
        <f>AND(NOW()&gt;=tbl_MTG_Set[[#This Row],[Heavy Printing Window Start]], NOW()&lt;=tbl_MTG_Set[[#This Row],[Heavy Printing Window End]])</f>
        <v/>
      </c>
      <c r="T744">
        <f>_xlfn.XLOOKUP(tbl_MTG_Set[[#This Row],[Type Name]], tbl_MTG_Set_Type[Set Type], tbl_MTG_Set_Type[Sell Window Month Start], "(Set Type not found)", 0, 1)</f>
        <v/>
      </c>
      <c r="U744" s="3">
        <f>tbl_MTG_Set[[#This Row],[Released On]]+tbl_MTG_Set[[#This Row],[Sell Window Month Start]]*365.25/12</f>
        <v/>
      </c>
      <c r="V744">
        <f>_xlfn.XLOOKUP(tbl_MTG_Set[[#This Row],[Type Name]], tbl_MTG_Set_Type[Set Type], tbl_MTG_Set_Type[Sell Window Month End], "(Set Type not found)", 0, 1)</f>
        <v/>
      </c>
      <c r="W744" s="3">
        <f>tbl_MTG_Set[[#This Row],[Released On]]+tbl_MTG_Set[[#This Row],[Sell Window Month End]]*365.25/12</f>
        <v/>
      </c>
      <c r="X744" s="3">
        <f>AND(NOW()&gt;=tbl_MTG_Set[[#This Row],[Sell Window Start]], NOW()&lt;=tbl_MTG_Set[[#This Row],[Sell Window End]])</f>
        <v/>
      </c>
      <c r="AG744" s="10" t="n"/>
      <c r="AH744" s="10" t="n"/>
      <c r="AM744" s="10">
        <f t="array" ref="AM7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4" s="10">
        <f t="array" ref="AN7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4" s="4">
        <f>_xlfn.XLOOKUP(tbl_MTG_Set[[#This Row],[Play Booster Box Product Id]], tbl_Product[Product Id], tbl_Product[Pack Size])</f>
        <v/>
      </c>
      <c r="AP744" s="10">
        <f>(tbl_MTG_Set[[#This Row],[Play Booster Box Cost]]+v_Item_Shipping_Cost_In)/tbl_MTG_Set[[#This Row],[Play Booster Box Size]]</f>
        <v/>
      </c>
      <c r="AQ744" s="10">
        <f t="array" ref="AQ7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4" s="10" t="n"/>
      <c r="AS744" s="10" t="n"/>
      <c r="AT744" s="17">
        <f>tbl_MTG_Set[[#This Row],[Play Booster CardMarket Profit]]/tbl_MTG_Set[[#This Row],[Play Booster Cost]]</f>
        <v/>
      </c>
      <c r="AU744" s="10">
        <f>_xlfn.XLOOKUP(tbl_MTG_Set[[#This Row],[Collector Booster Box Product Id]], tbl_Product[Product Id], tbl_Product[Min Cost])</f>
        <v/>
      </c>
      <c r="AV744" s="10">
        <f>_xlfn.XLOOKUP(tbl_MTG_Set[[#This Row],[Collector Booster Box Product Id]], tbl_Product[Product Id], tbl_Product[Best Source])</f>
        <v/>
      </c>
      <c r="AW744" s="4">
        <f>_xlfn.XLOOKUP(tbl_MTG_Set[[#This Row],[Collector Booster Box Product Id]], tbl_Product[Product Id], tbl_Product[Pack Size])</f>
        <v/>
      </c>
      <c r="AX744" s="10">
        <f>(tbl_MTG_Set[[#This Row],[Collector Booster Box Cost]] + v_Item_Shipping_Cost_In) / tbl_MTG_Set[[#This Row],[Collector Booster Box Size]]</f>
        <v/>
      </c>
      <c r="AY744" s="10">
        <f t="array" ref="AY7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4" s="10" t="n"/>
      <c r="BA7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4" s="17">
        <f>tbl_MTG_Set[[#This Row],[Collector Booster CardMarket Profit]]/tbl_MTG_Set[[#This Row],[Collector Booster Cost]]</f>
        <v/>
      </c>
      <c r="BC744" s="10" t="n"/>
      <c r="BF744" s="10">
        <f>tbl_MTG_Set[[#This Row],[Play Booster Sell Price CardMarket]]*tbl_MTG_Set[[#This Row],[Play Booster Expected Market Value]]/tbl_MTG_Set[[#This Row],[Play Boost Sealed Market Value]]</f>
        <v/>
      </c>
      <c r="BG7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4" s="10">
        <f>tbl_MTG_Set[[#This Row],[Play Singles CardMarket Profit]]/tbl_MTG_Set[[#This Row],[Play Booster Cost]]</f>
        <v/>
      </c>
      <c r="BI744" s="10">
        <f>tbl_MTG_Set[[#This Row],[Play Singles CardMarket Profit]]&gt;0</f>
        <v/>
      </c>
      <c r="BJ744" s="10" t="n"/>
      <c r="BK744" s="10" t="n"/>
      <c r="BL744" s="10">
        <f>tbl_MTG_Set[[#This Row],[Collector Booster Sell Price CardMarket]]*tbl_MTG_Set[[#This Row],[Collector Booster Expected Market Value]]/tbl_MTG_Set[[#This Row],[Collector Boost Sealed Market Value]]</f>
        <v/>
      </c>
      <c r="BM7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4" s="10">
        <f>tbl_MTG_Set[[#This Row],[Collector Singles CardMarket Profit]]/tbl_MTG_Set[[#This Row],[Collector Booster Cost]]</f>
        <v/>
      </c>
      <c r="BO744" s="10">
        <f>tbl_MTG_Set[[#This Row],[Collector Singles CardMarket Profit]]&gt;0</f>
        <v/>
      </c>
      <c r="BP7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5">
      <c r="A745" t="n">
        <v>743</v>
      </c>
      <c r="B745" t="inlineStr">
        <is>
          <t>Judge Gift Cards 2011 G11</t>
        </is>
      </c>
      <c r="C745" t="n">
        <v>8</v>
      </c>
      <c r="D745" s="3" t="n">
        <v>40544</v>
      </c>
      <c r="F745" t="inlineStr">
        <is>
          <t>en es fr de it pt ja ko ru 汉语 漢語</t>
        </is>
      </c>
      <c r="G745" t="n">
        <v>1432</v>
      </c>
      <c r="H745">
        <f>MONTH(NOW())+12*YEAR(NOW())-MONTH(tbl_MTG_Set[[#This Row],[Released On]])-12*YEAR(tbl_MTG_Set[[#This Row],[Released On]])</f>
        <v/>
      </c>
      <c r="I745">
        <f>_xlfn.XLOOKUP(tbl_MTG_Set[[#This Row],[Type Name]], tbl_MTG_Set_Type[Set Type], tbl_MTG_Set_Type[Index], "(Set Type not found)")</f>
        <v/>
      </c>
      <c r="J745">
        <f>_xlfn.XLOOKUP(tbl_MTG_Set[[#This Row],[Type Name]], tbl_MTG_Set_Type[Set Type], tbl_MTG_Set_Type[Buy Window Month Start], "(Set Type not found)")</f>
        <v/>
      </c>
      <c r="K745" s="3">
        <f>tbl_MTG_Set[[#This Row],[Released On]]+tbl_MTG_Set[[#This Row],[Buy Window Month Start]]*365.25/12</f>
        <v/>
      </c>
      <c r="L745">
        <f>_xlfn.XLOOKUP(tbl_MTG_Set[[#This Row],[Type Name]], tbl_MTG_Set_Type[Set Type], tbl_MTG_Set_Type[Buy Window Month End], "(Set Type not found)", 0, 1)</f>
        <v/>
      </c>
      <c r="M745" s="3">
        <f>tbl_MTG_Set[[#This Row],[Released On]]+tbl_MTG_Set[[#This Row],[Buy Window Month End]]*365.25/12</f>
        <v/>
      </c>
      <c r="N745" s="3">
        <f>AND(NOW()&gt;=tbl_MTG_Set[[#This Row],[Buy Window Start]], NOW()&lt;=tbl_MTG_Set[[#This Row],[Buy Window End]])</f>
        <v/>
      </c>
      <c r="O745">
        <f>_xlfn.XLOOKUP(tbl_MTG_Set[[#This Row],[Type Name]], tbl_MTG_Set_Type[Set Type], tbl_MTG_Set_Type[Heavy Printing Window Month Start], "(Set Type not found)", 0, 1)</f>
        <v/>
      </c>
      <c r="P745" s="3">
        <f>tbl_MTG_Set[[#This Row],[Released On]]+tbl_MTG_Set[[#This Row],[Heavy Printing Window Month Start]]*365.25/12</f>
        <v/>
      </c>
      <c r="Q745">
        <f>_xlfn.XLOOKUP(tbl_MTG_Set[[#This Row],[Type Name]], tbl_MTG_Set_Type[Set Type], tbl_MTG_Set_Type[Heavy Printing Window Month End], "(Set Type not found)", 0, 1)</f>
        <v/>
      </c>
      <c r="R745" s="3">
        <f>tbl_MTG_Set[[#This Row],[Released On]]+tbl_MTG_Set[[#This Row],[Heavy Printing Window Month End]]*365.25/12</f>
        <v/>
      </c>
      <c r="S745" s="3">
        <f>AND(NOW()&gt;=tbl_MTG_Set[[#This Row],[Heavy Printing Window Start]], NOW()&lt;=tbl_MTG_Set[[#This Row],[Heavy Printing Window End]])</f>
        <v/>
      </c>
      <c r="T745">
        <f>_xlfn.XLOOKUP(tbl_MTG_Set[[#This Row],[Type Name]], tbl_MTG_Set_Type[Set Type], tbl_MTG_Set_Type[Sell Window Month Start], "(Set Type not found)", 0, 1)</f>
        <v/>
      </c>
      <c r="U745" s="3">
        <f>tbl_MTG_Set[[#This Row],[Released On]]+tbl_MTG_Set[[#This Row],[Sell Window Month Start]]*365.25/12</f>
        <v/>
      </c>
      <c r="V745">
        <f>_xlfn.XLOOKUP(tbl_MTG_Set[[#This Row],[Type Name]], tbl_MTG_Set_Type[Set Type], tbl_MTG_Set_Type[Sell Window Month End], "(Set Type not found)", 0, 1)</f>
        <v/>
      </c>
      <c r="W745" s="3">
        <f>tbl_MTG_Set[[#This Row],[Released On]]+tbl_MTG_Set[[#This Row],[Sell Window Month End]]*365.25/12</f>
        <v/>
      </c>
      <c r="X745" s="3">
        <f>AND(NOW()&gt;=tbl_MTG_Set[[#This Row],[Sell Window Start]], NOW()&lt;=tbl_MTG_Set[[#This Row],[Sell Window End]])</f>
        <v/>
      </c>
      <c r="AG745" s="10" t="n"/>
      <c r="AH745" s="10" t="n"/>
      <c r="AM745" s="10">
        <f t="array" ref="AM7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5" s="10">
        <f t="array" ref="AN7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5" s="4">
        <f>_xlfn.XLOOKUP(tbl_MTG_Set[[#This Row],[Play Booster Box Product Id]], tbl_Product[Product Id], tbl_Product[Pack Size])</f>
        <v/>
      </c>
      <c r="AP745" s="10">
        <f>(tbl_MTG_Set[[#This Row],[Play Booster Box Cost]]+v_Item_Shipping_Cost_In)/tbl_MTG_Set[[#This Row],[Play Booster Box Size]]</f>
        <v/>
      </c>
      <c r="AQ745" s="10">
        <f t="array" ref="AQ7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5" s="10" t="n"/>
      <c r="AS745" s="10" t="n"/>
      <c r="AT745" s="17">
        <f>tbl_MTG_Set[[#This Row],[Play Booster CardMarket Profit]]/tbl_MTG_Set[[#This Row],[Play Booster Cost]]</f>
        <v/>
      </c>
      <c r="AU745" s="10">
        <f>_xlfn.XLOOKUP(tbl_MTG_Set[[#This Row],[Collector Booster Box Product Id]], tbl_Product[Product Id], tbl_Product[Min Cost])</f>
        <v/>
      </c>
      <c r="AV745" s="10">
        <f>_xlfn.XLOOKUP(tbl_MTG_Set[[#This Row],[Collector Booster Box Product Id]], tbl_Product[Product Id], tbl_Product[Best Source])</f>
        <v/>
      </c>
      <c r="AW745" s="4">
        <f>_xlfn.XLOOKUP(tbl_MTG_Set[[#This Row],[Collector Booster Box Product Id]], tbl_Product[Product Id], tbl_Product[Pack Size])</f>
        <v/>
      </c>
      <c r="AX745" s="10">
        <f>(tbl_MTG_Set[[#This Row],[Collector Booster Box Cost]] + v_Item_Shipping_Cost_In) / tbl_MTG_Set[[#This Row],[Collector Booster Box Size]]</f>
        <v/>
      </c>
      <c r="AY745" s="10">
        <f t="array" ref="AY7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5" s="10" t="n"/>
      <c r="BA7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5" s="17">
        <f>tbl_MTG_Set[[#This Row],[Collector Booster CardMarket Profit]]/tbl_MTG_Set[[#This Row],[Collector Booster Cost]]</f>
        <v/>
      </c>
      <c r="BC745" s="10" t="n"/>
      <c r="BF745" s="10">
        <f>tbl_MTG_Set[[#This Row],[Play Booster Sell Price CardMarket]]*tbl_MTG_Set[[#This Row],[Play Booster Expected Market Value]]/tbl_MTG_Set[[#This Row],[Play Boost Sealed Market Value]]</f>
        <v/>
      </c>
      <c r="BG7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5" s="10">
        <f>tbl_MTG_Set[[#This Row],[Play Singles CardMarket Profit]]/tbl_MTG_Set[[#This Row],[Play Booster Cost]]</f>
        <v/>
      </c>
      <c r="BI745" s="10">
        <f>tbl_MTG_Set[[#This Row],[Play Singles CardMarket Profit]]&gt;0</f>
        <v/>
      </c>
      <c r="BJ745" s="10" t="n"/>
      <c r="BK745" s="10" t="n"/>
      <c r="BL745" s="10">
        <f>tbl_MTG_Set[[#This Row],[Collector Booster Sell Price CardMarket]]*tbl_MTG_Set[[#This Row],[Collector Booster Expected Market Value]]/tbl_MTG_Set[[#This Row],[Collector Boost Sealed Market Value]]</f>
        <v/>
      </c>
      <c r="BM7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5" s="10">
        <f>tbl_MTG_Set[[#This Row],[Collector Singles CardMarket Profit]]/tbl_MTG_Set[[#This Row],[Collector Booster Cost]]</f>
        <v/>
      </c>
      <c r="BO745" s="10">
        <f>tbl_MTG_Set[[#This Row],[Collector Singles CardMarket Profit]]&gt;0</f>
        <v/>
      </c>
      <c r="BP7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6">
      <c r="A746" t="n">
        <v>744</v>
      </c>
      <c r="B746" t="inlineStr">
        <is>
          <t>Magic Player Rewards 2011 P11</t>
        </is>
      </c>
      <c r="C746" t="n">
        <v>7</v>
      </c>
      <c r="D746" s="3" t="n">
        <v>40544</v>
      </c>
      <c r="F746" t="inlineStr">
        <is>
          <t>en es fr de it pt ja ko ru 汉语 漢語</t>
        </is>
      </c>
      <c r="G746" t="n">
        <v>1434</v>
      </c>
      <c r="H746">
        <f>MONTH(NOW())+12*YEAR(NOW())-MONTH(tbl_MTG_Set[[#This Row],[Released On]])-12*YEAR(tbl_MTG_Set[[#This Row],[Released On]])</f>
        <v/>
      </c>
      <c r="I746">
        <f>_xlfn.XLOOKUP(tbl_MTG_Set[[#This Row],[Type Name]], tbl_MTG_Set_Type[Set Type], tbl_MTG_Set_Type[Index], "(Set Type not found)")</f>
        <v/>
      </c>
      <c r="J746">
        <f>_xlfn.XLOOKUP(tbl_MTG_Set[[#This Row],[Type Name]], tbl_MTG_Set_Type[Set Type], tbl_MTG_Set_Type[Buy Window Month Start], "(Set Type not found)")</f>
        <v/>
      </c>
      <c r="K746" s="3">
        <f>tbl_MTG_Set[[#This Row],[Released On]]+tbl_MTG_Set[[#This Row],[Buy Window Month Start]]*365.25/12</f>
        <v/>
      </c>
      <c r="L746">
        <f>_xlfn.XLOOKUP(tbl_MTG_Set[[#This Row],[Type Name]], tbl_MTG_Set_Type[Set Type], tbl_MTG_Set_Type[Buy Window Month End], "(Set Type not found)", 0, 1)</f>
        <v/>
      </c>
      <c r="M746" s="3">
        <f>tbl_MTG_Set[[#This Row],[Released On]]+tbl_MTG_Set[[#This Row],[Buy Window Month End]]*365.25/12</f>
        <v/>
      </c>
      <c r="N746" s="3">
        <f>AND(NOW()&gt;=tbl_MTG_Set[[#This Row],[Buy Window Start]], NOW()&lt;=tbl_MTG_Set[[#This Row],[Buy Window End]])</f>
        <v/>
      </c>
      <c r="O746">
        <f>_xlfn.XLOOKUP(tbl_MTG_Set[[#This Row],[Type Name]], tbl_MTG_Set_Type[Set Type], tbl_MTG_Set_Type[Heavy Printing Window Month Start], "(Set Type not found)", 0, 1)</f>
        <v/>
      </c>
      <c r="P746" s="3">
        <f>tbl_MTG_Set[[#This Row],[Released On]]+tbl_MTG_Set[[#This Row],[Heavy Printing Window Month Start]]*365.25/12</f>
        <v/>
      </c>
      <c r="Q746">
        <f>_xlfn.XLOOKUP(tbl_MTG_Set[[#This Row],[Type Name]], tbl_MTG_Set_Type[Set Type], tbl_MTG_Set_Type[Heavy Printing Window Month End], "(Set Type not found)", 0, 1)</f>
        <v/>
      </c>
      <c r="R746" s="3">
        <f>tbl_MTG_Set[[#This Row],[Released On]]+tbl_MTG_Set[[#This Row],[Heavy Printing Window Month End]]*365.25/12</f>
        <v/>
      </c>
      <c r="S746" s="3">
        <f>AND(NOW()&gt;=tbl_MTG_Set[[#This Row],[Heavy Printing Window Start]], NOW()&lt;=tbl_MTG_Set[[#This Row],[Heavy Printing Window End]])</f>
        <v/>
      </c>
      <c r="T746">
        <f>_xlfn.XLOOKUP(tbl_MTG_Set[[#This Row],[Type Name]], tbl_MTG_Set_Type[Set Type], tbl_MTG_Set_Type[Sell Window Month Start], "(Set Type not found)", 0, 1)</f>
        <v/>
      </c>
      <c r="U746" s="3">
        <f>tbl_MTG_Set[[#This Row],[Released On]]+tbl_MTG_Set[[#This Row],[Sell Window Month Start]]*365.25/12</f>
        <v/>
      </c>
      <c r="V746">
        <f>_xlfn.XLOOKUP(tbl_MTG_Set[[#This Row],[Type Name]], tbl_MTG_Set_Type[Set Type], tbl_MTG_Set_Type[Sell Window Month End], "(Set Type not found)", 0, 1)</f>
        <v/>
      </c>
      <c r="W746" s="3">
        <f>tbl_MTG_Set[[#This Row],[Released On]]+tbl_MTG_Set[[#This Row],[Sell Window Month End]]*365.25/12</f>
        <v/>
      </c>
      <c r="X746" s="3">
        <f>AND(NOW()&gt;=tbl_MTG_Set[[#This Row],[Sell Window Start]], NOW()&lt;=tbl_MTG_Set[[#This Row],[Sell Window End]])</f>
        <v/>
      </c>
      <c r="AG746" s="10" t="n"/>
      <c r="AH746" s="10" t="n"/>
      <c r="AM746" s="10">
        <f t="array" ref="AM7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6" s="10">
        <f t="array" ref="AN7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6" s="4">
        <f>_xlfn.XLOOKUP(tbl_MTG_Set[[#This Row],[Play Booster Box Product Id]], tbl_Product[Product Id], tbl_Product[Pack Size])</f>
        <v/>
      </c>
      <c r="AP746" s="10">
        <f>(tbl_MTG_Set[[#This Row],[Play Booster Box Cost]]+v_Item_Shipping_Cost_In)/tbl_MTG_Set[[#This Row],[Play Booster Box Size]]</f>
        <v/>
      </c>
      <c r="AQ746" s="10">
        <f t="array" ref="AQ7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6" s="10" t="n"/>
      <c r="AS746" s="10" t="n"/>
      <c r="AT746" s="17">
        <f>tbl_MTG_Set[[#This Row],[Play Booster CardMarket Profit]]/tbl_MTG_Set[[#This Row],[Play Booster Cost]]</f>
        <v/>
      </c>
      <c r="AU746" s="10">
        <f>_xlfn.XLOOKUP(tbl_MTG_Set[[#This Row],[Collector Booster Box Product Id]], tbl_Product[Product Id], tbl_Product[Min Cost])</f>
        <v/>
      </c>
      <c r="AV746" s="10">
        <f>_xlfn.XLOOKUP(tbl_MTG_Set[[#This Row],[Collector Booster Box Product Id]], tbl_Product[Product Id], tbl_Product[Best Source])</f>
        <v/>
      </c>
      <c r="AW746" s="4">
        <f>_xlfn.XLOOKUP(tbl_MTG_Set[[#This Row],[Collector Booster Box Product Id]], tbl_Product[Product Id], tbl_Product[Pack Size])</f>
        <v/>
      </c>
      <c r="AX746" s="10">
        <f>(tbl_MTG_Set[[#This Row],[Collector Booster Box Cost]] + v_Item_Shipping_Cost_In) / tbl_MTG_Set[[#This Row],[Collector Booster Box Size]]</f>
        <v/>
      </c>
      <c r="AY746" s="10">
        <f t="array" ref="AY7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6" s="10" t="n"/>
      <c r="BA7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6" s="17">
        <f>tbl_MTG_Set[[#This Row],[Collector Booster CardMarket Profit]]/tbl_MTG_Set[[#This Row],[Collector Booster Cost]]</f>
        <v/>
      </c>
      <c r="BC746" s="10" t="n"/>
      <c r="BF746" s="10">
        <f>tbl_MTG_Set[[#This Row],[Play Booster Sell Price CardMarket]]*tbl_MTG_Set[[#This Row],[Play Booster Expected Market Value]]/tbl_MTG_Set[[#This Row],[Play Boost Sealed Market Value]]</f>
        <v/>
      </c>
      <c r="BG7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6" s="10">
        <f>tbl_MTG_Set[[#This Row],[Play Singles CardMarket Profit]]/tbl_MTG_Set[[#This Row],[Play Booster Cost]]</f>
        <v/>
      </c>
      <c r="BI746" s="10">
        <f>tbl_MTG_Set[[#This Row],[Play Singles CardMarket Profit]]&gt;0</f>
        <v/>
      </c>
      <c r="BJ746" s="10" t="n"/>
      <c r="BK746" s="10" t="n"/>
      <c r="BL746" s="10">
        <f>tbl_MTG_Set[[#This Row],[Collector Booster Sell Price CardMarket]]*tbl_MTG_Set[[#This Row],[Collector Booster Expected Market Value]]/tbl_MTG_Set[[#This Row],[Collector Boost Sealed Market Value]]</f>
        <v/>
      </c>
      <c r="BM7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6" s="10">
        <f>tbl_MTG_Set[[#This Row],[Collector Singles CardMarket Profit]]/tbl_MTG_Set[[#This Row],[Collector Booster Cost]]</f>
        <v/>
      </c>
      <c r="BO746" s="10">
        <f>tbl_MTG_Set[[#This Row],[Collector Singles CardMarket Profit]]&gt;0</f>
        <v/>
      </c>
      <c r="BP7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7">
      <c r="A747" t="n">
        <v>745</v>
      </c>
      <c r="B747" t="inlineStr">
        <is>
          <t>Friday Night Magic 2011 F11</t>
        </is>
      </c>
      <c r="C747" t="n">
        <v>12</v>
      </c>
      <c r="D747" s="3" t="n">
        <v>40544</v>
      </c>
      <c r="F747" t="inlineStr">
        <is>
          <t>en es fr de it pt ja ko ru 汉语 漢語</t>
        </is>
      </c>
      <c r="G747" t="n">
        <v>1436</v>
      </c>
      <c r="H747">
        <f>MONTH(NOW())+12*YEAR(NOW())-MONTH(tbl_MTG_Set[[#This Row],[Released On]])-12*YEAR(tbl_MTG_Set[[#This Row],[Released On]])</f>
        <v/>
      </c>
      <c r="I747">
        <f>_xlfn.XLOOKUP(tbl_MTG_Set[[#This Row],[Type Name]], tbl_MTG_Set_Type[Set Type], tbl_MTG_Set_Type[Index], "(Set Type not found)")</f>
        <v/>
      </c>
      <c r="J747">
        <f>_xlfn.XLOOKUP(tbl_MTG_Set[[#This Row],[Type Name]], tbl_MTG_Set_Type[Set Type], tbl_MTG_Set_Type[Buy Window Month Start], "(Set Type not found)")</f>
        <v/>
      </c>
      <c r="K747" s="3">
        <f>tbl_MTG_Set[[#This Row],[Released On]]+tbl_MTG_Set[[#This Row],[Buy Window Month Start]]*365.25/12</f>
        <v/>
      </c>
      <c r="L747">
        <f>_xlfn.XLOOKUP(tbl_MTG_Set[[#This Row],[Type Name]], tbl_MTG_Set_Type[Set Type], tbl_MTG_Set_Type[Buy Window Month End], "(Set Type not found)", 0, 1)</f>
        <v/>
      </c>
      <c r="M747" s="3">
        <f>tbl_MTG_Set[[#This Row],[Released On]]+tbl_MTG_Set[[#This Row],[Buy Window Month End]]*365.25/12</f>
        <v/>
      </c>
      <c r="N747" s="3">
        <f>AND(NOW()&gt;=tbl_MTG_Set[[#This Row],[Buy Window Start]], NOW()&lt;=tbl_MTG_Set[[#This Row],[Buy Window End]])</f>
        <v/>
      </c>
      <c r="O747">
        <f>_xlfn.XLOOKUP(tbl_MTG_Set[[#This Row],[Type Name]], tbl_MTG_Set_Type[Set Type], tbl_MTG_Set_Type[Heavy Printing Window Month Start], "(Set Type not found)", 0, 1)</f>
        <v/>
      </c>
      <c r="P747" s="3">
        <f>tbl_MTG_Set[[#This Row],[Released On]]+tbl_MTG_Set[[#This Row],[Heavy Printing Window Month Start]]*365.25/12</f>
        <v/>
      </c>
      <c r="Q747">
        <f>_xlfn.XLOOKUP(tbl_MTG_Set[[#This Row],[Type Name]], tbl_MTG_Set_Type[Set Type], tbl_MTG_Set_Type[Heavy Printing Window Month End], "(Set Type not found)", 0, 1)</f>
        <v/>
      </c>
      <c r="R747" s="3">
        <f>tbl_MTG_Set[[#This Row],[Released On]]+tbl_MTG_Set[[#This Row],[Heavy Printing Window Month End]]*365.25/12</f>
        <v/>
      </c>
      <c r="S747" s="3">
        <f>AND(NOW()&gt;=tbl_MTG_Set[[#This Row],[Heavy Printing Window Start]], NOW()&lt;=tbl_MTG_Set[[#This Row],[Heavy Printing Window End]])</f>
        <v/>
      </c>
      <c r="T747">
        <f>_xlfn.XLOOKUP(tbl_MTG_Set[[#This Row],[Type Name]], tbl_MTG_Set_Type[Set Type], tbl_MTG_Set_Type[Sell Window Month Start], "(Set Type not found)", 0, 1)</f>
        <v/>
      </c>
      <c r="U747" s="3">
        <f>tbl_MTG_Set[[#This Row],[Released On]]+tbl_MTG_Set[[#This Row],[Sell Window Month Start]]*365.25/12</f>
        <v/>
      </c>
      <c r="V747">
        <f>_xlfn.XLOOKUP(tbl_MTG_Set[[#This Row],[Type Name]], tbl_MTG_Set_Type[Set Type], tbl_MTG_Set_Type[Sell Window Month End], "(Set Type not found)", 0, 1)</f>
        <v/>
      </c>
      <c r="W747" s="3">
        <f>tbl_MTG_Set[[#This Row],[Released On]]+tbl_MTG_Set[[#This Row],[Sell Window Month End]]*365.25/12</f>
        <v/>
      </c>
      <c r="X747" s="3">
        <f>AND(NOW()&gt;=tbl_MTG_Set[[#This Row],[Sell Window Start]], NOW()&lt;=tbl_MTG_Set[[#This Row],[Sell Window End]])</f>
        <v/>
      </c>
      <c r="AG747" s="10" t="n"/>
      <c r="AH747" s="10" t="n"/>
      <c r="AM747" s="10">
        <f t="array" ref="AM7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7" s="10">
        <f t="array" ref="AN7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7" s="4">
        <f>_xlfn.XLOOKUP(tbl_MTG_Set[[#This Row],[Play Booster Box Product Id]], tbl_Product[Product Id], tbl_Product[Pack Size])</f>
        <v/>
      </c>
      <c r="AP747" s="10">
        <f>(tbl_MTG_Set[[#This Row],[Play Booster Box Cost]]+v_Item_Shipping_Cost_In)/tbl_MTG_Set[[#This Row],[Play Booster Box Size]]</f>
        <v/>
      </c>
      <c r="AQ747" s="10">
        <f t="array" ref="AQ7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7" s="10" t="n"/>
      <c r="AS747" s="10" t="n"/>
      <c r="AT747" s="17">
        <f>tbl_MTG_Set[[#This Row],[Play Booster CardMarket Profit]]/tbl_MTG_Set[[#This Row],[Play Booster Cost]]</f>
        <v/>
      </c>
      <c r="AU747" s="10">
        <f>_xlfn.XLOOKUP(tbl_MTG_Set[[#This Row],[Collector Booster Box Product Id]], tbl_Product[Product Id], tbl_Product[Min Cost])</f>
        <v/>
      </c>
      <c r="AV747" s="10">
        <f>_xlfn.XLOOKUP(tbl_MTG_Set[[#This Row],[Collector Booster Box Product Id]], tbl_Product[Product Id], tbl_Product[Best Source])</f>
        <v/>
      </c>
      <c r="AW747" s="4">
        <f>_xlfn.XLOOKUP(tbl_MTG_Set[[#This Row],[Collector Booster Box Product Id]], tbl_Product[Product Id], tbl_Product[Pack Size])</f>
        <v/>
      </c>
      <c r="AX747" s="10">
        <f>(tbl_MTG_Set[[#This Row],[Collector Booster Box Cost]] + v_Item_Shipping_Cost_In) / tbl_MTG_Set[[#This Row],[Collector Booster Box Size]]</f>
        <v/>
      </c>
      <c r="AY747" s="10">
        <f t="array" ref="AY7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7" s="10" t="n"/>
      <c r="BA7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7" s="17">
        <f>tbl_MTG_Set[[#This Row],[Collector Booster CardMarket Profit]]/tbl_MTG_Set[[#This Row],[Collector Booster Cost]]</f>
        <v/>
      </c>
      <c r="BC747" s="10" t="n"/>
      <c r="BF747" s="10">
        <f>tbl_MTG_Set[[#This Row],[Play Booster Sell Price CardMarket]]*tbl_MTG_Set[[#This Row],[Play Booster Expected Market Value]]/tbl_MTG_Set[[#This Row],[Play Boost Sealed Market Value]]</f>
        <v/>
      </c>
      <c r="BG7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7" s="10">
        <f>tbl_MTG_Set[[#This Row],[Play Singles CardMarket Profit]]/tbl_MTG_Set[[#This Row],[Play Booster Cost]]</f>
        <v/>
      </c>
      <c r="BI747" s="10">
        <f>tbl_MTG_Set[[#This Row],[Play Singles CardMarket Profit]]&gt;0</f>
        <v/>
      </c>
      <c r="BJ747" s="10" t="n"/>
      <c r="BK747" s="10" t="n"/>
      <c r="BL747" s="10">
        <f>tbl_MTG_Set[[#This Row],[Collector Booster Sell Price CardMarket]]*tbl_MTG_Set[[#This Row],[Collector Booster Expected Market Value]]/tbl_MTG_Set[[#This Row],[Collector Boost Sealed Market Value]]</f>
        <v/>
      </c>
      <c r="BM7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7" s="10">
        <f>tbl_MTG_Set[[#This Row],[Collector Singles CardMarket Profit]]/tbl_MTG_Set[[#This Row],[Collector Booster Cost]]</f>
        <v/>
      </c>
      <c r="BO747" s="10">
        <f>tbl_MTG_Set[[#This Row],[Collector Singles CardMarket Profit]]&gt;0</f>
        <v/>
      </c>
      <c r="BP7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8">
      <c r="A748" t="n">
        <v>746</v>
      </c>
      <c r="B748" t="inlineStr">
        <is>
          <t>Premium Deck Series: Fire and Lightning PD2</t>
        </is>
      </c>
      <c r="C748" t="n">
        <v>34</v>
      </c>
      <c r="D748" s="3" t="n">
        <v>40501</v>
      </c>
      <c r="F748" t="inlineStr">
        <is>
          <t>en es fr de it pt ja ko ru 汉语 漢語</t>
        </is>
      </c>
      <c r="G748" t="n">
        <v>1438</v>
      </c>
      <c r="H748">
        <f>MONTH(NOW())+12*YEAR(NOW())-MONTH(tbl_MTG_Set[[#This Row],[Released On]])-12*YEAR(tbl_MTG_Set[[#This Row],[Released On]])</f>
        <v/>
      </c>
      <c r="I748">
        <f>_xlfn.XLOOKUP(tbl_MTG_Set[[#This Row],[Type Name]], tbl_MTG_Set_Type[Set Type], tbl_MTG_Set_Type[Index], "(Set Type not found)")</f>
        <v/>
      </c>
      <c r="J748">
        <f>_xlfn.XLOOKUP(tbl_MTG_Set[[#This Row],[Type Name]], tbl_MTG_Set_Type[Set Type], tbl_MTG_Set_Type[Buy Window Month Start], "(Set Type not found)")</f>
        <v/>
      </c>
      <c r="K748" s="3">
        <f>tbl_MTG_Set[[#This Row],[Released On]]+tbl_MTG_Set[[#This Row],[Buy Window Month Start]]*365.25/12</f>
        <v/>
      </c>
      <c r="L748">
        <f>_xlfn.XLOOKUP(tbl_MTG_Set[[#This Row],[Type Name]], tbl_MTG_Set_Type[Set Type], tbl_MTG_Set_Type[Buy Window Month End], "(Set Type not found)", 0, 1)</f>
        <v/>
      </c>
      <c r="M748" s="3">
        <f>tbl_MTG_Set[[#This Row],[Released On]]+tbl_MTG_Set[[#This Row],[Buy Window Month End]]*365.25/12</f>
        <v/>
      </c>
      <c r="N748" s="3">
        <f>AND(NOW()&gt;=tbl_MTG_Set[[#This Row],[Buy Window Start]], NOW()&lt;=tbl_MTG_Set[[#This Row],[Buy Window End]])</f>
        <v/>
      </c>
      <c r="O748">
        <f>_xlfn.XLOOKUP(tbl_MTG_Set[[#This Row],[Type Name]], tbl_MTG_Set_Type[Set Type], tbl_MTG_Set_Type[Heavy Printing Window Month Start], "(Set Type not found)", 0, 1)</f>
        <v/>
      </c>
      <c r="P748" s="3">
        <f>tbl_MTG_Set[[#This Row],[Released On]]+tbl_MTG_Set[[#This Row],[Heavy Printing Window Month Start]]*365.25/12</f>
        <v/>
      </c>
      <c r="Q748">
        <f>_xlfn.XLOOKUP(tbl_MTG_Set[[#This Row],[Type Name]], tbl_MTG_Set_Type[Set Type], tbl_MTG_Set_Type[Heavy Printing Window Month End], "(Set Type not found)", 0, 1)</f>
        <v/>
      </c>
      <c r="R748" s="3">
        <f>tbl_MTG_Set[[#This Row],[Released On]]+tbl_MTG_Set[[#This Row],[Heavy Printing Window Month End]]*365.25/12</f>
        <v/>
      </c>
      <c r="S748" s="3">
        <f>AND(NOW()&gt;=tbl_MTG_Set[[#This Row],[Heavy Printing Window Start]], NOW()&lt;=tbl_MTG_Set[[#This Row],[Heavy Printing Window End]])</f>
        <v/>
      </c>
      <c r="T748">
        <f>_xlfn.XLOOKUP(tbl_MTG_Set[[#This Row],[Type Name]], tbl_MTG_Set_Type[Set Type], tbl_MTG_Set_Type[Sell Window Month Start], "(Set Type not found)", 0, 1)</f>
        <v/>
      </c>
      <c r="U748" s="3">
        <f>tbl_MTG_Set[[#This Row],[Released On]]+tbl_MTG_Set[[#This Row],[Sell Window Month Start]]*365.25/12</f>
        <v/>
      </c>
      <c r="V748">
        <f>_xlfn.XLOOKUP(tbl_MTG_Set[[#This Row],[Type Name]], tbl_MTG_Set_Type[Set Type], tbl_MTG_Set_Type[Sell Window Month End], "(Set Type not found)", 0, 1)</f>
        <v/>
      </c>
      <c r="W748" s="3">
        <f>tbl_MTG_Set[[#This Row],[Released On]]+tbl_MTG_Set[[#This Row],[Sell Window Month End]]*365.25/12</f>
        <v/>
      </c>
      <c r="X748" s="3">
        <f>AND(NOW()&gt;=tbl_MTG_Set[[#This Row],[Sell Window Start]], NOW()&lt;=tbl_MTG_Set[[#This Row],[Sell Window End]])</f>
        <v/>
      </c>
      <c r="AG748" s="10" t="n"/>
      <c r="AH748" s="10" t="n"/>
      <c r="AM748" s="10">
        <f t="array" ref="AM7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8" s="10">
        <f t="array" ref="AN7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8" s="4">
        <f>_xlfn.XLOOKUP(tbl_MTG_Set[[#This Row],[Play Booster Box Product Id]], tbl_Product[Product Id], tbl_Product[Pack Size])</f>
        <v/>
      </c>
      <c r="AP748" s="10">
        <f>(tbl_MTG_Set[[#This Row],[Play Booster Box Cost]]+v_Item_Shipping_Cost_In)/tbl_MTG_Set[[#This Row],[Play Booster Box Size]]</f>
        <v/>
      </c>
      <c r="AQ748" s="10">
        <f t="array" ref="AQ7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8" s="10" t="n"/>
      <c r="AS748" s="10" t="n"/>
      <c r="AT748" s="17">
        <f>tbl_MTG_Set[[#This Row],[Play Booster CardMarket Profit]]/tbl_MTG_Set[[#This Row],[Play Booster Cost]]</f>
        <v/>
      </c>
      <c r="AU748" s="10">
        <f>_xlfn.XLOOKUP(tbl_MTG_Set[[#This Row],[Collector Booster Box Product Id]], tbl_Product[Product Id], tbl_Product[Min Cost])</f>
        <v/>
      </c>
      <c r="AV748" s="10">
        <f>_xlfn.XLOOKUP(tbl_MTG_Set[[#This Row],[Collector Booster Box Product Id]], tbl_Product[Product Id], tbl_Product[Best Source])</f>
        <v/>
      </c>
      <c r="AW748" s="4">
        <f>_xlfn.XLOOKUP(tbl_MTG_Set[[#This Row],[Collector Booster Box Product Id]], tbl_Product[Product Id], tbl_Product[Pack Size])</f>
        <v/>
      </c>
      <c r="AX748" s="10">
        <f>(tbl_MTG_Set[[#This Row],[Collector Booster Box Cost]] + v_Item_Shipping_Cost_In) / tbl_MTG_Set[[#This Row],[Collector Booster Box Size]]</f>
        <v/>
      </c>
      <c r="AY748" s="10">
        <f t="array" ref="AY7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8" s="10" t="n"/>
      <c r="BA7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8" s="17">
        <f>tbl_MTG_Set[[#This Row],[Collector Booster CardMarket Profit]]/tbl_MTG_Set[[#This Row],[Collector Booster Cost]]</f>
        <v/>
      </c>
      <c r="BC748" s="10" t="n"/>
      <c r="BF748" s="10">
        <f>tbl_MTG_Set[[#This Row],[Play Booster Sell Price CardMarket]]*tbl_MTG_Set[[#This Row],[Play Booster Expected Market Value]]/tbl_MTG_Set[[#This Row],[Play Boost Sealed Market Value]]</f>
        <v/>
      </c>
      <c r="BG7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8" s="10">
        <f>tbl_MTG_Set[[#This Row],[Play Singles CardMarket Profit]]/tbl_MTG_Set[[#This Row],[Play Booster Cost]]</f>
        <v/>
      </c>
      <c r="BI748" s="10">
        <f>tbl_MTG_Set[[#This Row],[Play Singles CardMarket Profit]]&gt;0</f>
        <v/>
      </c>
      <c r="BJ748" s="10" t="n"/>
      <c r="BK748" s="10" t="n"/>
      <c r="BL748" s="10">
        <f>tbl_MTG_Set[[#This Row],[Collector Booster Sell Price CardMarket]]*tbl_MTG_Set[[#This Row],[Collector Booster Expected Market Value]]/tbl_MTG_Set[[#This Row],[Collector Boost Sealed Market Value]]</f>
        <v/>
      </c>
      <c r="BM7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8" s="10">
        <f>tbl_MTG_Set[[#This Row],[Collector Singles CardMarket Profit]]/tbl_MTG_Set[[#This Row],[Collector Booster Cost]]</f>
        <v/>
      </c>
      <c r="BO748" s="10">
        <f>tbl_MTG_Set[[#This Row],[Collector Singles CardMarket Profit]]&gt;0</f>
        <v/>
      </c>
      <c r="BP7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9">
      <c r="A749" t="n">
        <v>747</v>
      </c>
      <c r="B749" t="inlineStr">
        <is>
          <t>Magic Online Theme Decks TD0</t>
        </is>
      </c>
      <c r="C749" t="n">
        <v>197</v>
      </c>
      <c r="D749" s="3" t="n">
        <v>40490</v>
      </c>
      <c r="F749" t="inlineStr">
        <is>
          <t>en es fr de it pt ja ko ru 汉语 漢語</t>
        </is>
      </c>
      <c r="G749" t="n">
        <v>1440</v>
      </c>
      <c r="H749">
        <f>MONTH(NOW())+12*YEAR(NOW())-MONTH(tbl_MTG_Set[[#This Row],[Released On]])-12*YEAR(tbl_MTG_Set[[#This Row],[Released On]])</f>
        <v/>
      </c>
      <c r="I749">
        <f>_xlfn.XLOOKUP(tbl_MTG_Set[[#This Row],[Type Name]], tbl_MTG_Set_Type[Set Type], tbl_MTG_Set_Type[Index], "(Set Type not found)")</f>
        <v/>
      </c>
      <c r="J749">
        <f>_xlfn.XLOOKUP(tbl_MTG_Set[[#This Row],[Type Name]], tbl_MTG_Set_Type[Set Type], tbl_MTG_Set_Type[Buy Window Month Start], "(Set Type not found)")</f>
        <v/>
      </c>
      <c r="K749" s="3">
        <f>tbl_MTG_Set[[#This Row],[Released On]]+tbl_MTG_Set[[#This Row],[Buy Window Month Start]]*365.25/12</f>
        <v/>
      </c>
      <c r="L749">
        <f>_xlfn.XLOOKUP(tbl_MTG_Set[[#This Row],[Type Name]], tbl_MTG_Set_Type[Set Type], tbl_MTG_Set_Type[Buy Window Month End], "(Set Type not found)", 0, 1)</f>
        <v/>
      </c>
      <c r="M749" s="3">
        <f>tbl_MTG_Set[[#This Row],[Released On]]+tbl_MTG_Set[[#This Row],[Buy Window Month End]]*365.25/12</f>
        <v/>
      </c>
      <c r="N749" s="3">
        <f>AND(NOW()&gt;=tbl_MTG_Set[[#This Row],[Buy Window Start]], NOW()&lt;=tbl_MTG_Set[[#This Row],[Buy Window End]])</f>
        <v/>
      </c>
      <c r="O749">
        <f>_xlfn.XLOOKUP(tbl_MTG_Set[[#This Row],[Type Name]], tbl_MTG_Set_Type[Set Type], tbl_MTG_Set_Type[Heavy Printing Window Month Start], "(Set Type not found)", 0, 1)</f>
        <v/>
      </c>
      <c r="P749" s="3">
        <f>tbl_MTG_Set[[#This Row],[Released On]]+tbl_MTG_Set[[#This Row],[Heavy Printing Window Month Start]]*365.25/12</f>
        <v/>
      </c>
      <c r="Q749">
        <f>_xlfn.XLOOKUP(tbl_MTG_Set[[#This Row],[Type Name]], tbl_MTG_Set_Type[Set Type], tbl_MTG_Set_Type[Heavy Printing Window Month End], "(Set Type not found)", 0, 1)</f>
        <v/>
      </c>
      <c r="R749" s="3">
        <f>tbl_MTG_Set[[#This Row],[Released On]]+tbl_MTG_Set[[#This Row],[Heavy Printing Window Month End]]*365.25/12</f>
        <v/>
      </c>
      <c r="S749" s="3">
        <f>AND(NOW()&gt;=tbl_MTG_Set[[#This Row],[Heavy Printing Window Start]], NOW()&lt;=tbl_MTG_Set[[#This Row],[Heavy Printing Window End]])</f>
        <v/>
      </c>
      <c r="T749">
        <f>_xlfn.XLOOKUP(tbl_MTG_Set[[#This Row],[Type Name]], tbl_MTG_Set_Type[Set Type], tbl_MTG_Set_Type[Sell Window Month Start], "(Set Type not found)", 0, 1)</f>
        <v/>
      </c>
      <c r="U749" s="3">
        <f>tbl_MTG_Set[[#This Row],[Released On]]+tbl_MTG_Set[[#This Row],[Sell Window Month Start]]*365.25/12</f>
        <v/>
      </c>
      <c r="V749">
        <f>_xlfn.XLOOKUP(tbl_MTG_Set[[#This Row],[Type Name]], tbl_MTG_Set_Type[Set Type], tbl_MTG_Set_Type[Sell Window Month End], "(Set Type not found)", 0, 1)</f>
        <v/>
      </c>
      <c r="W749" s="3">
        <f>tbl_MTG_Set[[#This Row],[Released On]]+tbl_MTG_Set[[#This Row],[Sell Window Month End]]*365.25/12</f>
        <v/>
      </c>
      <c r="X749" s="3">
        <f>AND(NOW()&gt;=tbl_MTG_Set[[#This Row],[Sell Window Start]], NOW()&lt;=tbl_MTG_Set[[#This Row],[Sell Window End]])</f>
        <v/>
      </c>
      <c r="AG749" s="10" t="n"/>
      <c r="AH749" s="10" t="n"/>
      <c r="AM749" s="10">
        <f t="array" ref="AM7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9" s="10">
        <f t="array" ref="AN7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9" s="4">
        <f>_xlfn.XLOOKUP(tbl_MTG_Set[[#This Row],[Play Booster Box Product Id]], tbl_Product[Product Id], tbl_Product[Pack Size])</f>
        <v/>
      </c>
      <c r="AP749" s="10">
        <f>(tbl_MTG_Set[[#This Row],[Play Booster Box Cost]]+v_Item_Shipping_Cost_In)/tbl_MTG_Set[[#This Row],[Play Booster Box Size]]</f>
        <v/>
      </c>
      <c r="AQ749" s="10">
        <f t="array" ref="AQ7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49" s="10" t="n"/>
      <c r="AS749" s="10" t="n"/>
      <c r="AT749" s="17">
        <f>tbl_MTG_Set[[#This Row],[Play Booster CardMarket Profit]]/tbl_MTG_Set[[#This Row],[Play Booster Cost]]</f>
        <v/>
      </c>
      <c r="AU749" s="10">
        <f>_xlfn.XLOOKUP(tbl_MTG_Set[[#This Row],[Collector Booster Box Product Id]], tbl_Product[Product Id], tbl_Product[Min Cost])</f>
        <v/>
      </c>
      <c r="AV749" s="10">
        <f>_xlfn.XLOOKUP(tbl_MTG_Set[[#This Row],[Collector Booster Box Product Id]], tbl_Product[Product Id], tbl_Product[Best Source])</f>
        <v/>
      </c>
      <c r="AW749" s="4">
        <f>_xlfn.XLOOKUP(tbl_MTG_Set[[#This Row],[Collector Booster Box Product Id]], tbl_Product[Product Id], tbl_Product[Pack Size])</f>
        <v/>
      </c>
      <c r="AX749" s="10">
        <f>(tbl_MTG_Set[[#This Row],[Collector Booster Box Cost]] + v_Item_Shipping_Cost_In) / tbl_MTG_Set[[#This Row],[Collector Booster Box Size]]</f>
        <v/>
      </c>
      <c r="AY749" s="10">
        <f t="array" ref="AY7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49" s="10" t="n"/>
      <c r="BA7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9" s="17">
        <f>tbl_MTG_Set[[#This Row],[Collector Booster CardMarket Profit]]/tbl_MTG_Set[[#This Row],[Collector Booster Cost]]</f>
        <v/>
      </c>
      <c r="BC749" s="10" t="n"/>
      <c r="BF749" s="10">
        <f>tbl_MTG_Set[[#This Row],[Play Booster Sell Price CardMarket]]*tbl_MTG_Set[[#This Row],[Play Booster Expected Market Value]]/tbl_MTG_Set[[#This Row],[Play Boost Sealed Market Value]]</f>
        <v/>
      </c>
      <c r="BG7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9" s="10">
        <f>tbl_MTG_Set[[#This Row],[Play Singles CardMarket Profit]]/tbl_MTG_Set[[#This Row],[Play Booster Cost]]</f>
        <v/>
      </c>
      <c r="BI749" s="10">
        <f>tbl_MTG_Set[[#This Row],[Play Singles CardMarket Profit]]&gt;0</f>
        <v/>
      </c>
      <c r="BJ749" s="10" t="n"/>
      <c r="BK749" s="10" t="n"/>
      <c r="BL749" s="10">
        <f>tbl_MTG_Set[[#This Row],[Collector Booster Sell Price CardMarket]]*tbl_MTG_Set[[#This Row],[Collector Booster Expected Market Value]]/tbl_MTG_Set[[#This Row],[Collector Boost Sealed Market Value]]</f>
        <v/>
      </c>
      <c r="BM7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9" s="10">
        <f>tbl_MTG_Set[[#This Row],[Collector Singles CardMarket Profit]]/tbl_MTG_Set[[#This Row],[Collector Booster Cost]]</f>
        <v/>
      </c>
      <c r="BO749" s="10">
        <f>tbl_MTG_Set[[#This Row],[Collector Singles CardMarket Profit]]&gt;0</f>
        <v/>
      </c>
      <c r="BP7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0">
      <c r="A750" t="n">
        <v>748</v>
      </c>
      <c r="B750" t="inlineStr">
        <is>
          <t>Scars of Mirrodin SOM</t>
        </is>
      </c>
      <c r="C750" t="n">
        <v>249</v>
      </c>
      <c r="D750" s="3" t="n">
        <v>40452</v>
      </c>
      <c r="F750" t="inlineStr">
        <is>
          <t>en es fr de it pt ja ko ru 汉语 漢語</t>
        </is>
      </c>
      <c r="G750" t="n">
        <v>1442</v>
      </c>
      <c r="H750">
        <f>MONTH(NOW())+12*YEAR(NOW())-MONTH(tbl_MTG_Set[[#This Row],[Released On]])-12*YEAR(tbl_MTG_Set[[#This Row],[Released On]])</f>
        <v/>
      </c>
      <c r="I750">
        <f>_xlfn.XLOOKUP(tbl_MTG_Set[[#This Row],[Type Name]], tbl_MTG_Set_Type[Set Type], tbl_MTG_Set_Type[Index], "(Set Type not found)")</f>
        <v/>
      </c>
      <c r="J750">
        <f>_xlfn.XLOOKUP(tbl_MTG_Set[[#This Row],[Type Name]], tbl_MTG_Set_Type[Set Type], tbl_MTG_Set_Type[Buy Window Month Start], "(Set Type not found)")</f>
        <v/>
      </c>
      <c r="K750" s="3">
        <f>tbl_MTG_Set[[#This Row],[Released On]]+tbl_MTG_Set[[#This Row],[Buy Window Month Start]]*365.25/12</f>
        <v/>
      </c>
      <c r="L750">
        <f>_xlfn.XLOOKUP(tbl_MTG_Set[[#This Row],[Type Name]], tbl_MTG_Set_Type[Set Type], tbl_MTG_Set_Type[Buy Window Month End], "(Set Type not found)", 0, 1)</f>
        <v/>
      </c>
      <c r="M750" s="3">
        <f>tbl_MTG_Set[[#This Row],[Released On]]+tbl_MTG_Set[[#This Row],[Buy Window Month End]]*365.25/12</f>
        <v/>
      </c>
      <c r="N750" s="3">
        <f>AND(NOW()&gt;=tbl_MTG_Set[[#This Row],[Buy Window Start]], NOW()&lt;=tbl_MTG_Set[[#This Row],[Buy Window End]])</f>
        <v/>
      </c>
      <c r="O750">
        <f>_xlfn.XLOOKUP(tbl_MTG_Set[[#This Row],[Type Name]], tbl_MTG_Set_Type[Set Type], tbl_MTG_Set_Type[Heavy Printing Window Month Start], "(Set Type not found)", 0, 1)</f>
        <v/>
      </c>
      <c r="P750" s="3">
        <f>tbl_MTG_Set[[#This Row],[Released On]]+tbl_MTG_Set[[#This Row],[Heavy Printing Window Month Start]]*365.25/12</f>
        <v/>
      </c>
      <c r="Q750">
        <f>_xlfn.XLOOKUP(tbl_MTG_Set[[#This Row],[Type Name]], tbl_MTG_Set_Type[Set Type], tbl_MTG_Set_Type[Heavy Printing Window Month End], "(Set Type not found)", 0, 1)</f>
        <v/>
      </c>
      <c r="R750" s="3">
        <f>tbl_MTG_Set[[#This Row],[Released On]]+tbl_MTG_Set[[#This Row],[Heavy Printing Window Month End]]*365.25/12</f>
        <v/>
      </c>
      <c r="S750" s="3">
        <f>AND(NOW()&gt;=tbl_MTG_Set[[#This Row],[Heavy Printing Window Start]], NOW()&lt;=tbl_MTG_Set[[#This Row],[Heavy Printing Window End]])</f>
        <v/>
      </c>
      <c r="T750">
        <f>_xlfn.XLOOKUP(tbl_MTG_Set[[#This Row],[Type Name]], tbl_MTG_Set_Type[Set Type], tbl_MTG_Set_Type[Sell Window Month Start], "(Set Type not found)", 0, 1)</f>
        <v/>
      </c>
      <c r="U750" s="3">
        <f>tbl_MTG_Set[[#This Row],[Released On]]+tbl_MTG_Set[[#This Row],[Sell Window Month Start]]*365.25/12</f>
        <v/>
      </c>
      <c r="V750">
        <f>_xlfn.XLOOKUP(tbl_MTG_Set[[#This Row],[Type Name]], tbl_MTG_Set_Type[Set Type], tbl_MTG_Set_Type[Sell Window Month End], "(Set Type not found)", 0, 1)</f>
        <v/>
      </c>
      <c r="W750" s="3">
        <f>tbl_MTG_Set[[#This Row],[Released On]]+tbl_MTG_Set[[#This Row],[Sell Window Month End]]*365.25/12</f>
        <v/>
      </c>
      <c r="X750" s="3">
        <f>AND(NOW()&gt;=tbl_MTG_Set[[#This Row],[Sell Window Start]], NOW()&lt;=tbl_MTG_Set[[#This Row],[Sell Window End]])</f>
        <v/>
      </c>
      <c r="AG750" s="10" t="n"/>
      <c r="AH750" s="10" t="n"/>
      <c r="AM750" s="10">
        <f t="array" ref="AM7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0" s="10">
        <f t="array" ref="AN7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0" s="4">
        <f>_xlfn.XLOOKUP(tbl_MTG_Set[[#This Row],[Play Booster Box Product Id]], tbl_Product[Product Id], tbl_Product[Pack Size])</f>
        <v/>
      </c>
      <c r="AP750" s="10">
        <f>(tbl_MTG_Set[[#This Row],[Play Booster Box Cost]]+v_Item_Shipping_Cost_In)/tbl_MTG_Set[[#This Row],[Play Booster Box Size]]</f>
        <v/>
      </c>
      <c r="AQ750" s="10">
        <f t="array" ref="AQ7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0" s="10" t="n"/>
      <c r="AS750" s="10" t="n"/>
      <c r="AT750" s="17">
        <f>tbl_MTG_Set[[#This Row],[Play Booster CardMarket Profit]]/tbl_MTG_Set[[#This Row],[Play Booster Cost]]</f>
        <v/>
      </c>
      <c r="AU750" s="10">
        <f>_xlfn.XLOOKUP(tbl_MTG_Set[[#This Row],[Collector Booster Box Product Id]], tbl_Product[Product Id], tbl_Product[Min Cost])</f>
        <v/>
      </c>
      <c r="AV750" s="10">
        <f>_xlfn.XLOOKUP(tbl_MTG_Set[[#This Row],[Collector Booster Box Product Id]], tbl_Product[Product Id], tbl_Product[Best Source])</f>
        <v/>
      </c>
      <c r="AW750" s="4">
        <f>_xlfn.XLOOKUP(tbl_MTG_Set[[#This Row],[Collector Booster Box Product Id]], tbl_Product[Product Id], tbl_Product[Pack Size])</f>
        <v/>
      </c>
      <c r="AX750" s="10">
        <f>(tbl_MTG_Set[[#This Row],[Collector Booster Box Cost]] + v_Item_Shipping_Cost_In) / tbl_MTG_Set[[#This Row],[Collector Booster Box Size]]</f>
        <v/>
      </c>
      <c r="AY750" s="10">
        <f t="array" ref="AY7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0" s="10" t="n"/>
      <c r="BA7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0" s="17">
        <f>tbl_MTG_Set[[#This Row],[Collector Booster CardMarket Profit]]/tbl_MTG_Set[[#This Row],[Collector Booster Cost]]</f>
        <v/>
      </c>
      <c r="BC750" s="10" t="n"/>
      <c r="BF750" s="10">
        <f>tbl_MTG_Set[[#This Row],[Play Booster Sell Price CardMarket]]*tbl_MTG_Set[[#This Row],[Play Booster Expected Market Value]]/tbl_MTG_Set[[#This Row],[Play Boost Sealed Market Value]]</f>
        <v/>
      </c>
      <c r="BG7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0" s="10">
        <f>tbl_MTG_Set[[#This Row],[Play Singles CardMarket Profit]]/tbl_MTG_Set[[#This Row],[Play Booster Cost]]</f>
        <v/>
      </c>
      <c r="BI750" s="10">
        <f>tbl_MTG_Set[[#This Row],[Play Singles CardMarket Profit]]&gt;0</f>
        <v/>
      </c>
      <c r="BJ750" s="10" t="n"/>
      <c r="BK750" s="10" t="n"/>
      <c r="BL750" s="10">
        <f>tbl_MTG_Set[[#This Row],[Collector Booster Sell Price CardMarket]]*tbl_MTG_Set[[#This Row],[Collector Booster Expected Market Value]]/tbl_MTG_Set[[#This Row],[Collector Boost Sealed Market Value]]</f>
        <v/>
      </c>
      <c r="BM7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0" s="10">
        <f>tbl_MTG_Set[[#This Row],[Collector Singles CardMarket Profit]]/tbl_MTG_Set[[#This Row],[Collector Booster Cost]]</f>
        <v/>
      </c>
      <c r="BO750" s="10">
        <f>tbl_MTG_Set[[#This Row],[Collector Singles CardMarket Profit]]&gt;0</f>
        <v/>
      </c>
      <c r="BP7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1">
      <c r="A751" t="n">
        <v>749</v>
      </c>
      <c r="B751" t="inlineStr">
        <is>
          <t>Scars of Mirrodin Promos PSOM</t>
        </is>
      </c>
      <c r="C751" t="n">
        <v>4</v>
      </c>
      <c r="D751" s="3" t="n">
        <v>40451</v>
      </c>
      <c r="F751" t="inlineStr">
        <is>
          <t>en es fr de it pt ja ko ru 汉语 漢語</t>
        </is>
      </c>
      <c r="G751" t="n">
        <v>1444</v>
      </c>
      <c r="H751">
        <f>MONTH(NOW())+12*YEAR(NOW())-MONTH(tbl_MTG_Set[[#This Row],[Released On]])-12*YEAR(tbl_MTG_Set[[#This Row],[Released On]])</f>
        <v/>
      </c>
      <c r="I751">
        <f>_xlfn.XLOOKUP(tbl_MTG_Set[[#This Row],[Type Name]], tbl_MTG_Set_Type[Set Type], tbl_MTG_Set_Type[Index], "(Set Type not found)")</f>
        <v/>
      </c>
      <c r="J751">
        <f>_xlfn.XLOOKUP(tbl_MTG_Set[[#This Row],[Type Name]], tbl_MTG_Set_Type[Set Type], tbl_MTG_Set_Type[Buy Window Month Start], "(Set Type not found)")</f>
        <v/>
      </c>
      <c r="K751" s="3">
        <f>tbl_MTG_Set[[#This Row],[Released On]]+tbl_MTG_Set[[#This Row],[Buy Window Month Start]]*365.25/12</f>
        <v/>
      </c>
      <c r="L751">
        <f>_xlfn.XLOOKUP(tbl_MTG_Set[[#This Row],[Type Name]], tbl_MTG_Set_Type[Set Type], tbl_MTG_Set_Type[Buy Window Month End], "(Set Type not found)", 0, 1)</f>
        <v/>
      </c>
      <c r="M751" s="3">
        <f>tbl_MTG_Set[[#This Row],[Released On]]+tbl_MTG_Set[[#This Row],[Buy Window Month End]]*365.25/12</f>
        <v/>
      </c>
      <c r="N751" s="3">
        <f>AND(NOW()&gt;=tbl_MTG_Set[[#This Row],[Buy Window Start]], NOW()&lt;=tbl_MTG_Set[[#This Row],[Buy Window End]])</f>
        <v/>
      </c>
      <c r="O751">
        <f>_xlfn.XLOOKUP(tbl_MTG_Set[[#This Row],[Type Name]], tbl_MTG_Set_Type[Set Type], tbl_MTG_Set_Type[Heavy Printing Window Month Start], "(Set Type not found)", 0, 1)</f>
        <v/>
      </c>
      <c r="P751" s="3">
        <f>tbl_MTG_Set[[#This Row],[Released On]]+tbl_MTG_Set[[#This Row],[Heavy Printing Window Month Start]]*365.25/12</f>
        <v/>
      </c>
      <c r="Q751">
        <f>_xlfn.XLOOKUP(tbl_MTG_Set[[#This Row],[Type Name]], tbl_MTG_Set_Type[Set Type], tbl_MTG_Set_Type[Heavy Printing Window Month End], "(Set Type not found)", 0, 1)</f>
        <v/>
      </c>
      <c r="R751" s="3">
        <f>tbl_MTG_Set[[#This Row],[Released On]]+tbl_MTG_Set[[#This Row],[Heavy Printing Window Month End]]*365.25/12</f>
        <v/>
      </c>
      <c r="S751" s="3">
        <f>AND(NOW()&gt;=tbl_MTG_Set[[#This Row],[Heavy Printing Window Start]], NOW()&lt;=tbl_MTG_Set[[#This Row],[Heavy Printing Window End]])</f>
        <v/>
      </c>
      <c r="T751">
        <f>_xlfn.XLOOKUP(tbl_MTG_Set[[#This Row],[Type Name]], tbl_MTG_Set_Type[Set Type], tbl_MTG_Set_Type[Sell Window Month Start], "(Set Type not found)", 0, 1)</f>
        <v/>
      </c>
      <c r="U751" s="3">
        <f>tbl_MTG_Set[[#This Row],[Released On]]+tbl_MTG_Set[[#This Row],[Sell Window Month Start]]*365.25/12</f>
        <v/>
      </c>
      <c r="V751">
        <f>_xlfn.XLOOKUP(tbl_MTG_Set[[#This Row],[Type Name]], tbl_MTG_Set_Type[Set Type], tbl_MTG_Set_Type[Sell Window Month End], "(Set Type not found)", 0, 1)</f>
        <v/>
      </c>
      <c r="W751" s="3">
        <f>tbl_MTG_Set[[#This Row],[Released On]]+tbl_MTG_Set[[#This Row],[Sell Window Month End]]*365.25/12</f>
        <v/>
      </c>
      <c r="X751" s="3">
        <f>AND(NOW()&gt;=tbl_MTG_Set[[#This Row],[Sell Window Start]], NOW()&lt;=tbl_MTG_Set[[#This Row],[Sell Window End]])</f>
        <v/>
      </c>
      <c r="AG751" s="10" t="n"/>
      <c r="AH751" s="10" t="n"/>
      <c r="AM751" s="10">
        <f t="array" ref="AM7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1" s="10">
        <f t="array" ref="AN7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1" s="4">
        <f>_xlfn.XLOOKUP(tbl_MTG_Set[[#This Row],[Play Booster Box Product Id]], tbl_Product[Product Id], tbl_Product[Pack Size])</f>
        <v/>
      </c>
      <c r="AP751" s="10">
        <f>(tbl_MTG_Set[[#This Row],[Play Booster Box Cost]]+v_Item_Shipping_Cost_In)/tbl_MTG_Set[[#This Row],[Play Booster Box Size]]</f>
        <v/>
      </c>
      <c r="AQ751" s="10">
        <f t="array" ref="AQ7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1" s="10" t="n"/>
      <c r="AS751" s="10" t="n"/>
      <c r="AT751" s="17">
        <f>tbl_MTG_Set[[#This Row],[Play Booster CardMarket Profit]]/tbl_MTG_Set[[#This Row],[Play Booster Cost]]</f>
        <v/>
      </c>
      <c r="AU751" s="10">
        <f>_xlfn.XLOOKUP(tbl_MTG_Set[[#This Row],[Collector Booster Box Product Id]], tbl_Product[Product Id], tbl_Product[Min Cost])</f>
        <v/>
      </c>
      <c r="AV751" s="10">
        <f>_xlfn.XLOOKUP(tbl_MTG_Set[[#This Row],[Collector Booster Box Product Id]], tbl_Product[Product Id], tbl_Product[Best Source])</f>
        <v/>
      </c>
      <c r="AW751" s="4">
        <f>_xlfn.XLOOKUP(tbl_MTG_Set[[#This Row],[Collector Booster Box Product Id]], tbl_Product[Product Id], tbl_Product[Pack Size])</f>
        <v/>
      </c>
      <c r="AX751" s="10">
        <f>(tbl_MTG_Set[[#This Row],[Collector Booster Box Cost]] + v_Item_Shipping_Cost_In) / tbl_MTG_Set[[#This Row],[Collector Booster Box Size]]</f>
        <v/>
      </c>
      <c r="AY751" s="10">
        <f t="array" ref="AY7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1" s="10" t="n"/>
      <c r="BA7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1" s="17">
        <f>tbl_MTG_Set[[#This Row],[Collector Booster CardMarket Profit]]/tbl_MTG_Set[[#This Row],[Collector Booster Cost]]</f>
        <v/>
      </c>
      <c r="BC751" s="10" t="n"/>
      <c r="BF751" s="10">
        <f>tbl_MTG_Set[[#This Row],[Play Booster Sell Price CardMarket]]*tbl_MTG_Set[[#This Row],[Play Booster Expected Market Value]]/tbl_MTG_Set[[#This Row],[Play Boost Sealed Market Value]]</f>
        <v/>
      </c>
      <c r="BG7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1" s="10">
        <f>tbl_MTG_Set[[#This Row],[Play Singles CardMarket Profit]]/tbl_MTG_Set[[#This Row],[Play Booster Cost]]</f>
        <v/>
      </c>
      <c r="BI751" s="10">
        <f>tbl_MTG_Set[[#This Row],[Play Singles CardMarket Profit]]&gt;0</f>
        <v/>
      </c>
      <c r="BJ751" s="10" t="n"/>
      <c r="BK751" s="10" t="n"/>
      <c r="BL751" s="10">
        <f>tbl_MTG_Set[[#This Row],[Collector Booster Sell Price CardMarket]]*tbl_MTG_Set[[#This Row],[Collector Booster Expected Market Value]]/tbl_MTG_Set[[#This Row],[Collector Boost Sealed Market Value]]</f>
        <v/>
      </c>
      <c r="BM7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1" s="10">
        <f>tbl_MTG_Set[[#This Row],[Collector Singles CardMarket Profit]]/tbl_MTG_Set[[#This Row],[Collector Booster Cost]]</f>
        <v/>
      </c>
      <c r="BO751" s="10">
        <f>tbl_MTG_Set[[#This Row],[Collector Singles CardMarket Profit]]&gt;0</f>
        <v/>
      </c>
      <c r="BP7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2">
      <c r="A752" t="n">
        <v>750</v>
      </c>
      <c r="B752" t="inlineStr">
        <is>
          <t>Scars of Mirrodin Tokens TSOM</t>
        </is>
      </c>
      <c r="C752" t="n">
        <v>10</v>
      </c>
      <c r="D752" s="3" t="n">
        <v>40452</v>
      </c>
      <c r="F752" t="inlineStr">
        <is>
          <t>en es fr de it pt ja ko ru 汉语 漢語</t>
        </is>
      </c>
      <c r="G752" t="n">
        <v>1446</v>
      </c>
      <c r="H752">
        <f>MONTH(NOW())+12*YEAR(NOW())-MONTH(tbl_MTG_Set[[#This Row],[Released On]])-12*YEAR(tbl_MTG_Set[[#This Row],[Released On]])</f>
        <v/>
      </c>
      <c r="I752">
        <f>_xlfn.XLOOKUP(tbl_MTG_Set[[#This Row],[Type Name]], tbl_MTG_Set_Type[Set Type], tbl_MTG_Set_Type[Index], "(Set Type not found)")</f>
        <v/>
      </c>
      <c r="J752">
        <f>_xlfn.XLOOKUP(tbl_MTG_Set[[#This Row],[Type Name]], tbl_MTG_Set_Type[Set Type], tbl_MTG_Set_Type[Buy Window Month Start], "(Set Type not found)")</f>
        <v/>
      </c>
      <c r="K752" s="3">
        <f>tbl_MTG_Set[[#This Row],[Released On]]+tbl_MTG_Set[[#This Row],[Buy Window Month Start]]*365.25/12</f>
        <v/>
      </c>
      <c r="L752">
        <f>_xlfn.XLOOKUP(tbl_MTG_Set[[#This Row],[Type Name]], tbl_MTG_Set_Type[Set Type], tbl_MTG_Set_Type[Buy Window Month End], "(Set Type not found)", 0, 1)</f>
        <v/>
      </c>
      <c r="M752" s="3">
        <f>tbl_MTG_Set[[#This Row],[Released On]]+tbl_MTG_Set[[#This Row],[Buy Window Month End]]*365.25/12</f>
        <v/>
      </c>
      <c r="N752" s="3">
        <f>AND(NOW()&gt;=tbl_MTG_Set[[#This Row],[Buy Window Start]], NOW()&lt;=tbl_MTG_Set[[#This Row],[Buy Window End]])</f>
        <v/>
      </c>
      <c r="O752">
        <f>_xlfn.XLOOKUP(tbl_MTG_Set[[#This Row],[Type Name]], tbl_MTG_Set_Type[Set Type], tbl_MTG_Set_Type[Heavy Printing Window Month Start], "(Set Type not found)", 0, 1)</f>
        <v/>
      </c>
      <c r="P752" s="3">
        <f>tbl_MTG_Set[[#This Row],[Released On]]+tbl_MTG_Set[[#This Row],[Heavy Printing Window Month Start]]*365.25/12</f>
        <v/>
      </c>
      <c r="Q752">
        <f>_xlfn.XLOOKUP(tbl_MTG_Set[[#This Row],[Type Name]], tbl_MTG_Set_Type[Set Type], tbl_MTG_Set_Type[Heavy Printing Window Month End], "(Set Type not found)", 0, 1)</f>
        <v/>
      </c>
      <c r="R752" s="3">
        <f>tbl_MTG_Set[[#This Row],[Released On]]+tbl_MTG_Set[[#This Row],[Heavy Printing Window Month End]]*365.25/12</f>
        <v/>
      </c>
      <c r="S752" s="3">
        <f>AND(NOW()&gt;=tbl_MTG_Set[[#This Row],[Heavy Printing Window Start]], NOW()&lt;=tbl_MTG_Set[[#This Row],[Heavy Printing Window End]])</f>
        <v/>
      </c>
      <c r="T752">
        <f>_xlfn.XLOOKUP(tbl_MTG_Set[[#This Row],[Type Name]], tbl_MTG_Set_Type[Set Type], tbl_MTG_Set_Type[Sell Window Month Start], "(Set Type not found)", 0, 1)</f>
        <v/>
      </c>
      <c r="U752" s="3">
        <f>tbl_MTG_Set[[#This Row],[Released On]]+tbl_MTG_Set[[#This Row],[Sell Window Month Start]]*365.25/12</f>
        <v/>
      </c>
      <c r="V752">
        <f>_xlfn.XLOOKUP(tbl_MTG_Set[[#This Row],[Type Name]], tbl_MTG_Set_Type[Set Type], tbl_MTG_Set_Type[Sell Window Month End], "(Set Type not found)", 0, 1)</f>
        <v/>
      </c>
      <c r="W752" s="3">
        <f>tbl_MTG_Set[[#This Row],[Released On]]+tbl_MTG_Set[[#This Row],[Sell Window Month End]]*365.25/12</f>
        <v/>
      </c>
      <c r="X752" s="3">
        <f>AND(NOW()&gt;=tbl_MTG_Set[[#This Row],[Sell Window Start]], NOW()&lt;=tbl_MTG_Set[[#This Row],[Sell Window End]])</f>
        <v/>
      </c>
      <c r="AG752" s="10" t="n"/>
      <c r="AH752" s="10" t="n"/>
      <c r="AM752" s="10">
        <f t="array" ref="AM7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2" s="10">
        <f t="array" ref="AN7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2" s="4">
        <f>_xlfn.XLOOKUP(tbl_MTG_Set[[#This Row],[Play Booster Box Product Id]], tbl_Product[Product Id], tbl_Product[Pack Size])</f>
        <v/>
      </c>
      <c r="AP752" s="10">
        <f>(tbl_MTG_Set[[#This Row],[Play Booster Box Cost]]+v_Item_Shipping_Cost_In)/tbl_MTG_Set[[#This Row],[Play Booster Box Size]]</f>
        <v/>
      </c>
      <c r="AQ752" s="10">
        <f t="array" ref="AQ7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2" s="10" t="n"/>
      <c r="AS752" s="10" t="n"/>
      <c r="AT752" s="17">
        <f>tbl_MTG_Set[[#This Row],[Play Booster CardMarket Profit]]/tbl_MTG_Set[[#This Row],[Play Booster Cost]]</f>
        <v/>
      </c>
      <c r="AU752" s="10">
        <f>_xlfn.XLOOKUP(tbl_MTG_Set[[#This Row],[Collector Booster Box Product Id]], tbl_Product[Product Id], tbl_Product[Min Cost])</f>
        <v/>
      </c>
      <c r="AV752" s="10">
        <f>_xlfn.XLOOKUP(tbl_MTG_Set[[#This Row],[Collector Booster Box Product Id]], tbl_Product[Product Id], tbl_Product[Best Source])</f>
        <v/>
      </c>
      <c r="AW752" s="4">
        <f>_xlfn.XLOOKUP(tbl_MTG_Set[[#This Row],[Collector Booster Box Product Id]], tbl_Product[Product Id], tbl_Product[Pack Size])</f>
        <v/>
      </c>
      <c r="AX752" s="10">
        <f>(tbl_MTG_Set[[#This Row],[Collector Booster Box Cost]] + v_Item_Shipping_Cost_In) / tbl_MTG_Set[[#This Row],[Collector Booster Box Size]]</f>
        <v/>
      </c>
      <c r="AY752" s="10">
        <f t="array" ref="AY7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2" s="10" t="n"/>
      <c r="BA7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2" s="17">
        <f>tbl_MTG_Set[[#This Row],[Collector Booster CardMarket Profit]]/tbl_MTG_Set[[#This Row],[Collector Booster Cost]]</f>
        <v/>
      </c>
      <c r="BC752" s="10" t="n"/>
      <c r="BF752" s="10">
        <f>tbl_MTG_Set[[#This Row],[Play Booster Sell Price CardMarket]]*tbl_MTG_Set[[#This Row],[Play Booster Expected Market Value]]/tbl_MTG_Set[[#This Row],[Play Boost Sealed Market Value]]</f>
        <v/>
      </c>
      <c r="BG7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2" s="10">
        <f>tbl_MTG_Set[[#This Row],[Play Singles CardMarket Profit]]/tbl_MTG_Set[[#This Row],[Play Booster Cost]]</f>
        <v/>
      </c>
      <c r="BI752" s="10">
        <f>tbl_MTG_Set[[#This Row],[Play Singles CardMarket Profit]]&gt;0</f>
        <v/>
      </c>
      <c r="BJ752" s="10" t="n"/>
      <c r="BK752" s="10" t="n"/>
      <c r="BL752" s="10">
        <f>tbl_MTG_Set[[#This Row],[Collector Booster Sell Price CardMarket]]*tbl_MTG_Set[[#This Row],[Collector Booster Expected Market Value]]/tbl_MTG_Set[[#This Row],[Collector Boost Sealed Market Value]]</f>
        <v/>
      </c>
      <c r="BM7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2" s="10">
        <f>tbl_MTG_Set[[#This Row],[Collector Singles CardMarket Profit]]/tbl_MTG_Set[[#This Row],[Collector Booster Cost]]</f>
        <v/>
      </c>
      <c r="BO752" s="10">
        <f>tbl_MTG_Set[[#This Row],[Collector Singles CardMarket Profit]]&gt;0</f>
        <v/>
      </c>
      <c r="BP7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3">
      <c r="A753" t="n">
        <v>751</v>
      </c>
      <c r="B753" t="inlineStr">
        <is>
          <t>Duel Decks: Elspeth vs. Tezzeret DDF</t>
        </is>
      </c>
      <c r="C753" t="n">
        <v>79</v>
      </c>
      <c r="D753" s="3" t="n">
        <v>40424</v>
      </c>
      <c r="F753" t="inlineStr">
        <is>
          <t>en es fr de it pt ja ko ru 汉语 漢語</t>
        </is>
      </c>
      <c r="G753" t="n">
        <v>1448</v>
      </c>
      <c r="H753">
        <f>MONTH(NOW())+12*YEAR(NOW())-MONTH(tbl_MTG_Set[[#This Row],[Released On]])-12*YEAR(tbl_MTG_Set[[#This Row],[Released On]])</f>
        <v/>
      </c>
      <c r="I753">
        <f>_xlfn.XLOOKUP(tbl_MTG_Set[[#This Row],[Type Name]], tbl_MTG_Set_Type[Set Type], tbl_MTG_Set_Type[Index], "(Set Type not found)")</f>
        <v/>
      </c>
      <c r="J753">
        <f>_xlfn.XLOOKUP(tbl_MTG_Set[[#This Row],[Type Name]], tbl_MTG_Set_Type[Set Type], tbl_MTG_Set_Type[Buy Window Month Start], "(Set Type not found)")</f>
        <v/>
      </c>
      <c r="K753" s="3">
        <f>tbl_MTG_Set[[#This Row],[Released On]]+tbl_MTG_Set[[#This Row],[Buy Window Month Start]]*365.25/12</f>
        <v/>
      </c>
      <c r="L753">
        <f>_xlfn.XLOOKUP(tbl_MTG_Set[[#This Row],[Type Name]], tbl_MTG_Set_Type[Set Type], tbl_MTG_Set_Type[Buy Window Month End], "(Set Type not found)", 0, 1)</f>
        <v/>
      </c>
      <c r="M753" s="3">
        <f>tbl_MTG_Set[[#This Row],[Released On]]+tbl_MTG_Set[[#This Row],[Buy Window Month End]]*365.25/12</f>
        <v/>
      </c>
      <c r="N753" s="3">
        <f>AND(NOW()&gt;=tbl_MTG_Set[[#This Row],[Buy Window Start]], NOW()&lt;=tbl_MTG_Set[[#This Row],[Buy Window End]])</f>
        <v/>
      </c>
      <c r="O753">
        <f>_xlfn.XLOOKUP(tbl_MTG_Set[[#This Row],[Type Name]], tbl_MTG_Set_Type[Set Type], tbl_MTG_Set_Type[Heavy Printing Window Month Start], "(Set Type not found)", 0, 1)</f>
        <v/>
      </c>
      <c r="P753" s="3">
        <f>tbl_MTG_Set[[#This Row],[Released On]]+tbl_MTG_Set[[#This Row],[Heavy Printing Window Month Start]]*365.25/12</f>
        <v/>
      </c>
      <c r="Q753">
        <f>_xlfn.XLOOKUP(tbl_MTG_Set[[#This Row],[Type Name]], tbl_MTG_Set_Type[Set Type], tbl_MTG_Set_Type[Heavy Printing Window Month End], "(Set Type not found)", 0, 1)</f>
        <v/>
      </c>
      <c r="R753" s="3">
        <f>tbl_MTG_Set[[#This Row],[Released On]]+tbl_MTG_Set[[#This Row],[Heavy Printing Window Month End]]*365.25/12</f>
        <v/>
      </c>
      <c r="S753" s="3">
        <f>AND(NOW()&gt;=tbl_MTG_Set[[#This Row],[Heavy Printing Window Start]], NOW()&lt;=tbl_MTG_Set[[#This Row],[Heavy Printing Window End]])</f>
        <v/>
      </c>
      <c r="T753">
        <f>_xlfn.XLOOKUP(tbl_MTG_Set[[#This Row],[Type Name]], tbl_MTG_Set_Type[Set Type], tbl_MTG_Set_Type[Sell Window Month Start], "(Set Type not found)", 0, 1)</f>
        <v/>
      </c>
      <c r="U753" s="3">
        <f>tbl_MTG_Set[[#This Row],[Released On]]+tbl_MTG_Set[[#This Row],[Sell Window Month Start]]*365.25/12</f>
        <v/>
      </c>
      <c r="V753">
        <f>_xlfn.XLOOKUP(tbl_MTG_Set[[#This Row],[Type Name]], tbl_MTG_Set_Type[Set Type], tbl_MTG_Set_Type[Sell Window Month End], "(Set Type not found)", 0, 1)</f>
        <v/>
      </c>
      <c r="W753" s="3">
        <f>tbl_MTG_Set[[#This Row],[Released On]]+tbl_MTG_Set[[#This Row],[Sell Window Month End]]*365.25/12</f>
        <v/>
      </c>
      <c r="X753" s="3">
        <f>AND(NOW()&gt;=tbl_MTG_Set[[#This Row],[Sell Window Start]], NOW()&lt;=tbl_MTG_Set[[#This Row],[Sell Window End]])</f>
        <v/>
      </c>
      <c r="AG753" s="10" t="n"/>
      <c r="AH753" s="10" t="n"/>
      <c r="AM753" s="10">
        <f t="array" ref="AM7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3" s="10">
        <f t="array" ref="AN7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3" s="4">
        <f>_xlfn.XLOOKUP(tbl_MTG_Set[[#This Row],[Play Booster Box Product Id]], tbl_Product[Product Id], tbl_Product[Pack Size])</f>
        <v/>
      </c>
      <c r="AP753" s="10">
        <f>(tbl_MTG_Set[[#This Row],[Play Booster Box Cost]]+v_Item_Shipping_Cost_In)/tbl_MTG_Set[[#This Row],[Play Booster Box Size]]</f>
        <v/>
      </c>
      <c r="AQ753" s="10">
        <f t="array" ref="AQ7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3" s="10" t="n"/>
      <c r="AS753" s="10" t="n"/>
      <c r="AT753" s="17">
        <f>tbl_MTG_Set[[#This Row],[Play Booster CardMarket Profit]]/tbl_MTG_Set[[#This Row],[Play Booster Cost]]</f>
        <v/>
      </c>
      <c r="AU753" s="10">
        <f>_xlfn.XLOOKUP(tbl_MTG_Set[[#This Row],[Collector Booster Box Product Id]], tbl_Product[Product Id], tbl_Product[Min Cost])</f>
        <v/>
      </c>
      <c r="AV753" s="10">
        <f>_xlfn.XLOOKUP(tbl_MTG_Set[[#This Row],[Collector Booster Box Product Id]], tbl_Product[Product Id], tbl_Product[Best Source])</f>
        <v/>
      </c>
      <c r="AW753" s="4">
        <f>_xlfn.XLOOKUP(tbl_MTG_Set[[#This Row],[Collector Booster Box Product Id]], tbl_Product[Product Id], tbl_Product[Pack Size])</f>
        <v/>
      </c>
      <c r="AX753" s="10">
        <f>(tbl_MTG_Set[[#This Row],[Collector Booster Box Cost]] + v_Item_Shipping_Cost_In) / tbl_MTG_Set[[#This Row],[Collector Booster Box Size]]</f>
        <v/>
      </c>
      <c r="AY753" s="10">
        <f t="array" ref="AY7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3" s="10" t="n"/>
      <c r="BA7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3" s="17">
        <f>tbl_MTG_Set[[#This Row],[Collector Booster CardMarket Profit]]/tbl_MTG_Set[[#This Row],[Collector Booster Cost]]</f>
        <v/>
      </c>
      <c r="BC753" s="10" t="n"/>
      <c r="BF753" s="10">
        <f>tbl_MTG_Set[[#This Row],[Play Booster Sell Price CardMarket]]*tbl_MTG_Set[[#This Row],[Play Booster Expected Market Value]]/tbl_MTG_Set[[#This Row],[Play Boost Sealed Market Value]]</f>
        <v/>
      </c>
      <c r="BG7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3" s="10">
        <f>tbl_MTG_Set[[#This Row],[Play Singles CardMarket Profit]]/tbl_MTG_Set[[#This Row],[Play Booster Cost]]</f>
        <v/>
      </c>
      <c r="BI753" s="10">
        <f>tbl_MTG_Set[[#This Row],[Play Singles CardMarket Profit]]&gt;0</f>
        <v/>
      </c>
      <c r="BJ753" s="10" t="n"/>
      <c r="BK753" s="10" t="n"/>
      <c r="BL753" s="10">
        <f>tbl_MTG_Set[[#This Row],[Collector Booster Sell Price CardMarket]]*tbl_MTG_Set[[#This Row],[Collector Booster Expected Market Value]]/tbl_MTG_Set[[#This Row],[Collector Boost Sealed Market Value]]</f>
        <v/>
      </c>
      <c r="BM7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3" s="10">
        <f>tbl_MTG_Set[[#This Row],[Collector Singles CardMarket Profit]]/tbl_MTG_Set[[#This Row],[Collector Booster Cost]]</f>
        <v/>
      </c>
      <c r="BO753" s="10">
        <f>tbl_MTG_Set[[#This Row],[Collector Singles CardMarket Profit]]&gt;0</f>
        <v/>
      </c>
      <c r="BP7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4">
      <c r="A754" t="n">
        <v>752</v>
      </c>
      <c r="B754" t="inlineStr">
        <is>
          <t>Duel Decks: Elspeth vs. Tezzeret Tokens TDDF</t>
        </is>
      </c>
      <c r="C754" t="n">
        <v>1</v>
      </c>
      <c r="D754" s="3" t="n">
        <v>40424</v>
      </c>
      <c r="F754" t="inlineStr">
        <is>
          <t>en es fr de it pt ja ko ru 汉语 漢語</t>
        </is>
      </c>
      <c r="G754" t="n">
        <v>1450</v>
      </c>
      <c r="H754">
        <f>MONTH(NOW())+12*YEAR(NOW())-MONTH(tbl_MTG_Set[[#This Row],[Released On]])-12*YEAR(tbl_MTG_Set[[#This Row],[Released On]])</f>
        <v/>
      </c>
      <c r="I754">
        <f>_xlfn.XLOOKUP(tbl_MTG_Set[[#This Row],[Type Name]], tbl_MTG_Set_Type[Set Type], tbl_MTG_Set_Type[Index], "(Set Type not found)")</f>
        <v/>
      </c>
      <c r="J754">
        <f>_xlfn.XLOOKUP(tbl_MTG_Set[[#This Row],[Type Name]], tbl_MTG_Set_Type[Set Type], tbl_MTG_Set_Type[Buy Window Month Start], "(Set Type not found)")</f>
        <v/>
      </c>
      <c r="K754" s="3">
        <f>tbl_MTG_Set[[#This Row],[Released On]]+tbl_MTG_Set[[#This Row],[Buy Window Month Start]]*365.25/12</f>
        <v/>
      </c>
      <c r="L754">
        <f>_xlfn.XLOOKUP(tbl_MTG_Set[[#This Row],[Type Name]], tbl_MTG_Set_Type[Set Type], tbl_MTG_Set_Type[Buy Window Month End], "(Set Type not found)", 0, 1)</f>
        <v/>
      </c>
      <c r="M754" s="3">
        <f>tbl_MTG_Set[[#This Row],[Released On]]+tbl_MTG_Set[[#This Row],[Buy Window Month End]]*365.25/12</f>
        <v/>
      </c>
      <c r="N754" s="3">
        <f>AND(NOW()&gt;=tbl_MTG_Set[[#This Row],[Buy Window Start]], NOW()&lt;=tbl_MTG_Set[[#This Row],[Buy Window End]])</f>
        <v/>
      </c>
      <c r="O754">
        <f>_xlfn.XLOOKUP(tbl_MTG_Set[[#This Row],[Type Name]], tbl_MTG_Set_Type[Set Type], tbl_MTG_Set_Type[Heavy Printing Window Month Start], "(Set Type not found)", 0, 1)</f>
        <v/>
      </c>
      <c r="P754" s="3">
        <f>tbl_MTG_Set[[#This Row],[Released On]]+tbl_MTG_Set[[#This Row],[Heavy Printing Window Month Start]]*365.25/12</f>
        <v/>
      </c>
      <c r="Q754">
        <f>_xlfn.XLOOKUP(tbl_MTG_Set[[#This Row],[Type Name]], tbl_MTG_Set_Type[Set Type], tbl_MTG_Set_Type[Heavy Printing Window Month End], "(Set Type not found)", 0, 1)</f>
        <v/>
      </c>
      <c r="R754" s="3">
        <f>tbl_MTG_Set[[#This Row],[Released On]]+tbl_MTG_Set[[#This Row],[Heavy Printing Window Month End]]*365.25/12</f>
        <v/>
      </c>
      <c r="S754" s="3">
        <f>AND(NOW()&gt;=tbl_MTG_Set[[#This Row],[Heavy Printing Window Start]], NOW()&lt;=tbl_MTG_Set[[#This Row],[Heavy Printing Window End]])</f>
        <v/>
      </c>
      <c r="T754">
        <f>_xlfn.XLOOKUP(tbl_MTG_Set[[#This Row],[Type Name]], tbl_MTG_Set_Type[Set Type], tbl_MTG_Set_Type[Sell Window Month Start], "(Set Type not found)", 0, 1)</f>
        <v/>
      </c>
      <c r="U754" s="3">
        <f>tbl_MTG_Set[[#This Row],[Released On]]+tbl_MTG_Set[[#This Row],[Sell Window Month Start]]*365.25/12</f>
        <v/>
      </c>
      <c r="V754">
        <f>_xlfn.XLOOKUP(tbl_MTG_Set[[#This Row],[Type Name]], tbl_MTG_Set_Type[Set Type], tbl_MTG_Set_Type[Sell Window Month End], "(Set Type not found)", 0, 1)</f>
        <v/>
      </c>
      <c r="W754" s="3">
        <f>tbl_MTG_Set[[#This Row],[Released On]]+tbl_MTG_Set[[#This Row],[Sell Window Month End]]*365.25/12</f>
        <v/>
      </c>
      <c r="X754" s="3">
        <f>AND(NOW()&gt;=tbl_MTG_Set[[#This Row],[Sell Window Start]], NOW()&lt;=tbl_MTG_Set[[#This Row],[Sell Window End]])</f>
        <v/>
      </c>
      <c r="AG754" s="10" t="n"/>
      <c r="AH754" s="10" t="n"/>
      <c r="AM754" s="10">
        <f t="array" ref="AM7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4" s="10">
        <f t="array" ref="AN7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4" s="4">
        <f>_xlfn.XLOOKUP(tbl_MTG_Set[[#This Row],[Play Booster Box Product Id]], tbl_Product[Product Id], tbl_Product[Pack Size])</f>
        <v/>
      </c>
      <c r="AP754" s="10">
        <f>(tbl_MTG_Set[[#This Row],[Play Booster Box Cost]]+v_Item_Shipping_Cost_In)/tbl_MTG_Set[[#This Row],[Play Booster Box Size]]</f>
        <v/>
      </c>
      <c r="AQ754" s="10">
        <f t="array" ref="AQ7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4" s="10" t="n"/>
      <c r="AS754" s="10" t="n"/>
      <c r="AT754" s="17">
        <f>tbl_MTG_Set[[#This Row],[Play Booster CardMarket Profit]]/tbl_MTG_Set[[#This Row],[Play Booster Cost]]</f>
        <v/>
      </c>
      <c r="AU754" s="10">
        <f>_xlfn.XLOOKUP(tbl_MTG_Set[[#This Row],[Collector Booster Box Product Id]], tbl_Product[Product Id], tbl_Product[Min Cost])</f>
        <v/>
      </c>
      <c r="AV754" s="10">
        <f>_xlfn.XLOOKUP(tbl_MTG_Set[[#This Row],[Collector Booster Box Product Id]], tbl_Product[Product Id], tbl_Product[Best Source])</f>
        <v/>
      </c>
      <c r="AW754" s="4">
        <f>_xlfn.XLOOKUP(tbl_MTG_Set[[#This Row],[Collector Booster Box Product Id]], tbl_Product[Product Id], tbl_Product[Pack Size])</f>
        <v/>
      </c>
      <c r="AX754" s="10">
        <f>(tbl_MTG_Set[[#This Row],[Collector Booster Box Cost]] + v_Item_Shipping_Cost_In) / tbl_MTG_Set[[#This Row],[Collector Booster Box Size]]</f>
        <v/>
      </c>
      <c r="AY754" s="10">
        <f t="array" ref="AY7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4" s="10" t="n"/>
      <c r="BA7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4" s="17">
        <f>tbl_MTG_Set[[#This Row],[Collector Booster CardMarket Profit]]/tbl_MTG_Set[[#This Row],[Collector Booster Cost]]</f>
        <v/>
      </c>
      <c r="BC754" s="10" t="n"/>
      <c r="BF754" s="10">
        <f>tbl_MTG_Set[[#This Row],[Play Booster Sell Price CardMarket]]*tbl_MTG_Set[[#This Row],[Play Booster Expected Market Value]]/tbl_MTG_Set[[#This Row],[Play Boost Sealed Market Value]]</f>
        <v/>
      </c>
      <c r="BG7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4" s="10">
        <f>tbl_MTG_Set[[#This Row],[Play Singles CardMarket Profit]]/tbl_MTG_Set[[#This Row],[Play Booster Cost]]</f>
        <v/>
      </c>
      <c r="BI754" s="10">
        <f>tbl_MTG_Set[[#This Row],[Play Singles CardMarket Profit]]&gt;0</f>
        <v/>
      </c>
      <c r="BJ754" s="10" t="n"/>
      <c r="BK754" s="10" t="n"/>
      <c r="BL754" s="10">
        <f>tbl_MTG_Set[[#This Row],[Collector Booster Sell Price CardMarket]]*tbl_MTG_Set[[#This Row],[Collector Booster Expected Market Value]]/tbl_MTG_Set[[#This Row],[Collector Boost Sealed Market Value]]</f>
        <v/>
      </c>
      <c r="BM7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4" s="10">
        <f>tbl_MTG_Set[[#This Row],[Collector Singles CardMarket Profit]]/tbl_MTG_Set[[#This Row],[Collector Booster Cost]]</f>
        <v/>
      </c>
      <c r="BO754" s="10">
        <f>tbl_MTG_Set[[#This Row],[Collector Singles CardMarket Profit]]&gt;0</f>
        <v/>
      </c>
      <c r="BP7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5">
      <c r="A755" t="n">
        <v>753</v>
      </c>
      <c r="B755" t="inlineStr">
        <is>
          <t>From the Vault: Relics V10</t>
        </is>
      </c>
      <c r="C755" t="n">
        <v>15</v>
      </c>
      <c r="D755" s="3" t="n">
        <v>40417</v>
      </c>
      <c r="F755" t="inlineStr">
        <is>
          <t>en es fr de it pt ja ko ru 汉语 漢語</t>
        </is>
      </c>
      <c r="G755" t="n">
        <v>1452</v>
      </c>
      <c r="H755">
        <f>MONTH(NOW())+12*YEAR(NOW())-MONTH(tbl_MTG_Set[[#This Row],[Released On]])-12*YEAR(tbl_MTG_Set[[#This Row],[Released On]])</f>
        <v/>
      </c>
      <c r="I755">
        <f>_xlfn.XLOOKUP(tbl_MTG_Set[[#This Row],[Type Name]], tbl_MTG_Set_Type[Set Type], tbl_MTG_Set_Type[Index], "(Set Type not found)")</f>
        <v/>
      </c>
      <c r="J755">
        <f>_xlfn.XLOOKUP(tbl_MTG_Set[[#This Row],[Type Name]], tbl_MTG_Set_Type[Set Type], tbl_MTG_Set_Type[Buy Window Month Start], "(Set Type not found)")</f>
        <v/>
      </c>
      <c r="K755" s="3">
        <f>tbl_MTG_Set[[#This Row],[Released On]]+tbl_MTG_Set[[#This Row],[Buy Window Month Start]]*365.25/12</f>
        <v/>
      </c>
      <c r="L755">
        <f>_xlfn.XLOOKUP(tbl_MTG_Set[[#This Row],[Type Name]], tbl_MTG_Set_Type[Set Type], tbl_MTG_Set_Type[Buy Window Month End], "(Set Type not found)", 0, 1)</f>
        <v/>
      </c>
      <c r="M755" s="3">
        <f>tbl_MTG_Set[[#This Row],[Released On]]+tbl_MTG_Set[[#This Row],[Buy Window Month End]]*365.25/12</f>
        <v/>
      </c>
      <c r="N755" s="3">
        <f>AND(NOW()&gt;=tbl_MTG_Set[[#This Row],[Buy Window Start]], NOW()&lt;=tbl_MTG_Set[[#This Row],[Buy Window End]])</f>
        <v/>
      </c>
      <c r="O755">
        <f>_xlfn.XLOOKUP(tbl_MTG_Set[[#This Row],[Type Name]], tbl_MTG_Set_Type[Set Type], tbl_MTG_Set_Type[Heavy Printing Window Month Start], "(Set Type not found)", 0, 1)</f>
        <v/>
      </c>
      <c r="P755" s="3">
        <f>tbl_MTG_Set[[#This Row],[Released On]]+tbl_MTG_Set[[#This Row],[Heavy Printing Window Month Start]]*365.25/12</f>
        <v/>
      </c>
      <c r="Q755">
        <f>_xlfn.XLOOKUP(tbl_MTG_Set[[#This Row],[Type Name]], tbl_MTG_Set_Type[Set Type], tbl_MTG_Set_Type[Heavy Printing Window Month End], "(Set Type not found)", 0, 1)</f>
        <v/>
      </c>
      <c r="R755" s="3">
        <f>tbl_MTG_Set[[#This Row],[Released On]]+tbl_MTG_Set[[#This Row],[Heavy Printing Window Month End]]*365.25/12</f>
        <v/>
      </c>
      <c r="S755" s="3">
        <f>AND(NOW()&gt;=tbl_MTG_Set[[#This Row],[Heavy Printing Window Start]], NOW()&lt;=tbl_MTG_Set[[#This Row],[Heavy Printing Window End]])</f>
        <v/>
      </c>
      <c r="T755">
        <f>_xlfn.XLOOKUP(tbl_MTG_Set[[#This Row],[Type Name]], tbl_MTG_Set_Type[Set Type], tbl_MTG_Set_Type[Sell Window Month Start], "(Set Type not found)", 0, 1)</f>
        <v/>
      </c>
      <c r="U755" s="3">
        <f>tbl_MTG_Set[[#This Row],[Released On]]+tbl_MTG_Set[[#This Row],[Sell Window Month Start]]*365.25/12</f>
        <v/>
      </c>
      <c r="V755">
        <f>_xlfn.XLOOKUP(tbl_MTG_Set[[#This Row],[Type Name]], tbl_MTG_Set_Type[Set Type], tbl_MTG_Set_Type[Sell Window Month End], "(Set Type not found)", 0, 1)</f>
        <v/>
      </c>
      <c r="W755" s="3">
        <f>tbl_MTG_Set[[#This Row],[Released On]]+tbl_MTG_Set[[#This Row],[Sell Window Month End]]*365.25/12</f>
        <v/>
      </c>
      <c r="X755" s="3">
        <f>AND(NOW()&gt;=tbl_MTG_Set[[#This Row],[Sell Window Start]], NOW()&lt;=tbl_MTG_Set[[#This Row],[Sell Window End]])</f>
        <v/>
      </c>
      <c r="AG755" s="10" t="n"/>
      <c r="AH755" s="10" t="n"/>
      <c r="AM755" s="10">
        <f t="array" ref="AM7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5" s="10">
        <f t="array" ref="AN7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5" s="4">
        <f>_xlfn.XLOOKUP(tbl_MTG_Set[[#This Row],[Play Booster Box Product Id]], tbl_Product[Product Id], tbl_Product[Pack Size])</f>
        <v/>
      </c>
      <c r="AP755" s="10">
        <f>(tbl_MTG_Set[[#This Row],[Play Booster Box Cost]]+v_Item_Shipping_Cost_In)/tbl_MTG_Set[[#This Row],[Play Booster Box Size]]</f>
        <v/>
      </c>
      <c r="AQ755" s="10">
        <f t="array" ref="AQ7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5" s="10" t="n"/>
      <c r="AS755" s="10" t="n"/>
      <c r="AT755" s="17">
        <f>tbl_MTG_Set[[#This Row],[Play Booster CardMarket Profit]]/tbl_MTG_Set[[#This Row],[Play Booster Cost]]</f>
        <v/>
      </c>
      <c r="AU755" s="10">
        <f>_xlfn.XLOOKUP(tbl_MTG_Set[[#This Row],[Collector Booster Box Product Id]], tbl_Product[Product Id], tbl_Product[Min Cost])</f>
        <v/>
      </c>
      <c r="AV755" s="10">
        <f>_xlfn.XLOOKUP(tbl_MTG_Set[[#This Row],[Collector Booster Box Product Id]], tbl_Product[Product Id], tbl_Product[Best Source])</f>
        <v/>
      </c>
      <c r="AW755" s="4">
        <f>_xlfn.XLOOKUP(tbl_MTG_Set[[#This Row],[Collector Booster Box Product Id]], tbl_Product[Product Id], tbl_Product[Pack Size])</f>
        <v/>
      </c>
      <c r="AX755" s="10">
        <f>(tbl_MTG_Set[[#This Row],[Collector Booster Box Cost]] + v_Item_Shipping_Cost_In) / tbl_MTG_Set[[#This Row],[Collector Booster Box Size]]</f>
        <v/>
      </c>
      <c r="AY755" s="10">
        <f t="array" ref="AY7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5" s="10" t="n"/>
      <c r="BA7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5" s="17">
        <f>tbl_MTG_Set[[#This Row],[Collector Booster CardMarket Profit]]/tbl_MTG_Set[[#This Row],[Collector Booster Cost]]</f>
        <v/>
      </c>
      <c r="BC755" s="10" t="n"/>
      <c r="BF755" s="10">
        <f>tbl_MTG_Set[[#This Row],[Play Booster Sell Price CardMarket]]*tbl_MTG_Set[[#This Row],[Play Booster Expected Market Value]]/tbl_MTG_Set[[#This Row],[Play Boost Sealed Market Value]]</f>
        <v/>
      </c>
      <c r="BG7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5" s="10">
        <f>tbl_MTG_Set[[#This Row],[Play Singles CardMarket Profit]]/tbl_MTG_Set[[#This Row],[Play Booster Cost]]</f>
        <v/>
      </c>
      <c r="BI755" s="10">
        <f>tbl_MTG_Set[[#This Row],[Play Singles CardMarket Profit]]&gt;0</f>
        <v/>
      </c>
      <c r="BJ755" s="10" t="n"/>
      <c r="BK755" s="10" t="n"/>
      <c r="BL755" s="10">
        <f>tbl_MTG_Set[[#This Row],[Collector Booster Sell Price CardMarket]]*tbl_MTG_Set[[#This Row],[Collector Booster Expected Market Value]]/tbl_MTG_Set[[#This Row],[Collector Boost Sealed Market Value]]</f>
        <v/>
      </c>
      <c r="BM7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5" s="10">
        <f>tbl_MTG_Set[[#This Row],[Collector Singles CardMarket Profit]]/tbl_MTG_Set[[#This Row],[Collector Booster Cost]]</f>
        <v/>
      </c>
      <c r="BO755" s="10">
        <f>tbl_MTG_Set[[#This Row],[Collector Singles CardMarket Profit]]&gt;0</f>
        <v/>
      </c>
      <c r="BP7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6">
      <c r="A756" t="n">
        <v>754</v>
      </c>
      <c r="B756" t="inlineStr">
        <is>
          <t>Magic 2011 M11</t>
        </is>
      </c>
      <c r="C756" t="n">
        <v>249</v>
      </c>
      <c r="D756" s="3" t="n">
        <v>40375</v>
      </c>
      <c r="F756" t="inlineStr">
        <is>
          <t>en es fr de it pt ja ko ru 汉语 漢語</t>
        </is>
      </c>
      <c r="G756" t="n">
        <v>1454</v>
      </c>
      <c r="H756">
        <f>MONTH(NOW())+12*YEAR(NOW())-MONTH(tbl_MTG_Set[[#This Row],[Released On]])-12*YEAR(tbl_MTG_Set[[#This Row],[Released On]])</f>
        <v/>
      </c>
      <c r="I756">
        <f>_xlfn.XLOOKUP(tbl_MTG_Set[[#This Row],[Type Name]], tbl_MTG_Set_Type[Set Type], tbl_MTG_Set_Type[Index], "(Set Type not found)")</f>
        <v/>
      </c>
      <c r="J756">
        <f>_xlfn.XLOOKUP(tbl_MTG_Set[[#This Row],[Type Name]], tbl_MTG_Set_Type[Set Type], tbl_MTG_Set_Type[Buy Window Month Start], "(Set Type not found)")</f>
        <v/>
      </c>
      <c r="K756" s="3">
        <f>tbl_MTG_Set[[#This Row],[Released On]]+tbl_MTG_Set[[#This Row],[Buy Window Month Start]]*365.25/12</f>
        <v/>
      </c>
      <c r="L756">
        <f>_xlfn.XLOOKUP(tbl_MTG_Set[[#This Row],[Type Name]], tbl_MTG_Set_Type[Set Type], tbl_MTG_Set_Type[Buy Window Month End], "(Set Type not found)", 0, 1)</f>
        <v/>
      </c>
      <c r="M756" s="3">
        <f>tbl_MTG_Set[[#This Row],[Released On]]+tbl_MTG_Set[[#This Row],[Buy Window Month End]]*365.25/12</f>
        <v/>
      </c>
      <c r="N756" s="3">
        <f>AND(NOW()&gt;=tbl_MTG_Set[[#This Row],[Buy Window Start]], NOW()&lt;=tbl_MTG_Set[[#This Row],[Buy Window End]])</f>
        <v/>
      </c>
      <c r="O756">
        <f>_xlfn.XLOOKUP(tbl_MTG_Set[[#This Row],[Type Name]], tbl_MTG_Set_Type[Set Type], tbl_MTG_Set_Type[Heavy Printing Window Month Start], "(Set Type not found)", 0, 1)</f>
        <v/>
      </c>
      <c r="P756" s="3">
        <f>tbl_MTG_Set[[#This Row],[Released On]]+tbl_MTG_Set[[#This Row],[Heavy Printing Window Month Start]]*365.25/12</f>
        <v/>
      </c>
      <c r="Q756">
        <f>_xlfn.XLOOKUP(tbl_MTG_Set[[#This Row],[Type Name]], tbl_MTG_Set_Type[Set Type], tbl_MTG_Set_Type[Heavy Printing Window Month End], "(Set Type not found)", 0, 1)</f>
        <v/>
      </c>
      <c r="R756" s="3">
        <f>tbl_MTG_Set[[#This Row],[Released On]]+tbl_MTG_Set[[#This Row],[Heavy Printing Window Month End]]*365.25/12</f>
        <v/>
      </c>
      <c r="S756" s="3">
        <f>AND(NOW()&gt;=tbl_MTG_Set[[#This Row],[Heavy Printing Window Start]], NOW()&lt;=tbl_MTG_Set[[#This Row],[Heavy Printing Window End]])</f>
        <v/>
      </c>
      <c r="T756">
        <f>_xlfn.XLOOKUP(tbl_MTG_Set[[#This Row],[Type Name]], tbl_MTG_Set_Type[Set Type], tbl_MTG_Set_Type[Sell Window Month Start], "(Set Type not found)", 0, 1)</f>
        <v/>
      </c>
      <c r="U756" s="3">
        <f>tbl_MTG_Set[[#This Row],[Released On]]+tbl_MTG_Set[[#This Row],[Sell Window Month Start]]*365.25/12</f>
        <v/>
      </c>
      <c r="V756">
        <f>_xlfn.XLOOKUP(tbl_MTG_Set[[#This Row],[Type Name]], tbl_MTG_Set_Type[Set Type], tbl_MTG_Set_Type[Sell Window Month End], "(Set Type not found)", 0, 1)</f>
        <v/>
      </c>
      <c r="W756" s="3">
        <f>tbl_MTG_Set[[#This Row],[Released On]]+tbl_MTG_Set[[#This Row],[Sell Window Month End]]*365.25/12</f>
        <v/>
      </c>
      <c r="X756" s="3">
        <f>AND(NOW()&gt;=tbl_MTG_Set[[#This Row],[Sell Window Start]], NOW()&lt;=tbl_MTG_Set[[#This Row],[Sell Window End]])</f>
        <v/>
      </c>
      <c r="AG756" s="10" t="n"/>
      <c r="AH756" s="10" t="n"/>
      <c r="AM756" s="10">
        <f t="array" ref="AM7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6" s="10">
        <f t="array" ref="AN7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6" s="4">
        <f>_xlfn.XLOOKUP(tbl_MTG_Set[[#This Row],[Play Booster Box Product Id]], tbl_Product[Product Id], tbl_Product[Pack Size])</f>
        <v/>
      </c>
      <c r="AP756" s="10">
        <f>(tbl_MTG_Set[[#This Row],[Play Booster Box Cost]]+v_Item_Shipping_Cost_In)/tbl_MTG_Set[[#This Row],[Play Booster Box Size]]</f>
        <v/>
      </c>
      <c r="AQ756" s="10">
        <f t="array" ref="AQ7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6" s="10" t="n"/>
      <c r="AS756" s="10" t="n"/>
      <c r="AT756" s="17">
        <f>tbl_MTG_Set[[#This Row],[Play Booster CardMarket Profit]]/tbl_MTG_Set[[#This Row],[Play Booster Cost]]</f>
        <v/>
      </c>
      <c r="AU756" s="10">
        <f>_xlfn.XLOOKUP(tbl_MTG_Set[[#This Row],[Collector Booster Box Product Id]], tbl_Product[Product Id], tbl_Product[Min Cost])</f>
        <v/>
      </c>
      <c r="AV756" s="10">
        <f>_xlfn.XLOOKUP(tbl_MTG_Set[[#This Row],[Collector Booster Box Product Id]], tbl_Product[Product Id], tbl_Product[Best Source])</f>
        <v/>
      </c>
      <c r="AW756" s="4">
        <f>_xlfn.XLOOKUP(tbl_MTG_Set[[#This Row],[Collector Booster Box Product Id]], tbl_Product[Product Id], tbl_Product[Pack Size])</f>
        <v/>
      </c>
      <c r="AX756" s="10">
        <f>(tbl_MTG_Set[[#This Row],[Collector Booster Box Cost]] + v_Item_Shipping_Cost_In) / tbl_MTG_Set[[#This Row],[Collector Booster Box Size]]</f>
        <v/>
      </c>
      <c r="AY756" s="10">
        <f t="array" ref="AY7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6" s="10" t="n"/>
      <c r="BA7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6" s="17">
        <f>tbl_MTG_Set[[#This Row],[Collector Booster CardMarket Profit]]/tbl_MTG_Set[[#This Row],[Collector Booster Cost]]</f>
        <v/>
      </c>
      <c r="BC756" s="10" t="n"/>
      <c r="BF756" s="10">
        <f>tbl_MTG_Set[[#This Row],[Play Booster Sell Price CardMarket]]*tbl_MTG_Set[[#This Row],[Play Booster Expected Market Value]]/tbl_MTG_Set[[#This Row],[Play Boost Sealed Market Value]]</f>
        <v/>
      </c>
      <c r="BG7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6" s="10">
        <f>tbl_MTG_Set[[#This Row],[Play Singles CardMarket Profit]]/tbl_MTG_Set[[#This Row],[Play Booster Cost]]</f>
        <v/>
      </c>
      <c r="BI756" s="10">
        <f>tbl_MTG_Set[[#This Row],[Play Singles CardMarket Profit]]&gt;0</f>
        <v/>
      </c>
      <c r="BJ756" s="10" t="n"/>
      <c r="BK756" s="10" t="n"/>
      <c r="BL756" s="10">
        <f>tbl_MTG_Set[[#This Row],[Collector Booster Sell Price CardMarket]]*tbl_MTG_Set[[#This Row],[Collector Booster Expected Market Value]]/tbl_MTG_Set[[#This Row],[Collector Boost Sealed Market Value]]</f>
        <v/>
      </c>
      <c r="BM7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6" s="10">
        <f>tbl_MTG_Set[[#This Row],[Collector Singles CardMarket Profit]]/tbl_MTG_Set[[#This Row],[Collector Booster Cost]]</f>
        <v/>
      </c>
      <c r="BO756" s="10">
        <f>tbl_MTG_Set[[#This Row],[Collector Singles CardMarket Profit]]&gt;0</f>
        <v/>
      </c>
      <c r="BP7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7">
      <c r="A757" t="n">
        <v>755</v>
      </c>
      <c r="B757" t="inlineStr">
        <is>
          <t>Magic 2011 Promos PM11</t>
        </is>
      </c>
      <c r="C757" t="n">
        <v>6</v>
      </c>
      <c r="D757" s="3" t="n">
        <v>40374</v>
      </c>
      <c r="F757" t="inlineStr">
        <is>
          <t>en es fr de it pt ja ko ru 汉语 漢語</t>
        </is>
      </c>
      <c r="G757" t="n">
        <v>1456</v>
      </c>
      <c r="H757">
        <f>MONTH(NOW())+12*YEAR(NOW())-MONTH(tbl_MTG_Set[[#This Row],[Released On]])-12*YEAR(tbl_MTG_Set[[#This Row],[Released On]])</f>
        <v/>
      </c>
      <c r="I757">
        <f>_xlfn.XLOOKUP(tbl_MTG_Set[[#This Row],[Type Name]], tbl_MTG_Set_Type[Set Type], tbl_MTG_Set_Type[Index], "(Set Type not found)")</f>
        <v/>
      </c>
      <c r="J757">
        <f>_xlfn.XLOOKUP(tbl_MTG_Set[[#This Row],[Type Name]], tbl_MTG_Set_Type[Set Type], tbl_MTG_Set_Type[Buy Window Month Start], "(Set Type not found)")</f>
        <v/>
      </c>
      <c r="K757" s="3">
        <f>tbl_MTG_Set[[#This Row],[Released On]]+tbl_MTG_Set[[#This Row],[Buy Window Month Start]]*365.25/12</f>
        <v/>
      </c>
      <c r="L757">
        <f>_xlfn.XLOOKUP(tbl_MTG_Set[[#This Row],[Type Name]], tbl_MTG_Set_Type[Set Type], tbl_MTG_Set_Type[Buy Window Month End], "(Set Type not found)", 0, 1)</f>
        <v/>
      </c>
      <c r="M757" s="3">
        <f>tbl_MTG_Set[[#This Row],[Released On]]+tbl_MTG_Set[[#This Row],[Buy Window Month End]]*365.25/12</f>
        <v/>
      </c>
      <c r="N757" s="3">
        <f>AND(NOW()&gt;=tbl_MTG_Set[[#This Row],[Buy Window Start]], NOW()&lt;=tbl_MTG_Set[[#This Row],[Buy Window End]])</f>
        <v/>
      </c>
      <c r="O757">
        <f>_xlfn.XLOOKUP(tbl_MTG_Set[[#This Row],[Type Name]], tbl_MTG_Set_Type[Set Type], tbl_MTG_Set_Type[Heavy Printing Window Month Start], "(Set Type not found)", 0, 1)</f>
        <v/>
      </c>
      <c r="P757" s="3">
        <f>tbl_MTG_Set[[#This Row],[Released On]]+tbl_MTG_Set[[#This Row],[Heavy Printing Window Month Start]]*365.25/12</f>
        <v/>
      </c>
      <c r="Q757">
        <f>_xlfn.XLOOKUP(tbl_MTG_Set[[#This Row],[Type Name]], tbl_MTG_Set_Type[Set Type], tbl_MTG_Set_Type[Heavy Printing Window Month End], "(Set Type not found)", 0, 1)</f>
        <v/>
      </c>
      <c r="R757" s="3">
        <f>tbl_MTG_Set[[#This Row],[Released On]]+tbl_MTG_Set[[#This Row],[Heavy Printing Window Month End]]*365.25/12</f>
        <v/>
      </c>
      <c r="S757" s="3">
        <f>AND(NOW()&gt;=tbl_MTG_Set[[#This Row],[Heavy Printing Window Start]], NOW()&lt;=tbl_MTG_Set[[#This Row],[Heavy Printing Window End]])</f>
        <v/>
      </c>
      <c r="T757">
        <f>_xlfn.XLOOKUP(tbl_MTG_Set[[#This Row],[Type Name]], tbl_MTG_Set_Type[Set Type], tbl_MTG_Set_Type[Sell Window Month Start], "(Set Type not found)", 0, 1)</f>
        <v/>
      </c>
      <c r="U757" s="3">
        <f>tbl_MTG_Set[[#This Row],[Released On]]+tbl_MTG_Set[[#This Row],[Sell Window Month Start]]*365.25/12</f>
        <v/>
      </c>
      <c r="V757">
        <f>_xlfn.XLOOKUP(tbl_MTG_Set[[#This Row],[Type Name]], tbl_MTG_Set_Type[Set Type], tbl_MTG_Set_Type[Sell Window Month End], "(Set Type not found)", 0, 1)</f>
        <v/>
      </c>
      <c r="W757" s="3">
        <f>tbl_MTG_Set[[#This Row],[Released On]]+tbl_MTG_Set[[#This Row],[Sell Window Month End]]*365.25/12</f>
        <v/>
      </c>
      <c r="X757" s="3">
        <f>AND(NOW()&gt;=tbl_MTG_Set[[#This Row],[Sell Window Start]], NOW()&lt;=tbl_MTG_Set[[#This Row],[Sell Window End]])</f>
        <v/>
      </c>
      <c r="AG757" s="10" t="n"/>
      <c r="AH757" s="10" t="n"/>
      <c r="AM757" s="10">
        <f t="array" ref="AM7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7" s="10">
        <f t="array" ref="AN7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7" s="4">
        <f>_xlfn.XLOOKUP(tbl_MTG_Set[[#This Row],[Play Booster Box Product Id]], tbl_Product[Product Id], tbl_Product[Pack Size])</f>
        <v/>
      </c>
      <c r="AP757" s="10">
        <f>(tbl_MTG_Set[[#This Row],[Play Booster Box Cost]]+v_Item_Shipping_Cost_In)/tbl_MTG_Set[[#This Row],[Play Booster Box Size]]</f>
        <v/>
      </c>
      <c r="AQ757" s="10">
        <f t="array" ref="AQ7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7" s="10" t="n"/>
      <c r="AS757" s="10" t="n"/>
      <c r="AT757" s="17">
        <f>tbl_MTG_Set[[#This Row],[Play Booster CardMarket Profit]]/tbl_MTG_Set[[#This Row],[Play Booster Cost]]</f>
        <v/>
      </c>
      <c r="AU757" s="10">
        <f>_xlfn.XLOOKUP(tbl_MTG_Set[[#This Row],[Collector Booster Box Product Id]], tbl_Product[Product Id], tbl_Product[Min Cost])</f>
        <v/>
      </c>
      <c r="AV757" s="10">
        <f>_xlfn.XLOOKUP(tbl_MTG_Set[[#This Row],[Collector Booster Box Product Id]], tbl_Product[Product Id], tbl_Product[Best Source])</f>
        <v/>
      </c>
      <c r="AW757" s="4">
        <f>_xlfn.XLOOKUP(tbl_MTG_Set[[#This Row],[Collector Booster Box Product Id]], tbl_Product[Product Id], tbl_Product[Pack Size])</f>
        <v/>
      </c>
      <c r="AX757" s="10">
        <f>(tbl_MTG_Set[[#This Row],[Collector Booster Box Cost]] + v_Item_Shipping_Cost_In) / tbl_MTG_Set[[#This Row],[Collector Booster Box Size]]</f>
        <v/>
      </c>
      <c r="AY757" s="10">
        <f t="array" ref="AY7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7" s="10" t="n"/>
      <c r="BA7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7" s="17">
        <f>tbl_MTG_Set[[#This Row],[Collector Booster CardMarket Profit]]/tbl_MTG_Set[[#This Row],[Collector Booster Cost]]</f>
        <v/>
      </c>
      <c r="BC757" s="10" t="n"/>
      <c r="BF757" s="10">
        <f>tbl_MTG_Set[[#This Row],[Play Booster Sell Price CardMarket]]*tbl_MTG_Set[[#This Row],[Play Booster Expected Market Value]]/tbl_MTG_Set[[#This Row],[Play Boost Sealed Market Value]]</f>
        <v/>
      </c>
      <c r="BG7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7" s="10">
        <f>tbl_MTG_Set[[#This Row],[Play Singles CardMarket Profit]]/tbl_MTG_Set[[#This Row],[Play Booster Cost]]</f>
        <v/>
      </c>
      <c r="BI757" s="10">
        <f>tbl_MTG_Set[[#This Row],[Play Singles CardMarket Profit]]&gt;0</f>
        <v/>
      </c>
      <c r="BJ757" s="10" t="n"/>
      <c r="BK757" s="10" t="n"/>
      <c r="BL757" s="10">
        <f>tbl_MTG_Set[[#This Row],[Collector Booster Sell Price CardMarket]]*tbl_MTG_Set[[#This Row],[Collector Booster Expected Market Value]]/tbl_MTG_Set[[#This Row],[Collector Boost Sealed Market Value]]</f>
        <v/>
      </c>
      <c r="BM7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7" s="10">
        <f>tbl_MTG_Set[[#This Row],[Collector Singles CardMarket Profit]]/tbl_MTG_Set[[#This Row],[Collector Booster Cost]]</f>
        <v/>
      </c>
      <c r="BO757" s="10">
        <f>tbl_MTG_Set[[#This Row],[Collector Singles CardMarket Profit]]&gt;0</f>
        <v/>
      </c>
      <c r="BP7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8">
      <c r="A758" t="n">
        <v>756</v>
      </c>
      <c r="B758" t="inlineStr">
        <is>
          <t>Magic 2011 Tokens TM11</t>
        </is>
      </c>
      <c r="C758" t="n">
        <v>6</v>
      </c>
      <c r="D758" s="3" t="n">
        <v>40375</v>
      </c>
      <c r="F758" t="inlineStr">
        <is>
          <t>en es fr de it pt ja ko ru 汉语 漢語</t>
        </is>
      </c>
      <c r="G758" t="n">
        <v>1458</v>
      </c>
      <c r="H758">
        <f>MONTH(NOW())+12*YEAR(NOW())-MONTH(tbl_MTG_Set[[#This Row],[Released On]])-12*YEAR(tbl_MTG_Set[[#This Row],[Released On]])</f>
        <v/>
      </c>
      <c r="I758">
        <f>_xlfn.XLOOKUP(tbl_MTG_Set[[#This Row],[Type Name]], tbl_MTG_Set_Type[Set Type], tbl_MTG_Set_Type[Index], "(Set Type not found)")</f>
        <v/>
      </c>
      <c r="J758">
        <f>_xlfn.XLOOKUP(tbl_MTG_Set[[#This Row],[Type Name]], tbl_MTG_Set_Type[Set Type], tbl_MTG_Set_Type[Buy Window Month Start], "(Set Type not found)")</f>
        <v/>
      </c>
      <c r="K758" s="3">
        <f>tbl_MTG_Set[[#This Row],[Released On]]+tbl_MTG_Set[[#This Row],[Buy Window Month Start]]*365.25/12</f>
        <v/>
      </c>
      <c r="L758">
        <f>_xlfn.XLOOKUP(tbl_MTG_Set[[#This Row],[Type Name]], tbl_MTG_Set_Type[Set Type], tbl_MTG_Set_Type[Buy Window Month End], "(Set Type not found)", 0, 1)</f>
        <v/>
      </c>
      <c r="M758" s="3">
        <f>tbl_MTG_Set[[#This Row],[Released On]]+tbl_MTG_Set[[#This Row],[Buy Window Month End]]*365.25/12</f>
        <v/>
      </c>
      <c r="N758" s="3">
        <f>AND(NOW()&gt;=tbl_MTG_Set[[#This Row],[Buy Window Start]], NOW()&lt;=tbl_MTG_Set[[#This Row],[Buy Window End]])</f>
        <v/>
      </c>
      <c r="O758">
        <f>_xlfn.XLOOKUP(tbl_MTG_Set[[#This Row],[Type Name]], tbl_MTG_Set_Type[Set Type], tbl_MTG_Set_Type[Heavy Printing Window Month Start], "(Set Type not found)", 0, 1)</f>
        <v/>
      </c>
      <c r="P758" s="3">
        <f>tbl_MTG_Set[[#This Row],[Released On]]+tbl_MTG_Set[[#This Row],[Heavy Printing Window Month Start]]*365.25/12</f>
        <v/>
      </c>
      <c r="Q758">
        <f>_xlfn.XLOOKUP(tbl_MTG_Set[[#This Row],[Type Name]], tbl_MTG_Set_Type[Set Type], tbl_MTG_Set_Type[Heavy Printing Window Month End], "(Set Type not found)", 0, 1)</f>
        <v/>
      </c>
      <c r="R758" s="3">
        <f>tbl_MTG_Set[[#This Row],[Released On]]+tbl_MTG_Set[[#This Row],[Heavy Printing Window Month End]]*365.25/12</f>
        <v/>
      </c>
      <c r="S758" s="3">
        <f>AND(NOW()&gt;=tbl_MTG_Set[[#This Row],[Heavy Printing Window Start]], NOW()&lt;=tbl_MTG_Set[[#This Row],[Heavy Printing Window End]])</f>
        <v/>
      </c>
      <c r="T758">
        <f>_xlfn.XLOOKUP(tbl_MTG_Set[[#This Row],[Type Name]], tbl_MTG_Set_Type[Set Type], tbl_MTG_Set_Type[Sell Window Month Start], "(Set Type not found)", 0, 1)</f>
        <v/>
      </c>
      <c r="U758" s="3">
        <f>tbl_MTG_Set[[#This Row],[Released On]]+tbl_MTG_Set[[#This Row],[Sell Window Month Start]]*365.25/12</f>
        <v/>
      </c>
      <c r="V758">
        <f>_xlfn.XLOOKUP(tbl_MTG_Set[[#This Row],[Type Name]], tbl_MTG_Set_Type[Set Type], tbl_MTG_Set_Type[Sell Window Month End], "(Set Type not found)", 0, 1)</f>
        <v/>
      </c>
      <c r="W758" s="3">
        <f>tbl_MTG_Set[[#This Row],[Released On]]+tbl_MTG_Set[[#This Row],[Sell Window Month End]]*365.25/12</f>
        <v/>
      </c>
      <c r="X758" s="3">
        <f>AND(NOW()&gt;=tbl_MTG_Set[[#This Row],[Sell Window Start]], NOW()&lt;=tbl_MTG_Set[[#This Row],[Sell Window End]])</f>
        <v/>
      </c>
      <c r="AG758" s="10" t="n"/>
      <c r="AH758" s="10" t="n"/>
      <c r="AM758" s="10">
        <f t="array" ref="AM7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8" s="10">
        <f t="array" ref="AN7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8" s="4">
        <f>_xlfn.XLOOKUP(tbl_MTG_Set[[#This Row],[Play Booster Box Product Id]], tbl_Product[Product Id], tbl_Product[Pack Size])</f>
        <v/>
      </c>
      <c r="AP758" s="10">
        <f>(tbl_MTG_Set[[#This Row],[Play Booster Box Cost]]+v_Item_Shipping_Cost_In)/tbl_MTG_Set[[#This Row],[Play Booster Box Size]]</f>
        <v/>
      </c>
      <c r="AQ758" s="10">
        <f t="array" ref="AQ7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8" s="10" t="n"/>
      <c r="AS758" s="10" t="n"/>
      <c r="AT758" s="17">
        <f>tbl_MTG_Set[[#This Row],[Play Booster CardMarket Profit]]/tbl_MTG_Set[[#This Row],[Play Booster Cost]]</f>
        <v/>
      </c>
      <c r="AU758" s="10">
        <f>_xlfn.XLOOKUP(tbl_MTG_Set[[#This Row],[Collector Booster Box Product Id]], tbl_Product[Product Id], tbl_Product[Min Cost])</f>
        <v/>
      </c>
      <c r="AV758" s="10">
        <f>_xlfn.XLOOKUP(tbl_MTG_Set[[#This Row],[Collector Booster Box Product Id]], tbl_Product[Product Id], tbl_Product[Best Source])</f>
        <v/>
      </c>
      <c r="AW758" s="4">
        <f>_xlfn.XLOOKUP(tbl_MTG_Set[[#This Row],[Collector Booster Box Product Id]], tbl_Product[Product Id], tbl_Product[Pack Size])</f>
        <v/>
      </c>
      <c r="AX758" s="10">
        <f>(tbl_MTG_Set[[#This Row],[Collector Booster Box Cost]] + v_Item_Shipping_Cost_In) / tbl_MTG_Set[[#This Row],[Collector Booster Box Size]]</f>
        <v/>
      </c>
      <c r="AY758" s="10">
        <f t="array" ref="AY7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8" s="10" t="n"/>
      <c r="BA7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8" s="17">
        <f>tbl_MTG_Set[[#This Row],[Collector Booster CardMarket Profit]]/tbl_MTG_Set[[#This Row],[Collector Booster Cost]]</f>
        <v/>
      </c>
      <c r="BC758" s="10" t="n"/>
      <c r="BF758" s="10">
        <f>tbl_MTG_Set[[#This Row],[Play Booster Sell Price CardMarket]]*tbl_MTG_Set[[#This Row],[Play Booster Expected Market Value]]/tbl_MTG_Set[[#This Row],[Play Boost Sealed Market Value]]</f>
        <v/>
      </c>
      <c r="BG7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8" s="10">
        <f>tbl_MTG_Set[[#This Row],[Play Singles CardMarket Profit]]/tbl_MTG_Set[[#This Row],[Play Booster Cost]]</f>
        <v/>
      </c>
      <c r="BI758" s="10">
        <f>tbl_MTG_Set[[#This Row],[Play Singles CardMarket Profit]]&gt;0</f>
        <v/>
      </c>
      <c r="BJ758" s="10" t="n"/>
      <c r="BK758" s="10" t="n"/>
      <c r="BL758" s="10">
        <f>tbl_MTG_Set[[#This Row],[Collector Booster Sell Price CardMarket]]*tbl_MTG_Set[[#This Row],[Collector Booster Expected Market Value]]/tbl_MTG_Set[[#This Row],[Collector Boost Sealed Market Value]]</f>
        <v/>
      </c>
      <c r="BM7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8" s="10">
        <f>tbl_MTG_Set[[#This Row],[Collector Singles CardMarket Profit]]/tbl_MTG_Set[[#This Row],[Collector Booster Cost]]</f>
        <v/>
      </c>
      <c r="BO758" s="10">
        <f>tbl_MTG_Set[[#This Row],[Collector Singles CardMarket Profit]]&gt;0</f>
        <v/>
      </c>
      <c r="BP7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9">
      <c r="A759" t="n">
        <v>757</v>
      </c>
      <c r="B759" t="inlineStr">
        <is>
          <t>Archenemy ARC</t>
        </is>
      </c>
      <c r="C759" t="n">
        <v>150</v>
      </c>
      <c r="D759" s="3" t="n">
        <v>40347</v>
      </c>
      <c r="F759" t="inlineStr">
        <is>
          <t>en es fr de it pt ja ko ru 汉语 漢語</t>
        </is>
      </c>
      <c r="G759" t="n">
        <v>1460</v>
      </c>
      <c r="H759">
        <f>MONTH(NOW())+12*YEAR(NOW())-MONTH(tbl_MTG_Set[[#This Row],[Released On]])-12*YEAR(tbl_MTG_Set[[#This Row],[Released On]])</f>
        <v/>
      </c>
      <c r="I759">
        <f>_xlfn.XLOOKUP(tbl_MTG_Set[[#This Row],[Type Name]], tbl_MTG_Set_Type[Set Type], tbl_MTG_Set_Type[Index], "(Set Type not found)")</f>
        <v/>
      </c>
      <c r="J759">
        <f>_xlfn.XLOOKUP(tbl_MTG_Set[[#This Row],[Type Name]], tbl_MTG_Set_Type[Set Type], tbl_MTG_Set_Type[Buy Window Month Start], "(Set Type not found)")</f>
        <v/>
      </c>
      <c r="K759" s="3">
        <f>tbl_MTG_Set[[#This Row],[Released On]]+tbl_MTG_Set[[#This Row],[Buy Window Month Start]]*365.25/12</f>
        <v/>
      </c>
      <c r="L759">
        <f>_xlfn.XLOOKUP(tbl_MTG_Set[[#This Row],[Type Name]], tbl_MTG_Set_Type[Set Type], tbl_MTG_Set_Type[Buy Window Month End], "(Set Type not found)", 0, 1)</f>
        <v/>
      </c>
      <c r="M759" s="3">
        <f>tbl_MTG_Set[[#This Row],[Released On]]+tbl_MTG_Set[[#This Row],[Buy Window Month End]]*365.25/12</f>
        <v/>
      </c>
      <c r="N759" s="3">
        <f>AND(NOW()&gt;=tbl_MTG_Set[[#This Row],[Buy Window Start]], NOW()&lt;=tbl_MTG_Set[[#This Row],[Buy Window End]])</f>
        <v/>
      </c>
      <c r="O759">
        <f>_xlfn.XLOOKUP(tbl_MTG_Set[[#This Row],[Type Name]], tbl_MTG_Set_Type[Set Type], tbl_MTG_Set_Type[Heavy Printing Window Month Start], "(Set Type not found)", 0, 1)</f>
        <v/>
      </c>
      <c r="P759" s="3">
        <f>tbl_MTG_Set[[#This Row],[Released On]]+tbl_MTG_Set[[#This Row],[Heavy Printing Window Month Start]]*365.25/12</f>
        <v/>
      </c>
      <c r="Q759">
        <f>_xlfn.XLOOKUP(tbl_MTG_Set[[#This Row],[Type Name]], tbl_MTG_Set_Type[Set Type], tbl_MTG_Set_Type[Heavy Printing Window Month End], "(Set Type not found)", 0, 1)</f>
        <v/>
      </c>
      <c r="R759" s="3">
        <f>tbl_MTG_Set[[#This Row],[Released On]]+tbl_MTG_Set[[#This Row],[Heavy Printing Window Month End]]*365.25/12</f>
        <v/>
      </c>
      <c r="S759" s="3">
        <f>AND(NOW()&gt;=tbl_MTG_Set[[#This Row],[Heavy Printing Window Start]], NOW()&lt;=tbl_MTG_Set[[#This Row],[Heavy Printing Window End]])</f>
        <v/>
      </c>
      <c r="T759">
        <f>_xlfn.XLOOKUP(tbl_MTG_Set[[#This Row],[Type Name]], tbl_MTG_Set_Type[Set Type], tbl_MTG_Set_Type[Sell Window Month Start], "(Set Type not found)", 0, 1)</f>
        <v/>
      </c>
      <c r="U759" s="3">
        <f>tbl_MTG_Set[[#This Row],[Released On]]+tbl_MTG_Set[[#This Row],[Sell Window Month Start]]*365.25/12</f>
        <v/>
      </c>
      <c r="V759">
        <f>_xlfn.XLOOKUP(tbl_MTG_Set[[#This Row],[Type Name]], tbl_MTG_Set_Type[Set Type], tbl_MTG_Set_Type[Sell Window Month End], "(Set Type not found)", 0, 1)</f>
        <v/>
      </c>
      <c r="W759" s="3">
        <f>tbl_MTG_Set[[#This Row],[Released On]]+tbl_MTG_Set[[#This Row],[Sell Window Month End]]*365.25/12</f>
        <v/>
      </c>
      <c r="X759" s="3">
        <f>AND(NOW()&gt;=tbl_MTG_Set[[#This Row],[Sell Window Start]], NOW()&lt;=tbl_MTG_Set[[#This Row],[Sell Window End]])</f>
        <v/>
      </c>
      <c r="AG759" s="10" t="n"/>
      <c r="AH759" s="10" t="n"/>
      <c r="AM759" s="10">
        <f t="array" ref="AM7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9" s="10">
        <f t="array" ref="AN7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9" s="4">
        <f>_xlfn.XLOOKUP(tbl_MTG_Set[[#This Row],[Play Booster Box Product Id]], tbl_Product[Product Id], tbl_Product[Pack Size])</f>
        <v/>
      </c>
      <c r="AP759" s="10">
        <f>(tbl_MTG_Set[[#This Row],[Play Booster Box Cost]]+v_Item_Shipping_Cost_In)/tbl_MTG_Set[[#This Row],[Play Booster Box Size]]</f>
        <v/>
      </c>
      <c r="AQ759" s="10">
        <f t="array" ref="AQ7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59" s="10" t="n"/>
      <c r="AS759" s="10" t="n"/>
      <c r="AT759" s="17">
        <f>tbl_MTG_Set[[#This Row],[Play Booster CardMarket Profit]]/tbl_MTG_Set[[#This Row],[Play Booster Cost]]</f>
        <v/>
      </c>
      <c r="AU759" s="10">
        <f>_xlfn.XLOOKUP(tbl_MTG_Set[[#This Row],[Collector Booster Box Product Id]], tbl_Product[Product Id], tbl_Product[Min Cost])</f>
        <v/>
      </c>
      <c r="AV759" s="10">
        <f>_xlfn.XLOOKUP(tbl_MTG_Set[[#This Row],[Collector Booster Box Product Id]], tbl_Product[Product Id], tbl_Product[Best Source])</f>
        <v/>
      </c>
      <c r="AW759" s="4">
        <f>_xlfn.XLOOKUP(tbl_MTG_Set[[#This Row],[Collector Booster Box Product Id]], tbl_Product[Product Id], tbl_Product[Pack Size])</f>
        <v/>
      </c>
      <c r="AX759" s="10">
        <f>(tbl_MTG_Set[[#This Row],[Collector Booster Box Cost]] + v_Item_Shipping_Cost_In) / tbl_MTG_Set[[#This Row],[Collector Booster Box Size]]</f>
        <v/>
      </c>
      <c r="AY759" s="10">
        <f t="array" ref="AY7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59" s="10" t="n"/>
      <c r="BA7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9" s="17">
        <f>tbl_MTG_Set[[#This Row],[Collector Booster CardMarket Profit]]/tbl_MTG_Set[[#This Row],[Collector Booster Cost]]</f>
        <v/>
      </c>
      <c r="BC759" s="10" t="n"/>
      <c r="BF759" s="10">
        <f>tbl_MTG_Set[[#This Row],[Play Booster Sell Price CardMarket]]*tbl_MTG_Set[[#This Row],[Play Booster Expected Market Value]]/tbl_MTG_Set[[#This Row],[Play Boost Sealed Market Value]]</f>
        <v/>
      </c>
      <c r="BG7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9" s="10">
        <f>tbl_MTG_Set[[#This Row],[Play Singles CardMarket Profit]]/tbl_MTG_Set[[#This Row],[Play Booster Cost]]</f>
        <v/>
      </c>
      <c r="BI759" s="10">
        <f>tbl_MTG_Set[[#This Row],[Play Singles CardMarket Profit]]&gt;0</f>
        <v/>
      </c>
      <c r="BJ759" s="10" t="n"/>
      <c r="BK759" s="10" t="n"/>
      <c r="BL759" s="10">
        <f>tbl_MTG_Set[[#This Row],[Collector Booster Sell Price CardMarket]]*tbl_MTG_Set[[#This Row],[Collector Booster Expected Market Value]]/tbl_MTG_Set[[#This Row],[Collector Boost Sealed Market Value]]</f>
        <v/>
      </c>
      <c r="BM7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9" s="10">
        <f>tbl_MTG_Set[[#This Row],[Collector Singles CardMarket Profit]]/tbl_MTG_Set[[#This Row],[Collector Booster Cost]]</f>
        <v/>
      </c>
      <c r="BO759" s="10">
        <f>tbl_MTG_Set[[#This Row],[Collector Singles CardMarket Profit]]&gt;0</f>
        <v/>
      </c>
      <c r="BP7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0">
      <c r="A760" t="n">
        <v>758</v>
      </c>
      <c r="B760" t="inlineStr">
        <is>
          <t>Archenemy Schemes OARC</t>
        </is>
      </c>
      <c r="C760" t="n">
        <v>45</v>
      </c>
      <c r="D760" s="3" t="n">
        <v>40347</v>
      </c>
      <c r="F760" t="inlineStr">
        <is>
          <t>en es fr de it pt ja ko ru 汉语 漢語</t>
        </is>
      </c>
      <c r="G760" t="n">
        <v>1462</v>
      </c>
      <c r="H760">
        <f>MONTH(NOW())+12*YEAR(NOW())-MONTH(tbl_MTG_Set[[#This Row],[Released On]])-12*YEAR(tbl_MTG_Set[[#This Row],[Released On]])</f>
        <v/>
      </c>
      <c r="I760">
        <f>_xlfn.XLOOKUP(tbl_MTG_Set[[#This Row],[Type Name]], tbl_MTG_Set_Type[Set Type], tbl_MTG_Set_Type[Index], "(Set Type not found)")</f>
        <v/>
      </c>
      <c r="J760">
        <f>_xlfn.XLOOKUP(tbl_MTG_Set[[#This Row],[Type Name]], tbl_MTG_Set_Type[Set Type], tbl_MTG_Set_Type[Buy Window Month Start], "(Set Type not found)")</f>
        <v/>
      </c>
      <c r="K760" s="3">
        <f>tbl_MTG_Set[[#This Row],[Released On]]+tbl_MTG_Set[[#This Row],[Buy Window Month Start]]*365.25/12</f>
        <v/>
      </c>
      <c r="L760">
        <f>_xlfn.XLOOKUP(tbl_MTG_Set[[#This Row],[Type Name]], tbl_MTG_Set_Type[Set Type], tbl_MTG_Set_Type[Buy Window Month End], "(Set Type not found)", 0, 1)</f>
        <v/>
      </c>
      <c r="M760" s="3">
        <f>tbl_MTG_Set[[#This Row],[Released On]]+tbl_MTG_Set[[#This Row],[Buy Window Month End]]*365.25/12</f>
        <v/>
      </c>
      <c r="N760" s="3">
        <f>AND(NOW()&gt;=tbl_MTG_Set[[#This Row],[Buy Window Start]], NOW()&lt;=tbl_MTG_Set[[#This Row],[Buy Window End]])</f>
        <v/>
      </c>
      <c r="O760">
        <f>_xlfn.XLOOKUP(tbl_MTG_Set[[#This Row],[Type Name]], tbl_MTG_Set_Type[Set Type], tbl_MTG_Set_Type[Heavy Printing Window Month Start], "(Set Type not found)", 0, 1)</f>
        <v/>
      </c>
      <c r="P760" s="3">
        <f>tbl_MTG_Set[[#This Row],[Released On]]+tbl_MTG_Set[[#This Row],[Heavy Printing Window Month Start]]*365.25/12</f>
        <v/>
      </c>
      <c r="Q760">
        <f>_xlfn.XLOOKUP(tbl_MTG_Set[[#This Row],[Type Name]], tbl_MTG_Set_Type[Set Type], tbl_MTG_Set_Type[Heavy Printing Window Month End], "(Set Type not found)", 0, 1)</f>
        <v/>
      </c>
      <c r="R760" s="3">
        <f>tbl_MTG_Set[[#This Row],[Released On]]+tbl_MTG_Set[[#This Row],[Heavy Printing Window Month End]]*365.25/12</f>
        <v/>
      </c>
      <c r="S760" s="3">
        <f>AND(NOW()&gt;=tbl_MTG_Set[[#This Row],[Heavy Printing Window Start]], NOW()&lt;=tbl_MTG_Set[[#This Row],[Heavy Printing Window End]])</f>
        <v/>
      </c>
      <c r="T760">
        <f>_xlfn.XLOOKUP(tbl_MTG_Set[[#This Row],[Type Name]], tbl_MTG_Set_Type[Set Type], tbl_MTG_Set_Type[Sell Window Month Start], "(Set Type not found)", 0, 1)</f>
        <v/>
      </c>
      <c r="U760" s="3">
        <f>tbl_MTG_Set[[#This Row],[Released On]]+tbl_MTG_Set[[#This Row],[Sell Window Month Start]]*365.25/12</f>
        <v/>
      </c>
      <c r="V760">
        <f>_xlfn.XLOOKUP(tbl_MTG_Set[[#This Row],[Type Name]], tbl_MTG_Set_Type[Set Type], tbl_MTG_Set_Type[Sell Window Month End], "(Set Type not found)", 0, 1)</f>
        <v/>
      </c>
      <c r="W760" s="3">
        <f>tbl_MTG_Set[[#This Row],[Released On]]+tbl_MTG_Set[[#This Row],[Sell Window Month End]]*365.25/12</f>
        <v/>
      </c>
      <c r="X760" s="3">
        <f>AND(NOW()&gt;=tbl_MTG_Set[[#This Row],[Sell Window Start]], NOW()&lt;=tbl_MTG_Set[[#This Row],[Sell Window End]])</f>
        <v/>
      </c>
      <c r="AG760" s="10" t="n"/>
      <c r="AH760" s="10" t="n"/>
      <c r="AM760" s="10">
        <f t="array" ref="AM7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0" s="10">
        <f t="array" ref="AN7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0" s="4">
        <f>_xlfn.XLOOKUP(tbl_MTG_Set[[#This Row],[Play Booster Box Product Id]], tbl_Product[Product Id], tbl_Product[Pack Size])</f>
        <v/>
      </c>
      <c r="AP760" s="10">
        <f>(tbl_MTG_Set[[#This Row],[Play Booster Box Cost]]+v_Item_Shipping_Cost_In)/tbl_MTG_Set[[#This Row],[Play Booster Box Size]]</f>
        <v/>
      </c>
      <c r="AQ760" s="10">
        <f t="array" ref="AQ7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0" s="10" t="n"/>
      <c r="AS760" s="10" t="n"/>
      <c r="AT760" s="17">
        <f>tbl_MTG_Set[[#This Row],[Play Booster CardMarket Profit]]/tbl_MTG_Set[[#This Row],[Play Booster Cost]]</f>
        <v/>
      </c>
      <c r="AU760" s="10">
        <f>_xlfn.XLOOKUP(tbl_MTG_Set[[#This Row],[Collector Booster Box Product Id]], tbl_Product[Product Id], tbl_Product[Min Cost])</f>
        <v/>
      </c>
      <c r="AV760" s="10">
        <f>_xlfn.XLOOKUP(tbl_MTG_Set[[#This Row],[Collector Booster Box Product Id]], tbl_Product[Product Id], tbl_Product[Best Source])</f>
        <v/>
      </c>
      <c r="AW760" s="4">
        <f>_xlfn.XLOOKUP(tbl_MTG_Set[[#This Row],[Collector Booster Box Product Id]], tbl_Product[Product Id], tbl_Product[Pack Size])</f>
        <v/>
      </c>
      <c r="AX760" s="10">
        <f>(tbl_MTG_Set[[#This Row],[Collector Booster Box Cost]] + v_Item_Shipping_Cost_In) / tbl_MTG_Set[[#This Row],[Collector Booster Box Size]]</f>
        <v/>
      </c>
      <c r="AY760" s="10">
        <f t="array" ref="AY7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0" s="10" t="n"/>
      <c r="BA7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0" s="17">
        <f>tbl_MTG_Set[[#This Row],[Collector Booster CardMarket Profit]]/tbl_MTG_Set[[#This Row],[Collector Booster Cost]]</f>
        <v/>
      </c>
      <c r="BC760" s="10" t="n"/>
      <c r="BF760" s="10">
        <f>tbl_MTG_Set[[#This Row],[Play Booster Sell Price CardMarket]]*tbl_MTG_Set[[#This Row],[Play Booster Expected Market Value]]/tbl_MTG_Set[[#This Row],[Play Boost Sealed Market Value]]</f>
        <v/>
      </c>
      <c r="BG7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0" s="10">
        <f>tbl_MTG_Set[[#This Row],[Play Singles CardMarket Profit]]/tbl_MTG_Set[[#This Row],[Play Booster Cost]]</f>
        <v/>
      </c>
      <c r="BI760" s="10">
        <f>tbl_MTG_Set[[#This Row],[Play Singles CardMarket Profit]]&gt;0</f>
        <v/>
      </c>
      <c r="BJ760" s="10" t="n"/>
      <c r="BK760" s="10" t="n"/>
      <c r="BL760" s="10">
        <f>tbl_MTG_Set[[#This Row],[Collector Booster Sell Price CardMarket]]*tbl_MTG_Set[[#This Row],[Collector Booster Expected Market Value]]/tbl_MTG_Set[[#This Row],[Collector Boost Sealed Market Value]]</f>
        <v/>
      </c>
      <c r="BM7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0" s="10">
        <f>tbl_MTG_Set[[#This Row],[Collector Singles CardMarket Profit]]/tbl_MTG_Set[[#This Row],[Collector Booster Cost]]</f>
        <v/>
      </c>
      <c r="BO760" s="10">
        <f>tbl_MTG_Set[[#This Row],[Collector Singles CardMarket Profit]]&gt;0</f>
        <v/>
      </c>
      <c r="BP7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1">
      <c r="A761" t="n">
        <v>759</v>
      </c>
      <c r="B761" t="inlineStr">
        <is>
          <t>Duels of the Planeswalkers DPA</t>
        </is>
      </c>
      <c r="C761" t="n">
        <v>113</v>
      </c>
      <c r="D761" s="3" t="n">
        <v>40333</v>
      </c>
      <c r="F761" t="inlineStr">
        <is>
          <t>en es fr de it pt ja ko ru 汉语 漢語</t>
        </is>
      </c>
      <c r="G761" t="n">
        <v>1464</v>
      </c>
      <c r="H761">
        <f>MONTH(NOW())+12*YEAR(NOW())-MONTH(tbl_MTG_Set[[#This Row],[Released On]])-12*YEAR(tbl_MTG_Set[[#This Row],[Released On]])</f>
        <v/>
      </c>
      <c r="I761">
        <f>_xlfn.XLOOKUP(tbl_MTG_Set[[#This Row],[Type Name]], tbl_MTG_Set_Type[Set Type], tbl_MTG_Set_Type[Index], "(Set Type not found)")</f>
        <v/>
      </c>
      <c r="J761">
        <f>_xlfn.XLOOKUP(tbl_MTG_Set[[#This Row],[Type Name]], tbl_MTG_Set_Type[Set Type], tbl_MTG_Set_Type[Buy Window Month Start], "(Set Type not found)")</f>
        <v/>
      </c>
      <c r="K761" s="3">
        <f>tbl_MTG_Set[[#This Row],[Released On]]+tbl_MTG_Set[[#This Row],[Buy Window Month Start]]*365.25/12</f>
        <v/>
      </c>
      <c r="L761">
        <f>_xlfn.XLOOKUP(tbl_MTG_Set[[#This Row],[Type Name]], tbl_MTG_Set_Type[Set Type], tbl_MTG_Set_Type[Buy Window Month End], "(Set Type not found)", 0, 1)</f>
        <v/>
      </c>
      <c r="M761" s="3">
        <f>tbl_MTG_Set[[#This Row],[Released On]]+tbl_MTG_Set[[#This Row],[Buy Window Month End]]*365.25/12</f>
        <v/>
      </c>
      <c r="N761" s="3">
        <f>AND(NOW()&gt;=tbl_MTG_Set[[#This Row],[Buy Window Start]], NOW()&lt;=tbl_MTG_Set[[#This Row],[Buy Window End]])</f>
        <v/>
      </c>
      <c r="O761">
        <f>_xlfn.XLOOKUP(tbl_MTG_Set[[#This Row],[Type Name]], tbl_MTG_Set_Type[Set Type], tbl_MTG_Set_Type[Heavy Printing Window Month Start], "(Set Type not found)", 0, 1)</f>
        <v/>
      </c>
      <c r="P761" s="3">
        <f>tbl_MTG_Set[[#This Row],[Released On]]+tbl_MTG_Set[[#This Row],[Heavy Printing Window Month Start]]*365.25/12</f>
        <v/>
      </c>
      <c r="Q761">
        <f>_xlfn.XLOOKUP(tbl_MTG_Set[[#This Row],[Type Name]], tbl_MTG_Set_Type[Set Type], tbl_MTG_Set_Type[Heavy Printing Window Month End], "(Set Type not found)", 0, 1)</f>
        <v/>
      </c>
      <c r="R761" s="3">
        <f>tbl_MTG_Set[[#This Row],[Released On]]+tbl_MTG_Set[[#This Row],[Heavy Printing Window Month End]]*365.25/12</f>
        <v/>
      </c>
      <c r="S761" s="3">
        <f>AND(NOW()&gt;=tbl_MTG_Set[[#This Row],[Heavy Printing Window Start]], NOW()&lt;=tbl_MTG_Set[[#This Row],[Heavy Printing Window End]])</f>
        <v/>
      </c>
      <c r="T761">
        <f>_xlfn.XLOOKUP(tbl_MTG_Set[[#This Row],[Type Name]], tbl_MTG_Set_Type[Set Type], tbl_MTG_Set_Type[Sell Window Month Start], "(Set Type not found)", 0, 1)</f>
        <v/>
      </c>
      <c r="U761" s="3">
        <f>tbl_MTG_Set[[#This Row],[Released On]]+tbl_MTG_Set[[#This Row],[Sell Window Month Start]]*365.25/12</f>
        <v/>
      </c>
      <c r="V761">
        <f>_xlfn.XLOOKUP(tbl_MTG_Set[[#This Row],[Type Name]], tbl_MTG_Set_Type[Set Type], tbl_MTG_Set_Type[Sell Window Month End], "(Set Type not found)", 0, 1)</f>
        <v/>
      </c>
      <c r="W761" s="3">
        <f>tbl_MTG_Set[[#This Row],[Released On]]+tbl_MTG_Set[[#This Row],[Sell Window Month End]]*365.25/12</f>
        <v/>
      </c>
      <c r="X761" s="3">
        <f>AND(NOW()&gt;=tbl_MTG_Set[[#This Row],[Sell Window Start]], NOW()&lt;=tbl_MTG_Set[[#This Row],[Sell Window End]])</f>
        <v/>
      </c>
      <c r="AG761" s="10" t="n"/>
      <c r="AH761" s="10" t="n"/>
      <c r="AM761" s="10">
        <f t="array" ref="AM7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1" s="10">
        <f t="array" ref="AN7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1" s="4">
        <f>_xlfn.XLOOKUP(tbl_MTG_Set[[#This Row],[Play Booster Box Product Id]], tbl_Product[Product Id], tbl_Product[Pack Size])</f>
        <v/>
      </c>
      <c r="AP761" s="10">
        <f>(tbl_MTG_Set[[#This Row],[Play Booster Box Cost]]+v_Item_Shipping_Cost_In)/tbl_MTG_Set[[#This Row],[Play Booster Box Size]]</f>
        <v/>
      </c>
      <c r="AQ761" s="10">
        <f t="array" ref="AQ7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1" s="10" t="n"/>
      <c r="AS761" s="10" t="n"/>
      <c r="AT761" s="17">
        <f>tbl_MTG_Set[[#This Row],[Play Booster CardMarket Profit]]/tbl_MTG_Set[[#This Row],[Play Booster Cost]]</f>
        <v/>
      </c>
      <c r="AU761" s="10">
        <f>_xlfn.XLOOKUP(tbl_MTG_Set[[#This Row],[Collector Booster Box Product Id]], tbl_Product[Product Id], tbl_Product[Min Cost])</f>
        <v/>
      </c>
      <c r="AV761" s="10">
        <f>_xlfn.XLOOKUP(tbl_MTG_Set[[#This Row],[Collector Booster Box Product Id]], tbl_Product[Product Id], tbl_Product[Best Source])</f>
        <v/>
      </c>
      <c r="AW761" s="4">
        <f>_xlfn.XLOOKUP(tbl_MTG_Set[[#This Row],[Collector Booster Box Product Id]], tbl_Product[Product Id], tbl_Product[Pack Size])</f>
        <v/>
      </c>
      <c r="AX761" s="10">
        <f>(tbl_MTG_Set[[#This Row],[Collector Booster Box Cost]] + v_Item_Shipping_Cost_In) / tbl_MTG_Set[[#This Row],[Collector Booster Box Size]]</f>
        <v/>
      </c>
      <c r="AY761" s="10">
        <f t="array" ref="AY7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1" s="10" t="n"/>
      <c r="BA7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1" s="17">
        <f>tbl_MTG_Set[[#This Row],[Collector Booster CardMarket Profit]]/tbl_MTG_Set[[#This Row],[Collector Booster Cost]]</f>
        <v/>
      </c>
      <c r="BC761" s="10" t="n"/>
      <c r="BF761" s="10">
        <f>tbl_MTG_Set[[#This Row],[Play Booster Sell Price CardMarket]]*tbl_MTG_Set[[#This Row],[Play Booster Expected Market Value]]/tbl_MTG_Set[[#This Row],[Play Boost Sealed Market Value]]</f>
        <v/>
      </c>
      <c r="BG7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1" s="10">
        <f>tbl_MTG_Set[[#This Row],[Play Singles CardMarket Profit]]/tbl_MTG_Set[[#This Row],[Play Booster Cost]]</f>
        <v/>
      </c>
      <c r="BI761" s="10">
        <f>tbl_MTG_Set[[#This Row],[Play Singles CardMarket Profit]]&gt;0</f>
        <v/>
      </c>
      <c r="BJ761" s="10" t="n"/>
      <c r="BK761" s="10" t="n"/>
      <c r="BL761" s="10">
        <f>tbl_MTG_Set[[#This Row],[Collector Booster Sell Price CardMarket]]*tbl_MTG_Set[[#This Row],[Collector Booster Expected Market Value]]/tbl_MTG_Set[[#This Row],[Collector Boost Sealed Market Value]]</f>
        <v/>
      </c>
      <c r="BM7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1" s="10">
        <f>tbl_MTG_Set[[#This Row],[Collector Singles CardMarket Profit]]/tbl_MTG_Set[[#This Row],[Collector Booster Cost]]</f>
        <v/>
      </c>
      <c r="BO761" s="10">
        <f>tbl_MTG_Set[[#This Row],[Collector Singles CardMarket Profit]]&gt;0</f>
        <v/>
      </c>
      <c r="BP7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2">
      <c r="A762" t="n">
        <v>760</v>
      </c>
      <c r="B762" t="inlineStr">
        <is>
          <t>Rise of the Eldrazi ROE</t>
        </is>
      </c>
      <c r="C762" t="n">
        <v>248</v>
      </c>
      <c r="D762" s="3" t="n">
        <v>40291</v>
      </c>
      <c r="F762" t="inlineStr">
        <is>
          <t>en es fr de it pt ja ko ru 汉语 漢語</t>
        </is>
      </c>
      <c r="G762" t="n">
        <v>1466</v>
      </c>
      <c r="H762">
        <f>MONTH(NOW())+12*YEAR(NOW())-MONTH(tbl_MTG_Set[[#This Row],[Released On]])-12*YEAR(tbl_MTG_Set[[#This Row],[Released On]])</f>
        <v/>
      </c>
      <c r="I762">
        <f>_xlfn.XLOOKUP(tbl_MTG_Set[[#This Row],[Type Name]], tbl_MTG_Set_Type[Set Type], tbl_MTG_Set_Type[Index], "(Set Type not found)")</f>
        <v/>
      </c>
      <c r="J762">
        <f>_xlfn.XLOOKUP(tbl_MTG_Set[[#This Row],[Type Name]], tbl_MTG_Set_Type[Set Type], tbl_MTG_Set_Type[Buy Window Month Start], "(Set Type not found)")</f>
        <v/>
      </c>
      <c r="K762" s="3">
        <f>tbl_MTG_Set[[#This Row],[Released On]]+tbl_MTG_Set[[#This Row],[Buy Window Month Start]]*365.25/12</f>
        <v/>
      </c>
      <c r="L762">
        <f>_xlfn.XLOOKUP(tbl_MTG_Set[[#This Row],[Type Name]], tbl_MTG_Set_Type[Set Type], tbl_MTG_Set_Type[Buy Window Month End], "(Set Type not found)", 0, 1)</f>
        <v/>
      </c>
      <c r="M762" s="3">
        <f>tbl_MTG_Set[[#This Row],[Released On]]+tbl_MTG_Set[[#This Row],[Buy Window Month End]]*365.25/12</f>
        <v/>
      </c>
      <c r="N762" s="3">
        <f>AND(NOW()&gt;=tbl_MTG_Set[[#This Row],[Buy Window Start]], NOW()&lt;=tbl_MTG_Set[[#This Row],[Buy Window End]])</f>
        <v/>
      </c>
      <c r="O762">
        <f>_xlfn.XLOOKUP(tbl_MTG_Set[[#This Row],[Type Name]], tbl_MTG_Set_Type[Set Type], tbl_MTG_Set_Type[Heavy Printing Window Month Start], "(Set Type not found)", 0, 1)</f>
        <v/>
      </c>
      <c r="P762" s="3">
        <f>tbl_MTG_Set[[#This Row],[Released On]]+tbl_MTG_Set[[#This Row],[Heavy Printing Window Month Start]]*365.25/12</f>
        <v/>
      </c>
      <c r="Q762">
        <f>_xlfn.XLOOKUP(tbl_MTG_Set[[#This Row],[Type Name]], tbl_MTG_Set_Type[Set Type], tbl_MTG_Set_Type[Heavy Printing Window Month End], "(Set Type not found)", 0, 1)</f>
        <v/>
      </c>
      <c r="R762" s="3">
        <f>tbl_MTG_Set[[#This Row],[Released On]]+tbl_MTG_Set[[#This Row],[Heavy Printing Window Month End]]*365.25/12</f>
        <v/>
      </c>
      <c r="S762" s="3">
        <f>AND(NOW()&gt;=tbl_MTG_Set[[#This Row],[Heavy Printing Window Start]], NOW()&lt;=tbl_MTG_Set[[#This Row],[Heavy Printing Window End]])</f>
        <v/>
      </c>
      <c r="T762">
        <f>_xlfn.XLOOKUP(tbl_MTG_Set[[#This Row],[Type Name]], tbl_MTG_Set_Type[Set Type], tbl_MTG_Set_Type[Sell Window Month Start], "(Set Type not found)", 0, 1)</f>
        <v/>
      </c>
      <c r="U762" s="3">
        <f>tbl_MTG_Set[[#This Row],[Released On]]+tbl_MTG_Set[[#This Row],[Sell Window Month Start]]*365.25/12</f>
        <v/>
      </c>
      <c r="V762">
        <f>_xlfn.XLOOKUP(tbl_MTG_Set[[#This Row],[Type Name]], tbl_MTG_Set_Type[Set Type], tbl_MTG_Set_Type[Sell Window Month End], "(Set Type not found)", 0, 1)</f>
        <v/>
      </c>
      <c r="W762" s="3">
        <f>tbl_MTG_Set[[#This Row],[Released On]]+tbl_MTG_Set[[#This Row],[Sell Window Month End]]*365.25/12</f>
        <v/>
      </c>
      <c r="X762" s="3">
        <f>AND(NOW()&gt;=tbl_MTG_Set[[#This Row],[Sell Window Start]], NOW()&lt;=tbl_MTG_Set[[#This Row],[Sell Window End]])</f>
        <v/>
      </c>
      <c r="AG762" s="10" t="n"/>
      <c r="AH762" s="10" t="n"/>
      <c r="AM762" s="10">
        <f t="array" ref="AM7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2" s="10">
        <f t="array" ref="AN7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2" s="4">
        <f>_xlfn.XLOOKUP(tbl_MTG_Set[[#This Row],[Play Booster Box Product Id]], tbl_Product[Product Id], tbl_Product[Pack Size])</f>
        <v/>
      </c>
      <c r="AP762" s="10">
        <f>(tbl_MTG_Set[[#This Row],[Play Booster Box Cost]]+v_Item_Shipping_Cost_In)/tbl_MTG_Set[[#This Row],[Play Booster Box Size]]</f>
        <v/>
      </c>
      <c r="AQ762" s="10">
        <f t="array" ref="AQ7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2" s="10" t="n"/>
      <c r="AS762" s="10" t="n"/>
      <c r="AT762" s="17">
        <f>tbl_MTG_Set[[#This Row],[Play Booster CardMarket Profit]]/tbl_MTG_Set[[#This Row],[Play Booster Cost]]</f>
        <v/>
      </c>
      <c r="AU762" s="10">
        <f>_xlfn.XLOOKUP(tbl_MTG_Set[[#This Row],[Collector Booster Box Product Id]], tbl_Product[Product Id], tbl_Product[Min Cost])</f>
        <v/>
      </c>
      <c r="AV762" s="10">
        <f>_xlfn.XLOOKUP(tbl_MTG_Set[[#This Row],[Collector Booster Box Product Id]], tbl_Product[Product Id], tbl_Product[Best Source])</f>
        <v/>
      </c>
      <c r="AW762" s="4">
        <f>_xlfn.XLOOKUP(tbl_MTG_Set[[#This Row],[Collector Booster Box Product Id]], tbl_Product[Product Id], tbl_Product[Pack Size])</f>
        <v/>
      </c>
      <c r="AX762" s="10">
        <f>(tbl_MTG_Set[[#This Row],[Collector Booster Box Cost]] + v_Item_Shipping_Cost_In) / tbl_MTG_Set[[#This Row],[Collector Booster Box Size]]</f>
        <v/>
      </c>
      <c r="AY762" s="10">
        <f t="array" ref="AY7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2" s="10" t="n"/>
      <c r="BA7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2" s="17">
        <f>tbl_MTG_Set[[#This Row],[Collector Booster CardMarket Profit]]/tbl_MTG_Set[[#This Row],[Collector Booster Cost]]</f>
        <v/>
      </c>
      <c r="BC762" s="10" t="n"/>
      <c r="BF762" s="10">
        <f>tbl_MTG_Set[[#This Row],[Play Booster Sell Price CardMarket]]*tbl_MTG_Set[[#This Row],[Play Booster Expected Market Value]]/tbl_MTG_Set[[#This Row],[Play Boost Sealed Market Value]]</f>
        <v/>
      </c>
      <c r="BG7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2" s="10">
        <f>tbl_MTG_Set[[#This Row],[Play Singles CardMarket Profit]]/tbl_MTG_Set[[#This Row],[Play Booster Cost]]</f>
        <v/>
      </c>
      <c r="BI762" s="10">
        <f>tbl_MTG_Set[[#This Row],[Play Singles CardMarket Profit]]&gt;0</f>
        <v/>
      </c>
      <c r="BJ762" s="10" t="n"/>
      <c r="BK762" s="10" t="n"/>
      <c r="BL762" s="10">
        <f>tbl_MTG_Set[[#This Row],[Collector Booster Sell Price CardMarket]]*tbl_MTG_Set[[#This Row],[Collector Booster Expected Market Value]]/tbl_MTG_Set[[#This Row],[Collector Boost Sealed Market Value]]</f>
        <v/>
      </c>
      <c r="BM7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2" s="10">
        <f>tbl_MTG_Set[[#This Row],[Collector Singles CardMarket Profit]]/tbl_MTG_Set[[#This Row],[Collector Booster Cost]]</f>
        <v/>
      </c>
      <c r="BO762" s="10">
        <f>tbl_MTG_Set[[#This Row],[Collector Singles CardMarket Profit]]&gt;0</f>
        <v/>
      </c>
      <c r="BP7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3">
      <c r="A763" t="n">
        <v>761</v>
      </c>
      <c r="B763" t="inlineStr">
        <is>
          <t>Rise of the Eldrazi Promos PROE</t>
        </is>
      </c>
      <c r="C763" t="n">
        <v>4</v>
      </c>
      <c r="D763" s="3" t="n">
        <v>40291</v>
      </c>
      <c r="F763" t="inlineStr">
        <is>
          <t>en es fr de it pt ja ko ru 汉语 漢語</t>
        </is>
      </c>
      <c r="G763" t="n">
        <v>1468</v>
      </c>
      <c r="H763">
        <f>MONTH(NOW())+12*YEAR(NOW())-MONTH(tbl_MTG_Set[[#This Row],[Released On]])-12*YEAR(tbl_MTG_Set[[#This Row],[Released On]])</f>
        <v/>
      </c>
      <c r="I763">
        <f>_xlfn.XLOOKUP(tbl_MTG_Set[[#This Row],[Type Name]], tbl_MTG_Set_Type[Set Type], tbl_MTG_Set_Type[Index], "(Set Type not found)")</f>
        <v/>
      </c>
      <c r="J763">
        <f>_xlfn.XLOOKUP(tbl_MTG_Set[[#This Row],[Type Name]], tbl_MTG_Set_Type[Set Type], tbl_MTG_Set_Type[Buy Window Month Start], "(Set Type not found)")</f>
        <v/>
      </c>
      <c r="K763" s="3">
        <f>tbl_MTG_Set[[#This Row],[Released On]]+tbl_MTG_Set[[#This Row],[Buy Window Month Start]]*365.25/12</f>
        <v/>
      </c>
      <c r="L763">
        <f>_xlfn.XLOOKUP(tbl_MTG_Set[[#This Row],[Type Name]], tbl_MTG_Set_Type[Set Type], tbl_MTG_Set_Type[Buy Window Month End], "(Set Type not found)", 0, 1)</f>
        <v/>
      </c>
      <c r="M763" s="3">
        <f>tbl_MTG_Set[[#This Row],[Released On]]+tbl_MTG_Set[[#This Row],[Buy Window Month End]]*365.25/12</f>
        <v/>
      </c>
      <c r="N763" s="3">
        <f>AND(NOW()&gt;=tbl_MTG_Set[[#This Row],[Buy Window Start]], NOW()&lt;=tbl_MTG_Set[[#This Row],[Buy Window End]])</f>
        <v/>
      </c>
      <c r="O763">
        <f>_xlfn.XLOOKUP(tbl_MTG_Set[[#This Row],[Type Name]], tbl_MTG_Set_Type[Set Type], tbl_MTG_Set_Type[Heavy Printing Window Month Start], "(Set Type not found)", 0, 1)</f>
        <v/>
      </c>
      <c r="P763" s="3">
        <f>tbl_MTG_Set[[#This Row],[Released On]]+tbl_MTG_Set[[#This Row],[Heavy Printing Window Month Start]]*365.25/12</f>
        <v/>
      </c>
      <c r="Q763">
        <f>_xlfn.XLOOKUP(tbl_MTG_Set[[#This Row],[Type Name]], tbl_MTG_Set_Type[Set Type], tbl_MTG_Set_Type[Heavy Printing Window Month End], "(Set Type not found)", 0, 1)</f>
        <v/>
      </c>
      <c r="R763" s="3">
        <f>tbl_MTG_Set[[#This Row],[Released On]]+tbl_MTG_Set[[#This Row],[Heavy Printing Window Month End]]*365.25/12</f>
        <v/>
      </c>
      <c r="S763" s="3">
        <f>AND(NOW()&gt;=tbl_MTG_Set[[#This Row],[Heavy Printing Window Start]], NOW()&lt;=tbl_MTG_Set[[#This Row],[Heavy Printing Window End]])</f>
        <v/>
      </c>
      <c r="T763">
        <f>_xlfn.XLOOKUP(tbl_MTG_Set[[#This Row],[Type Name]], tbl_MTG_Set_Type[Set Type], tbl_MTG_Set_Type[Sell Window Month Start], "(Set Type not found)", 0, 1)</f>
        <v/>
      </c>
      <c r="U763" s="3">
        <f>tbl_MTG_Set[[#This Row],[Released On]]+tbl_MTG_Set[[#This Row],[Sell Window Month Start]]*365.25/12</f>
        <v/>
      </c>
      <c r="V763">
        <f>_xlfn.XLOOKUP(tbl_MTG_Set[[#This Row],[Type Name]], tbl_MTG_Set_Type[Set Type], tbl_MTG_Set_Type[Sell Window Month End], "(Set Type not found)", 0, 1)</f>
        <v/>
      </c>
      <c r="W763" s="3">
        <f>tbl_MTG_Set[[#This Row],[Released On]]+tbl_MTG_Set[[#This Row],[Sell Window Month End]]*365.25/12</f>
        <v/>
      </c>
      <c r="X763" s="3">
        <f>AND(NOW()&gt;=tbl_MTG_Set[[#This Row],[Sell Window Start]], NOW()&lt;=tbl_MTG_Set[[#This Row],[Sell Window End]])</f>
        <v/>
      </c>
      <c r="AG763" s="10" t="n"/>
      <c r="AH763" s="10" t="n"/>
      <c r="AM763" s="10">
        <f t="array" ref="AM7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3" s="10">
        <f t="array" ref="AN7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3" s="4">
        <f>_xlfn.XLOOKUP(tbl_MTG_Set[[#This Row],[Play Booster Box Product Id]], tbl_Product[Product Id], tbl_Product[Pack Size])</f>
        <v/>
      </c>
      <c r="AP763" s="10">
        <f>(tbl_MTG_Set[[#This Row],[Play Booster Box Cost]]+v_Item_Shipping_Cost_In)/tbl_MTG_Set[[#This Row],[Play Booster Box Size]]</f>
        <v/>
      </c>
      <c r="AQ763" s="10">
        <f t="array" ref="AQ7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3" s="10" t="n"/>
      <c r="AS763" s="10" t="n"/>
      <c r="AT763" s="17">
        <f>tbl_MTG_Set[[#This Row],[Play Booster CardMarket Profit]]/tbl_MTG_Set[[#This Row],[Play Booster Cost]]</f>
        <v/>
      </c>
      <c r="AU763" s="10">
        <f>_xlfn.XLOOKUP(tbl_MTG_Set[[#This Row],[Collector Booster Box Product Id]], tbl_Product[Product Id], tbl_Product[Min Cost])</f>
        <v/>
      </c>
      <c r="AV763" s="10">
        <f>_xlfn.XLOOKUP(tbl_MTG_Set[[#This Row],[Collector Booster Box Product Id]], tbl_Product[Product Id], tbl_Product[Best Source])</f>
        <v/>
      </c>
      <c r="AW763" s="4">
        <f>_xlfn.XLOOKUP(tbl_MTG_Set[[#This Row],[Collector Booster Box Product Id]], tbl_Product[Product Id], tbl_Product[Pack Size])</f>
        <v/>
      </c>
      <c r="AX763" s="10">
        <f>(tbl_MTG_Set[[#This Row],[Collector Booster Box Cost]] + v_Item_Shipping_Cost_In) / tbl_MTG_Set[[#This Row],[Collector Booster Box Size]]</f>
        <v/>
      </c>
      <c r="AY763" s="10">
        <f t="array" ref="AY7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3" s="10" t="n"/>
      <c r="BA7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3" s="17">
        <f>tbl_MTG_Set[[#This Row],[Collector Booster CardMarket Profit]]/tbl_MTG_Set[[#This Row],[Collector Booster Cost]]</f>
        <v/>
      </c>
      <c r="BC763" s="10" t="n"/>
      <c r="BF763" s="10">
        <f>tbl_MTG_Set[[#This Row],[Play Booster Sell Price CardMarket]]*tbl_MTG_Set[[#This Row],[Play Booster Expected Market Value]]/tbl_MTG_Set[[#This Row],[Play Boost Sealed Market Value]]</f>
        <v/>
      </c>
      <c r="BG7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3" s="10">
        <f>tbl_MTG_Set[[#This Row],[Play Singles CardMarket Profit]]/tbl_MTG_Set[[#This Row],[Play Booster Cost]]</f>
        <v/>
      </c>
      <c r="BI763" s="10">
        <f>tbl_MTG_Set[[#This Row],[Play Singles CardMarket Profit]]&gt;0</f>
        <v/>
      </c>
      <c r="BJ763" s="10" t="n"/>
      <c r="BK763" s="10" t="n"/>
      <c r="BL763" s="10">
        <f>tbl_MTG_Set[[#This Row],[Collector Booster Sell Price CardMarket]]*tbl_MTG_Set[[#This Row],[Collector Booster Expected Market Value]]/tbl_MTG_Set[[#This Row],[Collector Boost Sealed Market Value]]</f>
        <v/>
      </c>
      <c r="BM7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3" s="10">
        <f>tbl_MTG_Set[[#This Row],[Collector Singles CardMarket Profit]]/tbl_MTG_Set[[#This Row],[Collector Booster Cost]]</f>
        <v/>
      </c>
      <c r="BO763" s="10">
        <f>tbl_MTG_Set[[#This Row],[Collector Singles CardMarket Profit]]&gt;0</f>
        <v/>
      </c>
      <c r="BP7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4">
      <c r="A764" t="n">
        <v>762</v>
      </c>
      <c r="B764" t="inlineStr">
        <is>
          <t>Rise of the Eldrazi Tokens TROE</t>
        </is>
      </c>
      <c r="C764" t="n">
        <v>7</v>
      </c>
      <c r="D764" s="3" t="n">
        <v>40291</v>
      </c>
      <c r="F764" t="inlineStr">
        <is>
          <t>en es fr de it pt ja ko ru 汉语 漢語</t>
        </is>
      </c>
      <c r="G764" t="n">
        <v>1470</v>
      </c>
      <c r="H764">
        <f>MONTH(NOW())+12*YEAR(NOW())-MONTH(tbl_MTG_Set[[#This Row],[Released On]])-12*YEAR(tbl_MTG_Set[[#This Row],[Released On]])</f>
        <v/>
      </c>
      <c r="I764">
        <f>_xlfn.XLOOKUP(tbl_MTG_Set[[#This Row],[Type Name]], tbl_MTG_Set_Type[Set Type], tbl_MTG_Set_Type[Index], "(Set Type not found)")</f>
        <v/>
      </c>
      <c r="J764">
        <f>_xlfn.XLOOKUP(tbl_MTG_Set[[#This Row],[Type Name]], tbl_MTG_Set_Type[Set Type], tbl_MTG_Set_Type[Buy Window Month Start], "(Set Type not found)")</f>
        <v/>
      </c>
      <c r="K764" s="3">
        <f>tbl_MTG_Set[[#This Row],[Released On]]+tbl_MTG_Set[[#This Row],[Buy Window Month Start]]*365.25/12</f>
        <v/>
      </c>
      <c r="L764">
        <f>_xlfn.XLOOKUP(tbl_MTG_Set[[#This Row],[Type Name]], tbl_MTG_Set_Type[Set Type], tbl_MTG_Set_Type[Buy Window Month End], "(Set Type not found)", 0, 1)</f>
        <v/>
      </c>
      <c r="M764" s="3">
        <f>tbl_MTG_Set[[#This Row],[Released On]]+tbl_MTG_Set[[#This Row],[Buy Window Month End]]*365.25/12</f>
        <v/>
      </c>
      <c r="N764" s="3">
        <f>AND(NOW()&gt;=tbl_MTG_Set[[#This Row],[Buy Window Start]], NOW()&lt;=tbl_MTG_Set[[#This Row],[Buy Window End]])</f>
        <v/>
      </c>
      <c r="O764">
        <f>_xlfn.XLOOKUP(tbl_MTG_Set[[#This Row],[Type Name]], tbl_MTG_Set_Type[Set Type], tbl_MTG_Set_Type[Heavy Printing Window Month Start], "(Set Type not found)", 0, 1)</f>
        <v/>
      </c>
      <c r="P764" s="3">
        <f>tbl_MTG_Set[[#This Row],[Released On]]+tbl_MTG_Set[[#This Row],[Heavy Printing Window Month Start]]*365.25/12</f>
        <v/>
      </c>
      <c r="Q764">
        <f>_xlfn.XLOOKUP(tbl_MTG_Set[[#This Row],[Type Name]], tbl_MTG_Set_Type[Set Type], tbl_MTG_Set_Type[Heavy Printing Window Month End], "(Set Type not found)", 0, 1)</f>
        <v/>
      </c>
      <c r="R764" s="3">
        <f>tbl_MTG_Set[[#This Row],[Released On]]+tbl_MTG_Set[[#This Row],[Heavy Printing Window Month End]]*365.25/12</f>
        <v/>
      </c>
      <c r="S764" s="3">
        <f>AND(NOW()&gt;=tbl_MTG_Set[[#This Row],[Heavy Printing Window Start]], NOW()&lt;=tbl_MTG_Set[[#This Row],[Heavy Printing Window End]])</f>
        <v/>
      </c>
      <c r="T764">
        <f>_xlfn.XLOOKUP(tbl_MTG_Set[[#This Row],[Type Name]], tbl_MTG_Set_Type[Set Type], tbl_MTG_Set_Type[Sell Window Month Start], "(Set Type not found)", 0, 1)</f>
        <v/>
      </c>
      <c r="U764" s="3">
        <f>tbl_MTG_Set[[#This Row],[Released On]]+tbl_MTG_Set[[#This Row],[Sell Window Month Start]]*365.25/12</f>
        <v/>
      </c>
      <c r="V764">
        <f>_xlfn.XLOOKUP(tbl_MTG_Set[[#This Row],[Type Name]], tbl_MTG_Set_Type[Set Type], tbl_MTG_Set_Type[Sell Window Month End], "(Set Type not found)", 0, 1)</f>
        <v/>
      </c>
      <c r="W764" s="3">
        <f>tbl_MTG_Set[[#This Row],[Released On]]+tbl_MTG_Set[[#This Row],[Sell Window Month End]]*365.25/12</f>
        <v/>
      </c>
      <c r="X764" s="3">
        <f>AND(NOW()&gt;=tbl_MTG_Set[[#This Row],[Sell Window Start]], NOW()&lt;=tbl_MTG_Set[[#This Row],[Sell Window End]])</f>
        <v/>
      </c>
      <c r="AG764" s="10" t="n"/>
      <c r="AH764" s="10" t="n"/>
      <c r="AM764" s="10">
        <f t="array" ref="AM7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4" s="10">
        <f t="array" ref="AN7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4" s="4">
        <f>_xlfn.XLOOKUP(tbl_MTG_Set[[#This Row],[Play Booster Box Product Id]], tbl_Product[Product Id], tbl_Product[Pack Size])</f>
        <v/>
      </c>
      <c r="AP764" s="10">
        <f>(tbl_MTG_Set[[#This Row],[Play Booster Box Cost]]+v_Item_Shipping_Cost_In)/tbl_MTG_Set[[#This Row],[Play Booster Box Size]]</f>
        <v/>
      </c>
      <c r="AQ764" s="10">
        <f t="array" ref="AQ7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4" s="10" t="n"/>
      <c r="AS764" s="10" t="n"/>
      <c r="AT764" s="17">
        <f>tbl_MTG_Set[[#This Row],[Play Booster CardMarket Profit]]/tbl_MTG_Set[[#This Row],[Play Booster Cost]]</f>
        <v/>
      </c>
      <c r="AU764" s="10">
        <f>_xlfn.XLOOKUP(tbl_MTG_Set[[#This Row],[Collector Booster Box Product Id]], tbl_Product[Product Id], tbl_Product[Min Cost])</f>
        <v/>
      </c>
      <c r="AV764" s="10">
        <f>_xlfn.XLOOKUP(tbl_MTG_Set[[#This Row],[Collector Booster Box Product Id]], tbl_Product[Product Id], tbl_Product[Best Source])</f>
        <v/>
      </c>
      <c r="AW764" s="4">
        <f>_xlfn.XLOOKUP(tbl_MTG_Set[[#This Row],[Collector Booster Box Product Id]], tbl_Product[Product Id], tbl_Product[Pack Size])</f>
        <v/>
      </c>
      <c r="AX764" s="10">
        <f>(tbl_MTG_Set[[#This Row],[Collector Booster Box Cost]] + v_Item_Shipping_Cost_In) / tbl_MTG_Set[[#This Row],[Collector Booster Box Size]]</f>
        <v/>
      </c>
      <c r="AY764" s="10">
        <f t="array" ref="AY7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4" s="10" t="n"/>
      <c r="BA7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4" s="17">
        <f>tbl_MTG_Set[[#This Row],[Collector Booster CardMarket Profit]]/tbl_MTG_Set[[#This Row],[Collector Booster Cost]]</f>
        <v/>
      </c>
      <c r="BC764" s="10" t="n"/>
      <c r="BF764" s="10">
        <f>tbl_MTG_Set[[#This Row],[Play Booster Sell Price CardMarket]]*tbl_MTG_Set[[#This Row],[Play Booster Expected Market Value]]/tbl_MTG_Set[[#This Row],[Play Boost Sealed Market Value]]</f>
        <v/>
      </c>
      <c r="BG7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4" s="10">
        <f>tbl_MTG_Set[[#This Row],[Play Singles CardMarket Profit]]/tbl_MTG_Set[[#This Row],[Play Booster Cost]]</f>
        <v/>
      </c>
      <c r="BI764" s="10">
        <f>tbl_MTG_Set[[#This Row],[Play Singles CardMarket Profit]]&gt;0</f>
        <v/>
      </c>
      <c r="BJ764" s="10" t="n"/>
      <c r="BK764" s="10" t="n"/>
      <c r="BL764" s="10">
        <f>tbl_MTG_Set[[#This Row],[Collector Booster Sell Price CardMarket]]*tbl_MTG_Set[[#This Row],[Collector Booster Expected Market Value]]/tbl_MTG_Set[[#This Row],[Collector Boost Sealed Market Value]]</f>
        <v/>
      </c>
      <c r="BM7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4" s="10">
        <f>tbl_MTG_Set[[#This Row],[Collector Singles CardMarket Profit]]/tbl_MTG_Set[[#This Row],[Collector Booster Cost]]</f>
        <v/>
      </c>
      <c r="BO764" s="10">
        <f>tbl_MTG_Set[[#This Row],[Collector Singles CardMarket Profit]]&gt;0</f>
        <v/>
      </c>
      <c r="BP7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5">
      <c r="A765" t="n">
        <v>763</v>
      </c>
      <c r="B765" t="inlineStr">
        <is>
          <t>Duel Decks: Phyrexia vs. the Coalition DDE</t>
        </is>
      </c>
      <c r="C765" t="n">
        <v>71</v>
      </c>
      <c r="D765" s="3" t="n">
        <v>40256</v>
      </c>
      <c r="F765" t="inlineStr">
        <is>
          <t>en es fr de it pt ja ko ru 汉语 漢語</t>
        </is>
      </c>
      <c r="G765" t="n">
        <v>1472</v>
      </c>
      <c r="H765">
        <f>MONTH(NOW())+12*YEAR(NOW())-MONTH(tbl_MTG_Set[[#This Row],[Released On]])-12*YEAR(tbl_MTG_Set[[#This Row],[Released On]])</f>
        <v/>
      </c>
      <c r="I765">
        <f>_xlfn.XLOOKUP(tbl_MTG_Set[[#This Row],[Type Name]], tbl_MTG_Set_Type[Set Type], tbl_MTG_Set_Type[Index], "(Set Type not found)")</f>
        <v/>
      </c>
      <c r="J765">
        <f>_xlfn.XLOOKUP(tbl_MTG_Set[[#This Row],[Type Name]], tbl_MTG_Set_Type[Set Type], tbl_MTG_Set_Type[Buy Window Month Start], "(Set Type not found)")</f>
        <v/>
      </c>
      <c r="K765" s="3">
        <f>tbl_MTG_Set[[#This Row],[Released On]]+tbl_MTG_Set[[#This Row],[Buy Window Month Start]]*365.25/12</f>
        <v/>
      </c>
      <c r="L765">
        <f>_xlfn.XLOOKUP(tbl_MTG_Set[[#This Row],[Type Name]], tbl_MTG_Set_Type[Set Type], tbl_MTG_Set_Type[Buy Window Month End], "(Set Type not found)", 0, 1)</f>
        <v/>
      </c>
      <c r="M765" s="3">
        <f>tbl_MTG_Set[[#This Row],[Released On]]+tbl_MTG_Set[[#This Row],[Buy Window Month End]]*365.25/12</f>
        <v/>
      </c>
      <c r="N765" s="3">
        <f>AND(NOW()&gt;=tbl_MTG_Set[[#This Row],[Buy Window Start]], NOW()&lt;=tbl_MTG_Set[[#This Row],[Buy Window End]])</f>
        <v/>
      </c>
      <c r="O765">
        <f>_xlfn.XLOOKUP(tbl_MTG_Set[[#This Row],[Type Name]], tbl_MTG_Set_Type[Set Type], tbl_MTG_Set_Type[Heavy Printing Window Month Start], "(Set Type not found)", 0, 1)</f>
        <v/>
      </c>
      <c r="P765" s="3">
        <f>tbl_MTG_Set[[#This Row],[Released On]]+tbl_MTG_Set[[#This Row],[Heavy Printing Window Month Start]]*365.25/12</f>
        <v/>
      </c>
      <c r="Q765">
        <f>_xlfn.XLOOKUP(tbl_MTG_Set[[#This Row],[Type Name]], tbl_MTG_Set_Type[Set Type], tbl_MTG_Set_Type[Heavy Printing Window Month End], "(Set Type not found)", 0, 1)</f>
        <v/>
      </c>
      <c r="R765" s="3">
        <f>tbl_MTG_Set[[#This Row],[Released On]]+tbl_MTG_Set[[#This Row],[Heavy Printing Window Month End]]*365.25/12</f>
        <v/>
      </c>
      <c r="S765" s="3">
        <f>AND(NOW()&gt;=tbl_MTG_Set[[#This Row],[Heavy Printing Window Start]], NOW()&lt;=tbl_MTG_Set[[#This Row],[Heavy Printing Window End]])</f>
        <v/>
      </c>
      <c r="T765">
        <f>_xlfn.XLOOKUP(tbl_MTG_Set[[#This Row],[Type Name]], tbl_MTG_Set_Type[Set Type], tbl_MTG_Set_Type[Sell Window Month Start], "(Set Type not found)", 0, 1)</f>
        <v/>
      </c>
      <c r="U765" s="3">
        <f>tbl_MTG_Set[[#This Row],[Released On]]+tbl_MTG_Set[[#This Row],[Sell Window Month Start]]*365.25/12</f>
        <v/>
      </c>
      <c r="V765">
        <f>_xlfn.XLOOKUP(tbl_MTG_Set[[#This Row],[Type Name]], tbl_MTG_Set_Type[Set Type], tbl_MTG_Set_Type[Sell Window Month End], "(Set Type not found)", 0, 1)</f>
        <v/>
      </c>
      <c r="W765" s="3">
        <f>tbl_MTG_Set[[#This Row],[Released On]]+tbl_MTG_Set[[#This Row],[Sell Window Month End]]*365.25/12</f>
        <v/>
      </c>
      <c r="X765" s="3">
        <f>AND(NOW()&gt;=tbl_MTG_Set[[#This Row],[Sell Window Start]], NOW()&lt;=tbl_MTG_Set[[#This Row],[Sell Window End]])</f>
        <v/>
      </c>
      <c r="AG765" s="10" t="n"/>
      <c r="AH765" s="10" t="n"/>
      <c r="AM765" s="10">
        <f t="array" ref="AM7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5" s="10">
        <f t="array" ref="AN7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5" s="4">
        <f>_xlfn.XLOOKUP(tbl_MTG_Set[[#This Row],[Play Booster Box Product Id]], tbl_Product[Product Id], tbl_Product[Pack Size])</f>
        <v/>
      </c>
      <c r="AP765" s="10">
        <f>(tbl_MTG_Set[[#This Row],[Play Booster Box Cost]]+v_Item_Shipping_Cost_In)/tbl_MTG_Set[[#This Row],[Play Booster Box Size]]</f>
        <v/>
      </c>
      <c r="AQ765" s="10">
        <f t="array" ref="AQ7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5" s="10" t="n"/>
      <c r="AS765" s="10" t="n"/>
      <c r="AT765" s="17">
        <f>tbl_MTG_Set[[#This Row],[Play Booster CardMarket Profit]]/tbl_MTG_Set[[#This Row],[Play Booster Cost]]</f>
        <v/>
      </c>
      <c r="AU765" s="10">
        <f>_xlfn.XLOOKUP(tbl_MTG_Set[[#This Row],[Collector Booster Box Product Id]], tbl_Product[Product Id], tbl_Product[Min Cost])</f>
        <v/>
      </c>
      <c r="AV765" s="10">
        <f>_xlfn.XLOOKUP(tbl_MTG_Set[[#This Row],[Collector Booster Box Product Id]], tbl_Product[Product Id], tbl_Product[Best Source])</f>
        <v/>
      </c>
      <c r="AW765" s="4">
        <f>_xlfn.XLOOKUP(tbl_MTG_Set[[#This Row],[Collector Booster Box Product Id]], tbl_Product[Product Id], tbl_Product[Pack Size])</f>
        <v/>
      </c>
      <c r="AX765" s="10">
        <f>(tbl_MTG_Set[[#This Row],[Collector Booster Box Cost]] + v_Item_Shipping_Cost_In) / tbl_MTG_Set[[#This Row],[Collector Booster Box Size]]</f>
        <v/>
      </c>
      <c r="AY765" s="10">
        <f t="array" ref="AY7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5" s="10" t="n"/>
      <c r="BA7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5" s="17">
        <f>tbl_MTG_Set[[#This Row],[Collector Booster CardMarket Profit]]/tbl_MTG_Set[[#This Row],[Collector Booster Cost]]</f>
        <v/>
      </c>
      <c r="BC765" s="10" t="n"/>
      <c r="BF765" s="10">
        <f>tbl_MTG_Set[[#This Row],[Play Booster Sell Price CardMarket]]*tbl_MTG_Set[[#This Row],[Play Booster Expected Market Value]]/tbl_MTG_Set[[#This Row],[Play Boost Sealed Market Value]]</f>
        <v/>
      </c>
      <c r="BG7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5" s="10">
        <f>tbl_MTG_Set[[#This Row],[Play Singles CardMarket Profit]]/tbl_MTG_Set[[#This Row],[Play Booster Cost]]</f>
        <v/>
      </c>
      <c r="BI765" s="10">
        <f>tbl_MTG_Set[[#This Row],[Play Singles CardMarket Profit]]&gt;0</f>
        <v/>
      </c>
      <c r="BJ765" s="10" t="n"/>
      <c r="BK765" s="10" t="n"/>
      <c r="BL765" s="10">
        <f>tbl_MTG_Set[[#This Row],[Collector Booster Sell Price CardMarket]]*tbl_MTG_Set[[#This Row],[Collector Booster Expected Market Value]]/tbl_MTG_Set[[#This Row],[Collector Boost Sealed Market Value]]</f>
        <v/>
      </c>
      <c r="BM7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5" s="10">
        <f>tbl_MTG_Set[[#This Row],[Collector Singles CardMarket Profit]]/tbl_MTG_Set[[#This Row],[Collector Booster Cost]]</f>
        <v/>
      </c>
      <c r="BO765" s="10">
        <f>tbl_MTG_Set[[#This Row],[Collector Singles CardMarket Profit]]&gt;0</f>
        <v/>
      </c>
      <c r="BP7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6">
      <c r="A766" t="n">
        <v>764</v>
      </c>
      <c r="B766" t="inlineStr">
        <is>
          <t>Duel Decks: Phyrexia vs. the Coalition Tokens TDDE</t>
        </is>
      </c>
      <c r="C766" t="n">
        <v>3</v>
      </c>
      <c r="D766" s="3" t="n">
        <v>40256</v>
      </c>
      <c r="F766" t="inlineStr">
        <is>
          <t>en es fr de it pt ja ko ru 汉语 漢語</t>
        </is>
      </c>
      <c r="G766" t="n">
        <v>1474</v>
      </c>
      <c r="H766">
        <f>MONTH(NOW())+12*YEAR(NOW())-MONTH(tbl_MTG_Set[[#This Row],[Released On]])-12*YEAR(tbl_MTG_Set[[#This Row],[Released On]])</f>
        <v/>
      </c>
      <c r="I766">
        <f>_xlfn.XLOOKUP(tbl_MTG_Set[[#This Row],[Type Name]], tbl_MTG_Set_Type[Set Type], tbl_MTG_Set_Type[Index], "(Set Type not found)")</f>
        <v/>
      </c>
      <c r="J766">
        <f>_xlfn.XLOOKUP(tbl_MTG_Set[[#This Row],[Type Name]], tbl_MTG_Set_Type[Set Type], tbl_MTG_Set_Type[Buy Window Month Start], "(Set Type not found)")</f>
        <v/>
      </c>
      <c r="K766" s="3">
        <f>tbl_MTG_Set[[#This Row],[Released On]]+tbl_MTG_Set[[#This Row],[Buy Window Month Start]]*365.25/12</f>
        <v/>
      </c>
      <c r="L766">
        <f>_xlfn.XLOOKUP(tbl_MTG_Set[[#This Row],[Type Name]], tbl_MTG_Set_Type[Set Type], tbl_MTG_Set_Type[Buy Window Month End], "(Set Type not found)", 0, 1)</f>
        <v/>
      </c>
      <c r="M766" s="3">
        <f>tbl_MTG_Set[[#This Row],[Released On]]+tbl_MTG_Set[[#This Row],[Buy Window Month End]]*365.25/12</f>
        <v/>
      </c>
      <c r="N766" s="3">
        <f>AND(NOW()&gt;=tbl_MTG_Set[[#This Row],[Buy Window Start]], NOW()&lt;=tbl_MTG_Set[[#This Row],[Buy Window End]])</f>
        <v/>
      </c>
      <c r="O766">
        <f>_xlfn.XLOOKUP(tbl_MTG_Set[[#This Row],[Type Name]], tbl_MTG_Set_Type[Set Type], tbl_MTG_Set_Type[Heavy Printing Window Month Start], "(Set Type not found)", 0, 1)</f>
        <v/>
      </c>
      <c r="P766" s="3">
        <f>tbl_MTG_Set[[#This Row],[Released On]]+tbl_MTG_Set[[#This Row],[Heavy Printing Window Month Start]]*365.25/12</f>
        <v/>
      </c>
      <c r="Q766">
        <f>_xlfn.XLOOKUP(tbl_MTG_Set[[#This Row],[Type Name]], tbl_MTG_Set_Type[Set Type], tbl_MTG_Set_Type[Heavy Printing Window Month End], "(Set Type not found)", 0, 1)</f>
        <v/>
      </c>
      <c r="R766" s="3">
        <f>tbl_MTG_Set[[#This Row],[Released On]]+tbl_MTG_Set[[#This Row],[Heavy Printing Window Month End]]*365.25/12</f>
        <v/>
      </c>
      <c r="S766" s="3">
        <f>AND(NOW()&gt;=tbl_MTG_Set[[#This Row],[Heavy Printing Window Start]], NOW()&lt;=tbl_MTG_Set[[#This Row],[Heavy Printing Window End]])</f>
        <v/>
      </c>
      <c r="T766">
        <f>_xlfn.XLOOKUP(tbl_MTG_Set[[#This Row],[Type Name]], tbl_MTG_Set_Type[Set Type], tbl_MTG_Set_Type[Sell Window Month Start], "(Set Type not found)", 0, 1)</f>
        <v/>
      </c>
      <c r="U766" s="3">
        <f>tbl_MTG_Set[[#This Row],[Released On]]+tbl_MTG_Set[[#This Row],[Sell Window Month Start]]*365.25/12</f>
        <v/>
      </c>
      <c r="V766">
        <f>_xlfn.XLOOKUP(tbl_MTG_Set[[#This Row],[Type Name]], tbl_MTG_Set_Type[Set Type], tbl_MTG_Set_Type[Sell Window Month End], "(Set Type not found)", 0, 1)</f>
        <v/>
      </c>
      <c r="W766" s="3">
        <f>tbl_MTG_Set[[#This Row],[Released On]]+tbl_MTG_Set[[#This Row],[Sell Window Month End]]*365.25/12</f>
        <v/>
      </c>
      <c r="X766" s="3">
        <f>AND(NOW()&gt;=tbl_MTG_Set[[#This Row],[Sell Window Start]], NOW()&lt;=tbl_MTG_Set[[#This Row],[Sell Window End]])</f>
        <v/>
      </c>
      <c r="AG766" s="10" t="n"/>
      <c r="AH766" s="10" t="n"/>
      <c r="AM766" s="10">
        <f t="array" ref="AM7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6" s="10">
        <f t="array" ref="AN7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6" s="4">
        <f>_xlfn.XLOOKUP(tbl_MTG_Set[[#This Row],[Play Booster Box Product Id]], tbl_Product[Product Id], tbl_Product[Pack Size])</f>
        <v/>
      </c>
      <c r="AP766" s="10">
        <f>(tbl_MTG_Set[[#This Row],[Play Booster Box Cost]]+v_Item_Shipping_Cost_In)/tbl_MTG_Set[[#This Row],[Play Booster Box Size]]</f>
        <v/>
      </c>
      <c r="AQ766" s="10">
        <f t="array" ref="AQ7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6" s="10" t="n"/>
      <c r="AS766" s="10" t="n"/>
      <c r="AT766" s="17">
        <f>tbl_MTG_Set[[#This Row],[Play Booster CardMarket Profit]]/tbl_MTG_Set[[#This Row],[Play Booster Cost]]</f>
        <v/>
      </c>
      <c r="AU766" s="10">
        <f>_xlfn.XLOOKUP(tbl_MTG_Set[[#This Row],[Collector Booster Box Product Id]], tbl_Product[Product Id], tbl_Product[Min Cost])</f>
        <v/>
      </c>
      <c r="AV766" s="10">
        <f>_xlfn.XLOOKUP(tbl_MTG_Set[[#This Row],[Collector Booster Box Product Id]], tbl_Product[Product Id], tbl_Product[Best Source])</f>
        <v/>
      </c>
      <c r="AW766" s="4">
        <f>_xlfn.XLOOKUP(tbl_MTG_Set[[#This Row],[Collector Booster Box Product Id]], tbl_Product[Product Id], tbl_Product[Pack Size])</f>
        <v/>
      </c>
      <c r="AX766" s="10">
        <f>(tbl_MTG_Set[[#This Row],[Collector Booster Box Cost]] + v_Item_Shipping_Cost_In) / tbl_MTG_Set[[#This Row],[Collector Booster Box Size]]</f>
        <v/>
      </c>
      <c r="AY766" s="10">
        <f t="array" ref="AY7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6" s="10" t="n"/>
      <c r="BA7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6" s="17">
        <f>tbl_MTG_Set[[#This Row],[Collector Booster CardMarket Profit]]/tbl_MTG_Set[[#This Row],[Collector Booster Cost]]</f>
        <v/>
      </c>
      <c r="BC766" s="10" t="n"/>
      <c r="BF766" s="10">
        <f>tbl_MTG_Set[[#This Row],[Play Booster Sell Price CardMarket]]*tbl_MTG_Set[[#This Row],[Play Booster Expected Market Value]]/tbl_MTG_Set[[#This Row],[Play Boost Sealed Market Value]]</f>
        <v/>
      </c>
      <c r="BG7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6" s="10">
        <f>tbl_MTG_Set[[#This Row],[Play Singles CardMarket Profit]]/tbl_MTG_Set[[#This Row],[Play Booster Cost]]</f>
        <v/>
      </c>
      <c r="BI766" s="10">
        <f>tbl_MTG_Set[[#This Row],[Play Singles CardMarket Profit]]&gt;0</f>
        <v/>
      </c>
      <c r="BJ766" s="10" t="n"/>
      <c r="BK766" s="10" t="n"/>
      <c r="BL766" s="10">
        <f>tbl_MTG_Set[[#This Row],[Collector Booster Sell Price CardMarket]]*tbl_MTG_Set[[#This Row],[Collector Booster Expected Market Value]]/tbl_MTG_Set[[#This Row],[Collector Boost Sealed Market Value]]</f>
        <v/>
      </c>
      <c r="BM7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6" s="10">
        <f>tbl_MTG_Set[[#This Row],[Collector Singles CardMarket Profit]]/tbl_MTG_Set[[#This Row],[Collector Booster Cost]]</f>
        <v/>
      </c>
      <c r="BO766" s="10">
        <f>tbl_MTG_Set[[#This Row],[Collector Singles CardMarket Profit]]&gt;0</f>
        <v/>
      </c>
      <c r="BP7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7">
      <c r="A767" t="n">
        <v>765</v>
      </c>
      <c r="B767" t="inlineStr">
        <is>
          <t>Worldwake WWK</t>
        </is>
      </c>
      <c r="C767" t="n">
        <v>145</v>
      </c>
      <c r="D767" s="3" t="n">
        <v>40214</v>
      </c>
      <c r="F767" t="inlineStr">
        <is>
          <t>en es fr de it pt ja ko ru 汉语 漢語</t>
        </is>
      </c>
      <c r="G767" t="n">
        <v>1476</v>
      </c>
      <c r="H767">
        <f>MONTH(NOW())+12*YEAR(NOW())-MONTH(tbl_MTG_Set[[#This Row],[Released On]])-12*YEAR(tbl_MTG_Set[[#This Row],[Released On]])</f>
        <v/>
      </c>
      <c r="I767">
        <f>_xlfn.XLOOKUP(tbl_MTG_Set[[#This Row],[Type Name]], tbl_MTG_Set_Type[Set Type], tbl_MTG_Set_Type[Index], "(Set Type not found)")</f>
        <v/>
      </c>
      <c r="J767">
        <f>_xlfn.XLOOKUP(tbl_MTG_Set[[#This Row],[Type Name]], tbl_MTG_Set_Type[Set Type], tbl_MTG_Set_Type[Buy Window Month Start], "(Set Type not found)")</f>
        <v/>
      </c>
      <c r="K767" s="3">
        <f>tbl_MTG_Set[[#This Row],[Released On]]+tbl_MTG_Set[[#This Row],[Buy Window Month Start]]*365.25/12</f>
        <v/>
      </c>
      <c r="L767">
        <f>_xlfn.XLOOKUP(tbl_MTG_Set[[#This Row],[Type Name]], tbl_MTG_Set_Type[Set Type], tbl_MTG_Set_Type[Buy Window Month End], "(Set Type not found)", 0, 1)</f>
        <v/>
      </c>
      <c r="M767" s="3">
        <f>tbl_MTG_Set[[#This Row],[Released On]]+tbl_MTG_Set[[#This Row],[Buy Window Month End]]*365.25/12</f>
        <v/>
      </c>
      <c r="N767" s="3">
        <f>AND(NOW()&gt;=tbl_MTG_Set[[#This Row],[Buy Window Start]], NOW()&lt;=tbl_MTG_Set[[#This Row],[Buy Window End]])</f>
        <v/>
      </c>
      <c r="O767">
        <f>_xlfn.XLOOKUP(tbl_MTG_Set[[#This Row],[Type Name]], tbl_MTG_Set_Type[Set Type], tbl_MTG_Set_Type[Heavy Printing Window Month Start], "(Set Type not found)", 0, 1)</f>
        <v/>
      </c>
      <c r="P767" s="3">
        <f>tbl_MTG_Set[[#This Row],[Released On]]+tbl_MTG_Set[[#This Row],[Heavy Printing Window Month Start]]*365.25/12</f>
        <v/>
      </c>
      <c r="Q767">
        <f>_xlfn.XLOOKUP(tbl_MTG_Set[[#This Row],[Type Name]], tbl_MTG_Set_Type[Set Type], tbl_MTG_Set_Type[Heavy Printing Window Month End], "(Set Type not found)", 0, 1)</f>
        <v/>
      </c>
      <c r="R767" s="3">
        <f>tbl_MTG_Set[[#This Row],[Released On]]+tbl_MTG_Set[[#This Row],[Heavy Printing Window Month End]]*365.25/12</f>
        <v/>
      </c>
      <c r="S767" s="3">
        <f>AND(NOW()&gt;=tbl_MTG_Set[[#This Row],[Heavy Printing Window Start]], NOW()&lt;=tbl_MTG_Set[[#This Row],[Heavy Printing Window End]])</f>
        <v/>
      </c>
      <c r="T767">
        <f>_xlfn.XLOOKUP(tbl_MTG_Set[[#This Row],[Type Name]], tbl_MTG_Set_Type[Set Type], tbl_MTG_Set_Type[Sell Window Month Start], "(Set Type not found)", 0, 1)</f>
        <v/>
      </c>
      <c r="U767" s="3">
        <f>tbl_MTG_Set[[#This Row],[Released On]]+tbl_MTG_Set[[#This Row],[Sell Window Month Start]]*365.25/12</f>
        <v/>
      </c>
      <c r="V767">
        <f>_xlfn.XLOOKUP(tbl_MTG_Set[[#This Row],[Type Name]], tbl_MTG_Set_Type[Set Type], tbl_MTG_Set_Type[Sell Window Month End], "(Set Type not found)", 0, 1)</f>
        <v/>
      </c>
      <c r="W767" s="3">
        <f>tbl_MTG_Set[[#This Row],[Released On]]+tbl_MTG_Set[[#This Row],[Sell Window Month End]]*365.25/12</f>
        <v/>
      </c>
      <c r="X767" s="3">
        <f>AND(NOW()&gt;=tbl_MTG_Set[[#This Row],[Sell Window Start]], NOW()&lt;=tbl_MTG_Set[[#This Row],[Sell Window End]])</f>
        <v/>
      </c>
      <c r="AG767" s="10" t="n"/>
      <c r="AH767" s="10" t="n"/>
      <c r="AM767" s="10">
        <f t="array" ref="AM7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7" s="10">
        <f t="array" ref="AN7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7" s="4">
        <f>_xlfn.XLOOKUP(tbl_MTG_Set[[#This Row],[Play Booster Box Product Id]], tbl_Product[Product Id], tbl_Product[Pack Size])</f>
        <v/>
      </c>
      <c r="AP767" s="10">
        <f>(tbl_MTG_Set[[#This Row],[Play Booster Box Cost]]+v_Item_Shipping_Cost_In)/tbl_MTG_Set[[#This Row],[Play Booster Box Size]]</f>
        <v/>
      </c>
      <c r="AQ767" s="10">
        <f t="array" ref="AQ7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7" s="10" t="n"/>
      <c r="AS767" s="10" t="n"/>
      <c r="AT767" s="17">
        <f>tbl_MTG_Set[[#This Row],[Play Booster CardMarket Profit]]/tbl_MTG_Set[[#This Row],[Play Booster Cost]]</f>
        <v/>
      </c>
      <c r="AU767" s="10">
        <f>_xlfn.XLOOKUP(tbl_MTG_Set[[#This Row],[Collector Booster Box Product Id]], tbl_Product[Product Id], tbl_Product[Min Cost])</f>
        <v/>
      </c>
      <c r="AV767" s="10">
        <f>_xlfn.XLOOKUP(tbl_MTG_Set[[#This Row],[Collector Booster Box Product Id]], tbl_Product[Product Id], tbl_Product[Best Source])</f>
        <v/>
      </c>
      <c r="AW767" s="4">
        <f>_xlfn.XLOOKUP(tbl_MTG_Set[[#This Row],[Collector Booster Box Product Id]], tbl_Product[Product Id], tbl_Product[Pack Size])</f>
        <v/>
      </c>
      <c r="AX767" s="10">
        <f>(tbl_MTG_Set[[#This Row],[Collector Booster Box Cost]] + v_Item_Shipping_Cost_In) / tbl_MTG_Set[[#This Row],[Collector Booster Box Size]]</f>
        <v/>
      </c>
      <c r="AY767" s="10">
        <f t="array" ref="AY7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7" s="10" t="n"/>
      <c r="BA7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7" s="17">
        <f>tbl_MTG_Set[[#This Row],[Collector Booster CardMarket Profit]]/tbl_MTG_Set[[#This Row],[Collector Booster Cost]]</f>
        <v/>
      </c>
      <c r="BC767" s="10" t="n"/>
      <c r="BF767" s="10">
        <f>tbl_MTG_Set[[#This Row],[Play Booster Sell Price CardMarket]]*tbl_MTG_Set[[#This Row],[Play Booster Expected Market Value]]/tbl_MTG_Set[[#This Row],[Play Boost Sealed Market Value]]</f>
        <v/>
      </c>
      <c r="BG7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7" s="10">
        <f>tbl_MTG_Set[[#This Row],[Play Singles CardMarket Profit]]/tbl_MTG_Set[[#This Row],[Play Booster Cost]]</f>
        <v/>
      </c>
      <c r="BI767" s="10">
        <f>tbl_MTG_Set[[#This Row],[Play Singles CardMarket Profit]]&gt;0</f>
        <v/>
      </c>
      <c r="BJ767" s="10" t="n"/>
      <c r="BK767" s="10" t="n"/>
      <c r="BL767" s="10">
        <f>tbl_MTG_Set[[#This Row],[Collector Booster Sell Price CardMarket]]*tbl_MTG_Set[[#This Row],[Collector Booster Expected Market Value]]/tbl_MTG_Set[[#This Row],[Collector Boost Sealed Market Value]]</f>
        <v/>
      </c>
      <c r="BM7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7" s="10">
        <f>tbl_MTG_Set[[#This Row],[Collector Singles CardMarket Profit]]/tbl_MTG_Set[[#This Row],[Collector Booster Cost]]</f>
        <v/>
      </c>
      <c r="BO767" s="10">
        <f>tbl_MTG_Set[[#This Row],[Collector Singles CardMarket Profit]]&gt;0</f>
        <v/>
      </c>
      <c r="BP7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8">
      <c r="A768" t="n">
        <v>766</v>
      </c>
      <c r="B768" t="inlineStr">
        <is>
          <t>Worldwake Promos PWWK</t>
        </is>
      </c>
      <c r="C768" t="n">
        <v>6</v>
      </c>
      <c r="D768" s="3" t="n">
        <v>40214</v>
      </c>
      <c r="F768" t="inlineStr">
        <is>
          <t>en es fr de it pt ja ko ru 汉语 漢語</t>
        </is>
      </c>
      <c r="G768" t="n">
        <v>1478</v>
      </c>
      <c r="H768">
        <f>MONTH(NOW())+12*YEAR(NOW())-MONTH(tbl_MTG_Set[[#This Row],[Released On]])-12*YEAR(tbl_MTG_Set[[#This Row],[Released On]])</f>
        <v/>
      </c>
      <c r="I768">
        <f>_xlfn.XLOOKUP(tbl_MTG_Set[[#This Row],[Type Name]], tbl_MTG_Set_Type[Set Type], tbl_MTG_Set_Type[Index], "(Set Type not found)")</f>
        <v/>
      </c>
      <c r="J768">
        <f>_xlfn.XLOOKUP(tbl_MTG_Set[[#This Row],[Type Name]], tbl_MTG_Set_Type[Set Type], tbl_MTG_Set_Type[Buy Window Month Start], "(Set Type not found)")</f>
        <v/>
      </c>
      <c r="K768" s="3">
        <f>tbl_MTG_Set[[#This Row],[Released On]]+tbl_MTG_Set[[#This Row],[Buy Window Month Start]]*365.25/12</f>
        <v/>
      </c>
      <c r="L768">
        <f>_xlfn.XLOOKUP(tbl_MTG_Set[[#This Row],[Type Name]], tbl_MTG_Set_Type[Set Type], tbl_MTG_Set_Type[Buy Window Month End], "(Set Type not found)", 0, 1)</f>
        <v/>
      </c>
      <c r="M768" s="3">
        <f>tbl_MTG_Set[[#This Row],[Released On]]+tbl_MTG_Set[[#This Row],[Buy Window Month End]]*365.25/12</f>
        <v/>
      </c>
      <c r="N768" s="3">
        <f>AND(NOW()&gt;=tbl_MTG_Set[[#This Row],[Buy Window Start]], NOW()&lt;=tbl_MTG_Set[[#This Row],[Buy Window End]])</f>
        <v/>
      </c>
      <c r="O768">
        <f>_xlfn.XLOOKUP(tbl_MTG_Set[[#This Row],[Type Name]], tbl_MTG_Set_Type[Set Type], tbl_MTG_Set_Type[Heavy Printing Window Month Start], "(Set Type not found)", 0, 1)</f>
        <v/>
      </c>
      <c r="P768" s="3">
        <f>tbl_MTG_Set[[#This Row],[Released On]]+tbl_MTG_Set[[#This Row],[Heavy Printing Window Month Start]]*365.25/12</f>
        <v/>
      </c>
      <c r="Q768">
        <f>_xlfn.XLOOKUP(tbl_MTG_Set[[#This Row],[Type Name]], tbl_MTG_Set_Type[Set Type], tbl_MTG_Set_Type[Heavy Printing Window Month End], "(Set Type not found)", 0, 1)</f>
        <v/>
      </c>
      <c r="R768" s="3">
        <f>tbl_MTG_Set[[#This Row],[Released On]]+tbl_MTG_Set[[#This Row],[Heavy Printing Window Month End]]*365.25/12</f>
        <v/>
      </c>
      <c r="S768" s="3">
        <f>AND(NOW()&gt;=tbl_MTG_Set[[#This Row],[Heavy Printing Window Start]], NOW()&lt;=tbl_MTG_Set[[#This Row],[Heavy Printing Window End]])</f>
        <v/>
      </c>
      <c r="T768">
        <f>_xlfn.XLOOKUP(tbl_MTG_Set[[#This Row],[Type Name]], tbl_MTG_Set_Type[Set Type], tbl_MTG_Set_Type[Sell Window Month Start], "(Set Type not found)", 0, 1)</f>
        <v/>
      </c>
      <c r="U768" s="3">
        <f>tbl_MTG_Set[[#This Row],[Released On]]+tbl_MTG_Set[[#This Row],[Sell Window Month Start]]*365.25/12</f>
        <v/>
      </c>
      <c r="V768">
        <f>_xlfn.XLOOKUP(tbl_MTG_Set[[#This Row],[Type Name]], tbl_MTG_Set_Type[Set Type], tbl_MTG_Set_Type[Sell Window Month End], "(Set Type not found)", 0, 1)</f>
        <v/>
      </c>
      <c r="W768" s="3">
        <f>tbl_MTG_Set[[#This Row],[Released On]]+tbl_MTG_Set[[#This Row],[Sell Window Month End]]*365.25/12</f>
        <v/>
      </c>
      <c r="X768" s="3">
        <f>AND(NOW()&gt;=tbl_MTG_Set[[#This Row],[Sell Window Start]], NOW()&lt;=tbl_MTG_Set[[#This Row],[Sell Window End]])</f>
        <v/>
      </c>
      <c r="AG768" s="10" t="n"/>
      <c r="AH768" s="10" t="n"/>
      <c r="AM768" s="10">
        <f t="array" ref="AM7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8" s="10">
        <f t="array" ref="AN7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8" s="4">
        <f>_xlfn.XLOOKUP(tbl_MTG_Set[[#This Row],[Play Booster Box Product Id]], tbl_Product[Product Id], tbl_Product[Pack Size])</f>
        <v/>
      </c>
      <c r="AP768" s="10">
        <f>(tbl_MTG_Set[[#This Row],[Play Booster Box Cost]]+v_Item_Shipping_Cost_In)/tbl_MTG_Set[[#This Row],[Play Booster Box Size]]</f>
        <v/>
      </c>
      <c r="AQ768" s="10">
        <f t="array" ref="AQ7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8" s="10" t="n"/>
      <c r="AS768" s="10" t="n"/>
      <c r="AT768" s="17">
        <f>tbl_MTG_Set[[#This Row],[Play Booster CardMarket Profit]]/tbl_MTG_Set[[#This Row],[Play Booster Cost]]</f>
        <v/>
      </c>
      <c r="AU768" s="10">
        <f>_xlfn.XLOOKUP(tbl_MTG_Set[[#This Row],[Collector Booster Box Product Id]], tbl_Product[Product Id], tbl_Product[Min Cost])</f>
        <v/>
      </c>
      <c r="AV768" s="10">
        <f>_xlfn.XLOOKUP(tbl_MTG_Set[[#This Row],[Collector Booster Box Product Id]], tbl_Product[Product Id], tbl_Product[Best Source])</f>
        <v/>
      </c>
      <c r="AW768" s="4">
        <f>_xlfn.XLOOKUP(tbl_MTG_Set[[#This Row],[Collector Booster Box Product Id]], tbl_Product[Product Id], tbl_Product[Pack Size])</f>
        <v/>
      </c>
      <c r="AX768" s="10">
        <f>(tbl_MTG_Set[[#This Row],[Collector Booster Box Cost]] + v_Item_Shipping_Cost_In) / tbl_MTG_Set[[#This Row],[Collector Booster Box Size]]</f>
        <v/>
      </c>
      <c r="AY768" s="10">
        <f t="array" ref="AY7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8" s="10" t="n"/>
      <c r="BA7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8" s="17">
        <f>tbl_MTG_Set[[#This Row],[Collector Booster CardMarket Profit]]/tbl_MTG_Set[[#This Row],[Collector Booster Cost]]</f>
        <v/>
      </c>
      <c r="BC768" s="10" t="n"/>
      <c r="BF768" s="10">
        <f>tbl_MTG_Set[[#This Row],[Play Booster Sell Price CardMarket]]*tbl_MTG_Set[[#This Row],[Play Booster Expected Market Value]]/tbl_MTG_Set[[#This Row],[Play Boost Sealed Market Value]]</f>
        <v/>
      </c>
      <c r="BG7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8" s="10">
        <f>tbl_MTG_Set[[#This Row],[Play Singles CardMarket Profit]]/tbl_MTG_Set[[#This Row],[Play Booster Cost]]</f>
        <v/>
      </c>
      <c r="BI768" s="10">
        <f>tbl_MTG_Set[[#This Row],[Play Singles CardMarket Profit]]&gt;0</f>
        <v/>
      </c>
      <c r="BJ768" s="10" t="n"/>
      <c r="BK768" s="10" t="n"/>
      <c r="BL768" s="10">
        <f>tbl_MTG_Set[[#This Row],[Collector Booster Sell Price CardMarket]]*tbl_MTG_Set[[#This Row],[Collector Booster Expected Market Value]]/tbl_MTG_Set[[#This Row],[Collector Boost Sealed Market Value]]</f>
        <v/>
      </c>
      <c r="BM7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8" s="10">
        <f>tbl_MTG_Set[[#This Row],[Collector Singles CardMarket Profit]]/tbl_MTG_Set[[#This Row],[Collector Booster Cost]]</f>
        <v/>
      </c>
      <c r="BO768" s="10">
        <f>tbl_MTG_Set[[#This Row],[Collector Singles CardMarket Profit]]&gt;0</f>
        <v/>
      </c>
      <c r="BP7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9">
      <c r="A769" t="n">
        <v>767</v>
      </c>
      <c r="B769" t="inlineStr">
        <is>
          <t>Worldwake Tokens TWWK</t>
        </is>
      </c>
      <c r="C769" t="n">
        <v>6</v>
      </c>
      <c r="D769" s="3" t="n">
        <v>40214</v>
      </c>
      <c r="F769" t="inlineStr">
        <is>
          <t>en es fr de it pt ja ko ru 汉语 漢語</t>
        </is>
      </c>
      <c r="G769" t="n">
        <v>1480</v>
      </c>
      <c r="H769">
        <f>MONTH(NOW())+12*YEAR(NOW())-MONTH(tbl_MTG_Set[[#This Row],[Released On]])-12*YEAR(tbl_MTG_Set[[#This Row],[Released On]])</f>
        <v/>
      </c>
      <c r="I769">
        <f>_xlfn.XLOOKUP(tbl_MTG_Set[[#This Row],[Type Name]], tbl_MTG_Set_Type[Set Type], tbl_MTG_Set_Type[Index], "(Set Type not found)")</f>
        <v/>
      </c>
      <c r="J769">
        <f>_xlfn.XLOOKUP(tbl_MTG_Set[[#This Row],[Type Name]], tbl_MTG_Set_Type[Set Type], tbl_MTG_Set_Type[Buy Window Month Start], "(Set Type not found)")</f>
        <v/>
      </c>
      <c r="K769" s="3">
        <f>tbl_MTG_Set[[#This Row],[Released On]]+tbl_MTG_Set[[#This Row],[Buy Window Month Start]]*365.25/12</f>
        <v/>
      </c>
      <c r="L769">
        <f>_xlfn.XLOOKUP(tbl_MTG_Set[[#This Row],[Type Name]], tbl_MTG_Set_Type[Set Type], tbl_MTG_Set_Type[Buy Window Month End], "(Set Type not found)", 0, 1)</f>
        <v/>
      </c>
      <c r="M769" s="3">
        <f>tbl_MTG_Set[[#This Row],[Released On]]+tbl_MTG_Set[[#This Row],[Buy Window Month End]]*365.25/12</f>
        <v/>
      </c>
      <c r="N769" s="3">
        <f>AND(NOW()&gt;=tbl_MTG_Set[[#This Row],[Buy Window Start]], NOW()&lt;=tbl_MTG_Set[[#This Row],[Buy Window End]])</f>
        <v/>
      </c>
      <c r="O769">
        <f>_xlfn.XLOOKUP(tbl_MTG_Set[[#This Row],[Type Name]], tbl_MTG_Set_Type[Set Type], tbl_MTG_Set_Type[Heavy Printing Window Month Start], "(Set Type not found)", 0, 1)</f>
        <v/>
      </c>
      <c r="P769" s="3">
        <f>tbl_MTG_Set[[#This Row],[Released On]]+tbl_MTG_Set[[#This Row],[Heavy Printing Window Month Start]]*365.25/12</f>
        <v/>
      </c>
      <c r="Q769">
        <f>_xlfn.XLOOKUP(tbl_MTG_Set[[#This Row],[Type Name]], tbl_MTG_Set_Type[Set Type], tbl_MTG_Set_Type[Heavy Printing Window Month End], "(Set Type not found)", 0, 1)</f>
        <v/>
      </c>
      <c r="R769" s="3">
        <f>tbl_MTG_Set[[#This Row],[Released On]]+tbl_MTG_Set[[#This Row],[Heavy Printing Window Month End]]*365.25/12</f>
        <v/>
      </c>
      <c r="S769" s="3">
        <f>AND(NOW()&gt;=tbl_MTG_Set[[#This Row],[Heavy Printing Window Start]], NOW()&lt;=tbl_MTG_Set[[#This Row],[Heavy Printing Window End]])</f>
        <v/>
      </c>
      <c r="T769">
        <f>_xlfn.XLOOKUP(tbl_MTG_Set[[#This Row],[Type Name]], tbl_MTG_Set_Type[Set Type], tbl_MTG_Set_Type[Sell Window Month Start], "(Set Type not found)", 0, 1)</f>
        <v/>
      </c>
      <c r="U769" s="3">
        <f>tbl_MTG_Set[[#This Row],[Released On]]+tbl_MTG_Set[[#This Row],[Sell Window Month Start]]*365.25/12</f>
        <v/>
      </c>
      <c r="V769">
        <f>_xlfn.XLOOKUP(tbl_MTG_Set[[#This Row],[Type Name]], tbl_MTG_Set_Type[Set Type], tbl_MTG_Set_Type[Sell Window Month End], "(Set Type not found)", 0, 1)</f>
        <v/>
      </c>
      <c r="W769" s="3">
        <f>tbl_MTG_Set[[#This Row],[Released On]]+tbl_MTG_Set[[#This Row],[Sell Window Month End]]*365.25/12</f>
        <v/>
      </c>
      <c r="X769" s="3">
        <f>AND(NOW()&gt;=tbl_MTG_Set[[#This Row],[Sell Window Start]], NOW()&lt;=tbl_MTG_Set[[#This Row],[Sell Window End]])</f>
        <v/>
      </c>
      <c r="AG769" s="10" t="n"/>
      <c r="AH769" s="10" t="n"/>
      <c r="AM769" s="10">
        <f t="array" ref="AM7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9" s="10">
        <f t="array" ref="AN7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9" s="4">
        <f>_xlfn.XLOOKUP(tbl_MTG_Set[[#This Row],[Play Booster Box Product Id]], tbl_Product[Product Id], tbl_Product[Pack Size])</f>
        <v/>
      </c>
      <c r="AP769" s="10">
        <f>(tbl_MTG_Set[[#This Row],[Play Booster Box Cost]]+v_Item_Shipping_Cost_In)/tbl_MTG_Set[[#This Row],[Play Booster Box Size]]</f>
        <v/>
      </c>
      <c r="AQ769" s="10">
        <f t="array" ref="AQ7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69" s="10" t="n"/>
      <c r="AS769" s="10" t="n"/>
      <c r="AT769" s="17">
        <f>tbl_MTG_Set[[#This Row],[Play Booster CardMarket Profit]]/tbl_MTG_Set[[#This Row],[Play Booster Cost]]</f>
        <v/>
      </c>
      <c r="AU769" s="10">
        <f>_xlfn.XLOOKUP(tbl_MTG_Set[[#This Row],[Collector Booster Box Product Id]], tbl_Product[Product Id], tbl_Product[Min Cost])</f>
        <v/>
      </c>
      <c r="AV769" s="10">
        <f>_xlfn.XLOOKUP(tbl_MTG_Set[[#This Row],[Collector Booster Box Product Id]], tbl_Product[Product Id], tbl_Product[Best Source])</f>
        <v/>
      </c>
      <c r="AW769" s="4">
        <f>_xlfn.XLOOKUP(tbl_MTG_Set[[#This Row],[Collector Booster Box Product Id]], tbl_Product[Product Id], tbl_Product[Pack Size])</f>
        <v/>
      </c>
      <c r="AX769" s="10">
        <f>(tbl_MTG_Set[[#This Row],[Collector Booster Box Cost]] + v_Item_Shipping_Cost_In) / tbl_MTG_Set[[#This Row],[Collector Booster Box Size]]</f>
        <v/>
      </c>
      <c r="AY769" s="10">
        <f t="array" ref="AY7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69" s="10" t="n"/>
      <c r="BA7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9" s="17">
        <f>tbl_MTG_Set[[#This Row],[Collector Booster CardMarket Profit]]/tbl_MTG_Set[[#This Row],[Collector Booster Cost]]</f>
        <v/>
      </c>
      <c r="BC769" s="10" t="n"/>
      <c r="BF769" s="10">
        <f>tbl_MTG_Set[[#This Row],[Play Booster Sell Price CardMarket]]*tbl_MTG_Set[[#This Row],[Play Booster Expected Market Value]]/tbl_MTG_Set[[#This Row],[Play Boost Sealed Market Value]]</f>
        <v/>
      </c>
      <c r="BG7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9" s="10">
        <f>tbl_MTG_Set[[#This Row],[Play Singles CardMarket Profit]]/tbl_MTG_Set[[#This Row],[Play Booster Cost]]</f>
        <v/>
      </c>
      <c r="BI769" s="10">
        <f>tbl_MTG_Set[[#This Row],[Play Singles CardMarket Profit]]&gt;0</f>
        <v/>
      </c>
      <c r="BJ769" s="10" t="n"/>
      <c r="BK769" s="10" t="n"/>
      <c r="BL769" s="10">
        <f>tbl_MTG_Set[[#This Row],[Collector Booster Sell Price CardMarket]]*tbl_MTG_Set[[#This Row],[Collector Booster Expected Market Value]]/tbl_MTG_Set[[#This Row],[Collector Boost Sealed Market Value]]</f>
        <v/>
      </c>
      <c r="BM7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9" s="10">
        <f>tbl_MTG_Set[[#This Row],[Collector Singles CardMarket Profit]]/tbl_MTG_Set[[#This Row],[Collector Booster Cost]]</f>
        <v/>
      </c>
      <c r="BO769" s="10">
        <f>tbl_MTG_Set[[#This Row],[Collector Singles CardMarket Profit]]&gt;0</f>
        <v/>
      </c>
      <c r="BP7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0">
      <c r="A770" t="n">
        <v>768</v>
      </c>
      <c r="B770" t="inlineStr">
        <is>
          <t>Duels of the Planeswalkers 2010 Promos PDP10</t>
        </is>
      </c>
      <c r="C770" t="n">
        <v>2</v>
      </c>
      <c r="D770" s="3" t="n">
        <v>40179</v>
      </c>
      <c r="F770" t="inlineStr">
        <is>
          <t>en es fr de it pt ja ko ru 汉语 漢語</t>
        </is>
      </c>
      <c r="G770" t="n">
        <v>1482</v>
      </c>
      <c r="H770">
        <f>MONTH(NOW())+12*YEAR(NOW())-MONTH(tbl_MTG_Set[[#This Row],[Released On]])-12*YEAR(tbl_MTG_Set[[#This Row],[Released On]])</f>
        <v/>
      </c>
      <c r="I770">
        <f>_xlfn.XLOOKUP(tbl_MTG_Set[[#This Row],[Type Name]], tbl_MTG_Set_Type[Set Type], tbl_MTG_Set_Type[Index], "(Set Type not found)")</f>
        <v/>
      </c>
      <c r="J770">
        <f>_xlfn.XLOOKUP(tbl_MTG_Set[[#This Row],[Type Name]], tbl_MTG_Set_Type[Set Type], tbl_MTG_Set_Type[Buy Window Month Start], "(Set Type not found)")</f>
        <v/>
      </c>
      <c r="K770" s="3">
        <f>tbl_MTG_Set[[#This Row],[Released On]]+tbl_MTG_Set[[#This Row],[Buy Window Month Start]]*365.25/12</f>
        <v/>
      </c>
      <c r="L770">
        <f>_xlfn.XLOOKUP(tbl_MTG_Set[[#This Row],[Type Name]], tbl_MTG_Set_Type[Set Type], tbl_MTG_Set_Type[Buy Window Month End], "(Set Type not found)", 0, 1)</f>
        <v/>
      </c>
      <c r="M770" s="3">
        <f>tbl_MTG_Set[[#This Row],[Released On]]+tbl_MTG_Set[[#This Row],[Buy Window Month End]]*365.25/12</f>
        <v/>
      </c>
      <c r="N770" s="3">
        <f>AND(NOW()&gt;=tbl_MTG_Set[[#This Row],[Buy Window Start]], NOW()&lt;=tbl_MTG_Set[[#This Row],[Buy Window End]])</f>
        <v/>
      </c>
      <c r="O770">
        <f>_xlfn.XLOOKUP(tbl_MTG_Set[[#This Row],[Type Name]], tbl_MTG_Set_Type[Set Type], tbl_MTG_Set_Type[Heavy Printing Window Month Start], "(Set Type not found)", 0, 1)</f>
        <v/>
      </c>
      <c r="P770" s="3">
        <f>tbl_MTG_Set[[#This Row],[Released On]]+tbl_MTG_Set[[#This Row],[Heavy Printing Window Month Start]]*365.25/12</f>
        <v/>
      </c>
      <c r="Q770">
        <f>_xlfn.XLOOKUP(tbl_MTG_Set[[#This Row],[Type Name]], tbl_MTG_Set_Type[Set Type], tbl_MTG_Set_Type[Heavy Printing Window Month End], "(Set Type not found)", 0, 1)</f>
        <v/>
      </c>
      <c r="R770" s="3">
        <f>tbl_MTG_Set[[#This Row],[Released On]]+tbl_MTG_Set[[#This Row],[Heavy Printing Window Month End]]*365.25/12</f>
        <v/>
      </c>
      <c r="S770" s="3">
        <f>AND(NOW()&gt;=tbl_MTG_Set[[#This Row],[Heavy Printing Window Start]], NOW()&lt;=tbl_MTG_Set[[#This Row],[Heavy Printing Window End]])</f>
        <v/>
      </c>
      <c r="T770">
        <f>_xlfn.XLOOKUP(tbl_MTG_Set[[#This Row],[Type Name]], tbl_MTG_Set_Type[Set Type], tbl_MTG_Set_Type[Sell Window Month Start], "(Set Type not found)", 0, 1)</f>
        <v/>
      </c>
      <c r="U770" s="3">
        <f>tbl_MTG_Set[[#This Row],[Released On]]+tbl_MTG_Set[[#This Row],[Sell Window Month Start]]*365.25/12</f>
        <v/>
      </c>
      <c r="V770">
        <f>_xlfn.XLOOKUP(tbl_MTG_Set[[#This Row],[Type Name]], tbl_MTG_Set_Type[Set Type], tbl_MTG_Set_Type[Sell Window Month End], "(Set Type not found)", 0, 1)</f>
        <v/>
      </c>
      <c r="W770" s="3">
        <f>tbl_MTG_Set[[#This Row],[Released On]]+tbl_MTG_Set[[#This Row],[Sell Window Month End]]*365.25/12</f>
        <v/>
      </c>
      <c r="X770" s="3">
        <f>AND(NOW()&gt;=tbl_MTG_Set[[#This Row],[Sell Window Start]], NOW()&lt;=tbl_MTG_Set[[#This Row],[Sell Window End]])</f>
        <v/>
      </c>
      <c r="AG770" s="10" t="n"/>
      <c r="AH770" s="10" t="n"/>
      <c r="AM770" s="10">
        <f t="array" ref="AM7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0" s="10">
        <f t="array" ref="AN7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0" s="4">
        <f>_xlfn.XLOOKUP(tbl_MTG_Set[[#This Row],[Play Booster Box Product Id]], tbl_Product[Product Id], tbl_Product[Pack Size])</f>
        <v/>
      </c>
      <c r="AP770" s="10">
        <f>(tbl_MTG_Set[[#This Row],[Play Booster Box Cost]]+v_Item_Shipping_Cost_In)/tbl_MTG_Set[[#This Row],[Play Booster Box Size]]</f>
        <v/>
      </c>
      <c r="AQ770" s="10">
        <f t="array" ref="AQ7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0" s="10" t="n"/>
      <c r="AS770" s="10" t="n"/>
      <c r="AT770" s="17">
        <f>tbl_MTG_Set[[#This Row],[Play Booster CardMarket Profit]]/tbl_MTG_Set[[#This Row],[Play Booster Cost]]</f>
        <v/>
      </c>
      <c r="AU770" s="10">
        <f>_xlfn.XLOOKUP(tbl_MTG_Set[[#This Row],[Collector Booster Box Product Id]], tbl_Product[Product Id], tbl_Product[Min Cost])</f>
        <v/>
      </c>
      <c r="AV770" s="10">
        <f>_xlfn.XLOOKUP(tbl_MTG_Set[[#This Row],[Collector Booster Box Product Id]], tbl_Product[Product Id], tbl_Product[Best Source])</f>
        <v/>
      </c>
      <c r="AW770" s="4">
        <f>_xlfn.XLOOKUP(tbl_MTG_Set[[#This Row],[Collector Booster Box Product Id]], tbl_Product[Product Id], tbl_Product[Pack Size])</f>
        <v/>
      </c>
      <c r="AX770" s="10">
        <f>(tbl_MTG_Set[[#This Row],[Collector Booster Box Cost]] + v_Item_Shipping_Cost_In) / tbl_MTG_Set[[#This Row],[Collector Booster Box Size]]</f>
        <v/>
      </c>
      <c r="AY770" s="10">
        <f t="array" ref="AY7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0" s="10" t="n"/>
      <c r="BA7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0" s="17">
        <f>tbl_MTG_Set[[#This Row],[Collector Booster CardMarket Profit]]/tbl_MTG_Set[[#This Row],[Collector Booster Cost]]</f>
        <v/>
      </c>
      <c r="BC770" s="10" t="n"/>
      <c r="BF770" s="10">
        <f>tbl_MTG_Set[[#This Row],[Play Booster Sell Price CardMarket]]*tbl_MTG_Set[[#This Row],[Play Booster Expected Market Value]]/tbl_MTG_Set[[#This Row],[Play Boost Sealed Market Value]]</f>
        <v/>
      </c>
      <c r="BG7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0" s="10">
        <f>tbl_MTG_Set[[#This Row],[Play Singles CardMarket Profit]]/tbl_MTG_Set[[#This Row],[Play Booster Cost]]</f>
        <v/>
      </c>
      <c r="BI770" s="10">
        <f>tbl_MTG_Set[[#This Row],[Play Singles CardMarket Profit]]&gt;0</f>
        <v/>
      </c>
      <c r="BJ770" s="10" t="n"/>
      <c r="BK770" s="10" t="n"/>
      <c r="BL770" s="10">
        <f>tbl_MTG_Set[[#This Row],[Collector Booster Sell Price CardMarket]]*tbl_MTG_Set[[#This Row],[Collector Booster Expected Market Value]]/tbl_MTG_Set[[#This Row],[Collector Boost Sealed Market Value]]</f>
        <v/>
      </c>
      <c r="BM7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0" s="10">
        <f>tbl_MTG_Set[[#This Row],[Collector Singles CardMarket Profit]]/tbl_MTG_Set[[#This Row],[Collector Booster Cost]]</f>
        <v/>
      </c>
      <c r="BO770" s="10">
        <f>tbl_MTG_Set[[#This Row],[Collector Singles CardMarket Profit]]&gt;0</f>
        <v/>
      </c>
      <c r="BP7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1">
      <c r="A771" t="n">
        <v>769</v>
      </c>
      <c r="B771" t="inlineStr">
        <is>
          <t>Magic Premiere Shop 2010 PMPS10</t>
        </is>
      </c>
      <c r="C771" t="n">
        <v>5</v>
      </c>
      <c r="D771" s="3" t="n">
        <v>40179</v>
      </c>
      <c r="F771" t="inlineStr">
        <is>
          <t>en es fr de it pt ja ko ru 汉语 漢語</t>
        </is>
      </c>
      <c r="G771" t="n">
        <v>1484</v>
      </c>
      <c r="H771">
        <f>MONTH(NOW())+12*YEAR(NOW())-MONTH(tbl_MTG_Set[[#This Row],[Released On]])-12*YEAR(tbl_MTG_Set[[#This Row],[Released On]])</f>
        <v/>
      </c>
      <c r="I771">
        <f>_xlfn.XLOOKUP(tbl_MTG_Set[[#This Row],[Type Name]], tbl_MTG_Set_Type[Set Type], tbl_MTG_Set_Type[Index], "(Set Type not found)")</f>
        <v/>
      </c>
      <c r="J771">
        <f>_xlfn.XLOOKUP(tbl_MTG_Set[[#This Row],[Type Name]], tbl_MTG_Set_Type[Set Type], tbl_MTG_Set_Type[Buy Window Month Start], "(Set Type not found)")</f>
        <v/>
      </c>
      <c r="K771" s="3">
        <f>tbl_MTG_Set[[#This Row],[Released On]]+tbl_MTG_Set[[#This Row],[Buy Window Month Start]]*365.25/12</f>
        <v/>
      </c>
      <c r="L771">
        <f>_xlfn.XLOOKUP(tbl_MTG_Set[[#This Row],[Type Name]], tbl_MTG_Set_Type[Set Type], tbl_MTG_Set_Type[Buy Window Month End], "(Set Type not found)", 0, 1)</f>
        <v/>
      </c>
      <c r="M771" s="3">
        <f>tbl_MTG_Set[[#This Row],[Released On]]+tbl_MTG_Set[[#This Row],[Buy Window Month End]]*365.25/12</f>
        <v/>
      </c>
      <c r="N771" s="3">
        <f>AND(NOW()&gt;=tbl_MTG_Set[[#This Row],[Buy Window Start]], NOW()&lt;=tbl_MTG_Set[[#This Row],[Buy Window End]])</f>
        <v/>
      </c>
      <c r="O771">
        <f>_xlfn.XLOOKUP(tbl_MTG_Set[[#This Row],[Type Name]], tbl_MTG_Set_Type[Set Type], tbl_MTG_Set_Type[Heavy Printing Window Month Start], "(Set Type not found)", 0, 1)</f>
        <v/>
      </c>
      <c r="P771" s="3">
        <f>tbl_MTG_Set[[#This Row],[Released On]]+tbl_MTG_Set[[#This Row],[Heavy Printing Window Month Start]]*365.25/12</f>
        <v/>
      </c>
      <c r="Q771">
        <f>_xlfn.XLOOKUP(tbl_MTG_Set[[#This Row],[Type Name]], tbl_MTG_Set_Type[Set Type], tbl_MTG_Set_Type[Heavy Printing Window Month End], "(Set Type not found)", 0, 1)</f>
        <v/>
      </c>
      <c r="R771" s="3">
        <f>tbl_MTG_Set[[#This Row],[Released On]]+tbl_MTG_Set[[#This Row],[Heavy Printing Window Month End]]*365.25/12</f>
        <v/>
      </c>
      <c r="S771" s="3">
        <f>AND(NOW()&gt;=tbl_MTG_Set[[#This Row],[Heavy Printing Window Start]], NOW()&lt;=tbl_MTG_Set[[#This Row],[Heavy Printing Window End]])</f>
        <v/>
      </c>
      <c r="T771">
        <f>_xlfn.XLOOKUP(tbl_MTG_Set[[#This Row],[Type Name]], tbl_MTG_Set_Type[Set Type], tbl_MTG_Set_Type[Sell Window Month Start], "(Set Type not found)", 0, 1)</f>
        <v/>
      </c>
      <c r="U771" s="3">
        <f>tbl_MTG_Set[[#This Row],[Released On]]+tbl_MTG_Set[[#This Row],[Sell Window Month Start]]*365.25/12</f>
        <v/>
      </c>
      <c r="V771">
        <f>_xlfn.XLOOKUP(tbl_MTG_Set[[#This Row],[Type Name]], tbl_MTG_Set_Type[Set Type], tbl_MTG_Set_Type[Sell Window Month End], "(Set Type not found)", 0, 1)</f>
        <v/>
      </c>
      <c r="W771" s="3">
        <f>tbl_MTG_Set[[#This Row],[Released On]]+tbl_MTG_Set[[#This Row],[Sell Window Month End]]*365.25/12</f>
        <v/>
      </c>
      <c r="X771" s="3">
        <f>AND(NOW()&gt;=tbl_MTG_Set[[#This Row],[Sell Window Start]], NOW()&lt;=tbl_MTG_Set[[#This Row],[Sell Window End]])</f>
        <v/>
      </c>
      <c r="AG771" s="10" t="n"/>
      <c r="AH771" s="10" t="n"/>
      <c r="AM771" s="10">
        <f t="array" ref="AM7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1" s="10">
        <f t="array" ref="AN7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1" s="4">
        <f>_xlfn.XLOOKUP(tbl_MTG_Set[[#This Row],[Play Booster Box Product Id]], tbl_Product[Product Id], tbl_Product[Pack Size])</f>
        <v/>
      </c>
      <c r="AP771" s="10">
        <f>(tbl_MTG_Set[[#This Row],[Play Booster Box Cost]]+v_Item_Shipping_Cost_In)/tbl_MTG_Set[[#This Row],[Play Booster Box Size]]</f>
        <v/>
      </c>
      <c r="AQ771" s="10">
        <f t="array" ref="AQ7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1" s="10" t="n"/>
      <c r="AS771" s="10" t="n"/>
      <c r="AT771" s="17">
        <f>tbl_MTG_Set[[#This Row],[Play Booster CardMarket Profit]]/tbl_MTG_Set[[#This Row],[Play Booster Cost]]</f>
        <v/>
      </c>
      <c r="AU771" s="10">
        <f>_xlfn.XLOOKUP(tbl_MTG_Set[[#This Row],[Collector Booster Box Product Id]], tbl_Product[Product Id], tbl_Product[Min Cost])</f>
        <v/>
      </c>
      <c r="AV771" s="10">
        <f>_xlfn.XLOOKUP(tbl_MTG_Set[[#This Row],[Collector Booster Box Product Id]], tbl_Product[Product Id], tbl_Product[Best Source])</f>
        <v/>
      </c>
      <c r="AW771" s="4">
        <f>_xlfn.XLOOKUP(tbl_MTG_Set[[#This Row],[Collector Booster Box Product Id]], tbl_Product[Product Id], tbl_Product[Pack Size])</f>
        <v/>
      </c>
      <c r="AX771" s="10">
        <f>(tbl_MTG_Set[[#This Row],[Collector Booster Box Cost]] + v_Item_Shipping_Cost_In) / tbl_MTG_Set[[#This Row],[Collector Booster Box Size]]</f>
        <v/>
      </c>
      <c r="AY771" s="10">
        <f t="array" ref="AY7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1" s="10" t="n"/>
      <c r="BA7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1" s="17">
        <f>tbl_MTG_Set[[#This Row],[Collector Booster CardMarket Profit]]/tbl_MTG_Set[[#This Row],[Collector Booster Cost]]</f>
        <v/>
      </c>
      <c r="BC771" s="10" t="n"/>
      <c r="BF771" s="10">
        <f>tbl_MTG_Set[[#This Row],[Play Booster Sell Price CardMarket]]*tbl_MTG_Set[[#This Row],[Play Booster Expected Market Value]]/tbl_MTG_Set[[#This Row],[Play Boost Sealed Market Value]]</f>
        <v/>
      </c>
      <c r="BG7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1" s="10">
        <f>tbl_MTG_Set[[#This Row],[Play Singles CardMarket Profit]]/tbl_MTG_Set[[#This Row],[Play Booster Cost]]</f>
        <v/>
      </c>
      <c r="BI771" s="10">
        <f>tbl_MTG_Set[[#This Row],[Play Singles CardMarket Profit]]&gt;0</f>
        <v/>
      </c>
      <c r="BJ771" s="10" t="n"/>
      <c r="BK771" s="10" t="n"/>
      <c r="BL771" s="10">
        <f>tbl_MTG_Set[[#This Row],[Collector Booster Sell Price CardMarket]]*tbl_MTG_Set[[#This Row],[Collector Booster Expected Market Value]]/tbl_MTG_Set[[#This Row],[Collector Boost Sealed Market Value]]</f>
        <v/>
      </c>
      <c r="BM7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1" s="10">
        <f>tbl_MTG_Set[[#This Row],[Collector Singles CardMarket Profit]]/tbl_MTG_Set[[#This Row],[Collector Booster Cost]]</f>
        <v/>
      </c>
      <c r="BO771" s="10">
        <f>tbl_MTG_Set[[#This Row],[Collector Singles CardMarket Profit]]&gt;0</f>
        <v/>
      </c>
      <c r="BP7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2">
      <c r="A772" t="n">
        <v>770</v>
      </c>
      <c r="B772" t="inlineStr">
        <is>
          <t>Magic Player Rewards 2010 P10</t>
        </is>
      </c>
      <c r="C772" t="n">
        <v>13</v>
      </c>
      <c r="D772" s="3" t="n">
        <v>40179</v>
      </c>
      <c r="F772" t="inlineStr">
        <is>
          <t>en es fr de it pt ja ko ru 汉语 漢語</t>
        </is>
      </c>
      <c r="G772" t="n">
        <v>1486</v>
      </c>
      <c r="H772">
        <f>MONTH(NOW())+12*YEAR(NOW())-MONTH(tbl_MTG_Set[[#This Row],[Released On]])-12*YEAR(tbl_MTG_Set[[#This Row],[Released On]])</f>
        <v/>
      </c>
      <c r="I772">
        <f>_xlfn.XLOOKUP(tbl_MTG_Set[[#This Row],[Type Name]], tbl_MTG_Set_Type[Set Type], tbl_MTG_Set_Type[Index], "(Set Type not found)")</f>
        <v/>
      </c>
      <c r="J772">
        <f>_xlfn.XLOOKUP(tbl_MTG_Set[[#This Row],[Type Name]], tbl_MTG_Set_Type[Set Type], tbl_MTG_Set_Type[Buy Window Month Start], "(Set Type not found)")</f>
        <v/>
      </c>
      <c r="K772" s="3">
        <f>tbl_MTG_Set[[#This Row],[Released On]]+tbl_MTG_Set[[#This Row],[Buy Window Month Start]]*365.25/12</f>
        <v/>
      </c>
      <c r="L772">
        <f>_xlfn.XLOOKUP(tbl_MTG_Set[[#This Row],[Type Name]], tbl_MTG_Set_Type[Set Type], tbl_MTG_Set_Type[Buy Window Month End], "(Set Type not found)", 0, 1)</f>
        <v/>
      </c>
      <c r="M772" s="3">
        <f>tbl_MTG_Set[[#This Row],[Released On]]+tbl_MTG_Set[[#This Row],[Buy Window Month End]]*365.25/12</f>
        <v/>
      </c>
      <c r="N772" s="3">
        <f>AND(NOW()&gt;=tbl_MTG_Set[[#This Row],[Buy Window Start]], NOW()&lt;=tbl_MTG_Set[[#This Row],[Buy Window End]])</f>
        <v/>
      </c>
      <c r="O772">
        <f>_xlfn.XLOOKUP(tbl_MTG_Set[[#This Row],[Type Name]], tbl_MTG_Set_Type[Set Type], tbl_MTG_Set_Type[Heavy Printing Window Month Start], "(Set Type not found)", 0, 1)</f>
        <v/>
      </c>
      <c r="P772" s="3">
        <f>tbl_MTG_Set[[#This Row],[Released On]]+tbl_MTG_Set[[#This Row],[Heavy Printing Window Month Start]]*365.25/12</f>
        <v/>
      </c>
      <c r="Q772">
        <f>_xlfn.XLOOKUP(tbl_MTG_Set[[#This Row],[Type Name]], tbl_MTG_Set_Type[Set Type], tbl_MTG_Set_Type[Heavy Printing Window Month End], "(Set Type not found)", 0, 1)</f>
        <v/>
      </c>
      <c r="R772" s="3">
        <f>tbl_MTG_Set[[#This Row],[Released On]]+tbl_MTG_Set[[#This Row],[Heavy Printing Window Month End]]*365.25/12</f>
        <v/>
      </c>
      <c r="S772" s="3">
        <f>AND(NOW()&gt;=tbl_MTG_Set[[#This Row],[Heavy Printing Window Start]], NOW()&lt;=tbl_MTG_Set[[#This Row],[Heavy Printing Window End]])</f>
        <v/>
      </c>
      <c r="T772">
        <f>_xlfn.XLOOKUP(tbl_MTG_Set[[#This Row],[Type Name]], tbl_MTG_Set_Type[Set Type], tbl_MTG_Set_Type[Sell Window Month Start], "(Set Type not found)", 0, 1)</f>
        <v/>
      </c>
      <c r="U772" s="3">
        <f>tbl_MTG_Set[[#This Row],[Released On]]+tbl_MTG_Set[[#This Row],[Sell Window Month Start]]*365.25/12</f>
        <v/>
      </c>
      <c r="V772">
        <f>_xlfn.XLOOKUP(tbl_MTG_Set[[#This Row],[Type Name]], tbl_MTG_Set_Type[Set Type], tbl_MTG_Set_Type[Sell Window Month End], "(Set Type not found)", 0, 1)</f>
        <v/>
      </c>
      <c r="W772" s="3">
        <f>tbl_MTG_Set[[#This Row],[Released On]]+tbl_MTG_Set[[#This Row],[Sell Window Month End]]*365.25/12</f>
        <v/>
      </c>
      <c r="X772" s="3">
        <f>AND(NOW()&gt;=tbl_MTG_Set[[#This Row],[Sell Window Start]], NOW()&lt;=tbl_MTG_Set[[#This Row],[Sell Window End]])</f>
        <v/>
      </c>
      <c r="AG772" s="10" t="n"/>
      <c r="AH772" s="10" t="n"/>
      <c r="AM772" s="10">
        <f t="array" ref="AM7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2" s="10">
        <f t="array" ref="AN7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2" s="4">
        <f>_xlfn.XLOOKUP(tbl_MTG_Set[[#This Row],[Play Booster Box Product Id]], tbl_Product[Product Id], tbl_Product[Pack Size])</f>
        <v/>
      </c>
      <c r="AP772" s="10">
        <f>(tbl_MTG_Set[[#This Row],[Play Booster Box Cost]]+v_Item_Shipping_Cost_In)/tbl_MTG_Set[[#This Row],[Play Booster Box Size]]</f>
        <v/>
      </c>
      <c r="AQ772" s="10">
        <f t="array" ref="AQ7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2" s="10" t="n"/>
      <c r="AS772" s="10" t="n"/>
      <c r="AT772" s="17">
        <f>tbl_MTG_Set[[#This Row],[Play Booster CardMarket Profit]]/tbl_MTG_Set[[#This Row],[Play Booster Cost]]</f>
        <v/>
      </c>
      <c r="AU772" s="10">
        <f>_xlfn.XLOOKUP(tbl_MTG_Set[[#This Row],[Collector Booster Box Product Id]], tbl_Product[Product Id], tbl_Product[Min Cost])</f>
        <v/>
      </c>
      <c r="AV772" s="10">
        <f>_xlfn.XLOOKUP(tbl_MTG_Set[[#This Row],[Collector Booster Box Product Id]], tbl_Product[Product Id], tbl_Product[Best Source])</f>
        <v/>
      </c>
      <c r="AW772" s="4">
        <f>_xlfn.XLOOKUP(tbl_MTG_Set[[#This Row],[Collector Booster Box Product Id]], tbl_Product[Product Id], tbl_Product[Pack Size])</f>
        <v/>
      </c>
      <c r="AX772" s="10">
        <f>(tbl_MTG_Set[[#This Row],[Collector Booster Box Cost]] + v_Item_Shipping_Cost_In) / tbl_MTG_Set[[#This Row],[Collector Booster Box Size]]</f>
        <v/>
      </c>
      <c r="AY772" s="10">
        <f t="array" ref="AY7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2" s="10" t="n"/>
      <c r="BA7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2" s="17">
        <f>tbl_MTG_Set[[#This Row],[Collector Booster CardMarket Profit]]/tbl_MTG_Set[[#This Row],[Collector Booster Cost]]</f>
        <v/>
      </c>
      <c r="BC772" s="10" t="n"/>
      <c r="BF772" s="10">
        <f>tbl_MTG_Set[[#This Row],[Play Booster Sell Price CardMarket]]*tbl_MTG_Set[[#This Row],[Play Booster Expected Market Value]]/tbl_MTG_Set[[#This Row],[Play Boost Sealed Market Value]]</f>
        <v/>
      </c>
      <c r="BG7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2" s="10">
        <f>tbl_MTG_Set[[#This Row],[Play Singles CardMarket Profit]]/tbl_MTG_Set[[#This Row],[Play Booster Cost]]</f>
        <v/>
      </c>
      <c r="BI772" s="10">
        <f>tbl_MTG_Set[[#This Row],[Play Singles CardMarket Profit]]&gt;0</f>
        <v/>
      </c>
      <c r="BJ772" s="10" t="n"/>
      <c r="BK772" s="10" t="n"/>
      <c r="BL772" s="10">
        <f>tbl_MTG_Set[[#This Row],[Collector Booster Sell Price CardMarket]]*tbl_MTG_Set[[#This Row],[Collector Booster Expected Market Value]]/tbl_MTG_Set[[#This Row],[Collector Boost Sealed Market Value]]</f>
        <v/>
      </c>
      <c r="BM7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2" s="10">
        <f>tbl_MTG_Set[[#This Row],[Collector Singles CardMarket Profit]]/tbl_MTG_Set[[#This Row],[Collector Booster Cost]]</f>
        <v/>
      </c>
      <c r="BO772" s="10">
        <f>tbl_MTG_Set[[#This Row],[Collector Singles CardMarket Profit]]&gt;0</f>
        <v/>
      </c>
      <c r="BP7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3">
      <c r="A773" t="n">
        <v>771</v>
      </c>
      <c r="B773" t="inlineStr">
        <is>
          <t>Judge Gift Cards 2010 G10</t>
        </is>
      </c>
      <c r="C773" t="n">
        <v>8</v>
      </c>
      <c r="D773" s="3" t="n">
        <v>40179</v>
      </c>
      <c r="F773" t="inlineStr">
        <is>
          <t>en es fr de it pt ja ko ru 汉语 漢語</t>
        </is>
      </c>
      <c r="G773" t="n">
        <v>1488</v>
      </c>
      <c r="H773">
        <f>MONTH(NOW())+12*YEAR(NOW())-MONTH(tbl_MTG_Set[[#This Row],[Released On]])-12*YEAR(tbl_MTG_Set[[#This Row],[Released On]])</f>
        <v/>
      </c>
      <c r="I773">
        <f>_xlfn.XLOOKUP(tbl_MTG_Set[[#This Row],[Type Name]], tbl_MTG_Set_Type[Set Type], tbl_MTG_Set_Type[Index], "(Set Type not found)")</f>
        <v/>
      </c>
      <c r="J773">
        <f>_xlfn.XLOOKUP(tbl_MTG_Set[[#This Row],[Type Name]], tbl_MTG_Set_Type[Set Type], tbl_MTG_Set_Type[Buy Window Month Start], "(Set Type not found)")</f>
        <v/>
      </c>
      <c r="K773" s="3">
        <f>tbl_MTG_Set[[#This Row],[Released On]]+tbl_MTG_Set[[#This Row],[Buy Window Month Start]]*365.25/12</f>
        <v/>
      </c>
      <c r="L773">
        <f>_xlfn.XLOOKUP(tbl_MTG_Set[[#This Row],[Type Name]], tbl_MTG_Set_Type[Set Type], tbl_MTG_Set_Type[Buy Window Month End], "(Set Type not found)", 0, 1)</f>
        <v/>
      </c>
      <c r="M773" s="3">
        <f>tbl_MTG_Set[[#This Row],[Released On]]+tbl_MTG_Set[[#This Row],[Buy Window Month End]]*365.25/12</f>
        <v/>
      </c>
      <c r="N773" s="3">
        <f>AND(NOW()&gt;=tbl_MTG_Set[[#This Row],[Buy Window Start]], NOW()&lt;=tbl_MTG_Set[[#This Row],[Buy Window End]])</f>
        <v/>
      </c>
      <c r="O773">
        <f>_xlfn.XLOOKUP(tbl_MTG_Set[[#This Row],[Type Name]], tbl_MTG_Set_Type[Set Type], tbl_MTG_Set_Type[Heavy Printing Window Month Start], "(Set Type not found)", 0, 1)</f>
        <v/>
      </c>
      <c r="P773" s="3">
        <f>tbl_MTG_Set[[#This Row],[Released On]]+tbl_MTG_Set[[#This Row],[Heavy Printing Window Month Start]]*365.25/12</f>
        <v/>
      </c>
      <c r="Q773">
        <f>_xlfn.XLOOKUP(tbl_MTG_Set[[#This Row],[Type Name]], tbl_MTG_Set_Type[Set Type], tbl_MTG_Set_Type[Heavy Printing Window Month End], "(Set Type not found)", 0, 1)</f>
        <v/>
      </c>
      <c r="R773" s="3">
        <f>tbl_MTG_Set[[#This Row],[Released On]]+tbl_MTG_Set[[#This Row],[Heavy Printing Window Month End]]*365.25/12</f>
        <v/>
      </c>
      <c r="S773" s="3">
        <f>AND(NOW()&gt;=tbl_MTG_Set[[#This Row],[Heavy Printing Window Start]], NOW()&lt;=tbl_MTG_Set[[#This Row],[Heavy Printing Window End]])</f>
        <v/>
      </c>
      <c r="T773">
        <f>_xlfn.XLOOKUP(tbl_MTG_Set[[#This Row],[Type Name]], tbl_MTG_Set_Type[Set Type], tbl_MTG_Set_Type[Sell Window Month Start], "(Set Type not found)", 0, 1)</f>
        <v/>
      </c>
      <c r="U773" s="3">
        <f>tbl_MTG_Set[[#This Row],[Released On]]+tbl_MTG_Set[[#This Row],[Sell Window Month Start]]*365.25/12</f>
        <v/>
      </c>
      <c r="V773">
        <f>_xlfn.XLOOKUP(tbl_MTG_Set[[#This Row],[Type Name]], tbl_MTG_Set_Type[Set Type], tbl_MTG_Set_Type[Sell Window Month End], "(Set Type not found)", 0, 1)</f>
        <v/>
      </c>
      <c r="W773" s="3">
        <f>tbl_MTG_Set[[#This Row],[Released On]]+tbl_MTG_Set[[#This Row],[Sell Window Month End]]*365.25/12</f>
        <v/>
      </c>
      <c r="X773" s="3">
        <f>AND(NOW()&gt;=tbl_MTG_Set[[#This Row],[Sell Window Start]], NOW()&lt;=tbl_MTG_Set[[#This Row],[Sell Window End]])</f>
        <v/>
      </c>
      <c r="AG773" s="10" t="n"/>
      <c r="AH773" s="10" t="n"/>
      <c r="AM773" s="10">
        <f t="array" ref="AM7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3" s="10">
        <f t="array" ref="AN7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3" s="4">
        <f>_xlfn.XLOOKUP(tbl_MTG_Set[[#This Row],[Play Booster Box Product Id]], tbl_Product[Product Id], tbl_Product[Pack Size])</f>
        <v/>
      </c>
      <c r="AP773" s="10">
        <f>(tbl_MTG_Set[[#This Row],[Play Booster Box Cost]]+v_Item_Shipping_Cost_In)/tbl_MTG_Set[[#This Row],[Play Booster Box Size]]</f>
        <v/>
      </c>
      <c r="AQ773" s="10">
        <f t="array" ref="AQ7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3" s="10" t="n"/>
      <c r="AS773" s="10" t="n"/>
      <c r="AT773" s="17">
        <f>tbl_MTG_Set[[#This Row],[Play Booster CardMarket Profit]]/tbl_MTG_Set[[#This Row],[Play Booster Cost]]</f>
        <v/>
      </c>
      <c r="AU773" s="10">
        <f>_xlfn.XLOOKUP(tbl_MTG_Set[[#This Row],[Collector Booster Box Product Id]], tbl_Product[Product Id], tbl_Product[Min Cost])</f>
        <v/>
      </c>
      <c r="AV773" s="10">
        <f>_xlfn.XLOOKUP(tbl_MTG_Set[[#This Row],[Collector Booster Box Product Id]], tbl_Product[Product Id], tbl_Product[Best Source])</f>
        <v/>
      </c>
      <c r="AW773" s="4">
        <f>_xlfn.XLOOKUP(tbl_MTG_Set[[#This Row],[Collector Booster Box Product Id]], tbl_Product[Product Id], tbl_Product[Pack Size])</f>
        <v/>
      </c>
      <c r="AX773" s="10">
        <f>(tbl_MTG_Set[[#This Row],[Collector Booster Box Cost]] + v_Item_Shipping_Cost_In) / tbl_MTG_Set[[#This Row],[Collector Booster Box Size]]</f>
        <v/>
      </c>
      <c r="AY773" s="10">
        <f t="array" ref="AY7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3" s="10" t="n"/>
      <c r="BA7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3" s="17">
        <f>tbl_MTG_Set[[#This Row],[Collector Booster CardMarket Profit]]/tbl_MTG_Set[[#This Row],[Collector Booster Cost]]</f>
        <v/>
      </c>
      <c r="BC773" s="10" t="n"/>
      <c r="BF773" s="10">
        <f>tbl_MTG_Set[[#This Row],[Play Booster Sell Price CardMarket]]*tbl_MTG_Set[[#This Row],[Play Booster Expected Market Value]]/tbl_MTG_Set[[#This Row],[Play Boost Sealed Market Value]]</f>
        <v/>
      </c>
      <c r="BG7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3" s="10">
        <f>tbl_MTG_Set[[#This Row],[Play Singles CardMarket Profit]]/tbl_MTG_Set[[#This Row],[Play Booster Cost]]</f>
        <v/>
      </c>
      <c r="BI773" s="10">
        <f>tbl_MTG_Set[[#This Row],[Play Singles CardMarket Profit]]&gt;0</f>
        <v/>
      </c>
      <c r="BJ773" s="10" t="n"/>
      <c r="BK773" s="10" t="n"/>
      <c r="BL773" s="10">
        <f>tbl_MTG_Set[[#This Row],[Collector Booster Sell Price CardMarket]]*tbl_MTG_Set[[#This Row],[Collector Booster Expected Market Value]]/tbl_MTG_Set[[#This Row],[Collector Boost Sealed Market Value]]</f>
        <v/>
      </c>
      <c r="BM7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3" s="10">
        <f>tbl_MTG_Set[[#This Row],[Collector Singles CardMarket Profit]]/tbl_MTG_Set[[#This Row],[Collector Booster Cost]]</f>
        <v/>
      </c>
      <c r="BO773" s="10">
        <f>tbl_MTG_Set[[#This Row],[Collector Singles CardMarket Profit]]&gt;0</f>
        <v/>
      </c>
      <c r="BP7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4">
      <c r="A774" t="n">
        <v>772</v>
      </c>
      <c r="B774" t="inlineStr">
        <is>
          <t>Friday Night Magic 2010 F10</t>
        </is>
      </c>
      <c r="C774" t="n">
        <v>12</v>
      </c>
      <c r="D774" s="3" t="n">
        <v>40179</v>
      </c>
      <c r="F774" t="inlineStr">
        <is>
          <t>en es fr de it pt ja ko ru 汉语 漢語</t>
        </is>
      </c>
      <c r="G774" t="n">
        <v>1490</v>
      </c>
      <c r="H774">
        <f>MONTH(NOW())+12*YEAR(NOW())-MONTH(tbl_MTG_Set[[#This Row],[Released On]])-12*YEAR(tbl_MTG_Set[[#This Row],[Released On]])</f>
        <v/>
      </c>
      <c r="I774">
        <f>_xlfn.XLOOKUP(tbl_MTG_Set[[#This Row],[Type Name]], tbl_MTG_Set_Type[Set Type], tbl_MTG_Set_Type[Index], "(Set Type not found)")</f>
        <v/>
      </c>
      <c r="J774">
        <f>_xlfn.XLOOKUP(tbl_MTG_Set[[#This Row],[Type Name]], tbl_MTG_Set_Type[Set Type], tbl_MTG_Set_Type[Buy Window Month Start], "(Set Type not found)")</f>
        <v/>
      </c>
      <c r="K774" s="3">
        <f>tbl_MTG_Set[[#This Row],[Released On]]+tbl_MTG_Set[[#This Row],[Buy Window Month Start]]*365.25/12</f>
        <v/>
      </c>
      <c r="L774">
        <f>_xlfn.XLOOKUP(tbl_MTG_Set[[#This Row],[Type Name]], tbl_MTG_Set_Type[Set Type], tbl_MTG_Set_Type[Buy Window Month End], "(Set Type not found)", 0, 1)</f>
        <v/>
      </c>
      <c r="M774" s="3">
        <f>tbl_MTG_Set[[#This Row],[Released On]]+tbl_MTG_Set[[#This Row],[Buy Window Month End]]*365.25/12</f>
        <v/>
      </c>
      <c r="N774" s="3">
        <f>AND(NOW()&gt;=tbl_MTG_Set[[#This Row],[Buy Window Start]], NOW()&lt;=tbl_MTG_Set[[#This Row],[Buy Window End]])</f>
        <v/>
      </c>
      <c r="O774">
        <f>_xlfn.XLOOKUP(tbl_MTG_Set[[#This Row],[Type Name]], tbl_MTG_Set_Type[Set Type], tbl_MTG_Set_Type[Heavy Printing Window Month Start], "(Set Type not found)", 0, 1)</f>
        <v/>
      </c>
      <c r="P774" s="3">
        <f>tbl_MTG_Set[[#This Row],[Released On]]+tbl_MTG_Set[[#This Row],[Heavy Printing Window Month Start]]*365.25/12</f>
        <v/>
      </c>
      <c r="Q774">
        <f>_xlfn.XLOOKUP(tbl_MTG_Set[[#This Row],[Type Name]], tbl_MTG_Set_Type[Set Type], tbl_MTG_Set_Type[Heavy Printing Window Month End], "(Set Type not found)", 0, 1)</f>
        <v/>
      </c>
      <c r="R774" s="3">
        <f>tbl_MTG_Set[[#This Row],[Released On]]+tbl_MTG_Set[[#This Row],[Heavy Printing Window Month End]]*365.25/12</f>
        <v/>
      </c>
      <c r="S774" s="3">
        <f>AND(NOW()&gt;=tbl_MTG_Set[[#This Row],[Heavy Printing Window Start]], NOW()&lt;=tbl_MTG_Set[[#This Row],[Heavy Printing Window End]])</f>
        <v/>
      </c>
      <c r="T774">
        <f>_xlfn.XLOOKUP(tbl_MTG_Set[[#This Row],[Type Name]], tbl_MTG_Set_Type[Set Type], tbl_MTG_Set_Type[Sell Window Month Start], "(Set Type not found)", 0, 1)</f>
        <v/>
      </c>
      <c r="U774" s="3">
        <f>tbl_MTG_Set[[#This Row],[Released On]]+tbl_MTG_Set[[#This Row],[Sell Window Month Start]]*365.25/12</f>
        <v/>
      </c>
      <c r="V774">
        <f>_xlfn.XLOOKUP(tbl_MTG_Set[[#This Row],[Type Name]], tbl_MTG_Set_Type[Set Type], tbl_MTG_Set_Type[Sell Window Month End], "(Set Type not found)", 0, 1)</f>
        <v/>
      </c>
      <c r="W774" s="3">
        <f>tbl_MTG_Set[[#This Row],[Released On]]+tbl_MTG_Set[[#This Row],[Sell Window Month End]]*365.25/12</f>
        <v/>
      </c>
      <c r="X774" s="3">
        <f>AND(NOW()&gt;=tbl_MTG_Set[[#This Row],[Sell Window Start]], NOW()&lt;=tbl_MTG_Set[[#This Row],[Sell Window End]])</f>
        <v/>
      </c>
      <c r="AG774" s="10" t="n"/>
      <c r="AH774" s="10" t="n"/>
      <c r="AM774" s="10">
        <f t="array" ref="AM7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4" s="10">
        <f t="array" ref="AN7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4" s="4">
        <f>_xlfn.XLOOKUP(tbl_MTG_Set[[#This Row],[Play Booster Box Product Id]], tbl_Product[Product Id], tbl_Product[Pack Size])</f>
        <v/>
      </c>
      <c r="AP774" s="10">
        <f>(tbl_MTG_Set[[#This Row],[Play Booster Box Cost]]+v_Item_Shipping_Cost_In)/tbl_MTG_Set[[#This Row],[Play Booster Box Size]]</f>
        <v/>
      </c>
      <c r="AQ774" s="10">
        <f t="array" ref="AQ7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4" s="10" t="n"/>
      <c r="AS774" s="10" t="n"/>
      <c r="AT774" s="17">
        <f>tbl_MTG_Set[[#This Row],[Play Booster CardMarket Profit]]/tbl_MTG_Set[[#This Row],[Play Booster Cost]]</f>
        <v/>
      </c>
      <c r="AU774" s="10">
        <f>_xlfn.XLOOKUP(tbl_MTG_Set[[#This Row],[Collector Booster Box Product Id]], tbl_Product[Product Id], tbl_Product[Min Cost])</f>
        <v/>
      </c>
      <c r="AV774" s="10">
        <f>_xlfn.XLOOKUP(tbl_MTG_Set[[#This Row],[Collector Booster Box Product Id]], tbl_Product[Product Id], tbl_Product[Best Source])</f>
        <v/>
      </c>
      <c r="AW774" s="4">
        <f>_xlfn.XLOOKUP(tbl_MTG_Set[[#This Row],[Collector Booster Box Product Id]], tbl_Product[Product Id], tbl_Product[Pack Size])</f>
        <v/>
      </c>
      <c r="AX774" s="10">
        <f>(tbl_MTG_Set[[#This Row],[Collector Booster Box Cost]] + v_Item_Shipping_Cost_In) / tbl_MTG_Set[[#This Row],[Collector Booster Box Size]]</f>
        <v/>
      </c>
      <c r="AY774" s="10">
        <f t="array" ref="AY7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4" s="10" t="n"/>
      <c r="BA7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4" s="17">
        <f>tbl_MTG_Set[[#This Row],[Collector Booster CardMarket Profit]]/tbl_MTG_Set[[#This Row],[Collector Booster Cost]]</f>
        <v/>
      </c>
      <c r="BC774" s="10" t="n"/>
      <c r="BF774" s="10">
        <f>tbl_MTG_Set[[#This Row],[Play Booster Sell Price CardMarket]]*tbl_MTG_Set[[#This Row],[Play Booster Expected Market Value]]/tbl_MTG_Set[[#This Row],[Play Boost Sealed Market Value]]</f>
        <v/>
      </c>
      <c r="BG7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4" s="10">
        <f>tbl_MTG_Set[[#This Row],[Play Singles CardMarket Profit]]/tbl_MTG_Set[[#This Row],[Play Booster Cost]]</f>
        <v/>
      </c>
      <c r="BI774" s="10">
        <f>tbl_MTG_Set[[#This Row],[Play Singles CardMarket Profit]]&gt;0</f>
        <v/>
      </c>
      <c r="BJ774" s="10" t="n"/>
      <c r="BK774" s="10" t="n"/>
      <c r="BL774" s="10">
        <f>tbl_MTG_Set[[#This Row],[Collector Booster Sell Price CardMarket]]*tbl_MTG_Set[[#This Row],[Collector Booster Expected Market Value]]/tbl_MTG_Set[[#This Row],[Collector Boost Sealed Market Value]]</f>
        <v/>
      </c>
      <c r="BM7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4" s="10">
        <f>tbl_MTG_Set[[#This Row],[Collector Singles CardMarket Profit]]/tbl_MTG_Set[[#This Row],[Collector Booster Cost]]</f>
        <v/>
      </c>
      <c r="BO774" s="10">
        <f>tbl_MTG_Set[[#This Row],[Collector Singles CardMarket Profit]]&gt;0</f>
        <v/>
      </c>
      <c r="BP7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5">
      <c r="A775" t="n">
        <v>773</v>
      </c>
      <c r="B775" t="inlineStr">
        <is>
          <t>Premium Deck Series: Slivers H09</t>
        </is>
      </c>
      <c r="C775" t="n">
        <v>41</v>
      </c>
      <c r="D775" s="3" t="n">
        <v>40137</v>
      </c>
      <c r="F775" t="inlineStr">
        <is>
          <t>en es fr de it pt ja ko ru 汉语 漢語</t>
        </is>
      </c>
      <c r="G775" t="n">
        <v>1492</v>
      </c>
      <c r="H775">
        <f>MONTH(NOW())+12*YEAR(NOW())-MONTH(tbl_MTG_Set[[#This Row],[Released On]])-12*YEAR(tbl_MTG_Set[[#This Row],[Released On]])</f>
        <v/>
      </c>
      <c r="I775">
        <f>_xlfn.XLOOKUP(tbl_MTG_Set[[#This Row],[Type Name]], tbl_MTG_Set_Type[Set Type], tbl_MTG_Set_Type[Index], "(Set Type not found)")</f>
        <v/>
      </c>
      <c r="J775">
        <f>_xlfn.XLOOKUP(tbl_MTG_Set[[#This Row],[Type Name]], tbl_MTG_Set_Type[Set Type], tbl_MTG_Set_Type[Buy Window Month Start], "(Set Type not found)")</f>
        <v/>
      </c>
      <c r="K775" s="3">
        <f>tbl_MTG_Set[[#This Row],[Released On]]+tbl_MTG_Set[[#This Row],[Buy Window Month Start]]*365.25/12</f>
        <v/>
      </c>
      <c r="L775">
        <f>_xlfn.XLOOKUP(tbl_MTG_Set[[#This Row],[Type Name]], tbl_MTG_Set_Type[Set Type], tbl_MTG_Set_Type[Buy Window Month End], "(Set Type not found)", 0, 1)</f>
        <v/>
      </c>
      <c r="M775" s="3">
        <f>tbl_MTG_Set[[#This Row],[Released On]]+tbl_MTG_Set[[#This Row],[Buy Window Month End]]*365.25/12</f>
        <v/>
      </c>
      <c r="N775" s="3">
        <f>AND(NOW()&gt;=tbl_MTG_Set[[#This Row],[Buy Window Start]], NOW()&lt;=tbl_MTG_Set[[#This Row],[Buy Window End]])</f>
        <v/>
      </c>
      <c r="O775">
        <f>_xlfn.XLOOKUP(tbl_MTG_Set[[#This Row],[Type Name]], tbl_MTG_Set_Type[Set Type], tbl_MTG_Set_Type[Heavy Printing Window Month Start], "(Set Type not found)", 0, 1)</f>
        <v/>
      </c>
      <c r="P775" s="3">
        <f>tbl_MTG_Set[[#This Row],[Released On]]+tbl_MTG_Set[[#This Row],[Heavy Printing Window Month Start]]*365.25/12</f>
        <v/>
      </c>
      <c r="Q775">
        <f>_xlfn.XLOOKUP(tbl_MTG_Set[[#This Row],[Type Name]], tbl_MTG_Set_Type[Set Type], tbl_MTG_Set_Type[Heavy Printing Window Month End], "(Set Type not found)", 0, 1)</f>
        <v/>
      </c>
      <c r="R775" s="3">
        <f>tbl_MTG_Set[[#This Row],[Released On]]+tbl_MTG_Set[[#This Row],[Heavy Printing Window Month End]]*365.25/12</f>
        <v/>
      </c>
      <c r="S775" s="3">
        <f>AND(NOW()&gt;=tbl_MTG_Set[[#This Row],[Heavy Printing Window Start]], NOW()&lt;=tbl_MTG_Set[[#This Row],[Heavy Printing Window End]])</f>
        <v/>
      </c>
      <c r="T775">
        <f>_xlfn.XLOOKUP(tbl_MTG_Set[[#This Row],[Type Name]], tbl_MTG_Set_Type[Set Type], tbl_MTG_Set_Type[Sell Window Month Start], "(Set Type not found)", 0, 1)</f>
        <v/>
      </c>
      <c r="U775" s="3">
        <f>tbl_MTG_Set[[#This Row],[Released On]]+tbl_MTG_Set[[#This Row],[Sell Window Month Start]]*365.25/12</f>
        <v/>
      </c>
      <c r="V775">
        <f>_xlfn.XLOOKUP(tbl_MTG_Set[[#This Row],[Type Name]], tbl_MTG_Set_Type[Set Type], tbl_MTG_Set_Type[Sell Window Month End], "(Set Type not found)", 0, 1)</f>
        <v/>
      </c>
      <c r="W775" s="3">
        <f>tbl_MTG_Set[[#This Row],[Released On]]+tbl_MTG_Set[[#This Row],[Sell Window Month End]]*365.25/12</f>
        <v/>
      </c>
      <c r="X775" s="3">
        <f>AND(NOW()&gt;=tbl_MTG_Set[[#This Row],[Sell Window Start]], NOW()&lt;=tbl_MTG_Set[[#This Row],[Sell Window End]])</f>
        <v/>
      </c>
      <c r="AG775" s="10" t="n"/>
      <c r="AH775" s="10" t="n"/>
      <c r="AM775" s="10">
        <f t="array" ref="AM7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5" s="10">
        <f t="array" ref="AN7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5" s="4">
        <f>_xlfn.XLOOKUP(tbl_MTG_Set[[#This Row],[Play Booster Box Product Id]], tbl_Product[Product Id], tbl_Product[Pack Size])</f>
        <v/>
      </c>
      <c r="AP775" s="10">
        <f>(tbl_MTG_Set[[#This Row],[Play Booster Box Cost]]+v_Item_Shipping_Cost_In)/tbl_MTG_Set[[#This Row],[Play Booster Box Size]]</f>
        <v/>
      </c>
      <c r="AQ775" s="10">
        <f t="array" ref="AQ7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5" s="10" t="n"/>
      <c r="AS775" s="10" t="n"/>
      <c r="AT775" s="17">
        <f>tbl_MTG_Set[[#This Row],[Play Booster CardMarket Profit]]/tbl_MTG_Set[[#This Row],[Play Booster Cost]]</f>
        <v/>
      </c>
      <c r="AU775" s="10">
        <f>_xlfn.XLOOKUP(tbl_MTG_Set[[#This Row],[Collector Booster Box Product Id]], tbl_Product[Product Id], tbl_Product[Min Cost])</f>
        <v/>
      </c>
      <c r="AV775" s="10">
        <f>_xlfn.XLOOKUP(tbl_MTG_Set[[#This Row],[Collector Booster Box Product Id]], tbl_Product[Product Id], tbl_Product[Best Source])</f>
        <v/>
      </c>
      <c r="AW775" s="4">
        <f>_xlfn.XLOOKUP(tbl_MTG_Set[[#This Row],[Collector Booster Box Product Id]], tbl_Product[Product Id], tbl_Product[Pack Size])</f>
        <v/>
      </c>
      <c r="AX775" s="10">
        <f>(tbl_MTG_Set[[#This Row],[Collector Booster Box Cost]] + v_Item_Shipping_Cost_In) / tbl_MTG_Set[[#This Row],[Collector Booster Box Size]]</f>
        <v/>
      </c>
      <c r="AY775" s="10">
        <f t="array" ref="AY7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5" s="10" t="n"/>
      <c r="BA7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5" s="17">
        <f>tbl_MTG_Set[[#This Row],[Collector Booster CardMarket Profit]]/tbl_MTG_Set[[#This Row],[Collector Booster Cost]]</f>
        <v/>
      </c>
      <c r="BC775" s="10" t="n"/>
      <c r="BF775" s="10">
        <f>tbl_MTG_Set[[#This Row],[Play Booster Sell Price CardMarket]]*tbl_MTG_Set[[#This Row],[Play Booster Expected Market Value]]/tbl_MTG_Set[[#This Row],[Play Boost Sealed Market Value]]</f>
        <v/>
      </c>
      <c r="BG7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5" s="10">
        <f>tbl_MTG_Set[[#This Row],[Play Singles CardMarket Profit]]/tbl_MTG_Set[[#This Row],[Play Booster Cost]]</f>
        <v/>
      </c>
      <c r="BI775" s="10">
        <f>tbl_MTG_Set[[#This Row],[Play Singles CardMarket Profit]]&gt;0</f>
        <v/>
      </c>
      <c r="BJ775" s="10" t="n"/>
      <c r="BK775" s="10" t="n"/>
      <c r="BL775" s="10">
        <f>tbl_MTG_Set[[#This Row],[Collector Booster Sell Price CardMarket]]*tbl_MTG_Set[[#This Row],[Collector Booster Expected Market Value]]/tbl_MTG_Set[[#This Row],[Collector Boost Sealed Market Value]]</f>
        <v/>
      </c>
      <c r="BM7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5" s="10">
        <f>tbl_MTG_Set[[#This Row],[Collector Singles CardMarket Profit]]/tbl_MTG_Set[[#This Row],[Collector Booster Cost]]</f>
        <v/>
      </c>
      <c r="BO775" s="10">
        <f>tbl_MTG_Set[[#This Row],[Collector Singles CardMarket Profit]]&gt;0</f>
        <v/>
      </c>
      <c r="BP7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6">
      <c r="A776" t="n">
        <v>774</v>
      </c>
      <c r="B776" t="inlineStr">
        <is>
          <t>Duel Decks: Garruk vs. Liliana DDD</t>
        </is>
      </c>
      <c r="C776" t="n">
        <v>63</v>
      </c>
      <c r="D776" s="3" t="n">
        <v>40116</v>
      </c>
      <c r="F776" t="inlineStr">
        <is>
          <t>en es fr de it pt ja ko ru 汉语 漢語</t>
        </is>
      </c>
      <c r="G776" t="n">
        <v>1494</v>
      </c>
      <c r="H776">
        <f>MONTH(NOW())+12*YEAR(NOW())-MONTH(tbl_MTG_Set[[#This Row],[Released On]])-12*YEAR(tbl_MTG_Set[[#This Row],[Released On]])</f>
        <v/>
      </c>
      <c r="I776">
        <f>_xlfn.XLOOKUP(tbl_MTG_Set[[#This Row],[Type Name]], tbl_MTG_Set_Type[Set Type], tbl_MTG_Set_Type[Index], "(Set Type not found)")</f>
        <v/>
      </c>
      <c r="J776">
        <f>_xlfn.XLOOKUP(tbl_MTG_Set[[#This Row],[Type Name]], tbl_MTG_Set_Type[Set Type], tbl_MTG_Set_Type[Buy Window Month Start], "(Set Type not found)")</f>
        <v/>
      </c>
      <c r="K776" s="3">
        <f>tbl_MTG_Set[[#This Row],[Released On]]+tbl_MTG_Set[[#This Row],[Buy Window Month Start]]*365.25/12</f>
        <v/>
      </c>
      <c r="L776">
        <f>_xlfn.XLOOKUP(tbl_MTG_Set[[#This Row],[Type Name]], tbl_MTG_Set_Type[Set Type], tbl_MTG_Set_Type[Buy Window Month End], "(Set Type not found)", 0, 1)</f>
        <v/>
      </c>
      <c r="M776" s="3">
        <f>tbl_MTG_Set[[#This Row],[Released On]]+tbl_MTG_Set[[#This Row],[Buy Window Month End]]*365.25/12</f>
        <v/>
      </c>
      <c r="N776" s="3">
        <f>AND(NOW()&gt;=tbl_MTG_Set[[#This Row],[Buy Window Start]], NOW()&lt;=tbl_MTG_Set[[#This Row],[Buy Window End]])</f>
        <v/>
      </c>
      <c r="O776">
        <f>_xlfn.XLOOKUP(tbl_MTG_Set[[#This Row],[Type Name]], tbl_MTG_Set_Type[Set Type], tbl_MTG_Set_Type[Heavy Printing Window Month Start], "(Set Type not found)", 0, 1)</f>
        <v/>
      </c>
      <c r="P776" s="3">
        <f>tbl_MTG_Set[[#This Row],[Released On]]+tbl_MTG_Set[[#This Row],[Heavy Printing Window Month Start]]*365.25/12</f>
        <v/>
      </c>
      <c r="Q776">
        <f>_xlfn.XLOOKUP(tbl_MTG_Set[[#This Row],[Type Name]], tbl_MTG_Set_Type[Set Type], tbl_MTG_Set_Type[Heavy Printing Window Month End], "(Set Type not found)", 0, 1)</f>
        <v/>
      </c>
      <c r="R776" s="3">
        <f>tbl_MTG_Set[[#This Row],[Released On]]+tbl_MTG_Set[[#This Row],[Heavy Printing Window Month End]]*365.25/12</f>
        <v/>
      </c>
      <c r="S776" s="3">
        <f>AND(NOW()&gt;=tbl_MTG_Set[[#This Row],[Heavy Printing Window Start]], NOW()&lt;=tbl_MTG_Set[[#This Row],[Heavy Printing Window End]])</f>
        <v/>
      </c>
      <c r="T776">
        <f>_xlfn.XLOOKUP(tbl_MTG_Set[[#This Row],[Type Name]], tbl_MTG_Set_Type[Set Type], tbl_MTG_Set_Type[Sell Window Month Start], "(Set Type not found)", 0, 1)</f>
        <v/>
      </c>
      <c r="U776" s="3">
        <f>tbl_MTG_Set[[#This Row],[Released On]]+tbl_MTG_Set[[#This Row],[Sell Window Month Start]]*365.25/12</f>
        <v/>
      </c>
      <c r="V776">
        <f>_xlfn.XLOOKUP(tbl_MTG_Set[[#This Row],[Type Name]], tbl_MTG_Set_Type[Set Type], tbl_MTG_Set_Type[Sell Window Month End], "(Set Type not found)", 0, 1)</f>
        <v/>
      </c>
      <c r="W776" s="3">
        <f>tbl_MTG_Set[[#This Row],[Released On]]+tbl_MTG_Set[[#This Row],[Sell Window Month End]]*365.25/12</f>
        <v/>
      </c>
      <c r="X776" s="3">
        <f>AND(NOW()&gt;=tbl_MTG_Set[[#This Row],[Sell Window Start]], NOW()&lt;=tbl_MTG_Set[[#This Row],[Sell Window End]])</f>
        <v/>
      </c>
      <c r="AG776" s="10" t="n"/>
      <c r="AH776" s="10" t="n"/>
      <c r="AM776" s="10">
        <f t="array" ref="AM7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6" s="10">
        <f t="array" ref="AN7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6" s="4">
        <f>_xlfn.XLOOKUP(tbl_MTG_Set[[#This Row],[Play Booster Box Product Id]], tbl_Product[Product Id], tbl_Product[Pack Size])</f>
        <v/>
      </c>
      <c r="AP776" s="10">
        <f>(tbl_MTG_Set[[#This Row],[Play Booster Box Cost]]+v_Item_Shipping_Cost_In)/tbl_MTG_Set[[#This Row],[Play Booster Box Size]]</f>
        <v/>
      </c>
      <c r="AQ776" s="10">
        <f t="array" ref="AQ7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6" s="10" t="n"/>
      <c r="AS776" s="10" t="n"/>
      <c r="AT776" s="17">
        <f>tbl_MTG_Set[[#This Row],[Play Booster CardMarket Profit]]/tbl_MTG_Set[[#This Row],[Play Booster Cost]]</f>
        <v/>
      </c>
      <c r="AU776" s="10">
        <f>_xlfn.XLOOKUP(tbl_MTG_Set[[#This Row],[Collector Booster Box Product Id]], tbl_Product[Product Id], tbl_Product[Min Cost])</f>
        <v/>
      </c>
      <c r="AV776" s="10">
        <f>_xlfn.XLOOKUP(tbl_MTG_Set[[#This Row],[Collector Booster Box Product Id]], tbl_Product[Product Id], tbl_Product[Best Source])</f>
        <v/>
      </c>
      <c r="AW776" s="4">
        <f>_xlfn.XLOOKUP(tbl_MTG_Set[[#This Row],[Collector Booster Box Product Id]], tbl_Product[Product Id], tbl_Product[Pack Size])</f>
        <v/>
      </c>
      <c r="AX776" s="10">
        <f>(tbl_MTG_Set[[#This Row],[Collector Booster Box Cost]] + v_Item_Shipping_Cost_In) / tbl_MTG_Set[[#This Row],[Collector Booster Box Size]]</f>
        <v/>
      </c>
      <c r="AY776" s="10">
        <f t="array" ref="AY7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6" s="10" t="n"/>
      <c r="BA7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6" s="17">
        <f>tbl_MTG_Set[[#This Row],[Collector Booster CardMarket Profit]]/tbl_MTG_Set[[#This Row],[Collector Booster Cost]]</f>
        <v/>
      </c>
      <c r="BC776" s="10" t="n"/>
      <c r="BF776" s="10">
        <f>tbl_MTG_Set[[#This Row],[Play Booster Sell Price CardMarket]]*tbl_MTG_Set[[#This Row],[Play Booster Expected Market Value]]/tbl_MTG_Set[[#This Row],[Play Boost Sealed Market Value]]</f>
        <v/>
      </c>
      <c r="BG7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6" s="10">
        <f>tbl_MTG_Set[[#This Row],[Play Singles CardMarket Profit]]/tbl_MTG_Set[[#This Row],[Play Booster Cost]]</f>
        <v/>
      </c>
      <c r="BI776" s="10">
        <f>tbl_MTG_Set[[#This Row],[Play Singles CardMarket Profit]]&gt;0</f>
        <v/>
      </c>
      <c r="BJ776" s="10" t="n"/>
      <c r="BK776" s="10" t="n"/>
      <c r="BL776" s="10">
        <f>tbl_MTG_Set[[#This Row],[Collector Booster Sell Price CardMarket]]*tbl_MTG_Set[[#This Row],[Collector Booster Expected Market Value]]/tbl_MTG_Set[[#This Row],[Collector Boost Sealed Market Value]]</f>
        <v/>
      </c>
      <c r="BM7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6" s="10">
        <f>tbl_MTG_Set[[#This Row],[Collector Singles CardMarket Profit]]/tbl_MTG_Set[[#This Row],[Collector Booster Cost]]</f>
        <v/>
      </c>
      <c r="BO776" s="10">
        <f>tbl_MTG_Set[[#This Row],[Collector Singles CardMarket Profit]]&gt;0</f>
        <v/>
      </c>
      <c r="BP7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7">
      <c r="A777" t="n">
        <v>775</v>
      </c>
      <c r="B777" t="inlineStr">
        <is>
          <t>Duel Decks: Garruk vs. Liliana Tokens TDDD</t>
        </is>
      </c>
      <c r="C777" t="n">
        <v>3</v>
      </c>
      <c r="D777" s="3" t="n">
        <v>40116</v>
      </c>
      <c r="F777" t="inlineStr">
        <is>
          <t>en es fr de it pt ja ko ru 汉语 漢語</t>
        </is>
      </c>
      <c r="G777" t="n">
        <v>1496</v>
      </c>
      <c r="H777">
        <f>MONTH(NOW())+12*YEAR(NOW())-MONTH(tbl_MTG_Set[[#This Row],[Released On]])-12*YEAR(tbl_MTG_Set[[#This Row],[Released On]])</f>
        <v/>
      </c>
      <c r="I777">
        <f>_xlfn.XLOOKUP(tbl_MTG_Set[[#This Row],[Type Name]], tbl_MTG_Set_Type[Set Type], tbl_MTG_Set_Type[Index], "(Set Type not found)")</f>
        <v/>
      </c>
      <c r="J777">
        <f>_xlfn.XLOOKUP(tbl_MTG_Set[[#This Row],[Type Name]], tbl_MTG_Set_Type[Set Type], tbl_MTG_Set_Type[Buy Window Month Start], "(Set Type not found)")</f>
        <v/>
      </c>
      <c r="K777" s="3">
        <f>tbl_MTG_Set[[#This Row],[Released On]]+tbl_MTG_Set[[#This Row],[Buy Window Month Start]]*365.25/12</f>
        <v/>
      </c>
      <c r="L777">
        <f>_xlfn.XLOOKUP(tbl_MTG_Set[[#This Row],[Type Name]], tbl_MTG_Set_Type[Set Type], tbl_MTG_Set_Type[Buy Window Month End], "(Set Type not found)", 0, 1)</f>
        <v/>
      </c>
      <c r="M777" s="3">
        <f>tbl_MTG_Set[[#This Row],[Released On]]+tbl_MTG_Set[[#This Row],[Buy Window Month End]]*365.25/12</f>
        <v/>
      </c>
      <c r="N777" s="3">
        <f>AND(NOW()&gt;=tbl_MTG_Set[[#This Row],[Buy Window Start]], NOW()&lt;=tbl_MTG_Set[[#This Row],[Buy Window End]])</f>
        <v/>
      </c>
      <c r="O777">
        <f>_xlfn.XLOOKUP(tbl_MTG_Set[[#This Row],[Type Name]], tbl_MTG_Set_Type[Set Type], tbl_MTG_Set_Type[Heavy Printing Window Month Start], "(Set Type not found)", 0, 1)</f>
        <v/>
      </c>
      <c r="P777" s="3">
        <f>tbl_MTG_Set[[#This Row],[Released On]]+tbl_MTG_Set[[#This Row],[Heavy Printing Window Month Start]]*365.25/12</f>
        <v/>
      </c>
      <c r="Q777">
        <f>_xlfn.XLOOKUP(tbl_MTG_Set[[#This Row],[Type Name]], tbl_MTG_Set_Type[Set Type], tbl_MTG_Set_Type[Heavy Printing Window Month End], "(Set Type not found)", 0, 1)</f>
        <v/>
      </c>
      <c r="R777" s="3">
        <f>tbl_MTG_Set[[#This Row],[Released On]]+tbl_MTG_Set[[#This Row],[Heavy Printing Window Month End]]*365.25/12</f>
        <v/>
      </c>
      <c r="S777" s="3">
        <f>AND(NOW()&gt;=tbl_MTG_Set[[#This Row],[Heavy Printing Window Start]], NOW()&lt;=tbl_MTG_Set[[#This Row],[Heavy Printing Window End]])</f>
        <v/>
      </c>
      <c r="T777">
        <f>_xlfn.XLOOKUP(tbl_MTG_Set[[#This Row],[Type Name]], tbl_MTG_Set_Type[Set Type], tbl_MTG_Set_Type[Sell Window Month Start], "(Set Type not found)", 0, 1)</f>
        <v/>
      </c>
      <c r="U777" s="3">
        <f>tbl_MTG_Set[[#This Row],[Released On]]+tbl_MTG_Set[[#This Row],[Sell Window Month Start]]*365.25/12</f>
        <v/>
      </c>
      <c r="V777">
        <f>_xlfn.XLOOKUP(tbl_MTG_Set[[#This Row],[Type Name]], tbl_MTG_Set_Type[Set Type], tbl_MTG_Set_Type[Sell Window Month End], "(Set Type not found)", 0, 1)</f>
        <v/>
      </c>
      <c r="W777" s="3">
        <f>tbl_MTG_Set[[#This Row],[Released On]]+tbl_MTG_Set[[#This Row],[Sell Window Month End]]*365.25/12</f>
        <v/>
      </c>
      <c r="X777" s="3">
        <f>AND(NOW()&gt;=tbl_MTG_Set[[#This Row],[Sell Window Start]], NOW()&lt;=tbl_MTG_Set[[#This Row],[Sell Window End]])</f>
        <v/>
      </c>
      <c r="AG777" s="10" t="n"/>
      <c r="AH777" s="10" t="n"/>
      <c r="AM777" s="10">
        <f t="array" ref="AM7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7" s="10">
        <f t="array" ref="AN7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7" s="4">
        <f>_xlfn.XLOOKUP(tbl_MTG_Set[[#This Row],[Play Booster Box Product Id]], tbl_Product[Product Id], tbl_Product[Pack Size])</f>
        <v/>
      </c>
      <c r="AP777" s="10">
        <f>(tbl_MTG_Set[[#This Row],[Play Booster Box Cost]]+v_Item_Shipping_Cost_In)/tbl_MTG_Set[[#This Row],[Play Booster Box Size]]</f>
        <v/>
      </c>
      <c r="AQ777" s="10">
        <f t="array" ref="AQ7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7" s="10" t="n"/>
      <c r="AS777" s="10" t="n"/>
      <c r="AT777" s="17">
        <f>tbl_MTG_Set[[#This Row],[Play Booster CardMarket Profit]]/tbl_MTG_Set[[#This Row],[Play Booster Cost]]</f>
        <v/>
      </c>
      <c r="AU777" s="10">
        <f>_xlfn.XLOOKUP(tbl_MTG_Set[[#This Row],[Collector Booster Box Product Id]], tbl_Product[Product Id], tbl_Product[Min Cost])</f>
        <v/>
      </c>
      <c r="AV777" s="10">
        <f>_xlfn.XLOOKUP(tbl_MTG_Set[[#This Row],[Collector Booster Box Product Id]], tbl_Product[Product Id], tbl_Product[Best Source])</f>
        <v/>
      </c>
      <c r="AW777" s="4">
        <f>_xlfn.XLOOKUP(tbl_MTG_Set[[#This Row],[Collector Booster Box Product Id]], tbl_Product[Product Id], tbl_Product[Pack Size])</f>
        <v/>
      </c>
      <c r="AX777" s="10">
        <f>(tbl_MTG_Set[[#This Row],[Collector Booster Box Cost]] + v_Item_Shipping_Cost_In) / tbl_MTG_Set[[#This Row],[Collector Booster Box Size]]</f>
        <v/>
      </c>
      <c r="AY777" s="10">
        <f t="array" ref="AY7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7" s="10" t="n"/>
      <c r="BA7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7" s="17">
        <f>tbl_MTG_Set[[#This Row],[Collector Booster CardMarket Profit]]/tbl_MTG_Set[[#This Row],[Collector Booster Cost]]</f>
        <v/>
      </c>
      <c r="BC777" s="10" t="n"/>
      <c r="BF777" s="10">
        <f>tbl_MTG_Set[[#This Row],[Play Booster Sell Price CardMarket]]*tbl_MTG_Set[[#This Row],[Play Booster Expected Market Value]]/tbl_MTG_Set[[#This Row],[Play Boost Sealed Market Value]]</f>
        <v/>
      </c>
      <c r="BG7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7" s="10">
        <f>tbl_MTG_Set[[#This Row],[Play Singles CardMarket Profit]]/tbl_MTG_Set[[#This Row],[Play Booster Cost]]</f>
        <v/>
      </c>
      <c r="BI777" s="10">
        <f>tbl_MTG_Set[[#This Row],[Play Singles CardMarket Profit]]&gt;0</f>
        <v/>
      </c>
      <c r="BJ777" s="10" t="n"/>
      <c r="BK777" s="10" t="n"/>
      <c r="BL777" s="10">
        <f>tbl_MTG_Set[[#This Row],[Collector Booster Sell Price CardMarket]]*tbl_MTG_Set[[#This Row],[Collector Booster Expected Market Value]]/tbl_MTG_Set[[#This Row],[Collector Boost Sealed Market Value]]</f>
        <v/>
      </c>
      <c r="BM7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7" s="10">
        <f>tbl_MTG_Set[[#This Row],[Collector Singles CardMarket Profit]]/tbl_MTG_Set[[#This Row],[Collector Booster Cost]]</f>
        <v/>
      </c>
      <c r="BO777" s="10">
        <f>tbl_MTG_Set[[#This Row],[Collector Singles CardMarket Profit]]&gt;0</f>
        <v/>
      </c>
      <c r="BP7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8">
      <c r="A778" t="n">
        <v>776</v>
      </c>
      <c r="B778" t="inlineStr">
        <is>
          <t>Zendikar ZEN</t>
        </is>
      </c>
      <c r="C778" t="n">
        <v>269</v>
      </c>
      <c r="D778" s="3" t="n">
        <v>40088</v>
      </c>
      <c r="E778" t="inlineStr">
        <is>
          <t>Standard Expansion</t>
        </is>
      </c>
      <c r="F778" t="inlineStr">
        <is>
          <t>en es fr de it pt ja ko ru 汉语 漢語</t>
        </is>
      </c>
      <c r="G778" t="n">
        <v>1498</v>
      </c>
      <c r="H778">
        <f>MONTH(NOW())+12*YEAR(NOW())-MONTH(tbl_MTG_Set[[#This Row],[Released On]])-12*YEAR(tbl_MTG_Set[[#This Row],[Released On]])</f>
        <v/>
      </c>
      <c r="I778">
        <f>_xlfn.XLOOKUP(tbl_MTG_Set[[#This Row],[Type Name]], tbl_MTG_Set_Type[Set Type], tbl_MTG_Set_Type[Index], "(Set Type not found)")</f>
        <v/>
      </c>
      <c r="J778">
        <f>_xlfn.XLOOKUP(tbl_MTG_Set[[#This Row],[Type Name]], tbl_MTG_Set_Type[Set Type], tbl_MTG_Set_Type[Buy Window Month Start], "(Set Type not found)")</f>
        <v/>
      </c>
      <c r="K778" s="3">
        <f>tbl_MTG_Set[[#This Row],[Released On]]+tbl_MTG_Set[[#This Row],[Buy Window Month Start]]*365.25/12</f>
        <v/>
      </c>
      <c r="L778">
        <f>_xlfn.XLOOKUP(tbl_MTG_Set[[#This Row],[Type Name]], tbl_MTG_Set_Type[Set Type], tbl_MTG_Set_Type[Buy Window Month End], "(Set Type not found)", 0, 1)</f>
        <v/>
      </c>
      <c r="M778" s="3">
        <f>tbl_MTG_Set[[#This Row],[Released On]]+tbl_MTG_Set[[#This Row],[Buy Window Month End]]*365.25/12</f>
        <v/>
      </c>
      <c r="N778" s="3">
        <f>AND(NOW()&gt;=tbl_MTG_Set[[#This Row],[Buy Window Start]], NOW()&lt;=tbl_MTG_Set[[#This Row],[Buy Window End]])</f>
        <v/>
      </c>
      <c r="O778">
        <f>_xlfn.XLOOKUP(tbl_MTG_Set[[#This Row],[Type Name]], tbl_MTG_Set_Type[Set Type], tbl_MTG_Set_Type[Heavy Printing Window Month Start], "(Set Type not found)", 0, 1)</f>
        <v/>
      </c>
      <c r="P778" s="3">
        <f>tbl_MTG_Set[[#This Row],[Released On]]+tbl_MTG_Set[[#This Row],[Heavy Printing Window Month Start]]*365.25/12</f>
        <v/>
      </c>
      <c r="Q778">
        <f>_xlfn.XLOOKUP(tbl_MTG_Set[[#This Row],[Type Name]], tbl_MTG_Set_Type[Set Type], tbl_MTG_Set_Type[Heavy Printing Window Month End], "(Set Type not found)", 0, 1)</f>
        <v/>
      </c>
      <c r="R778" s="3">
        <f>tbl_MTG_Set[[#This Row],[Released On]]+tbl_MTG_Set[[#This Row],[Heavy Printing Window Month End]]*365.25/12</f>
        <v/>
      </c>
      <c r="S778" s="3">
        <f>AND(NOW()&gt;=tbl_MTG_Set[[#This Row],[Heavy Printing Window Start]], NOW()&lt;=tbl_MTG_Set[[#This Row],[Heavy Printing Window End]])</f>
        <v/>
      </c>
      <c r="T778">
        <f>_xlfn.XLOOKUP(tbl_MTG_Set[[#This Row],[Type Name]], tbl_MTG_Set_Type[Set Type], tbl_MTG_Set_Type[Sell Window Month Start], "(Set Type not found)", 0, 1)</f>
        <v/>
      </c>
      <c r="U778" s="3">
        <f>tbl_MTG_Set[[#This Row],[Released On]]+tbl_MTG_Set[[#This Row],[Sell Window Month Start]]*365.25/12</f>
        <v/>
      </c>
      <c r="V778">
        <f>_xlfn.XLOOKUP(tbl_MTG_Set[[#This Row],[Type Name]], tbl_MTG_Set_Type[Set Type], tbl_MTG_Set_Type[Sell Window Month End], "(Set Type not found)", 0, 1)</f>
        <v/>
      </c>
      <c r="W778" s="3">
        <f>tbl_MTG_Set[[#This Row],[Released On]]+tbl_MTG_Set[[#This Row],[Sell Window Month End]]*365.25/12</f>
        <v/>
      </c>
      <c r="X778" s="3">
        <f>AND(NOW()&gt;=tbl_MTG_Set[[#This Row],[Sell Window Start]], NOW()&lt;=tbl_MTG_Set[[#This Row],[Sell Window End]])</f>
        <v/>
      </c>
      <c r="AG778" s="10" t="n"/>
      <c r="AH778" s="10" t="n"/>
      <c r="AM778" s="10">
        <f t="array" ref="AM7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8" s="10">
        <f t="array" ref="AN7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8" s="4">
        <f>_xlfn.XLOOKUP(tbl_MTG_Set[[#This Row],[Play Booster Box Product Id]], tbl_Product[Product Id], tbl_Product[Pack Size])</f>
        <v/>
      </c>
      <c r="AP778" s="10">
        <f>(tbl_MTG_Set[[#This Row],[Play Booster Box Cost]]+v_Item_Shipping_Cost_In)/tbl_MTG_Set[[#This Row],[Play Booster Box Size]]</f>
        <v/>
      </c>
      <c r="AQ778" s="10">
        <f t="array" ref="AQ7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8" s="10" t="n"/>
      <c r="AS778" s="10" t="n"/>
      <c r="AT778" s="17">
        <f>tbl_MTG_Set[[#This Row],[Play Booster CardMarket Profit]]/tbl_MTG_Set[[#This Row],[Play Booster Cost]]</f>
        <v/>
      </c>
      <c r="AU778" s="10">
        <f>_xlfn.XLOOKUP(tbl_MTG_Set[[#This Row],[Collector Booster Box Product Id]], tbl_Product[Product Id], tbl_Product[Min Cost])</f>
        <v/>
      </c>
      <c r="AV778" s="10">
        <f>_xlfn.XLOOKUP(tbl_MTG_Set[[#This Row],[Collector Booster Box Product Id]], tbl_Product[Product Id], tbl_Product[Best Source])</f>
        <v/>
      </c>
      <c r="AW778" s="4">
        <f>_xlfn.XLOOKUP(tbl_MTG_Set[[#This Row],[Collector Booster Box Product Id]], tbl_Product[Product Id], tbl_Product[Pack Size])</f>
        <v/>
      </c>
      <c r="AX778" s="10">
        <f>(tbl_MTG_Set[[#This Row],[Collector Booster Box Cost]] + v_Item_Shipping_Cost_In) / tbl_MTG_Set[[#This Row],[Collector Booster Box Size]]</f>
        <v/>
      </c>
      <c r="AY778" s="10">
        <f t="array" ref="AY7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8" s="10" t="n"/>
      <c r="BA7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8" s="17">
        <f>tbl_MTG_Set[[#This Row],[Collector Booster CardMarket Profit]]/tbl_MTG_Set[[#This Row],[Collector Booster Cost]]</f>
        <v/>
      </c>
      <c r="BC778" s="10" t="n"/>
      <c r="BF778" s="10">
        <f>tbl_MTG_Set[[#This Row],[Play Booster Sell Price CardMarket]]*tbl_MTG_Set[[#This Row],[Play Booster Expected Market Value]]/tbl_MTG_Set[[#This Row],[Play Boost Sealed Market Value]]</f>
        <v/>
      </c>
      <c r="BG7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8" s="10">
        <f>tbl_MTG_Set[[#This Row],[Play Singles CardMarket Profit]]/tbl_MTG_Set[[#This Row],[Play Booster Cost]]</f>
        <v/>
      </c>
      <c r="BI778" s="10">
        <f>tbl_MTG_Set[[#This Row],[Play Singles CardMarket Profit]]&gt;0</f>
        <v/>
      </c>
      <c r="BJ778" s="10" t="n"/>
      <c r="BK778" s="10" t="n"/>
      <c r="BL778" s="10">
        <f>tbl_MTG_Set[[#This Row],[Collector Booster Sell Price CardMarket]]*tbl_MTG_Set[[#This Row],[Collector Booster Expected Market Value]]/tbl_MTG_Set[[#This Row],[Collector Boost Sealed Market Value]]</f>
        <v/>
      </c>
      <c r="BM7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8" s="10">
        <f>tbl_MTG_Set[[#This Row],[Collector Singles CardMarket Profit]]/tbl_MTG_Set[[#This Row],[Collector Booster Cost]]</f>
        <v/>
      </c>
      <c r="BO778" s="10">
        <f>tbl_MTG_Set[[#This Row],[Collector Singles CardMarket Profit]]&gt;0</f>
        <v/>
      </c>
      <c r="BP7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9">
      <c r="A779" t="n">
        <v>777</v>
      </c>
      <c r="B779" t="inlineStr">
        <is>
          <t>Zendikar Promos PZEN</t>
        </is>
      </c>
      <c r="C779" t="n">
        <v>5</v>
      </c>
      <c r="D779" s="3" t="n">
        <v>40088</v>
      </c>
      <c r="E779" t="inlineStr">
        <is>
          <t>Standard Expansion</t>
        </is>
      </c>
      <c r="F779" t="inlineStr">
        <is>
          <t>en es fr de it pt ja ko ru 汉语 漢語</t>
        </is>
      </c>
      <c r="G779" t="n">
        <v>1500</v>
      </c>
      <c r="H779">
        <f>MONTH(NOW())+12*YEAR(NOW())-MONTH(tbl_MTG_Set[[#This Row],[Released On]])-12*YEAR(tbl_MTG_Set[[#This Row],[Released On]])</f>
        <v/>
      </c>
      <c r="I779">
        <f>_xlfn.XLOOKUP(tbl_MTG_Set[[#This Row],[Type Name]], tbl_MTG_Set_Type[Set Type], tbl_MTG_Set_Type[Index], "(Set Type not found)")</f>
        <v/>
      </c>
      <c r="J779">
        <f>_xlfn.XLOOKUP(tbl_MTG_Set[[#This Row],[Type Name]], tbl_MTG_Set_Type[Set Type], tbl_MTG_Set_Type[Buy Window Month Start], "(Set Type not found)")</f>
        <v/>
      </c>
      <c r="K779" s="3">
        <f>tbl_MTG_Set[[#This Row],[Released On]]+tbl_MTG_Set[[#This Row],[Buy Window Month Start]]*365.25/12</f>
        <v/>
      </c>
      <c r="L779">
        <f>_xlfn.XLOOKUP(tbl_MTG_Set[[#This Row],[Type Name]], tbl_MTG_Set_Type[Set Type], tbl_MTG_Set_Type[Buy Window Month End], "(Set Type not found)", 0, 1)</f>
        <v/>
      </c>
      <c r="M779" s="3">
        <f>tbl_MTG_Set[[#This Row],[Released On]]+tbl_MTG_Set[[#This Row],[Buy Window Month End]]*365.25/12</f>
        <v/>
      </c>
      <c r="N779" s="3">
        <f>AND(NOW()&gt;=tbl_MTG_Set[[#This Row],[Buy Window Start]], NOW()&lt;=tbl_MTG_Set[[#This Row],[Buy Window End]])</f>
        <v/>
      </c>
      <c r="O779">
        <f>_xlfn.XLOOKUP(tbl_MTG_Set[[#This Row],[Type Name]], tbl_MTG_Set_Type[Set Type], tbl_MTG_Set_Type[Heavy Printing Window Month Start], "(Set Type not found)", 0, 1)</f>
        <v/>
      </c>
      <c r="P779" s="3">
        <f>tbl_MTG_Set[[#This Row],[Released On]]+tbl_MTG_Set[[#This Row],[Heavy Printing Window Month Start]]*365.25/12</f>
        <v/>
      </c>
      <c r="Q779">
        <f>_xlfn.XLOOKUP(tbl_MTG_Set[[#This Row],[Type Name]], tbl_MTG_Set_Type[Set Type], tbl_MTG_Set_Type[Heavy Printing Window Month End], "(Set Type not found)", 0, 1)</f>
        <v/>
      </c>
      <c r="R779" s="3">
        <f>tbl_MTG_Set[[#This Row],[Released On]]+tbl_MTG_Set[[#This Row],[Heavy Printing Window Month End]]*365.25/12</f>
        <v/>
      </c>
      <c r="S779" s="3">
        <f>AND(NOW()&gt;=tbl_MTG_Set[[#This Row],[Heavy Printing Window Start]], NOW()&lt;=tbl_MTG_Set[[#This Row],[Heavy Printing Window End]])</f>
        <v/>
      </c>
      <c r="T779">
        <f>_xlfn.XLOOKUP(tbl_MTG_Set[[#This Row],[Type Name]], tbl_MTG_Set_Type[Set Type], tbl_MTG_Set_Type[Sell Window Month Start], "(Set Type not found)", 0, 1)</f>
        <v/>
      </c>
      <c r="U779" s="3">
        <f>tbl_MTG_Set[[#This Row],[Released On]]+tbl_MTG_Set[[#This Row],[Sell Window Month Start]]*365.25/12</f>
        <v/>
      </c>
      <c r="V779">
        <f>_xlfn.XLOOKUP(tbl_MTG_Set[[#This Row],[Type Name]], tbl_MTG_Set_Type[Set Type], tbl_MTG_Set_Type[Sell Window Month End], "(Set Type not found)", 0, 1)</f>
        <v/>
      </c>
      <c r="W779" s="3">
        <f>tbl_MTG_Set[[#This Row],[Released On]]+tbl_MTG_Set[[#This Row],[Sell Window Month End]]*365.25/12</f>
        <v/>
      </c>
      <c r="X779" s="3">
        <f>AND(NOW()&gt;=tbl_MTG_Set[[#This Row],[Sell Window Start]], NOW()&lt;=tbl_MTG_Set[[#This Row],[Sell Window End]])</f>
        <v/>
      </c>
      <c r="AG779" s="10" t="n"/>
      <c r="AH779" s="10" t="n"/>
      <c r="AM779" s="10">
        <f t="array" ref="AM7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9" s="10">
        <f t="array" ref="AN7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9" s="4">
        <f>_xlfn.XLOOKUP(tbl_MTG_Set[[#This Row],[Play Booster Box Product Id]], tbl_Product[Product Id], tbl_Product[Pack Size])</f>
        <v/>
      </c>
      <c r="AP779" s="10">
        <f>(tbl_MTG_Set[[#This Row],[Play Booster Box Cost]]+v_Item_Shipping_Cost_In)/tbl_MTG_Set[[#This Row],[Play Booster Box Size]]</f>
        <v/>
      </c>
      <c r="AQ779" s="10">
        <f t="array" ref="AQ7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79" s="10" t="n"/>
      <c r="AS779" s="10" t="n"/>
      <c r="AT779" s="17">
        <f>tbl_MTG_Set[[#This Row],[Play Booster CardMarket Profit]]/tbl_MTG_Set[[#This Row],[Play Booster Cost]]</f>
        <v/>
      </c>
      <c r="AU779" s="10">
        <f>_xlfn.XLOOKUP(tbl_MTG_Set[[#This Row],[Collector Booster Box Product Id]], tbl_Product[Product Id], tbl_Product[Min Cost])</f>
        <v/>
      </c>
      <c r="AV779" s="10">
        <f>_xlfn.XLOOKUP(tbl_MTG_Set[[#This Row],[Collector Booster Box Product Id]], tbl_Product[Product Id], tbl_Product[Best Source])</f>
        <v/>
      </c>
      <c r="AW779" s="4">
        <f>_xlfn.XLOOKUP(tbl_MTG_Set[[#This Row],[Collector Booster Box Product Id]], tbl_Product[Product Id], tbl_Product[Pack Size])</f>
        <v/>
      </c>
      <c r="AX779" s="10">
        <f>(tbl_MTG_Set[[#This Row],[Collector Booster Box Cost]] + v_Item_Shipping_Cost_In) / tbl_MTG_Set[[#This Row],[Collector Booster Box Size]]</f>
        <v/>
      </c>
      <c r="AY779" s="10">
        <f t="array" ref="AY7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79" s="10" t="n"/>
      <c r="BA7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9" s="17">
        <f>tbl_MTG_Set[[#This Row],[Collector Booster CardMarket Profit]]/tbl_MTG_Set[[#This Row],[Collector Booster Cost]]</f>
        <v/>
      </c>
      <c r="BC779" s="10" t="n"/>
      <c r="BF779" s="10">
        <f>tbl_MTG_Set[[#This Row],[Play Booster Sell Price CardMarket]]*tbl_MTG_Set[[#This Row],[Play Booster Expected Market Value]]/tbl_MTG_Set[[#This Row],[Play Boost Sealed Market Value]]</f>
        <v/>
      </c>
      <c r="BG7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9" s="10">
        <f>tbl_MTG_Set[[#This Row],[Play Singles CardMarket Profit]]/tbl_MTG_Set[[#This Row],[Play Booster Cost]]</f>
        <v/>
      </c>
      <c r="BI779" s="10">
        <f>tbl_MTG_Set[[#This Row],[Play Singles CardMarket Profit]]&gt;0</f>
        <v/>
      </c>
      <c r="BJ779" s="10" t="n"/>
      <c r="BK779" s="10" t="n"/>
      <c r="BL779" s="10">
        <f>tbl_MTG_Set[[#This Row],[Collector Booster Sell Price CardMarket]]*tbl_MTG_Set[[#This Row],[Collector Booster Expected Market Value]]/tbl_MTG_Set[[#This Row],[Collector Boost Sealed Market Value]]</f>
        <v/>
      </c>
      <c r="BM7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9" s="10">
        <f>tbl_MTG_Set[[#This Row],[Collector Singles CardMarket Profit]]/tbl_MTG_Set[[#This Row],[Collector Booster Cost]]</f>
        <v/>
      </c>
      <c r="BO779" s="10">
        <f>tbl_MTG_Set[[#This Row],[Collector Singles CardMarket Profit]]&gt;0</f>
        <v/>
      </c>
      <c r="BP7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0">
      <c r="A780" t="n">
        <v>778</v>
      </c>
      <c r="B780" t="inlineStr">
        <is>
          <t>Zendikar Tokens TZEN</t>
        </is>
      </c>
      <c r="C780" t="n">
        <v>11</v>
      </c>
      <c r="D780" s="3" t="n">
        <v>40088</v>
      </c>
      <c r="E780" t="inlineStr">
        <is>
          <t>Standard Expansion</t>
        </is>
      </c>
      <c r="F780" t="inlineStr">
        <is>
          <t>en es fr de it pt ja ko ru 汉语 漢語</t>
        </is>
      </c>
      <c r="G780" t="n">
        <v>1502</v>
      </c>
      <c r="H780">
        <f>MONTH(NOW())+12*YEAR(NOW())-MONTH(tbl_MTG_Set[[#This Row],[Released On]])-12*YEAR(tbl_MTG_Set[[#This Row],[Released On]])</f>
        <v/>
      </c>
      <c r="I780">
        <f>_xlfn.XLOOKUP(tbl_MTG_Set[[#This Row],[Type Name]], tbl_MTG_Set_Type[Set Type], tbl_MTG_Set_Type[Index], "(Set Type not found)")</f>
        <v/>
      </c>
      <c r="J780">
        <f>_xlfn.XLOOKUP(tbl_MTG_Set[[#This Row],[Type Name]], tbl_MTG_Set_Type[Set Type], tbl_MTG_Set_Type[Buy Window Month Start], "(Set Type not found)")</f>
        <v/>
      </c>
      <c r="K780" s="3">
        <f>tbl_MTG_Set[[#This Row],[Released On]]+tbl_MTG_Set[[#This Row],[Buy Window Month Start]]*365.25/12</f>
        <v/>
      </c>
      <c r="L780">
        <f>_xlfn.XLOOKUP(tbl_MTG_Set[[#This Row],[Type Name]], tbl_MTG_Set_Type[Set Type], tbl_MTG_Set_Type[Buy Window Month End], "(Set Type not found)", 0, 1)</f>
        <v/>
      </c>
      <c r="M780" s="3">
        <f>tbl_MTG_Set[[#This Row],[Released On]]+tbl_MTG_Set[[#This Row],[Buy Window Month End]]*365.25/12</f>
        <v/>
      </c>
      <c r="N780" s="3">
        <f>AND(NOW()&gt;=tbl_MTG_Set[[#This Row],[Buy Window Start]], NOW()&lt;=tbl_MTG_Set[[#This Row],[Buy Window End]])</f>
        <v/>
      </c>
      <c r="O780">
        <f>_xlfn.XLOOKUP(tbl_MTG_Set[[#This Row],[Type Name]], tbl_MTG_Set_Type[Set Type], tbl_MTG_Set_Type[Heavy Printing Window Month Start], "(Set Type not found)", 0, 1)</f>
        <v/>
      </c>
      <c r="P780" s="3">
        <f>tbl_MTG_Set[[#This Row],[Released On]]+tbl_MTG_Set[[#This Row],[Heavy Printing Window Month Start]]*365.25/12</f>
        <v/>
      </c>
      <c r="Q780">
        <f>_xlfn.XLOOKUP(tbl_MTG_Set[[#This Row],[Type Name]], tbl_MTG_Set_Type[Set Type], tbl_MTG_Set_Type[Heavy Printing Window Month End], "(Set Type not found)", 0, 1)</f>
        <v/>
      </c>
      <c r="R780" s="3">
        <f>tbl_MTG_Set[[#This Row],[Released On]]+tbl_MTG_Set[[#This Row],[Heavy Printing Window Month End]]*365.25/12</f>
        <v/>
      </c>
      <c r="S780" s="3">
        <f>AND(NOW()&gt;=tbl_MTG_Set[[#This Row],[Heavy Printing Window Start]], NOW()&lt;=tbl_MTG_Set[[#This Row],[Heavy Printing Window End]])</f>
        <v/>
      </c>
      <c r="T780">
        <f>_xlfn.XLOOKUP(tbl_MTG_Set[[#This Row],[Type Name]], tbl_MTG_Set_Type[Set Type], tbl_MTG_Set_Type[Sell Window Month Start], "(Set Type not found)", 0, 1)</f>
        <v/>
      </c>
      <c r="U780" s="3">
        <f>tbl_MTG_Set[[#This Row],[Released On]]+tbl_MTG_Set[[#This Row],[Sell Window Month Start]]*365.25/12</f>
        <v/>
      </c>
      <c r="V780">
        <f>_xlfn.XLOOKUP(tbl_MTG_Set[[#This Row],[Type Name]], tbl_MTG_Set_Type[Set Type], tbl_MTG_Set_Type[Sell Window Month End], "(Set Type not found)", 0, 1)</f>
        <v/>
      </c>
      <c r="W780" s="3">
        <f>tbl_MTG_Set[[#This Row],[Released On]]+tbl_MTG_Set[[#This Row],[Sell Window Month End]]*365.25/12</f>
        <v/>
      </c>
      <c r="X780" s="3">
        <f>AND(NOW()&gt;=tbl_MTG_Set[[#This Row],[Sell Window Start]], NOW()&lt;=tbl_MTG_Set[[#This Row],[Sell Window End]])</f>
        <v/>
      </c>
      <c r="AG780" s="10" t="n"/>
      <c r="AH780" s="10" t="n"/>
      <c r="AM780" s="10">
        <f t="array" ref="AM7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0" s="10">
        <f t="array" ref="AN7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0" s="4">
        <f>_xlfn.XLOOKUP(tbl_MTG_Set[[#This Row],[Play Booster Box Product Id]], tbl_Product[Product Id], tbl_Product[Pack Size])</f>
        <v/>
      </c>
      <c r="AP780" s="10">
        <f>(tbl_MTG_Set[[#This Row],[Play Booster Box Cost]]+v_Item_Shipping_Cost_In)/tbl_MTG_Set[[#This Row],[Play Booster Box Size]]</f>
        <v/>
      </c>
      <c r="AQ780" s="10">
        <f t="array" ref="AQ7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0" s="10" t="n"/>
      <c r="AS780" s="10" t="n"/>
      <c r="AT780" s="17">
        <f>tbl_MTG_Set[[#This Row],[Play Booster CardMarket Profit]]/tbl_MTG_Set[[#This Row],[Play Booster Cost]]</f>
        <v/>
      </c>
      <c r="AU780" s="10">
        <f>_xlfn.XLOOKUP(tbl_MTG_Set[[#This Row],[Collector Booster Box Product Id]], tbl_Product[Product Id], tbl_Product[Min Cost])</f>
        <v/>
      </c>
      <c r="AV780" s="10">
        <f>_xlfn.XLOOKUP(tbl_MTG_Set[[#This Row],[Collector Booster Box Product Id]], tbl_Product[Product Id], tbl_Product[Best Source])</f>
        <v/>
      </c>
      <c r="AW780" s="4">
        <f>_xlfn.XLOOKUP(tbl_MTG_Set[[#This Row],[Collector Booster Box Product Id]], tbl_Product[Product Id], tbl_Product[Pack Size])</f>
        <v/>
      </c>
      <c r="AX780" s="10">
        <f>(tbl_MTG_Set[[#This Row],[Collector Booster Box Cost]] + v_Item_Shipping_Cost_In) / tbl_MTG_Set[[#This Row],[Collector Booster Box Size]]</f>
        <v/>
      </c>
      <c r="AY780" s="10">
        <f t="array" ref="AY7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0" s="10" t="n"/>
      <c r="BA7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0" s="17">
        <f>tbl_MTG_Set[[#This Row],[Collector Booster CardMarket Profit]]/tbl_MTG_Set[[#This Row],[Collector Booster Cost]]</f>
        <v/>
      </c>
      <c r="BC780" s="10" t="n"/>
      <c r="BF780" s="10">
        <f>tbl_MTG_Set[[#This Row],[Play Booster Sell Price CardMarket]]*tbl_MTG_Set[[#This Row],[Play Booster Expected Market Value]]/tbl_MTG_Set[[#This Row],[Play Boost Sealed Market Value]]</f>
        <v/>
      </c>
      <c r="BG7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0" s="10">
        <f>tbl_MTG_Set[[#This Row],[Play Singles CardMarket Profit]]/tbl_MTG_Set[[#This Row],[Play Booster Cost]]</f>
        <v/>
      </c>
      <c r="BI780" s="10">
        <f>tbl_MTG_Set[[#This Row],[Play Singles CardMarket Profit]]&gt;0</f>
        <v/>
      </c>
      <c r="BJ780" s="10" t="n"/>
      <c r="BK780" s="10" t="n"/>
      <c r="BL780" s="10">
        <f>tbl_MTG_Set[[#This Row],[Collector Booster Sell Price CardMarket]]*tbl_MTG_Set[[#This Row],[Collector Booster Expected Market Value]]/tbl_MTG_Set[[#This Row],[Collector Boost Sealed Market Value]]</f>
        <v/>
      </c>
      <c r="BM7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0" s="10">
        <f>tbl_MTG_Set[[#This Row],[Collector Singles CardMarket Profit]]/tbl_MTG_Set[[#This Row],[Collector Booster Cost]]</f>
        <v/>
      </c>
      <c r="BO780" s="10">
        <f>tbl_MTG_Set[[#This Row],[Collector Singles CardMarket Profit]]&gt;0</f>
        <v/>
      </c>
      <c r="BP7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1">
      <c r="A781" t="n">
        <v>779</v>
      </c>
      <c r="B781" t="inlineStr">
        <is>
          <t>Masters Edition III ME3</t>
        </is>
      </c>
      <c r="C781" t="n">
        <v>230</v>
      </c>
      <c r="D781" s="3" t="n">
        <v>40063</v>
      </c>
      <c r="F781" t="inlineStr">
        <is>
          <t>en es fr de it pt ja ko ru 汉语 漢語</t>
        </is>
      </c>
      <c r="G781" t="n">
        <v>1504</v>
      </c>
      <c r="H781">
        <f>MONTH(NOW())+12*YEAR(NOW())-MONTH(tbl_MTG_Set[[#This Row],[Released On]])-12*YEAR(tbl_MTG_Set[[#This Row],[Released On]])</f>
        <v/>
      </c>
      <c r="I781">
        <f>_xlfn.XLOOKUP(tbl_MTG_Set[[#This Row],[Type Name]], tbl_MTG_Set_Type[Set Type], tbl_MTG_Set_Type[Index], "(Set Type not found)")</f>
        <v/>
      </c>
      <c r="J781">
        <f>_xlfn.XLOOKUP(tbl_MTG_Set[[#This Row],[Type Name]], tbl_MTG_Set_Type[Set Type], tbl_MTG_Set_Type[Buy Window Month Start], "(Set Type not found)")</f>
        <v/>
      </c>
      <c r="K781" s="3">
        <f>tbl_MTG_Set[[#This Row],[Released On]]+tbl_MTG_Set[[#This Row],[Buy Window Month Start]]*365.25/12</f>
        <v/>
      </c>
      <c r="L781">
        <f>_xlfn.XLOOKUP(tbl_MTG_Set[[#This Row],[Type Name]], tbl_MTG_Set_Type[Set Type], tbl_MTG_Set_Type[Buy Window Month End], "(Set Type not found)", 0, 1)</f>
        <v/>
      </c>
      <c r="M781" s="3">
        <f>tbl_MTG_Set[[#This Row],[Released On]]+tbl_MTG_Set[[#This Row],[Buy Window Month End]]*365.25/12</f>
        <v/>
      </c>
      <c r="N781" s="3">
        <f>AND(NOW()&gt;=tbl_MTG_Set[[#This Row],[Buy Window Start]], NOW()&lt;=tbl_MTG_Set[[#This Row],[Buy Window End]])</f>
        <v/>
      </c>
      <c r="O781">
        <f>_xlfn.XLOOKUP(tbl_MTG_Set[[#This Row],[Type Name]], tbl_MTG_Set_Type[Set Type], tbl_MTG_Set_Type[Heavy Printing Window Month Start], "(Set Type not found)", 0, 1)</f>
        <v/>
      </c>
      <c r="P781" s="3">
        <f>tbl_MTG_Set[[#This Row],[Released On]]+tbl_MTG_Set[[#This Row],[Heavy Printing Window Month Start]]*365.25/12</f>
        <v/>
      </c>
      <c r="Q781">
        <f>_xlfn.XLOOKUP(tbl_MTG_Set[[#This Row],[Type Name]], tbl_MTG_Set_Type[Set Type], tbl_MTG_Set_Type[Heavy Printing Window Month End], "(Set Type not found)", 0, 1)</f>
        <v/>
      </c>
      <c r="R781" s="3">
        <f>tbl_MTG_Set[[#This Row],[Released On]]+tbl_MTG_Set[[#This Row],[Heavy Printing Window Month End]]*365.25/12</f>
        <v/>
      </c>
      <c r="S781" s="3">
        <f>AND(NOW()&gt;=tbl_MTG_Set[[#This Row],[Heavy Printing Window Start]], NOW()&lt;=tbl_MTG_Set[[#This Row],[Heavy Printing Window End]])</f>
        <v/>
      </c>
      <c r="T781">
        <f>_xlfn.XLOOKUP(tbl_MTG_Set[[#This Row],[Type Name]], tbl_MTG_Set_Type[Set Type], tbl_MTG_Set_Type[Sell Window Month Start], "(Set Type not found)", 0, 1)</f>
        <v/>
      </c>
      <c r="U781" s="3">
        <f>tbl_MTG_Set[[#This Row],[Released On]]+tbl_MTG_Set[[#This Row],[Sell Window Month Start]]*365.25/12</f>
        <v/>
      </c>
      <c r="V781">
        <f>_xlfn.XLOOKUP(tbl_MTG_Set[[#This Row],[Type Name]], tbl_MTG_Set_Type[Set Type], tbl_MTG_Set_Type[Sell Window Month End], "(Set Type not found)", 0, 1)</f>
        <v/>
      </c>
      <c r="W781" s="3">
        <f>tbl_MTG_Set[[#This Row],[Released On]]+tbl_MTG_Set[[#This Row],[Sell Window Month End]]*365.25/12</f>
        <v/>
      </c>
      <c r="X781" s="3">
        <f>AND(NOW()&gt;=tbl_MTG_Set[[#This Row],[Sell Window Start]], NOW()&lt;=tbl_MTG_Set[[#This Row],[Sell Window End]])</f>
        <v/>
      </c>
      <c r="AG781" s="10" t="n"/>
      <c r="AH781" s="10" t="n"/>
      <c r="AM781" s="10">
        <f t="array" ref="AM7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1" s="10">
        <f t="array" ref="AN7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1" s="4">
        <f>_xlfn.XLOOKUP(tbl_MTG_Set[[#This Row],[Play Booster Box Product Id]], tbl_Product[Product Id], tbl_Product[Pack Size])</f>
        <v/>
      </c>
      <c r="AP781" s="10">
        <f>(tbl_MTG_Set[[#This Row],[Play Booster Box Cost]]+v_Item_Shipping_Cost_In)/tbl_MTG_Set[[#This Row],[Play Booster Box Size]]</f>
        <v/>
      </c>
      <c r="AQ781" s="10">
        <f t="array" ref="AQ7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1" s="10" t="n"/>
      <c r="AS781" s="10" t="n"/>
      <c r="AT781" s="17">
        <f>tbl_MTG_Set[[#This Row],[Play Booster CardMarket Profit]]/tbl_MTG_Set[[#This Row],[Play Booster Cost]]</f>
        <v/>
      </c>
      <c r="AU781" s="10">
        <f>_xlfn.XLOOKUP(tbl_MTG_Set[[#This Row],[Collector Booster Box Product Id]], tbl_Product[Product Id], tbl_Product[Min Cost])</f>
        <v/>
      </c>
      <c r="AV781" s="10">
        <f>_xlfn.XLOOKUP(tbl_MTG_Set[[#This Row],[Collector Booster Box Product Id]], tbl_Product[Product Id], tbl_Product[Best Source])</f>
        <v/>
      </c>
      <c r="AW781" s="4">
        <f>_xlfn.XLOOKUP(tbl_MTG_Set[[#This Row],[Collector Booster Box Product Id]], tbl_Product[Product Id], tbl_Product[Pack Size])</f>
        <v/>
      </c>
      <c r="AX781" s="10">
        <f>(tbl_MTG_Set[[#This Row],[Collector Booster Box Cost]] + v_Item_Shipping_Cost_In) / tbl_MTG_Set[[#This Row],[Collector Booster Box Size]]</f>
        <v/>
      </c>
      <c r="AY781" s="10">
        <f t="array" ref="AY7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1" s="10" t="n"/>
      <c r="BA7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1" s="17">
        <f>tbl_MTG_Set[[#This Row],[Collector Booster CardMarket Profit]]/tbl_MTG_Set[[#This Row],[Collector Booster Cost]]</f>
        <v/>
      </c>
      <c r="BC781" s="10" t="n"/>
      <c r="BF781" s="10">
        <f>tbl_MTG_Set[[#This Row],[Play Booster Sell Price CardMarket]]*tbl_MTG_Set[[#This Row],[Play Booster Expected Market Value]]/tbl_MTG_Set[[#This Row],[Play Boost Sealed Market Value]]</f>
        <v/>
      </c>
      <c r="BG7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1" s="10">
        <f>tbl_MTG_Set[[#This Row],[Play Singles CardMarket Profit]]/tbl_MTG_Set[[#This Row],[Play Booster Cost]]</f>
        <v/>
      </c>
      <c r="BI781" s="10">
        <f>tbl_MTG_Set[[#This Row],[Play Singles CardMarket Profit]]&gt;0</f>
        <v/>
      </c>
      <c r="BJ781" s="10" t="n"/>
      <c r="BK781" s="10" t="n"/>
      <c r="BL781" s="10">
        <f>tbl_MTG_Set[[#This Row],[Collector Booster Sell Price CardMarket]]*tbl_MTG_Set[[#This Row],[Collector Booster Expected Market Value]]/tbl_MTG_Set[[#This Row],[Collector Boost Sealed Market Value]]</f>
        <v/>
      </c>
      <c r="BM7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1" s="10">
        <f>tbl_MTG_Set[[#This Row],[Collector Singles CardMarket Profit]]/tbl_MTG_Set[[#This Row],[Collector Booster Cost]]</f>
        <v/>
      </c>
      <c r="BO781" s="10">
        <f>tbl_MTG_Set[[#This Row],[Collector Singles CardMarket Profit]]&gt;0</f>
        <v/>
      </c>
      <c r="BP7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2">
      <c r="A782" t="n">
        <v>780</v>
      </c>
      <c r="B782" t="inlineStr">
        <is>
          <t>Planechase HOP</t>
        </is>
      </c>
      <c r="C782" t="n">
        <v>169</v>
      </c>
      <c r="D782" s="3" t="n">
        <v>40060</v>
      </c>
      <c r="F782" t="inlineStr">
        <is>
          <t>en es fr de it pt ja ko ru 汉语 漢語</t>
        </is>
      </c>
      <c r="G782" t="n">
        <v>1506</v>
      </c>
      <c r="H782">
        <f>MONTH(NOW())+12*YEAR(NOW())-MONTH(tbl_MTG_Set[[#This Row],[Released On]])-12*YEAR(tbl_MTG_Set[[#This Row],[Released On]])</f>
        <v/>
      </c>
      <c r="I782">
        <f>_xlfn.XLOOKUP(tbl_MTG_Set[[#This Row],[Type Name]], tbl_MTG_Set_Type[Set Type], tbl_MTG_Set_Type[Index], "(Set Type not found)")</f>
        <v/>
      </c>
      <c r="J782">
        <f>_xlfn.XLOOKUP(tbl_MTG_Set[[#This Row],[Type Name]], tbl_MTG_Set_Type[Set Type], tbl_MTG_Set_Type[Buy Window Month Start], "(Set Type not found)")</f>
        <v/>
      </c>
      <c r="K782" s="3">
        <f>tbl_MTG_Set[[#This Row],[Released On]]+tbl_MTG_Set[[#This Row],[Buy Window Month Start]]*365.25/12</f>
        <v/>
      </c>
      <c r="L782">
        <f>_xlfn.XLOOKUP(tbl_MTG_Set[[#This Row],[Type Name]], tbl_MTG_Set_Type[Set Type], tbl_MTG_Set_Type[Buy Window Month End], "(Set Type not found)", 0, 1)</f>
        <v/>
      </c>
      <c r="M782" s="3">
        <f>tbl_MTG_Set[[#This Row],[Released On]]+tbl_MTG_Set[[#This Row],[Buy Window Month End]]*365.25/12</f>
        <v/>
      </c>
      <c r="N782" s="3">
        <f>AND(NOW()&gt;=tbl_MTG_Set[[#This Row],[Buy Window Start]], NOW()&lt;=tbl_MTG_Set[[#This Row],[Buy Window End]])</f>
        <v/>
      </c>
      <c r="O782">
        <f>_xlfn.XLOOKUP(tbl_MTG_Set[[#This Row],[Type Name]], tbl_MTG_Set_Type[Set Type], tbl_MTG_Set_Type[Heavy Printing Window Month Start], "(Set Type not found)", 0, 1)</f>
        <v/>
      </c>
      <c r="P782" s="3">
        <f>tbl_MTG_Set[[#This Row],[Released On]]+tbl_MTG_Set[[#This Row],[Heavy Printing Window Month Start]]*365.25/12</f>
        <v/>
      </c>
      <c r="Q782">
        <f>_xlfn.XLOOKUP(tbl_MTG_Set[[#This Row],[Type Name]], tbl_MTG_Set_Type[Set Type], tbl_MTG_Set_Type[Heavy Printing Window Month End], "(Set Type not found)", 0, 1)</f>
        <v/>
      </c>
      <c r="R782" s="3">
        <f>tbl_MTG_Set[[#This Row],[Released On]]+tbl_MTG_Set[[#This Row],[Heavy Printing Window Month End]]*365.25/12</f>
        <v/>
      </c>
      <c r="S782" s="3">
        <f>AND(NOW()&gt;=tbl_MTG_Set[[#This Row],[Heavy Printing Window Start]], NOW()&lt;=tbl_MTG_Set[[#This Row],[Heavy Printing Window End]])</f>
        <v/>
      </c>
      <c r="T782">
        <f>_xlfn.XLOOKUP(tbl_MTG_Set[[#This Row],[Type Name]], tbl_MTG_Set_Type[Set Type], tbl_MTG_Set_Type[Sell Window Month Start], "(Set Type not found)", 0, 1)</f>
        <v/>
      </c>
      <c r="U782" s="3">
        <f>tbl_MTG_Set[[#This Row],[Released On]]+tbl_MTG_Set[[#This Row],[Sell Window Month Start]]*365.25/12</f>
        <v/>
      </c>
      <c r="V782">
        <f>_xlfn.XLOOKUP(tbl_MTG_Set[[#This Row],[Type Name]], tbl_MTG_Set_Type[Set Type], tbl_MTG_Set_Type[Sell Window Month End], "(Set Type not found)", 0, 1)</f>
        <v/>
      </c>
      <c r="W782" s="3">
        <f>tbl_MTG_Set[[#This Row],[Released On]]+tbl_MTG_Set[[#This Row],[Sell Window Month End]]*365.25/12</f>
        <v/>
      </c>
      <c r="X782" s="3">
        <f>AND(NOW()&gt;=tbl_MTG_Set[[#This Row],[Sell Window Start]], NOW()&lt;=tbl_MTG_Set[[#This Row],[Sell Window End]])</f>
        <v/>
      </c>
      <c r="AG782" s="10" t="n"/>
      <c r="AH782" s="10" t="n"/>
      <c r="AM782" s="10">
        <f t="array" ref="AM7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2" s="10">
        <f t="array" ref="AN7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2" s="4">
        <f>_xlfn.XLOOKUP(tbl_MTG_Set[[#This Row],[Play Booster Box Product Id]], tbl_Product[Product Id], tbl_Product[Pack Size])</f>
        <v/>
      </c>
      <c r="AP782" s="10">
        <f>(tbl_MTG_Set[[#This Row],[Play Booster Box Cost]]+v_Item_Shipping_Cost_In)/tbl_MTG_Set[[#This Row],[Play Booster Box Size]]</f>
        <v/>
      </c>
      <c r="AQ782" s="10">
        <f t="array" ref="AQ7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2" s="10" t="n"/>
      <c r="AS782" s="10" t="n"/>
      <c r="AT782" s="17">
        <f>tbl_MTG_Set[[#This Row],[Play Booster CardMarket Profit]]/tbl_MTG_Set[[#This Row],[Play Booster Cost]]</f>
        <v/>
      </c>
      <c r="AU782" s="10">
        <f>_xlfn.XLOOKUP(tbl_MTG_Set[[#This Row],[Collector Booster Box Product Id]], tbl_Product[Product Id], tbl_Product[Min Cost])</f>
        <v/>
      </c>
      <c r="AV782" s="10">
        <f>_xlfn.XLOOKUP(tbl_MTG_Set[[#This Row],[Collector Booster Box Product Id]], tbl_Product[Product Id], tbl_Product[Best Source])</f>
        <v/>
      </c>
      <c r="AW782" s="4">
        <f>_xlfn.XLOOKUP(tbl_MTG_Set[[#This Row],[Collector Booster Box Product Id]], tbl_Product[Product Id], tbl_Product[Pack Size])</f>
        <v/>
      </c>
      <c r="AX782" s="10">
        <f>(tbl_MTG_Set[[#This Row],[Collector Booster Box Cost]] + v_Item_Shipping_Cost_In) / tbl_MTG_Set[[#This Row],[Collector Booster Box Size]]</f>
        <v/>
      </c>
      <c r="AY782" s="10">
        <f t="array" ref="AY7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2" s="10" t="n"/>
      <c r="BA7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2" s="17">
        <f>tbl_MTG_Set[[#This Row],[Collector Booster CardMarket Profit]]/tbl_MTG_Set[[#This Row],[Collector Booster Cost]]</f>
        <v/>
      </c>
      <c r="BC782" s="10" t="n"/>
      <c r="BF782" s="10">
        <f>tbl_MTG_Set[[#This Row],[Play Booster Sell Price CardMarket]]*tbl_MTG_Set[[#This Row],[Play Booster Expected Market Value]]/tbl_MTG_Set[[#This Row],[Play Boost Sealed Market Value]]</f>
        <v/>
      </c>
      <c r="BG7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2" s="10">
        <f>tbl_MTG_Set[[#This Row],[Play Singles CardMarket Profit]]/tbl_MTG_Set[[#This Row],[Play Booster Cost]]</f>
        <v/>
      </c>
      <c r="BI782" s="10">
        <f>tbl_MTG_Set[[#This Row],[Play Singles CardMarket Profit]]&gt;0</f>
        <v/>
      </c>
      <c r="BJ782" s="10" t="n"/>
      <c r="BK782" s="10" t="n"/>
      <c r="BL782" s="10">
        <f>tbl_MTG_Set[[#This Row],[Collector Booster Sell Price CardMarket]]*tbl_MTG_Set[[#This Row],[Collector Booster Expected Market Value]]/tbl_MTG_Set[[#This Row],[Collector Boost Sealed Market Value]]</f>
        <v/>
      </c>
      <c r="BM7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2" s="10">
        <f>tbl_MTG_Set[[#This Row],[Collector Singles CardMarket Profit]]/tbl_MTG_Set[[#This Row],[Collector Booster Cost]]</f>
        <v/>
      </c>
      <c r="BO782" s="10">
        <f>tbl_MTG_Set[[#This Row],[Collector Singles CardMarket Profit]]&gt;0</f>
        <v/>
      </c>
      <c r="BP7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3">
      <c r="A783" t="n">
        <v>781</v>
      </c>
      <c r="B783" t="inlineStr">
        <is>
          <t>Planechase Promos PHOP</t>
        </is>
      </c>
      <c r="C783" t="n">
        <v>1</v>
      </c>
      <c r="D783" s="3" t="n">
        <v>40060</v>
      </c>
      <c r="F783" t="inlineStr">
        <is>
          <t>en es fr de it pt ja ko ru 汉语 漢語</t>
        </is>
      </c>
      <c r="G783" t="n">
        <v>1508</v>
      </c>
      <c r="H783">
        <f>MONTH(NOW())+12*YEAR(NOW())-MONTH(tbl_MTG_Set[[#This Row],[Released On]])-12*YEAR(tbl_MTG_Set[[#This Row],[Released On]])</f>
        <v/>
      </c>
      <c r="I783">
        <f>_xlfn.XLOOKUP(tbl_MTG_Set[[#This Row],[Type Name]], tbl_MTG_Set_Type[Set Type], tbl_MTG_Set_Type[Index], "(Set Type not found)")</f>
        <v/>
      </c>
      <c r="J783">
        <f>_xlfn.XLOOKUP(tbl_MTG_Set[[#This Row],[Type Name]], tbl_MTG_Set_Type[Set Type], tbl_MTG_Set_Type[Buy Window Month Start], "(Set Type not found)")</f>
        <v/>
      </c>
      <c r="K783" s="3">
        <f>tbl_MTG_Set[[#This Row],[Released On]]+tbl_MTG_Set[[#This Row],[Buy Window Month Start]]*365.25/12</f>
        <v/>
      </c>
      <c r="L783">
        <f>_xlfn.XLOOKUP(tbl_MTG_Set[[#This Row],[Type Name]], tbl_MTG_Set_Type[Set Type], tbl_MTG_Set_Type[Buy Window Month End], "(Set Type not found)", 0, 1)</f>
        <v/>
      </c>
      <c r="M783" s="3">
        <f>tbl_MTG_Set[[#This Row],[Released On]]+tbl_MTG_Set[[#This Row],[Buy Window Month End]]*365.25/12</f>
        <v/>
      </c>
      <c r="N783" s="3">
        <f>AND(NOW()&gt;=tbl_MTG_Set[[#This Row],[Buy Window Start]], NOW()&lt;=tbl_MTG_Set[[#This Row],[Buy Window End]])</f>
        <v/>
      </c>
      <c r="O783">
        <f>_xlfn.XLOOKUP(tbl_MTG_Set[[#This Row],[Type Name]], tbl_MTG_Set_Type[Set Type], tbl_MTG_Set_Type[Heavy Printing Window Month Start], "(Set Type not found)", 0, 1)</f>
        <v/>
      </c>
      <c r="P783" s="3">
        <f>tbl_MTG_Set[[#This Row],[Released On]]+tbl_MTG_Set[[#This Row],[Heavy Printing Window Month Start]]*365.25/12</f>
        <v/>
      </c>
      <c r="Q783">
        <f>_xlfn.XLOOKUP(tbl_MTG_Set[[#This Row],[Type Name]], tbl_MTG_Set_Type[Set Type], tbl_MTG_Set_Type[Heavy Printing Window Month End], "(Set Type not found)", 0, 1)</f>
        <v/>
      </c>
      <c r="R783" s="3">
        <f>tbl_MTG_Set[[#This Row],[Released On]]+tbl_MTG_Set[[#This Row],[Heavy Printing Window Month End]]*365.25/12</f>
        <v/>
      </c>
      <c r="S783" s="3">
        <f>AND(NOW()&gt;=tbl_MTG_Set[[#This Row],[Heavy Printing Window Start]], NOW()&lt;=tbl_MTG_Set[[#This Row],[Heavy Printing Window End]])</f>
        <v/>
      </c>
      <c r="T783">
        <f>_xlfn.XLOOKUP(tbl_MTG_Set[[#This Row],[Type Name]], tbl_MTG_Set_Type[Set Type], tbl_MTG_Set_Type[Sell Window Month Start], "(Set Type not found)", 0, 1)</f>
        <v/>
      </c>
      <c r="U783" s="3">
        <f>tbl_MTG_Set[[#This Row],[Released On]]+tbl_MTG_Set[[#This Row],[Sell Window Month Start]]*365.25/12</f>
        <v/>
      </c>
      <c r="V783">
        <f>_xlfn.XLOOKUP(tbl_MTG_Set[[#This Row],[Type Name]], tbl_MTG_Set_Type[Set Type], tbl_MTG_Set_Type[Sell Window Month End], "(Set Type not found)", 0, 1)</f>
        <v/>
      </c>
      <c r="W783" s="3">
        <f>tbl_MTG_Set[[#This Row],[Released On]]+tbl_MTG_Set[[#This Row],[Sell Window Month End]]*365.25/12</f>
        <v/>
      </c>
      <c r="X783" s="3">
        <f>AND(NOW()&gt;=tbl_MTG_Set[[#This Row],[Sell Window Start]], NOW()&lt;=tbl_MTG_Set[[#This Row],[Sell Window End]])</f>
        <v/>
      </c>
      <c r="AG783" s="10" t="n"/>
      <c r="AH783" s="10" t="n"/>
      <c r="AM783" s="10">
        <f t="array" ref="AM7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3" s="10">
        <f t="array" ref="AN7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3" s="4">
        <f>_xlfn.XLOOKUP(tbl_MTG_Set[[#This Row],[Play Booster Box Product Id]], tbl_Product[Product Id], tbl_Product[Pack Size])</f>
        <v/>
      </c>
      <c r="AP783" s="10">
        <f>(tbl_MTG_Set[[#This Row],[Play Booster Box Cost]]+v_Item_Shipping_Cost_In)/tbl_MTG_Set[[#This Row],[Play Booster Box Size]]</f>
        <v/>
      </c>
      <c r="AQ783" s="10">
        <f t="array" ref="AQ7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3" s="10" t="n"/>
      <c r="AS783" s="10" t="n"/>
      <c r="AT783" s="17">
        <f>tbl_MTG_Set[[#This Row],[Play Booster CardMarket Profit]]/tbl_MTG_Set[[#This Row],[Play Booster Cost]]</f>
        <v/>
      </c>
      <c r="AU783" s="10">
        <f>_xlfn.XLOOKUP(tbl_MTG_Set[[#This Row],[Collector Booster Box Product Id]], tbl_Product[Product Id], tbl_Product[Min Cost])</f>
        <v/>
      </c>
      <c r="AV783" s="10">
        <f>_xlfn.XLOOKUP(tbl_MTG_Set[[#This Row],[Collector Booster Box Product Id]], tbl_Product[Product Id], tbl_Product[Best Source])</f>
        <v/>
      </c>
      <c r="AW783" s="4">
        <f>_xlfn.XLOOKUP(tbl_MTG_Set[[#This Row],[Collector Booster Box Product Id]], tbl_Product[Product Id], tbl_Product[Pack Size])</f>
        <v/>
      </c>
      <c r="AX783" s="10">
        <f>(tbl_MTG_Set[[#This Row],[Collector Booster Box Cost]] + v_Item_Shipping_Cost_In) / tbl_MTG_Set[[#This Row],[Collector Booster Box Size]]</f>
        <v/>
      </c>
      <c r="AY783" s="10">
        <f t="array" ref="AY7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3" s="10" t="n"/>
      <c r="BA7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3" s="17">
        <f>tbl_MTG_Set[[#This Row],[Collector Booster CardMarket Profit]]/tbl_MTG_Set[[#This Row],[Collector Booster Cost]]</f>
        <v/>
      </c>
      <c r="BC783" s="10" t="n"/>
      <c r="BF783" s="10">
        <f>tbl_MTG_Set[[#This Row],[Play Booster Sell Price CardMarket]]*tbl_MTG_Set[[#This Row],[Play Booster Expected Market Value]]/tbl_MTG_Set[[#This Row],[Play Boost Sealed Market Value]]</f>
        <v/>
      </c>
      <c r="BG7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3" s="10">
        <f>tbl_MTG_Set[[#This Row],[Play Singles CardMarket Profit]]/tbl_MTG_Set[[#This Row],[Play Booster Cost]]</f>
        <v/>
      </c>
      <c r="BI783" s="10">
        <f>tbl_MTG_Set[[#This Row],[Play Singles CardMarket Profit]]&gt;0</f>
        <v/>
      </c>
      <c r="BJ783" s="10" t="n"/>
      <c r="BK783" s="10" t="n"/>
      <c r="BL783" s="10">
        <f>tbl_MTG_Set[[#This Row],[Collector Booster Sell Price CardMarket]]*tbl_MTG_Set[[#This Row],[Collector Booster Expected Market Value]]/tbl_MTG_Set[[#This Row],[Collector Boost Sealed Market Value]]</f>
        <v/>
      </c>
      <c r="BM7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3" s="10">
        <f>tbl_MTG_Set[[#This Row],[Collector Singles CardMarket Profit]]/tbl_MTG_Set[[#This Row],[Collector Booster Cost]]</f>
        <v/>
      </c>
      <c r="BO783" s="10">
        <f>tbl_MTG_Set[[#This Row],[Collector Singles CardMarket Profit]]&gt;0</f>
        <v/>
      </c>
      <c r="BP7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4">
      <c r="A784" t="n">
        <v>782</v>
      </c>
      <c r="B784" t="inlineStr">
        <is>
          <t>Planechase Planes OHOP</t>
        </is>
      </c>
      <c r="C784" t="n">
        <v>40</v>
      </c>
      <c r="D784" s="3" t="n">
        <v>40060</v>
      </c>
      <c r="F784" t="inlineStr">
        <is>
          <t>en es fr de it pt ja ko ru 汉语 漢語</t>
        </is>
      </c>
      <c r="G784" t="n">
        <v>1510</v>
      </c>
      <c r="H784">
        <f>MONTH(NOW())+12*YEAR(NOW())-MONTH(tbl_MTG_Set[[#This Row],[Released On]])-12*YEAR(tbl_MTG_Set[[#This Row],[Released On]])</f>
        <v/>
      </c>
      <c r="I784">
        <f>_xlfn.XLOOKUP(tbl_MTG_Set[[#This Row],[Type Name]], tbl_MTG_Set_Type[Set Type], tbl_MTG_Set_Type[Index], "(Set Type not found)")</f>
        <v/>
      </c>
      <c r="J784">
        <f>_xlfn.XLOOKUP(tbl_MTG_Set[[#This Row],[Type Name]], tbl_MTG_Set_Type[Set Type], tbl_MTG_Set_Type[Buy Window Month Start], "(Set Type not found)")</f>
        <v/>
      </c>
      <c r="K784" s="3">
        <f>tbl_MTG_Set[[#This Row],[Released On]]+tbl_MTG_Set[[#This Row],[Buy Window Month Start]]*365.25/12</f>
        <v/>
      </c>
      <c r="L784">
        <f>_xlfn.XLOOKUP(tbl_MTG_Set[[#This Row],[Type Name]], tbl_MTG_Set_Type[Set Type], tbl_MTG_Set_Type[Buy Window Month End], "(Set Type not found)", 0, 1)</f>
        <v/>
      </c>
      <c r="M784" s="3">
        <f>tbl_MTG_Set[[#This Row],[Released On]]+tbl_MTG_Set[[#This Row],[Buy Window Month End]]*365.25/12</f>
        <v/>
      </c>
      <c r="N784" s="3">
        <f>AND(NOW()&gt;=tbl_MTG_Set[[#This Row],[Buy Window Start]], NOW()&lt;=tbl_MTG_Set[[#This Row],[Buy Window End]])</f>
        <v/>
      </c>
      <c r="O784">
        <f>_xlfn.XLOOKUP(tbl_MTG_Set[[#This Row],[Type Name]], tbl_MTG_Set_Type[Set Type], tbl_MTG_Set_Type[Heavy Printing Window Month Start], "(Set Type not found)", 0, 1)</f>
        <v/>
      </c>
      <c r="P784" s="3">
        <f>tbl_MTG_Set[[#This Row],[Released On]]+tbl_MTG_Set[[#This Row],[Heavy Printing Window Month Start]]*365.25/12</f>
        <v/>
      </c>
      <c r="Q784">
        <f>_xlfn.XLOOKUP(tbl_MTG_Set[[#This Row],[Type Name]], tbl_MTG_Set_Type[Set Type], tbl_MTG_Set_Type[Heavy Printing Window Month End], "(Set Type not found)", 0, 1)</f>
        <v/>
      </c>
      <c r="R784" s="3">
        <f>tbl_MTG_Set[[#This Row],[Released On]]+tbl_MTG_Set[[#This Row],[Heavy Printing Window Month End]]*365.25/12</f>
        <v/>
      </c>
      <c r="S784" s="3">
        <f>AND(NOW()&gt;=tbl_MTG_Set[[#This Row],[Heavy Printing Window Start]], NOW()&lt;=tbl_MTG_Set[[#This Row],[Heavy Printing Window End]])</f>
        <v/>
      </c>
      <c r="T784">
        <f>_xlfn.XLOOKUP(tbl_MTG_Set[[#This Row],[Type Name]], tbl_MTG_Set_Type[Set Type], tbl_MTG_Set_Type[Sell Window Month Start], "(Set Type not found)", 0, 1)</f>
        <v/>
      </c>
      <c r="U784" s="3">
        <f>tbl_MTG_Set[[#This Row],[Released On]]+tbl_MTG_Set[[#This Row],[Sell Window Month Start]]*365.25/12</f>
        <v/>
      </c>
      <c r="V784">
        <f>_xlfn.XLOOKUP(tbl_MTG_Set[[#This Row],[Type Name]], tbl_MTG_Set_Type[Set Type], tbl_MTG_Set_Type[Sell Window Month End], "(Set Type not found)", 0, 1)</f>
        <v/>
      </c>
      <c r="W784" s="3">
        <f>tbl_MTG_Set[[#This Row],[Released On]]+tbl_MTG_Set[[#This Row],[Sell Window Month End]]*365.25/12</f>
        <v/>
      </c>
      <c r="X784" s="3">
        <f>AND(NOW()&gt;=tbl_MTG_Set[[#This Row],[Sell Window Start]], NOW()&lt;=tbl_MTG_Set[[#This Row],[Sell Window End]])</f>
        <v/>
      </c>
      <c r="AG784" s="10" t="n"/>
      <c r="AH784" s="10" t="n"/>
      <c r="AM784" s="10">
        <f t="array" ref="AM7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4" s="10">
        <f t="array" ref="AN7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4" s="4">
        <f>_xlfn.XLOOKUP(tbl_MTG_Set[[#This Row],[Play Booster Box Product Id]], tbl_Product[Product Id], tbl_Product[Pack Size])</f>
        <v/>
      </c>
      <c r="AP784" s="10">
        <f>(tbl_MTG_Set[[#This Row],[Play Booster Box Cost]]+v_Item_Shipping_Cost_In)/tbl_MTG_Set[[#This Row],[Play Booster Box Size]]</f>
        <v/>
      </c>
      <c r="AQ784" s="10">
        <f t="array" ref="AQ7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4" s="10" t="n"/>
      <c r="AS784" s="10" t="n"/>
      <c r="AT784" s="17">
        <f>tbl_MTG_Set[[#This Row],[Play Booster CardMarket Profit]]/tbl_MTG_Set[[#This Row],[Play Booster Cost]]</f>
        <v/>
      </c>
      <c r="AU784" s="10">
        <f>_xlfn.XLOOKUP(tbl_MTG_Set[[#This Row],[Collector Booster Box Product Id]], tbl_Product[Product Id], tbl_Product[Min Cost])</f>
        <v/>
      </c>
      <c r="AV784" s="10">
        <f>_xlfn.XLOOKUP(tbl_MTG_Set[[#This Row],[Collector Booster Box Product Id]], tbl_Product[Product Id], tbl_Product[Best Source])</f>
        <v/>
      </c>
      <c r="AW784" s="4">
        <f>_xlfn.XLOOKUP(tbl_MTG_Set[[#This Row],[Collector Booster Box Product Id]], tbl_Product[Product Id], tbl_Product[Pack Size])</f>
        <v/>
      </c>
      <c r="AX784" s="10">
        <f>(tbl_MTG_Set[[#This Row],[Collector Booster Box Cost]] + v_Item_Shipping_Cost_In) / tbl_MTG_Set[[#This Row],[Collector Booster Box Size]]</f>
        <v/>
      </c>
      <c r="AY784" s="10">
        <f t="array" ref="AY7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4" s="10" t="n"/>
      <c r="BA7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4" s="17">
        <f>tbl_MTG_Set[[#This Row],[Collector Booster CardMarket Profit]]/tbl_MTG_Set[[#This Row],[Collector Booster Cost]]</f>
        <v/>
      </c>
      <c r="BC784" s="10" t="n"/>
      <c r="BF784" s="10">
        <f>tbl_MTG_Set[[#This Row],[Play Booster Sell Price CardMarket]]*tbl_MTG_Set[[#This Row],[Play Booster Expected Market Value]]/tbl_MTG_Set[[#This Row],[Play Boost Sealed Market Value]]</f>
        <v/>
      </c>
      <c r="BG7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4" s="10">
        <f>tbl_MTG_Set[[#This Row],[Play Singles CardMarket Profit]]/tbl_MTG_Set[[#This Row],[Play Booster Cost]]</f>
        <v/>
      </c>
      <c r="BI784" s="10">
        <f>tbl_MTG_Set[[#This Row],[Play Singles CardMarket Profit]]&gt;0</f>
        <v/>
      </c>
      <c r="BJ784" s="10" t="n"/>
      <c r="BK784" s="10" t="n"/>
      <c r="BL784" s="10">
        <f>tbl_MTG_Set[[#This Row],[Collector Booster Sell Price CardMarket]]*tbl_MTG_Set[[#This Row],[Collector Booster Expected Market Value]]/tbl_MTG_Set[[#This Row],[Collector Boost Sealed Market Value]]</f>
        <v/>
      </c>
      <c r="BM7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4" s="10">
        <f>tbl_MTG_Set[[#This Row],[Collector Singles CardMarket Profit]]/tbl_MTG_Set[[#This Row],[Collector Booster Cost]]</f>
        <v/>
      </c>
      <c r="BO784" s="10">
        <f>tbl_MTG_Set[[#This Row],[Collector Singles CardMarket Profit]]&gt;0</f>
        <v/>
      </c>
      <c r="BP7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5">
      <c r="A785" t="n">
        <v>783</v>
      </c>
      <c r="B785" t="inlineStr">
        <is>
          <t>From the Vault: Exiled V09</t>
        </is>
      </c>
      <c r="C785" t="n">
        <v>15</v>
      </c>
      <c r="D785" s="3" t="n">
        <v>40053</v>
      </c>
      <c r="F785" t="inlineStr">
        <is>
          <t>en es fr de it pt ja ko ru 汉语 漢語</t>
        </is>
      </c>
      <c r="G785" t="n">
        <v>1512</v>
      </c>
      <c r="H785">
        <f>MONTH(NOW())+12*YEAR(NOW())-MONTH(tbl_MTG_Set[[#This Row],[Released On]])-12*YEAR(tbl_MTG_Set[[#This Row],[Released On]])</f>
        <v/>
      </c>
      <c r="I785">
        <f>_xlfn.XLOOKUP(tbl_MTG_Set[[#This Row],[Type Name]], tbl_MTG_Set_Type[Set Type], tbl_MTG_Set_Type[Index], "(Set Type not found)")</f>
        <v/>
      </c>
      <c r="J785">
        <f>_xlfn.XLOOKUP(tbl_MTG_Set[[#This Row],[Type Name]], tbl_MTG_Set_Type[Set Type], tbl_MTG_Set_Type[Buy Window Month Start], "(Set Type not found)")</f>
        <v/>
      </c>
      <c r="K785" s="3">
        <f>tbl_MTG_Set[[#This Row],[Released On]]+tbl_MTG_Set[[#This Row],[Buy Window Month Start]]*365.25/12</f>
        <v/>
      </c>
      <c r="L785">
        <f>_xlfn.XLOOKUP(tbl_MTG_Set[[#This Row],[Type Name]], tbl_MTG_Set_Type[Set Type], tbl_MTG_Set_Type[Buy Window Month End], "(Set Type not found)", 0, 1)</f>
        <v/>
      </c>
      <c r="M785" s="3">
        <f>tbl_MTG_Set[[#This Row],[Released On]]+tbl_MTG_Set[[#This Row],[Buy Window Month End]]*365.25/12</f>
        <v/>
      </c>
      <c r="N785" s="3">
        <f>AND(NOW()&gt;=tbl_MTG_Set[[#This Row],[Buy Window Start]], NOW()&lt;=tbl_MTG_Set[[#This Row],[Buy Window End]])</f>
        <v/>
      </c>
      <c r="O785">
        <f>_xlfn.XLOOKUP(tbl_MTG_Set[[#This Row],[Type Name]], tbl_MTG_Set_Type[Set Type], tbl_MTG_Set_Type[Heavy Printing Window Month Start], "(Set Type not found)", 0, 1)</f>
        <v/>
      </c>
      <c r="P785" s="3">
        <f>tbl_MTG_Set[[#This Row],[Released On]]+tbl_MTG_Set[[#This Row],[Heavy Printing Window Month Start]]*365.25/12</f>
        <v/>
      </c>
      <c r="Q785">
        <f>_xlfn.XLOOKUP(tbl_MTG_Set[[#This Row],[Type Name]], tbl_MTG_Set_Type[Set Type], tbl_MTG_Set_Type[Heavy Printing Window Month End], "(Set Type not found)", 0, 1)</f>
        <v/>
      </c>
      <c r="R785" s="3">
        <f>tbl_MTG_Set[[#This Row],[Released On]]+tbl_MTG_Set[[#This Row],[Heavy Printing Window Month End]]*365.25/12</f>
        <v/>
      </c>
      <c r="S785" s="3">
        <f>AND(NOW()&gt;=tbl_MTG_Set[[#This Row],[Heavy Printing Window Start]], NOW()&lt;=tbl_MTG_Set[[#This Row],[Heavy Printing Window End]])</f>
        <v/>
      </c>
      <c r="T785">
        <f>_xlfn.XLOOKUP(tbl_MTG_Set[[#This Row],[Type Name]], tbl_MTG_Set_Type[Set Type], tbl_MTG_Set_Type[Sell Window Month Start], "(Set Type not found)", 0, 1)</f>
        <v/>
      </c>
      <c r="U785" s="3">
        <f>tbl_MTG_Set[[#This Row],[Released On]]+tbl_MTG_Set[[#This Row],[Sell Window Month Start]]*365.25/12</f>
        <v/>
      </c>
      <c r="V785">
        <f>_xlfn.XLOOKUP(tbl_MTG_Set[[#This Row],[Type Name]], tbl_MTG_Set_Type[Set Type], tbl_MTG_Set_Type[Sell Window Month End], "(Set Type not found)", 0, 1)</f>
        <v/>
      </c>
      <c r="W785" s="3">
        <f>tbl_MTG_Set[[#This Row],[Released On]]+tbl_MTG_Set[[#This Row],[Sell Window Month End]]*365.25/12</f>
        <v/>
      </c>
      <c r="X785" s="3">
        <f>AND(NOW()&gt;=tbl_MTG_Set[[#This Row],[Sell Window Start]], NOW()&lt;=tbl_MTG_Set[[#This Row],[Sell Window End]])</f>
        <v/>
      </c>
      <c r="AG785" s="10" t="n"/>
      <c r="AH785" s="10" t="n"/>
      <c r="AM785" s="10">
        <f t="array" ref="AM7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5" s="10">
        <f t="array" ref="AN7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5" s="4">
        <f>_xlfn.XLOOKUP(tbl_MTG_Set[[#This Row],[Play Booster Box Product Id]], tbl_Product[Product Id], tbl_Product[Pack Size])</f>
        <v/>
      </c>
      <c r="AP785" s="10">
        <f>(tbl_MTG_Set[[#This Row],[Play Booster Box Cost]]+v_Item_Shipping_Cost_In)/tbl_MTG_Set[[#This Row],[Play Booster Box Size]]</f>
        <v/>
      </c>
      <c r="AQ785" s="10">
        <f t="array" ref="AQ7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5" s="10" t="n"/>
      <c r="AS785" s="10" t="n"/>
      <c r="AT785" s="17">
        <f>tbl_MTG_Set[[#This Row],[Play Booster CardMarket Profit]]/tbl_MTG_Set[[#This Row],[Play Booster Cost]]</f>
        <v/>
      </c>
      <c r="AU785" s="10">
        <f>_xlfn.XLOOKUP(tbl_MTG_Set[[#This Row],[Collector Booster Box Product Id]], tbl_Product[Product Id], tbl_Product[Min Cost])</f>
        <v/>
      </c>
      <c r="AV785" s="10">
        <f>_xlfn.XLOOKUP(tbl_MTG_Set[[#This Row],[Collector Booster Box Product Id]], tbl_Product[Product Id], tbl_Product[Best Source])</f>
        <v/>
      </c>
      <c r="AW785" s="4">
        <f>_xlfn.XLOOKUP(tbl_MTG_Set[[#This Row],[Collector Booster Box Product Id]], tbl_Product[Product Id], tbl_Product[Pack Size])</f>
        <v/>
      </c>
      <c r="AX785" s="10">
        <f>(tbl_MTG_Set[[#This Row],[Collector Booster Box Cost]] + v_Item_Shipping_Cost_In) / tbl_MTG_Set[[#This Row],[Collector Booster Box Size]]</f>
        <v/>
      </c>
      <c r="AY785" s="10">
        <f t="array" ref="AY7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5" s="10" t="n"/>
      <c r="BA7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5" s="17">
        <f>tbl_MTG_Set[[#This Row],[Collector Booster CardMarket Profit]]/tbl_MTG_Set[[#This Row],[Collector Booster Cost]]</f>
        <v/>
      </c>
      <c r="BC785" s="10" t="n"/>
      <c r="BF785" s="10">
        <f>tbl_MTG_Set[[#This Row],[Play Booster Sell Price CardMarket]]*tbl_MTG_Set[[#This Row],[Play Booster Expected Market Value]]/tbl_MTG_Set[[#This Row],[Play Boost Sealed Market Value]]</f>
        <v/>
      </c>
      <c r="BG7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5" s="10">
        <f>tbl_MTG_Set[[#This Row],[Play Singles CardMarket Profit]]/tbl_MTG_Set[[#This Row],[Play Booster Cost]]</f>
        <v/>
      </c>
      <c r="BI785" s="10">
        <f>tbl_MTG_Set[[#This Row],[Play Singles CardMarket Profit]]&gt;0</f>
        <v/>
      </c>
      <c r="BJ785" s="10" t="n"/>
      <c r="BK785" s="10" t="n"/>
      <c r="BL785" s="10">
        <f>tbl_MTG_Set[[#This Row],[Collector Booster Sell Price CardMarket]]*tbl_MTG_Set[[#This Row],[Collector Booster Expected Market Value]]/tbl_MTG_Set[[#This Row],[Collector Boost Sealed Market Value]]</f>
        <v/>
      </c>
      <c r="BM7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5" s="10">
        <f>tbl_MTG_Set[[#This Row],[Collector Singles CardMarket Profit]]/tbl_MTG_Set[[#This Row],[Collector Booster Cost]]</f>
        <v/>
      </c>
      <c r="BO785" s="10">
        <f>tbl_MTG_Set[[#This Row],[Collector Singles CardMarket Profit]]&gt;0</f>
        <v/>
      </c>
      <c r="BP7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6">
      <c r="A786" t="n">
        <v>784</v>
      </c>
      <c r="B786" t="inlineStr">
        <is>
          <t>Magic 2010 M10</t>
        </is>
      </c>
      <c r="C786" t="n">
        <v>249</v>
      </c>
      <c r="D786" s="3" t="n">
        <v>40011</v>
      </c>
      <c r="F786" t="inlineStr">
        <is>
          <t>en es fr de it pt ja ko ru 汉语 漢語</t>
        </is>
      </c>
      <c r="G786" t="n">
        <v>1514</v>
      </c>
      <c r="H786">
        <f>MONTH(NOW())+12*YEAR(NOW())-MONTH(tbl_MTG_Set[[#This Row],[Released On]])-12*YEAR(tbl_MTG_Set[[#This Row],[Released On]])</f>
        <v/>
      </c>
      <c r="I786">
        <f>_xlfn.XLOOKUP(tbl_MTG_Set[[#This Row],[Type Name]], tbl_MTG_Set_Type[Set Type], tbl_MTG_Set_Type[Index], "(Set Type not found)")</f>
        <v/>
      </c>
      <c r="J786">
        <f>_xlfn.XLOOKUP(tbl_MTG_Set[[#This Row],[Type Name]], tbl_MTG_Set_Type[Set Type], tbl_MTG_Set_Type[Buy Window Month Start], "(Set Type not found)")</f>
        <v/>
      </c>
      <c r="K786" s="3">
        <f>tbl_MTG_Set[[#This Row],[Released On]]+tbl_MTG_Set[[#This Row],[Buy Window Month Start]]*365.25/12</f>
        <v/>
      </c>
      <c r="L786">
        <f>_xlfn.XLOOKUP(tbl_MTG_Set[[#This Row],[Type Name]], tbl_MTG_Set_Type[Set Type], tbl_MTG_Set_Type[Buy Window Month End], "(Set Type not found)", 0, 1)</f>
        <v/>
      </c>
      <c r="M786" s="3">
        <f>tbl_MTG_Set[[#This Row],[Released On]]+tbl_MTG_Set[[#This Row],[Buy Window Month End]]*365.25/12</f>
        <v/>
      </c>
      <c r="N786" s="3">
        <f>AND(NOW()&gt;=tbl_MTG_Set[[#This Row],[Buy Window Start]], NOW()&lt;=tbl_MTG_Set[[#This Row],[Buy Window End]])</f>
        <v/>
      </c>
      <c r="O786">
        <f>_xlfn.XLOOKUP(tbl_MTG_Set[[#This Row],[Type Name]], tbl_MTG_Set_Type[Set Type], tbl_MTG_Set_Type[Heavy Printing Window Month Start], "(Set Type not found)", 0, 1)</f>
        <v/>
      </c>
      <c r="P786" s="3">
        <f>tbl_MTG_Set[[#This Row],[Released On]]+tbl_MTG_Set[[#This Row],[Heavy Printing Window Month Start]]*365.25/12</f>
        <v/>
      </c>
      <c r="Q786">
        <f>_xlfn.XLOOKUP(tbl_MTG_Set[[#This Row],[Type Name]], tbl_MTG_Set_Type[Set Type], tbl_MTG_Set_Type[Heavy Printing Window Month End], "(Set Type not found)", 0, 1)</f>
        <v/>
      </c>
      <c r="R786" s="3">
        <f>tbl_MTG_Set[[#This Row],[Released On]]+tbl_MTG_Set[[#This Row],[Heavy Printing Window Month End]]*365.25/12</f>
        <v/>
      </c>
      <c r="S786" s="3">
        <f>AND(NOW()&gt;=tbl_MTG_Set[[#This Row],[Heavy Printing Window Start]], NOW()&lt;=tbl_MTG_Set[[#This Row],[Heavy Printing Window End]])</f>
        <v/>
      </c>
      <c r="T786">
        <f>_xlfn.XLOOKUP(tbl_MTG_Set[[#This Row],[Type Name]], tbl_MTG_Set_Type[Set Type], tbl_MTG_Set_Type[Sell Window Month Start], "(Set Type not found)", 0, 1)</f>
        <v/>
      </c>
      <c r="U786" s="3">
        <f>tbl_MTG_Set[[#This Row],[Released On]]+tbl_MTG_Set[[#This Row],[Sell Window Month Start]]*365.25/12</f>
        <v/>
      </c>
      <c r="V786">
        <f>_xlfn.XLOOKUP(tbl_MTG_Set[[#This Row],[Type Name]], tbl_MTG_Set_Type[Set Type], tbl_MTG_Set_Type[Sell Window Month End], "(Set Type not found)", 0, 1)</f>
        <v/>
      </c>
      <c r="W786" s="3">
        <f>tbl_MTG_Set[[#This Row],[Released On]]+tbl_MTG_Set[[#This Row],[Sell Window Month End]]*365.25/12</f>
        <v/>
      </c>
      <c r="X786" s="3">
        <f>AND(NOW()&gt;=tbl_MTG_Set[[#This Row],[Sell Window Start]], NOW()&lt;=tbl_MTG_Set[[#This Row],[Sell Window End]])</f>
        <v/>
      </c>
      <c r="AG786" s="10" t="n"/>
      <c r="AH786" s="10" t="n"/>
      <c r="AM786" s="10">
        <f t="array" ref="AM7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6" s="10">
        <f t="array" ref="AN7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6" s="4">
        <f>_xlfn.XLOOKUP(tbl_MTG_Set[[#This Row],[Play Booster Box Product Id]], tbl_Product[Product Id], tbl_Product[Pack Size])</f>
        <v/>
      </c>
      <c r="AP786" s="10">
        <f>(tbl_MTG_Set[[#This Row],[Play Booster Box Cost]]+v_Item_Shipping_Cost_In)/tbl_MTG_Set[[#This Row],[Play Booster Box Size]]</f>
        <v/>
      </c>
      <c r="AQ786" s="10">
        <f t="array" ref="AQ7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6" s="10" t="n"/>
      <c r="AS786" s="10" t="n"/>
      <c r="AT786" s="17">
        <f>tbl_MTG_Set[[#This Row],[Play Booster CardMarket Profit]]/tbl_MTG_Set[[#This Row],[Play Booster Cost]]</f>
        <v/>
      </c>
      <c r="AU786" s="10">
        <f>_xlfn.XLOOKUP(tbl_MTG_Set[[#This Row],[Collector Booster Box Product Id]], tbl_Product[Product Id], tbl_Product[Min Cost])</f>
        <v/>
      </c>
      <c r="AV786" s="10">
        <f>_xlfn.XLOOKUP(tbl_MTG_Set[[#This Row],[Collector Booster Box Product Id]], tbl_Product[Product Id], tbl_Product[Best Source])</f>
        <v/>
      </c>
      <c r="AW786" s="4">
        <f>_xlfn.XLOOKUP(tbl_MTG_Set[[#This Row],[Collector Booster Box Product Id]], tbl_Product[Product Id], tbl_Product[Pack Size])</f>
        <v/>
      </c>
      <c r="AX786" s="10">
        <f>(tbl_MTG_Set[[#This Row],[Collector Booster Box Cost]] + v_Item_Shipping_Cost_In) / tbl_MTG_Set[[#This Row],[Collector Booster Box Size]]</f>
        <v/>
      </c>
      <c r="AY786" s="10">
        <f t="array" ref="AY7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6" s="10" t="n"/>
      <c r="BA7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6" s="17">
        <f>tbl_MTG_Set[[#This Row],[Collector Booster CardMarket Profit]]/tbl_MTG_Set[[#This Row],[Collector Booster Cost]]</f>
        <v/>
      </c>
      <c r="BC786" s="10" t="n"/>
      <c r="BF786" s="10">
        <f>tbl_MTG_Set[[#This Row],[Play Booster Sell Price CardMarket]]*tbl_MTG_Set[[#This Row],[Play Booster Expected Market Value]]/tbl_MTG_Set[[#This Row],[Play Boost Sealed Market Value]]</f>
        <v/>
      </c>
      <c r="BG7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6" s="10">
        <f>tbl_MTG_Set[[#This Row],[Play Singles CardMarket Profit]]/tbl_MTG_Set[[#This Row],[Play Booster Cost]]</f>
        <v/>
      </c>
      <c r="BI786" s="10">
        <f>tbl_MTG_Set[[#This Row],[Play Singles CardMarket Profit]]&gt;0</f>
        <v/>
      </c>
      <c r="BJ786" s="10" t="n"/>
      <c r="BK786" s="10" t="n"/>
      <c r="BL786" s="10">
        <f>tbl_MTG_Set[[#This Row],[Collector Booster Sell Price CardMarket]]*tbl_MTG_Set[[#This Row],[Collector Booster Expected Market Value]]/tbl_MTG_Set[[#This Row],[Collector Boost Sealed Market Value]]</f>
        <v/>
      </c>
      <c r="BM7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6" s="10">
        <f>tbl_MTG_Set[[#This Row],[Collector Singles CardMarket Profit]]/tbl_MTG_Set[[#This Row],[Collector Booster Cost]]</f>
        <v/>
      </c>
      <c r="BO786" s="10">
        <f>tbl_MTG_Set[[#This Row],[Collector Singles CardMarket Profit]]&gt;0</f>
        <v/>
      </c>
      <c r="BP7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7">
      <c r="A787" t="n">
        <v>785</v>
      </c>
      <c r="B787" t="inlineStr">
        <is>
          <t>Magic 2010 Promos PM10</t>
        </is>
      </c>
      <c r="C787" t="n">
        <v>3</v>
      </c>
      <c r="D787" s="3" t="n">
        <v>40010</v>
      </c>
      <c r="F787" t="inlineStr">
        <is>
          <t>en es fr de it pt ja ko ru 汉语 漢語</t>
        </is>
      </c>
      <c r="G787" t="n">
        <v>1516</v>
      </c>
      <c r="H787">
        <f>MONTH(NOW())+12*YEAR(NOW())-MONTH(tbl_MTG_Set[[#This Row],[Released On]])-12*YEAR(tbl_MTG_Set[[#This Row],[Released On]])</f>
        <v/>
      </c>
      <c r="I787">
        <f>_xlfn.XLOOKUP(tbl_MTG_Set[[#This Row],[Type Name]], tbl_MTG_Set_Type[Set Type], tbl_MTG_Set_Type[Index], "(Set Type not found)")</f>
        <v/>
      </c>
      <c r="J787">
        <f>_xlfn.XLOOKUP(tbl_MTG_Set[[#This Row],[Type Name]], tbl_MTG_Set_Type[Set Type], tbl_MTG_Set_Type[Buy Window Month Start], "(Set Type not found)")</f>
        <v/>
      </c>
      <c r="K787" s="3">
        <f>tbl_MTG_Set[[#This Row],[Released On]]+tbl_MTG_Set[[#This Row],[Buy Window Month Start]]*365.25/12</f>
        <v/>
      </c>
      <c r="L787">
        <f>_xlfn.XLOOKUP(tbl_MTG_Set[[#This Row],[Type Name]], tbl_MTG_Set_Type[Set Type], tbl_MTG_Set_Type[Buy Window Month End], "(Set Type not found)", 0, 1)</f>
        <v/>
      </c>
      <c r="M787" s="3">
        <f>tbl_MTG_Set[[#This Row],[Released On]]+tbl_MTG_Set[[#This Row],[Buy Window Month End]]*365.25/12</f>
        <v/>
      </c>
      <c r="N787" s="3">
        <f>AND(NOW()&gt;=tbl_MTG_Set[[#This Row],[Buy Window Start]], NOW()&lt;=tbl_MTG_Set[[#This Row],[Buy Window End]])</f>
        <v/>
      </c>
      <c r="O787">
        <f>_xlfn.XLOOKUP(tbl_MTG_Set[[#This Row],[Type Name]], tbl_MTG_Set_Type[Set Type], tbl_MTG_Set_Type[Heavy Printing Window Month Start], "(Set Type not found)", 0, 1)</f>
        <v/>
      </c>
      <c r="P787" s="3">
        <f>tbl_MTG_Set[[#This Row],[Released On]]+tbl_MTG_Set[[#This Row],[Heavy Printing Window Month Start]]*365.25/12</f>
        <v/>
      </c>
      <c r="Q787">
        <f>_xlfn.XLOOKUP(tbl_MTG_Set[[#This Row],[Type Name]], tbl_MTG_Set_Type[Set Type], tbl_MTG_Set_Type[Heavy Printing Window Month End], "(Set Type not found)", 0, 1)</f>
        <v/>
      </c>
      <c r="R787" s="3">
        <f>tbl_MTG_Set[[#This Row],[Released On]]+tbl_MTG_Set[[#This Row],[Heavy Printing Window Month End]]*365.25/12</f>
        <v/>
      </c>
      <c r="S787" s="3">
        <f>AND(NOW()&gt;=tbl_MTG_Set[[#This Row],[Heavy Printing Window Start]], NOW()&lt;=tbl_MTG_Set[[#This Row],[Heavy Printing Window End]])</f>
        <v/>
      </c>
      <c r="T787">
        <f>_xlfn.XLOOKUP(tbl_MTG_Set[[#This Row],[Type Name]], tbl_MTG_Set_Type[Set Type], tbl_MTG_Set_Type[Sell Window Month Start], "(Set Type not found)", 0, 1)</f>
        <v/>
      </c>
      <c r="U787" s="3">
        <f>tbl_MTG_Set[[#This Row],[Released On]]+tbl_MTG_Set[[#This Row],[Sell Window Month Start]]*365.25/12</f>
        <v/>
      </c>
      <c r="V787">
        <f>_xlfn.XLOOKUP(tbl_MTG_Set[[#This Row],[Type Name]], tbl_MTG_Set_Type[Set Type], tbl_MTG_Set_Type[Sell Window Month End], "(Set Type not found)", 0, 1)</f>
        <v/>
      </c>
      <c r="W787" s="3">
        <f>tbl_MTG_Set[[#This Row],[Released On]]+tbl_MTG_Set[[#This Row],[Sell Window Month End]]*365.25/12</f>
        <v/>
      </c>
      <c r="X787" s="3">
        <f>AND(NOW()&gt;=tbl_MTG_Set[[#This Row],[Sell Window Start]], NOW()&lt;=tbl_MTG_Set[[#This Row],[Sell Window End]])</f>
        <v/>
      </c>
      <c r="AG787" s="10" t="n"/>
      <c r="AH787" s="10" t="n"/>
      <c r="AM787" s="10">
        <f t="array" ref="AM7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7" s="10">
        <f t="array" ref="AN7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7" s="4">
        <f>_xlfn.XLOOKUP(tbl_MTG_Set[[#This Row],[Play Booster Box Product Id]], tbl_Product[Product Id], tbl_Product[Pack Size])</f>
        <v/>
      </c>
      <c r="AP787" s="10">
        <f>(tbl_MTG_Set[[#This Row],[Play Booster Box Cost]]+v_Item_Shipping_Cost_In)/tbl_MTG_Set[[#This Row],[Play Booster Box Size]]</f>
        <v/>
      </c>
      <c r="AQ787" s="10">
        <f t="array" ref="AQ7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7" s="10" t="n"/>
      <c r="AS787" s="10" t="n"/>
      <c r="AT787" s="17">
        <f>tbl_MTG_Set[[#This Row],[Play Booster CardMarket Profit]]/tbl_MTG_Set[[#This Row],[Play Booster Cost]]</f>
        <v/>
      </c>
      <c r="AU787" s="10">
        <f>_xlfn.XLOOKUP(tbl_MTG_Set[[#This Row],[Collector Booster Box Product Id]], tbl_Product[Product Id], tbl_Product[Min Cost])</f>
        <v/>
      </c>
      <c r="AV787" s="10">
        <f>_xlfn.XLOOKUP(tbl_MTG_Set[[#This Row],[Collector Booster Box Product Id]], tbl_Product[Product Id], tbl_Product[Best Source])</f>
        <v/>
      </c>
      <c r="AW787" s="4">
        <f>_xlfn.XLOOKUP(tbl_MTG_Set[[#This Row],[Collector Booster Box Product Id]], tbl_Product[Product Id], tbl_Product[Pack Size])</f>
        <v/>
      </c>
      <c r="AX787" s="10">
        <f>(tbl_MTG_Set[[#This Row],[Collector Booster Box Cost]] + v_Item_Shipping_Cost_In) / tbl_MTG_Set[[#This Row],[Collector Booster Box Size]]</f>
        <v/>
      </c>
      <c r="AY787" s="10">
        <f t="array" ref="AY7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7" s="10" t="n"/>
      <c r="BA7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7" s="17">
        <f>tbl_MTG_Set[[#This Row],[Collector Booster CardMarket Profit]]/tbl_MTG_Set[[#This Row],[Collector Booster Cost]]</f>
        <v/>
      </c>
      <c r="BC787" s="10" t="n"/>
      <c r="BF787" s="10">
        <f>tbl_MTG_Set[[#This Row],[Play Booster Sell Price CardMarket]]*tbl_MTG_Set[[#This Row],[Play Booster Expected Market Value]]/tbl_MTG_Set[[#This Row],[Play Boost Sealed Market Value]]</f>
        <v/>
      </c>
      <c r="BG7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7" s="10">
        <f>tbl_MTG_Set[[#This Row],[Play Singles CardMarket Profit]]/tbl_MTG_Set[[#This Row],[Play Booster Cost]]</f>
        <v/>
      </c>
      <c r="BI787" s="10">
        <f>tbl_MTG_Set[[#This Row],[Play Singles CardMarket Profit]]&gt;0</f>
        <v/>
      </c>
      <c r="BJ787" s="10" t="n"/>
      <c r="BK787" s="10" t="n"/>
      <c r="BL787" s="10">
        <f>tbl_MTG_Set[[#This Row],[Collector Booster Sell Price CardMarket]]*tbl_MTG_Set[[#This Row],[Collector Booster Expected Market Value]]/tbl_MTG_Set[[#This Row],[Collector Boost Sealed Market Value]]</f>
        <v/>
      </c>
      <c r="BM7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7" s="10">
        <f>tbl_MTG_Set[[#This Row],[Collector Singles CardMarket Profit]]/tbl_MTG_Set[[#This Row],[Collector Booster Cost]]</f>
        <v/>
      </c>
      <c r="BO787" s="10">
        <f>tbl_MTG_Set[[#This Row],[Collector Singles CardMarket Profit]]&gt;0</f>
        <v/>
      </c>
      <c r="BP7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8">
      <c r="A788" t="n">
        <v>786</v>
      </c>
      <c r="B788" t="inlineStr">
        <is>
          <t>Magic 2010 Tokens TM10</t>
        </is>
      </c>
      <c r="C788" t="n">
        <v>8</v>
      </c>
      <c r="D788" s="3" t="n">
        <v>40011</v>
      </c>
      <c r="F788" t="inlineStr">
        <is>
          <t>en es fr de it pt ja ko ru 汉语 漢語</t>
        </is>
      </c>
      <c r="G788" t="n">
        <v>1518</v>
      </c>
      <c r="H788">
        <f>MONTH(NOW())+12*YEAR(NOW())-MONTH(tbl_MTG_Set[[#This Row],[Released On]])-12*YEAR(tbl_MTG_Set[[#This Row],[Released On]])</f>
        <v/>
      </c>
      <c r="I788">
        <f>_xlfn.XLOOKUP(tbl_MTG_Set[[#This Row],[Type Name]], tbl_MTG_Set_Type[Set Type], tbl_MTG_Set_Type[Index], "(Set Type not found)")</f>
        <v/>
      </c>
      <c r="J788">
        <f>_xlfn.XLOOKUP(tbl_MTG_Set[[#This Row],[Type Name]], tbl_MTG_Set_Type[Set Type], tbl_MTG_Set_Type[Buy Window Month Start], "(Set Type not found)")</f>
        <v/>
      </c>
      <c r="K788" s="3">
        <f>tbl_MTG_Set[[#This Row],[Released On]]+tbl_MTG_Set[[#This Row],[Buy Window Month Start]]*365.25/12</f>
        <v/>
      </c>
      <c r="L788">
        <f>_xlfn.XLOOKUP(tbl_MTG_Set[[#This Row],[Type Name]], tbl_MTG_Set_Type[Set Type], tbl_MTG_Set_Type[Buy Window Month End], "(Set Type not found)", 0, 1)</f>
        <v/>
      </c>
      <c r="M788" s="3">
        <f>tbl_MTG_Set[[#This Row],[Released On]]+tbl_MTG_Set[[#This Row],[Buy Window Month End]]*365.25/12</f>
        <v/>
      </c>
      <c r="N788" s="3">
        <f>AND(NOW()&gt;=tbl_MTG_Set[[#This Row],[Buy Window Start]], NOW()&lt;=tbl_MTG_Set[[#This Row],[Buy Window End]])</f>
        <v/>
      </c>
      <c r="O788">
        <f>_xlfn.XLOOKUP(tbl_MTG_Set[[#This Row],[Type Name]], tbl_MTG_Set_Type[Set Type], tbl_MTG_Set_Type[Heavy Printing Window Month Start], "(Set Type not found)", 0, 1)</f>
        <v/>
      </c>
      <c r="P788" s="3">
        <f>tbl_MTG_Set[[#This Row],[Released On]]+tbl_MTG_Set[[#This Row],[Heavy Printing Window Month Start]]*365.25/12</f>
        <v/>
      </c>
      <c r="Q788">
        <f>_xlfn.XLOOKUP(tbl_MTG_Set[[#This Row],[Type Name]], tbl_MTG_Set_Type[Set Type], tbl_MTG_Set_Type[Heavy Printing Window Month End], "(Set Type not found)", 0, 1)</f>
        <v/>
      </c>
      <c r="R788" s="3">
        <f>tbl_MTG_Set[[#This Row],[Released On]]+tbl_MTG_Set[[#This Row],[Heavy Printing Window Month End]]*365.25/12</f>
        <v/>
      </c>
      <c r="S788" s="3">
        <f>AND(NOW()&gt;=tbl_MTG_Set[[#This Row],[Heavy Printing Window Start]], NOW()&lt;=tbl_MTG_Set[[#This Row],[Heavy Printing Window End]])</f>
        <v/>
      </c>
      <c r="T788">
        <f>_xlfn.XLOOKUP(tbl_MTG_Set[[#This Row],[Type Name]], tbl_MTG_Set_Type[Set Type], tbl_MTG_Set_Type[Sell Window Month Start], "(Set Type not found)", 0, 1)</f>
        <v/>
      </c>
      <c r="U788" s="3">
        <f>tbl_MTG_Set[[#This Row],[Released On]]+tbl_MTG_Set[[#This Row],[Sell Window Month Start]]*365.25/12</f>
        <v/>
      </c>
      <c r="V788">
        <f>_xlfn.XLOOKUP(tbl_MTG_Set[[#This Row],[Type Name]], tbl_MTG_Set_Type[Set Type], tbl_MTG_Set_Type[Sell Window Month End], "(Set Type not found)", 0, 1)</f>
        <v/>
      </c>
      <c r="W788" s="3">
        <f>tbl_MTG_Set[[#This Row],[Released On]]+tbl_MTG_Set[[#This Row],[Sell Window Month End]]*365.25/12</f>
        <v/>
      </c>
      <c r="X788" s="3">
        <f>AND(NOW()&gt;=tbl_MTG_Set[[#This Row],[Sell Window Start]], NOW()&lt;=tbl_MTG_Set[[#This Row],[Sell Window End]])</f>
        <v/>
      </c>
      <c r="AG788" s="10" t="n"/>
      <c r="AH788" s="10" t="n"/>
      <c r="AM788" s="10">
        <f t="array" ref="AM7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8" s="10">
        <f t="array" ref="AN7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8" s="4">
        <f>_xlfn.XLOOKUP(tbl_MTG_Set[[#This Row],[Play Booster Box Product Id]], tbl_Product[Product Id], tbl_Product[Pack Size])</f>
        <v/>
      </c>
      <c r="AP788" s="10">
        <f>(tbl_MTG_Set[[#This Row],[Play Booster Box Cost]]+v_Item_Shipping_Cost_In)/tbl_MTG_Set[[#This Row],[Play Booster Box Size]]</f>
        <v/>
      </c>
      <c r="AQ788" s="10">
        <f t="array" ref="AQ7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8" s="10" t="n"/>
      <c r="AS788" s="10" t="n"/>
      <c r="AT788" s="17">
        <f>tbl_MTG_Set[[#This Row],[Play Booster CardMarket Profit]]/tbl_MTG_Set[[#This Row],[Play Booster Cost]]</f>
        <v/>
      </c>
      <c r="AU788" s="10">
        <f>_xlfn.XLOOKUP(tbl_MTG_Set[[#This Row],[Collector Booster Box Product Id]], tbl_Product[Product Id], tbl_Product[Min Cost])</f>
        <v/>
      </c>
      <c r="AV788" s="10">
        <f>_xlfn.XLOOKUP(tbl_MTG_Set[[#This Row],[Collector Booster Box Product Id]], tbl_Product[Product Id], tbl_Product[Best Source])</f>
        <v/>
      </c>
      <c r="AW788" s="4">
        <f>_xlfn.XLOOKUP(tbl_MTG_Set[[#This Row],[Collector Booster Box Product Id]], tbl_Product[Product Id], tbl_Product[Pack Size])</f>
        <v/>
      </c>
      <c r="AX788" s="10">
        <f>(tbl_MTG_Set[[#This Row],[Collector Booster Box Cost]] + v_Item_Shipping_Cost_In) / tbl_MTG_Set[[#This Row],[Collector Booster Box Size]]</f>
        <v/>
      </c>
      <c r="AY788" s="10">
        <f t="array" ref="AY7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8" s="10" t="n"/>
      <c r="BA7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8" s="17">
        <f>tbl_MTG_Set[[#This Row],[Collector Booster CardMarket Profit]]/tbl_MTG_Set[[#This Row],[Collector Booster Cost]]</f>
        <v/>
      </c>
      <c r="BC788" s="10" t="n"/>
      <c r="BF788" s="10">
        <f>tbl_MTG_Set[[#This Row],[Play Booster Sell Price CardMarket]]*tbl_MTG_Set[[#This Row],[Play Booster Expected Market Value]]/tbl_MTG_Set[[#This Row],[Play Boost Sealed Market Value]]</f>
        <v/>
      </c>
      <c r="BG7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8" s="10">
        <f>tbl_MTG_Set[[#This Row],[Play Singles CardMarket Profit]]/tbl_MTG_Set[[#This Row],[Play Booster Cost]]</f>
        <v/>
      </c>
      <c r="BI788" s="10">
        <f>tbl_MTG_Set[[#This Row],[Play Singles CardMarket Profit]]&gt;0</f>
        <v/>
      </c>
      <c r="BJ788" s="10" t="n"/>
      <c r="BK788" s="10" t="n"/>
      <c r="BL788" s="10">
        <f>tbl_MTG_Set[[#This Row],[Collector Booster Sell Price CardMarket]]*tbl_MTG_Set[[#This Row],[Collector Booster Expected Market Value]]/tbl_MTG_Set[[#This Row],[Collector Boost Sealed Market Value]]</f>
        <v/>
      </c>
      <c r="BM7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8" s="10">
        <f>tbl_MTG_Set[[#This Row],[Collector Singles CardMarket Profit]]/tbl_MTG_Set[[#This Row],[Collector Booster Cost]]</f>
        <v/>
      </c>
      <c r="BO788" s="10">
        <f>tbl_MTG_Set[[#This Row],[Collector Singles CardMarket Profit]]&gt;0</f>
        <v/>
      </c>
      <c r="BP7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9">
      <c r="A789" t="n">
        <v>787</v>
      </c>
      <c r="B789" t="inlineStr">
        <is>
          <t>Alara Reborn ARB</t>
        </is>
      </c>
      <c r="C789" t="n">
        <v>145</v>
      </c>
      <c r="D789" s="3" t="n">
        <v>39933</v>
      </c>
      <c r="F789" t="inlineStr">
        <is>
          <t>en es fr de it pt ja ko ru 汉语 漢語</t>
        </is>
      </c>
      <c r="G789" t="n">
        <v>1520</v>
      </c>
      <c r="H789">
        <f>MONTH(NOW())+12*YEAR(NOW())-MONTH(tbl_MTG_Set[[#This Row],[Released On]])-12*YEAR(tbl_MTG_Set[[#This Row],[Released On]])</f>
        <v/>
      </c>
      <c r="I789">
        <f>_xlfn.XLOOKUP(tbl_MTG_Set[[#This Row],[Type Name]], tbl_MTG_Set_Type[Set Type], tbl_MTG_Set_Type[Index], "(Set Type not found)")</f>
        <v/>
      </c>
      <c r="J789">
        <f>_xlfn.XLOOKUP(tbl_MTG_Set[[#This Row],[Type Name]], tbl_MTG_Set_Type[Set Type], tbl_MTG_Set_Type[Buy Window Month Start], "(Set Type not found)")</f>
        <v/>
      </c>
      <c r="K789" s="3">
        <f>tbl_MTG_Set[[#This Row],[Released On]]+tbl_MTG_Set[[#This Row],[Buy Window Month Start]]*365.25/12</f>
        <v/>
      </c>
      <c r="L789">
        <f>_xlfn.XLOOKUP(tbl_MTG_Set[[#This Row],[Type Name]], tbl_MTG_Set_Type[Set Type], tbl_MTG_Set_Type[Buy Window Month End], "(Set Type not found)", 0, 1)</f>
        <v/>
      </c>
      <c r="M789" s="3">
        <f>tbl_MTG_Set[[#This Row],[Released On]]+tbl_MTG_Set[[#This Row],[Buy Window Month End]]*365.25/12</f>
        <v/>
      </c>
      <c r="N789" s="3">
        <f>AND(NOW()&gt;=tbl_MTG_Set[[#This Row],[Buy Window Start]], NOW()&lt;=tbl_MTG_Set[[#This Row],[Buy Window End]])</f>
        <v/>
      </c>
      <c r="O789">
        <f>_xlfn.XLOOKUP(tbl_MTG_Set[[#This Row],[Type Name]], tbl_MTG_Set_Type[Set Type], tbl_MTG_Set_Type[Heavy Printing Window Month Start], "(Set Type not found)", 0, 1)</f>
        <v/>
      </c>
      <c r="P789" s="3">
        <f>tbl_MTG_Set[[#This Row],[Released On]]+tbl_MTG_Set[[#This Row],[Heavy Printing Window Month Start]]*365.25/12</f>
        <v/>
      </c>
      <c r="Q789">
        <f>_xlfn.XLOOKUP(tbl_MTG_Set[[#This Row],[Type Name]], tbl_MTG_Set_Type[Set Type], tbl_MTG_Set_Type[Heavy Printing Window Month End], "(Set Type not found)", 0, 1)</f>
        <v/>
      </c>
      <c r="R789" s="3">
        <f>tbl_MTG_Set[[#This Row],[Released On]]+tbl_MTG_Set[[#This Row],[Heavy Printing Window Month End]]*365.25/12</f>
        <v/>
      </c>
      <c r="S789" s="3">
        <f>AND(NOW()&gt;=tbl_MTG_Set[[#This Row],[Heavy Printing Window Start]], NOW()&lt;=tbl_MTG_Set[[#This Row],[Heavy Printing Window End]])</f>
        <v/>
      </c>
      <c r="T789">
        <f>_xlfn.XLOOKUP(tbl_MTG_Set[[#This Row],[Type Name]], tbl_MTG_Set_Type[Set Type], tbl_MTG_Set_Type[Sell Window Month Start], "(Set Type not found)", 0, 1)</f>
        <v/>
      </c>
      <c r="U789" s="3">
        <f>tbl_MTG_Set[[#This Row],[Released On]]+tbl_MTG_Set[[#This Row],[Sell Window Month Start]]*365.25/12</f>
        <v/>
      </c>
      <c r="V789">
        <f>_xlfn.XLOOKUP(tbl_MTG_Set[[#This Row],[Type Name]], tbl_MTG_Set_Type[Set Type], tbl_MTG_Set_Type[Sell Window Month End], "(Set Type not found)", 0, 1)</f>
        <v/>
      </c>
      <c r="W789" s="3">
        <f>tbl_MTG_Set[[#This Row],[Released On]]+tbl_MTG_Set[[#This Row],[Sell Window Month End]]*365.25/12</f>
        <v/>
      </c>
      <c r="X789" s="3">
        <f>AND(NOW()&gt;=tbl_MTG_Set[[#This Row],[Sell Window Start]], NOW()&lt;=tbl_MTG_Set[[#This Row],[Sell Window End]])</f>
        <v/>
      </c>
      <c r="AG789" s="10" t="n"/>
      <c r="AH789" s="10" t="n"/>
      <c r="AM789" s="10">
        <f t="array" ref="AM7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9" s="10">
        <f t="array" ref="AN7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9" s="4">
        <f>_xlfn.XLOOKUP(tbl_MTG_Set[[#This Row],[Play Booster Box Product Id]], tbl_Product[Product Id], tbl_Product[Pack Size])</f>
        <v/>
      </c>
      <c r="AP789" s="10">
        <f>(tbl_MTG_Set[[#This Row],[Play Booster Box Cost]]+v_Item_Shipping_Cost_In)/tbl_MTG_Set[[#This Row],[Play Booster Box Size]]</f>
        <v/>
      </c>
      <c r="AQ789" s="10">
        <f t="array" ref="AQ7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89" s="10" t="n"/>
      <c r="AS789" s="10" t="n"/>
      <c r="AT789" s="17">
        <f>tbl_MTG_Set[[#This Row],[Play Booster CardMarket Profit]]/tbl_MTG_Set[[#This Row],[Play Booster Cost]]</f>
        <v/>
      </c>
      <c r="AU789" s="10">
        <f>_xlfn.XLOOKUP(tbl_MTG_Set[[#This Row],[Collector Booster Box Product Id]], tbl_Product[Product Id], tbl_Product[Min Cost])</f>
        <v/>
      </c>
      <c r="AV789" s="10">
        <f>_xlfn.XLOOKUP(tbl_MTG_Set[[#This Row],[Collector Booster Box Product Id]], tbl_Product[Product Id], tbl_Product[Best Source])</f>
        <v/>
      </c>
      <c r="AW789" s="4">
        <f>_xlfn.XLOOKUP(tbl_MTG_Set[[#This Row],[Collector Booster Box Product Id]], tbl_Product[Product Id], tbl_Product[Pack Size])</f>
        <v/>
      </c>
      <c r="AX789" s="10">
        <f>(tbl_MTG_Set[[#This Row],[Collector Booster Box Cost]] + v_Item_Shipping_Cost_In) / tbl_MTG_Set[[#This Row],[Collector Booster Box Size]]</f>
        <v/>
      </c>
      <c r="AY789" s="10">
        <f t="array" ref="AY7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89" s="10" t="n"/>
      <c r="BA7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9" s="17">
        <f>tbl_MTG_Set[[#This Row],[Collector Booster CardMarket Profit]]/tbl_MTG_Set[[#This Row],[Collector Booster Cost]]</f>
        <v/>
      </c>
      <c r="BC789" s="10" t="n"/>
      <c r="BF789" s="10">
        <f>tbl_MTG_Set[[#This Row],[Play Booster Sell Price CardMarket]]*tbl_MTG_Set[[#This Row],[Play Booster Expected Market Value]]/tbl_MTG_Set[[#This Row],[Play Boost Sealed Market Value]]</f>
        <v/>
      </c>
      <c r="BG7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9" s="10">
        <f>tbl_MTG_Set[[#This Row],[Play Singles CardMarket Profit]]/tbl_MTG_Set[[#This Row],[Play Booster Cost]]</f>
        <v/>
      </c>
      <c r="BI789" s="10">
        <f>tbl_MTG_Set[[#This Row],[Play Singles CardMarket Profit]]&gt;0</f>
        <v/>
      </c>
      <c r="BJ789" s="10" t="n"/>
      <c r="BK789" s="10" t="n"/>
      <c r="BL789" s="10">
        <f>tbl_MTG_Set[[#This Row],[Collector Booster Sell Price CardMarket]]*tbl_MTG_Set[[#This Row],[Collector Booster Expected Market Value]]/tbl_MTG_Set[[#This Row],[Collector Boost Sealed Market Value]]</f>
        <v/>
      </c>
      <c r="BM7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9" s="10">
        <f>tbl_MTG_Set[[#This Row],[Collector Singles CardMarket Profit]]/tbl_MTG_Set[[#This Row],[Collector Booster Cost]]</f>
        <v/>
      </c>
      <c r="BO789" s="10">
        <f>tbl_MTG_Set[[#This Row],[Collector Singles CardMarket Profit]]&gt;0</f>
        <v/>
      </c>
      <c r="BP7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0">
      <c r="A790" t="n">
        <v>788</v>
      </c>
      <c r="B790" t="inlineStr">
        <is>
          <t>Alara Reborn Promos PARB</t>
        </is>
      </c>
      <c r="C790" t="n">
        <v>3</v>
      </c>
      <c r="D790" s="3" t="n">
        <v>39933</v>
      </c>
      <c r="F790" t="inlineStr">
        <is>
          <t>en es fr de it pt ja ko ru 汉语 漢語</t>
        </is>
      </c>
      <c r="G790" t="n">
        <v>1522</v>
      </c>
      <c r="H790">
        <f>MONTH(NOW())+12*YEAR(NOW())-MONTH(tbl_MTG_Set[[#This Row],[Released On]])-12*YEAR(tbl_MTG_Set[[#This Row],[Released On]])</f>
        <v/>
      </c>
      <c r="I790">
        <f>_xlfn.XLOOKUP(tbl_MTG_Set[[#This Row],[Type Name]], tbl_MTG_Set_Type[Set Type], tbl_MTG_Set_Type[Index], "(Set Type not found)")</f>
        <v/>
      </c>
      <c r="J790">
        <f>_xlfn.XLOOKUP(tbl_MTG_Set[[#This Row],[Type Name]], tbl_MTG_Set_Type[Set Type], tbl_MTG_Set_Type[Buy Window Month Start], "(Set Type not found)")</f>
        <v/>
      </c>
      <c r="K790" s="3">
        <f>tbl_MTG_Set[[#This Row],[Released On]]+tbl_MTG_Set[[#This Row],[Buy Window Month Start]]*365.25/12</f>
        <v/>
      </c>
      <c r="L790">
        <f>_xlfn.XLOOKUP(tbl_MTG_Set[[#This Row],[Type Name]], tbl_MTG_Set_Type[Set Type], tbl_MTG_Set_Type[Buy Window Month End], "(Set Type not found)", 0, 1)</f>
        <v/>
      </c>
      <c r="M790" s="3">
        <f>tbl_MTG_Set[[#This Row],[Released On]]+tbl_MTG_Set[[#This Row],[Buy Window Month End]]*365.25/12</f>
        <v/>
      </c>
      <c r="N790" s="3">
        <f>AND(NOW()&gt;=tbl_MTG_Set[[#This Row],[Buy Window Start]], NOW()&lt;=tbl_MTG_Set[[#This Row],[Buy Window End]])</f>
        <v/>
      </c>
      <c r="O790">
        <f>_xlfn.XLOOKUP(tbl_MTG_Set[[#This Row],[Type Name]], tbl_MTG_Set_Type[Set Type], tbl_MTG_Set_Type[Heavy Printing Window Month Start], "(Set Type not found)", 0, 1)</f>
        <v/>
      </c>
      <c r="P790" s="3">
        <f>tbl_MTG_Set[[#This Row],[Released On]]+tbl_MTG_Set[[#This Row],[Heavy Printing Window Month Start]]*365.25/12</f>
        <v/>
      </c>
      <c r="Q790">
        <f>_xlfn.XLOOKUP(tbl_MTG_Set[[#This Row],[Type Name]], tbl_MTG_Set_Type[Set Type], tbl_MTG_Set_Type[Heavy Printing Window Month End], "(Set Type not found)", 0, 1)</f>
        <v/>
      </c>
      <c r="R790" s="3">
        <f>tbl_MTG_Set[[#This Row],[Released On]]+tbl_MTG_Set[[#This Row],[Heavy Printing Window Month End]]*365.25/12</f>
        <v/>
      </c>
      <c r="S790" s="3">
        <f>AND(NOW()&gt;=tbl_MTG_Set[[#This Row],[Heavy Printing Window Start]], NOW()&lt;=tbl_MTG_Set[[#This Row],[Heavy Printing Window End]])</f>
        <v/>
      </c>
      <c r="T790">
        <f>_xlfn.XLOOKUP(tbl_MTG_Set[[#This Row],[Type Name]], tbl_MTG_Set_Type[Set Type], tbl_MTG_Set_Type[Sell Window Month Start], "(Set Type not found)", 0, 1)</f>
        <v/>
      </c>
      <c r="U790" s="3">
        <f>tbl_MTG_Set[[#This Row],[Released On]]+tbl_MTG_Set[[#This Row],[Sell Window Month Start]]*365.25/12</f>
        <v/>
      </c>
      <c r="V790">
        <f>_xlfn.XLOOKUP(tbl_MTG_Set[[#This Row],[Type Name]], tbl_MTG_Set_Type[Set Type], tbl_MTG_Set_Type[Sell Window Month End], "(Set Type not found)", 0, 1)</f>
        <v/>
      </c>
      <c r="W790" s="3">
        <f>tbl_MTG_Set[[#This Row],[Released On]]+tbl_MTG_Set[[#This Row],[Sell Window Month End]]*365.25/12</f>
        <v/>
      </c>
      <c r="X790" s="3">
        <f>AND(NOW()&gt;=tbl_MTG_Set[[#This Row],[Sell Window Start]], NOW()&lt;=tbl_MTG_Set[[#This Row],[Sell Window End]])</f>
        <v/>
      </c>
      <c r="AG790" s="10" t="n"/>
      <c r="AH790" s="10" t="n"/>
      <c r="AM790" s="10">
        <f t="array" ref="AM7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0" s="10">
        <f t="array" ref="AN7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0" s="4">
        <f>_xlfn.XLOOKUP(tbl_MTG_Set[[#This Row],[Play Booster Box Product Id]], tbl_Product[Product Id], tbl_Product[Pack Size])</f>
        <v/>
      </c>
      <c r="AP790" s="10">
        <f>(tbl_MTG_Set[[#This Row],[Play Booster Box Cost]]+v_Item_Shipping_Cost_In)/tbl_MTG_Set[[#This Row],[Play Booster Box Size]]</f>
        <v/>
      </c>
      <c r="AQ790" s="10">
        <f t="array" ref="AQ7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0" s="10" t="n"/>
      <c r="AS790" s="10" t="n"/>
      <c r="AT790" s="17">
        <f>tbl_MTG_Set[[#This Row],[Play Booster CardMarket Profit]]/tbl_MTG_Set[[#This Row],[Play Booster Cost]]</f>
        <v/>
      </c>
      <c r="AU790" s="10">
        <f>_xlfn.XLOOKUP(tbl_MTG_Set[[#This Row],[Collector Booster Box Product Id]], tbl_Product[Product Id], tbl_Product[Min Cost])</f>
        <v/>
      </c>
      <c r="AV790" s="10">
        <f>_xlfn.XLOOKUP(tbl_MTG_Set[[#This Row],[Collector Booster Box Product Id]], tbl_Product[Product Id], tbl_Product[Best Source])</f>
        <v/>
      </c>
      <c r="AW790" s="4">
        <f>_xlfn.XLOOKUP(tbl_MTG_Set[[#This Row],[Collector Booster Box Product Id]], tbl_Product[Product Id], tbl_Product[Pack Size])</f>
        <v/>
      </c>
      <c r="AX790" s="10">
        <f>(tbl_MTG_Set[[#This Row],[Collector Booster Box Cost]] + v_Item_Shipping_Cost_In) / tbl_MTG_Set[[#This Row],[Collector Booster Box Size]]</f>
        <v/>
      </c>
      <c r="AY790" s="10">
        <f t="array" ref="AY7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0" s="10" t="n"/>
      <c r="BA7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0" s="17">
        <f>tbl_MTG_Set[[#This Row],[Collector Booster CardMarket Profit]]/tbl_MTG_Set[[#This Row],[Collector Booster Cost]]</f>
        <v/>
      </c>
      <c r="BC790" s="10" t="n"/>
      <c r="BF790" s="10">
        <f>tbl_MTG_Set[[#This Row],[Play Booster Sell Price CardMarket]]*tbl_MTG_Set[[#This Row],[Play Booster Expected Market Value]]/tbl_MTG_Set[[#This Row],[Play Boost Sealed Market Value]]</f>
        <v/>
      </c>
      <c r="BG7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0" s="10">
        <f>tbl_MTG_Set[[#This Row],[Play Singles CardMarket Profit]]/tbl_MTG_Set[[#This Row],[Play Booster Cost]]</f>
        <v/>
      </c>
      <c r="BI790" s="10">
        <f>tbl_MTG_Set[[#This Row],[Play Singles CardMarket Profit]]&gt;0</f>
        <v/>
      </c>
      <c r="BJ790" s="10" t="n"/>
      <c r="BK790" s="10" t="n"/>
      <c r="BL790" s="10">
        <f>tbl_MTG_Set[[#This Row],[Collector Booster Sell Price CardMarket]]*tbl_MTG_Set[[#This Row],[Collector Booster Expected Market Value]]/tbl_MTG_Set[[#This Row],[Collector Boost Sealed Market Value]]</f>
        <v/>
      </c>
      <c r="BM7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0" s="10">
        <f>tbl_MTG_Set[[#This Row],[Collector Singles CardMarket Profit]]/tbl_MTG_Set[[#This Row],[Collector Booster Cost]]</f>
        <v/>
      </c>
      <c r="BO790" s="10">
        <f>tbl_MTG_Set[[#This Row],[Collector Singles CardMarket Profit]]&gt;0</f>
        <v/>
      </c>
      <c r="BP7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1">
      <c r="A791" t="n">
        <v>789</v>
      </c>
      <c r="B791" t="inlineStr">
        <is>
          <t>Alara Reborn Tokens TARB</t>
        </is>
      </c>
      <c r="C791" t="n">
        <v>4</v>
      </c>
      <c r="D791" s="3" t="n">
        <v>39933</v>
      </c>
      <c r="F791" t="inlineStr">
        <is>
          <t>en es fr de it pt ja ko ru 汉语 漢語</t>
        </is>
      </c>
      <c r="G791" t="n">
        <v>1524</v>
      </c>
      <c r="H791">
        <f>MONTH(NOW())+12*YEAR(NOW())-MONTH(tbl_MTG_Set[[#This Row],[Released On]])-12*YEAR(tbl_MTG_Set[[#This Row],[Released On]])</f>
        <v/>
      </c>
      <c r="I791">
        <f>_xlfn.XLOOKUP(tbl_MTG_Set[[#This Row],[Type Name]], tbl_MTG_Set_Type[Set Type], tbl_MTG_Set_Type[Index], "(Set Type not found)")</f>
        <v/>
      </c>
      <c r="J791">
        <f>_xlfn.XLOOKUP(tbl_MTG_Set[[#This Row],[Type Name]], tbl_MTG_Set_Type[Set Type], tbl_MTG_Set_Type[Buy Window Month Start], "(Set Type not found)")</f>
        <v/>
      </c>
      <c r="K791" s="3">
        <f>tbl_MTG_Set[[#This Row],[Released On]]+tbl_MTG_Set[[#This Row],[Buy Window Month Start]]*365.25/12</f>
        <v/>
      </c>
      <c r="L791">
        <f>_xlfn.XLOOKUP(tbl_MTG_Set[[#This Row],[Type Name]], tbl_MTG_Set_Type[Set Type], tbl_MTG_Set_Type[Buy Window Month End], "(Set Type not found)", 0, 1)</f>
        <v/>
      </c>
      <c r="M791" s="3">
        <f>tbl_MTG_Set[[#This Row],[Released On]]+tbl_MTG_Set[[#This Row],[Buy Window Month End]]*365.25/12</f>
        <v/>
      </c>
      <c r="N791" s="3">
        <f>AND(NOW()&gt;=tbl_MTG_Set[[#This Row],[Buy Window Start]], NOW()&lt;=tbl_MTG_Set[[#This Row],[Buy Window End]])</f>
        <v/>
      </c>
      <c r="O791">
        <f>_xlfn.XLOOKUP(tbl_MTG_Set[[#This Row],[Type Name]], tbl_MTG_Set_Type[Set Type], tbl_MTG_Set_Type[Heavy Printing Window Month Start], "(Set Type not found)", 0, 1)</f>
        <v/>
      </c>
      <c r="P791" s="3">
        <f>tbl_MTG_Set[[#This Row],[Released On]]+tbl_MTG_Set[[#This Row],[Heavy Printing Window Month Start]]*365.25/12</f>
        <v/>
      </c>
      <c r="Q791">
        <f>_xlfn.XLOOKUP(tbl_MTG_Set[[#This Row],[Type Name]], tbl_MTG_Set_Type[Set Type], tbl_MTG_Set_Type[Heavy Printing Window Month End], "(Set Type not found)", 0, 1)</f>
        <v/>
      </c>
      <c r="R791" s="3">
        <f>tbl_MTG_Set[[#This Row],[Released On]]+tbl_MTG_Set[[#This Row],[Heavy Printing Window Month End]]*365.25/12</f>
        <v/>
      </c>
      <c r="S791" s="3">
        <f>AND(NOW()&gt;=tbl_MTG_Set[[#This Row],[Heavy Printing Window Start]], NOW()&lt;=tbl_MTG_Set[[#This Row],[Heavy Printing Window End]])</f>
        <v/>
      </c>
      <c r="T791">
        <f>_xlfn.XLOOKUP(tbl_MTG_Set[[#This Row],[Type Name]], tbl_MTG_Set_Type[Set Type], tbl_MTG_Set_Type[Sell Window Month Start], "(Set Type not found)", 0, 1)</f>
        <v/>
      </c>
      <c r="U791" s="3">
        <f>tbl_MTG_Set[[#This Row],[Released On]]+tbl_MTG_Set[[#This Row],[Sell Window Month Start]]*365.25/12</f>
        <v/>
      </c>
      <c r="V791">
        <f>_xlfn.XLOOKUP(tbl_MTG_Set[[#This Row],[Type Name]], tbl_MTG_Set_Type[Set Type], tbl_MTG_Set_Type[Sell Window Month End], "(Set Type not found)", 0, 1)</f>
        <v/>
      </c>
      <c r="W791" s="3">
        <f>tbl_MTG_Set[[#This Row],[Released On]]+tbl_MTG_Set[[#This Row],[Sell Window Month End]]*365.25/12</f>
        <v/>
      </c>
      <c r="X791" s="3">
        <f>AND(NOW()&gt;=tbl_MTG_Set[[#This Row],[Sell Window Start]], NOW()&lt;=tbl_MTG_Set[[#This Row],[Sell Window End]])</f>
        <v/>
      </c>
      <c r="AG791" s="10" t="n"/>
      <c r="AH791" s="10" t="n"/>
      <c r="AM791" s="10">
        <f t="array" ref="AM7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1" s="10">
        <f t="array" ref="AN7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1" s="4">
        <f>_xlfn.XLOOKUP(tbl_MTG_Set[[#This Row],[Play Booster Box Product Id]], tbl_Product[Product Id], tbl_Product[Pack Size])</f>
        <v/>
      </c>
      <c r="AP791" s="10">
        <f>(tbl_MTG_Set[[#This Row],[Play Booster Box Cost]]+v_Item_Shipping_Cost_In)/tbl_MTG_Set[[#This Row],[Play Booster Box Size]]</f>
        <v/>
      </c>
      <c r="AQ791" s="10">
        <f t="array" ref="AQ7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1" s="10" t="n"/>
      <c r="AS791" s="10" t="n"/>
      <c r="AT791" s="17">
        <f>tbl_MTG_Set[[#This Row],[Play Booster CardMarket Profit]]/tbl_MTG_Set[[#This Row],[Play Booster Cost]]</f>
        <v/>
      </c>
      <c r="AU791" s="10">
        <f>_xlfn.XLOOKUP(tbl_MTG_Set[[#This Row],[Collector Booster Box Product Id]], tbl_Product[Product Id], tbl_Product[Min Cost])</f>
        <v/>
      </c>
      <c r="AV791" s="10">
        <f>_xlfn.XLOOKUP(tbl_MTG_Set[[#This Row],[Collector Booster Box Product Id]], tbl_Product[Product Id], tbl_Product[Best Source])</f>
        <v/>
      </c>
      <c r="AW791" s="4">
        <f>_xlfn.XLOOKUP(tbl_MTG_Set[[#This Row],[Collector Booster Box Product Id]], tbl_Product[Product Id], tbl_Product[Pack Size])</f>
        <v/>
      </c>
      <c r="AX791" s="10">
        <f>(tbl_MTG_Set[[#This Row],[Collector Booster Box Cost]] + v_Item_Shipping_Cost_In) / tbl_MTG_Set[[#This Row],[Collector Booster Box Size]]</f>
        <v/>
      </c>
      <c r="AY791" s="10">
        <f t="array" ref="AY7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1" s="10" t="n"/>
      <c r="BA7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1" s="17">
        <f>tbl_MTG_Set[[#This Row],[Collector Booster CardMarket Profit]]/tbl_MTG_Set[[#This Row],[Collector Booster Cost]]</f>
        <v/>
      </c>
      <c r="BC791" s="10" t="n"/>
      <c r="BF791" s="10">
        <f>tbl_MTG_Set[[#This Row],[Play Booster Sell Price CardMarket]]*tbl_MTG_Set[[#This Row],[Play Booster Expected Market Value]]/tbl_MTG_Set[[#This Row],[Play Boost Sealed Market Value]]</f>
        <v/>
      </c>
      <c r="BG7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1" s="10">
        <f>tbl_MTG_Set[[#This Row],[Play Singles CardMarket Profit]]/tbl_MTG_Set[[#This Row],[Play Booster Cost]]</f>
        <v/>
      </c>
      <c r="BI791" s="10">
        <f>tbl_MTG_Set[[#This Row],[Play Singles CardMarket Profit]]&gt;0</f>
        <v/>
      </c>
      <c r="BJ791" s="10" t="n"/>
      <c r="BK791" s="10" t="n"/>
      <c r="BL791" s="10">
        <f>tbl_MTG_Set[[#This Row],[Collector Booster Sell Price CardMarket]]*tbl_MTG_Set[[#This Row],[Collector Booster Expected Market Value]]/tbl_MTG_Set[[#This Row],[Collector Boost Sealed Market Value]]</f>
        <v/>
      </c>
      <c r="BM7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1" s="10">
        <f>tbl_MTG_Set[[#This Row],[Collector Singles CardMarket Profit]]/tbl_MTG_Set[[#This Row],[Collector Booster Cost]]</f>
        <v/>
      </c>
      <c r="BO791" s="10">
        <f>tbl_MTG_Set[[#This Row],[Collector Singles CardMarket Profit]]&gt;0</f>
        <v/>
      </c>
      <c r="BP7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2">
      <c r="A792" t="n">
        <v>790</v>
      </c>
      <c r="B792" t="inlineStr">
        <is>
          <t>Duel Decks: Divine vs. Demonic DDC</t>
        </is>
      </c>
      <c r="C792" t="n">
        <v>62</v>
      </c>
      <c r="D792" s="3" t="n">
        <v>39913</v>
      </c>
      <c r="F792" t="inlineStr">
        <is>
          <t>en es fr de it pt ja ko ru 汉语 漢語</t>
        </is>
      </c>
      <c r="G792" t="n">
        <v>1526</v>
      </c>
      <c r="H792">
        <f>MONTH(NOW())+12*YEAR(NOW())-MONTH(tbl_MTG_Set[[#This Row],[Released On]])-12*YEAR(tbl_MTG_Set[[#This Row],[Released On]])</f>
        <v/>
      </c>
      <c r="I792">
        <f>_xlfn.XLOOKUP(tbl_MTG_Set[[#This Row],[Type Name]], tbl_MTG_Set_Type[Set Type], tbl_MTG_Set_Type[Index], "(Set Type not found)")</f>
        <v/>
      </c>
      <c r="J792">
        <f>_xlfn.XLOOKUP(tbl_MTG_Set[[#This Row],[Type Name]], tbl_MTG_Set_Type[Set Type], tbl_MTG_Set_Type[Buy Window Month Start], "(Set Type not found)")</f>
        <v/>
      </c>
      <c r="K792" s="3">
        <f>tbl_MTG_Set[[#This Row],[Released On]]+tbl_MTG_Set[[#This Row],[Buy Window Month Start]]*365.25/12</f>
        <v/>
      </c>
      <c r="L792">
        <f>_xlfn.XLOOKUP(tbl_MTG_Set[[#This Row],[Type Name]], tbl_MTG_Set_Type[Set Type], tbl_MTG_Set_Type[Buy Window Month End], "(Set Type not found)", 0, 1)</f>
        <v/>
      </c>
      <c r="M792" s="3">
        <f>tbl_MTG_Set[[#This Row],[Released On]]+tbl_MTG_Set[[#This Row],[Buy Window Month End]]*365.25/12</f>
        <v/>
      </c>
      <c r="N792" s="3">
        <f>AND(NOW()&gt;=tbl_MTG_Set[[#This Row],[Buy Window Start]], NOW()&lt;=tbl_MTG_Set[[#This Row],[Buy Window End]])</f>
        <v/>
      </c>
      <c r="O792">
        <f>_xlfn.XLOOKUP(tbl_MTG_Set[[#This Row],[Type Name]], tbl_MTG_Set_Type[Set Type], tbl_MTG_Set_Type[Heavy Printing Window Month Start], "(Set Type not found)", 0, 1)</f>
        <v/>
      </c>
      <c r="P792" s="3">
        <f>tbl_MTG_Set[[#This Row],[Released On]]+tbl_MTG_Set[[#This Row],[Heavy Printing Window Month Start]]*365.25/12</f>
        <v/>
      </c>
      <c r="Q792">
        <f>_xlfn.XLOOKUP(tbl_MTG_Set[[#This Row],[Type Name]], tbl_MTG_Set_Type[Set Type], tbl_MTG_Set_Type[Heavy Printing Window Month End], "(Set Type not found)", 0, 1)</f>
        <v/>
      </c>
      <c r="R792" s="3">
        <f>tbl_MTG_Set[[#This Row],[Released On]]+tbl_MTG_Set[[#This Row],[Heavy Printing Window Month End]]*365.25/12</f>
        <v/>
      </c>
      <c r="S792" s="3">
        <f>AND(NOW()&gt;=tbl_MTG_Set[[#This Row],[Heavy Printing Window Start]], NOW()&lt;=tbl_MTG_Set[[#This Row],[Heavy Printing Window End]])</f>
        <v/>
      </c>
      <c r="T792">
        <f>_xlfn.XLOOKUP(tbl_MTG_Set[[#This Row],[Type Name]], tbl_MTG_Set_Type[Set Type], tbl_MTG_Set_Type[Sell Window Month Start], "(Set Type not found)", 0, 1)</f>
        <v/>
      </c>
      <c r="U792" s="3">
        <f>tbl_MTG_Set[[#This Row],[Released On]]+tbl_MTG_Set[[#This Row],[Sell Window Month Start]]*365.25/12</f>
        <v/>
      </c>
      <c r="V792">
        <f>_xlfn.XLOOKUP(tbl_MTG_Set[[#This Row],[Type Name]], tbl_MTG_Set_Type[Set Type], tbl_MTG_Set_Type[Sell Window Month End], "(Set Type not found)", 0, 1)</f>
        <v/>
      </c>
      <c r="W792" s="3">
        <f>tbl_MTG_Set[[#This Row],[Released On]]+tbl_MTG_Set[[#This Row],[Sell Window Month End]]*365.25/12</f>
        <v/>
      </c>
      <c r="X792" s="3">
        <f>AND(NOW()&gt;=tbl_MTG_Set[[#This Row],[Sell Window Start]], NOW()&lt;=tbl_MTG_Set[[#This Row],[Sell Window End]])</f>
        <v/>
      </c>
      <c r="AG792" s="10" t="n"/>
      <c r="AH792" s="10" t="n"/>
      <c r="AM792" s="10">
        <f t="array" ref="AM7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2" s="10">
        <f t="array" ref="AN7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2" s="4">
        <f>_xlfn.XLOOKUP(tbl_MTG_Set[[#This Row],[Play Booster Box Product Id]], tbl_Product[Product Id], tbl_Product[Pack Size])</f>
        <v/>
      </c>
      <c r="AP792" s="10">
        <f>(tbl_MTG_Set[[#This Row],[Play Booster Box Cost]]+v_Item_Shipping_Cost_In)/tbl_MTG_Set[[#This Row],[Play Booster Box Size]]</f>
        <v/>
      </c>
      <c r="AQ792" s="10">
        <f t="array" ref="AQ7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2" s="10" t="n"/>
      <c r="AS792" s="10" t="n"/>
      <c r="AT792" s="17">
        <f>tbl_MTG_Set[[#This Row],[Play Booster CardMarket Profit]]/tbl_MTG_Set[[#This Row],[Play Booster Cost]]</f>
        <v/>
      </c>
      <c r="AU792" s="10">
        <f>_xlfn.XLOOKUP(tbl_MTG_Set[[#This Row],[Collector Booster Box Product Id]], tbl_Product[Product Id], tbl_Product[Min Cost])</f>
        <v/>
      </c>
      <c r="AV792" s="10">
        <f>_xlfn.XLOOKUP(tbl_MTG_Set[[#This Row],[Collector Booster Box Product Id]], tbl_Product[Product Id], tbl_Product[Best Source])</f>
        <v/>
      </c>
      <c r="AW792" s="4">
        <f>_xlfn.XLOOKUP(tbl_MTG_Set[[#This Row],[Collector Booster Box Product Id]], tbl_Product[Product Id], tbl_Product[Pack Size])</f>
        <v/>
      </c>
      <c r="AX792" s="10">
        <f>(tbl_MTG_Set[[#This Row],[Collector Booster Box Cost]] + v_Item_Shipping_Cost_In) / tbl_MTG_Set[[#This Row],[Collector Booster Box Size]]</f>
        <v/>
      </c>
      <c r="AY792" s="10">
        <f t="array" ref="AY7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2" s="10" t="n"/>
      <c r="BA7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2" s="17">
        <f>tbl_MTG_Set[[#This Row],[Collector Booster CardMarket Profit]]/tbl_MTG_Set[[#This Row],[Collector Booster Cost]]</f>
        <v/>
      </c>
      <c r="BC792" s="10" t="n"/>
      <c r="BF792" s="10">
        <f>tbl_MTG_Set[[#This Row],[Play Booster Sell Price CardMarket]]*tbl_MTG_Set[[#This Row],[Play Booster Expected Market Value]]/tbl_MTG_Set[[#This Row],[Play Boost Sealed Market Value]]</f>
        <v/>
      </c>
      <c r="BG7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2" s="10">
        <f>tbl_MTG_Set[[#This Row],[Play Singles CardMarket Profit]]/tbl_MTG_Set[[#This Row],[Play Booster Cost]]</f>
        <v/>
      </c>
      <c r="BI792" s="10">
        <f>tbl_MTG_Set[[#This Row],[Play Singles CardMarket Profit]]&gt;0</f>
        <v/>
      </c>
      <c r="BJ792" s="10" t="n"/>
      <c r="BK792" s="10" t="n"/>
      <c r="BL792" s="10">
        <f>tbl_MTG_Set[[#This Row],[Collector Booster Sell Price CardMarket]]*tbl_MTG_Set[[#This Row],[Collector Booster Expected Market Value]]/tbl_MTG_Set[[#This Row],[Collector Boost Sealed Market Value]]</f>
        <v/>
      </c>
      <c r="BM7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2" s="10">
        <f>tbl_MTG_Set[[#This Row],[Collector Singles CardMarket Profit]]/tbl_MTG_Set[[#This Row],[Collector Booster Cost]]</f>
        <v/>
      </c>
      <c r="BO792" s="10">
        <f>tbl_MTG_Set[[#This Row],[Collector Singles CardMarket Profit]]&gt;0</f>
        <v/>
      </c>
      <c r="BP7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3">
      <c r="A793" t="n">
        <v>791</v>
      </c>
      <c r="B793" t="inlineStr">
        <is>
          <t>Duel Decks: Divine vs. Demonic Tokens TDDC</t>
        </is>
      </c>
      <c r="C793" t="n">
        <v>3</v>
      </c>
      <c r="D793" s="3" t="n">
        <v>39913</v>
      </c>
      <c r="F793" t="inlineStr">
        <is>
          <t>en es fr de it pt ja ko ru 汉语 漢語</t>
        </is>
      </c>
      <c r="G793" t="n">
        <v>1528</v>
      </c>
      <c r="H793">
        <f>MONTH(NOW())+12*YEAR(NOW())-MONTH(tbl_MTG_Set[[#This Row],[Released On]])-12*YEAR(tbl_MTG_Set[[#This Row],[Released On]])</f>
        <v/>
      </c>
      <c r="I793">
        <f>_xlfn.XLOOKUP(tbl_MTG_Set[[#This Row],[Type Name]], tbl_MTG_Set_Type[Set Type], tbl_MTG_Set_Type[Index], "(Set Type not found)")</f>
        <v/>
      </c>
      <c r="J793">
        <f>_xlfn.XLOOKUP(tbl_MTG_Set[[#This Row],[Type Name]], tbl_MTG_Set_Type[Set Type], tbl_MTG_Set_Type[Buy Window Month Start], "(Set Type not found)")</f>
        <v/>
      </c>
      <c r="K793" s="3">
        <f>tbl_MTG_Set[[#This Row],[Released On]]+tbl_MTG_Set[[#This Row],[Buy Window Month Start]]*365.25/12</f>
        <v/>
      </c>
      <c r="L793">
        <f>_xlfn.XLOOKUP(tbl_MTG_Set[[#This Row],[Type Name]], tbl_MTG_Set_Type[Set Type], tbl_MTG_Set_Type[Buy Window Month End], "(Set Type not found)", 0, 1)</f>
        <v/>
      </c>
      <c r="M793" s="3">
        <f>tbl_MTG_Set[[#This Row],[Released On]]+tbl_MTG_Set[[#This Row],[Buy Window Month End]]*365.25/12</f>
        <v/>
      </c>
      <c r="N793" s="3">
        <f>AND(NOW()&gt;=tbl_MTG_Set[[#This Row],[Buy Window Start]], NOW()&lt;=tbl_MTG_Set[[#This Row],[Buy Window End]])</f>
        <v/>
      </c>
      <c r="O793">
        <f>_xlfn.XLOOKUP(tbl_MTG_Set[[#This Row],[Type Name]], tbl_MTG_Set_Type[Set Type], tbl_MTG_Set_Type[Heavy Printing Window Month Start], "(Set Type not found)", 0, 1)</f>
        <v/>
      </c>
      <c r="P793" s="3">
        <f>tbl_MTG_Set[[#This Row],[Released On]]+tbl_MTG_Set[[#This Row],[Heavy Printing Window Month Start]]*365.25/12</f>
        <v/>
      </c>
      <c r="Q793">
        <f>_xlfn.XLOOKUP(tbl_MTG_Set[[#This Row],[Type Name]], tbl_MTG_Set_Type[Set Type], tbl_MTG_Set_Type[Heavy Printing Window Month End], "(Set Type not found)", 0, 1)</f>
        <v/>
      </c>
      <c r="R793" s="3">
        <f>tbl_MTG_Set[[#This Row],[Released On]]+tbl_MTG_Set[[#This Row],[Heavy Printing Window Month End]]*365.25/12</f>
        <v/>
      </c>
      <c r="S793" s="3">
        <f>AND(NOW()&gt;=tbl_MTG_Set[[#This Row],[Heavy Printing Window Start]], NOW()&lt;=tbl_MTG_Set[[#This Row],[Heavy Printing Window End]])</f>
        <v/>
      </c>
      <c r="T793">
        <f>_xlfn.XLOOKUP(tbl_MTG_Set[[#This Row],[Type Name]], tbl_MTG_Set_Type[Set Type], tbl_MTG_Set_Type[Sell Window Month Start], "(Set Type not found)", 0, 1)</f>
        <v/>
      </c>
      <c r="U793" s="3">
        <f>tbl_MTG_Set[[#This Row],[Released On]]+tbl_MTG_Set[[#This Row],[Sell Window Month Start]]*365.25/12</f>
        <v/>
      </c>
      <c r="V793">
        <f>_xlfn.XLOOKUP(tbl_MTG_Set[[#This Row],[Type Name]], tbl_MTG_Set_Type[Set Type], tbl_MTG_Set_Type[Sell Window Month End], "(Set Type not found)", 0, 1)</f>
        <v/>
      </c>
      <c r="W793" s="3">
        <f>tbl_MTG_Set[[#This Row],[Released On]]+tbl_MTG_Set[[#This Row],[Sell Window Month End]]*365.25/12</f>
        <v/>
      </c>
      <c r="X793" s="3">
        <f>AND(NOW()&gt;=tbl_MTG_Set[[#This Row],[Sell Window Start]], NOW()&lt;=tbl_MTG_Set[[#This Row],[Sell Window End]])</f>
        <v/>
      </c>
      <c r="AG793" s="10" t="n"/>
      <c r="AH793" s="10" t="n"/>
      <c r="AM793" s="10">
        <f t="array" ref="AM7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3" s="10">
        <f t="array" ref="AN7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3" s="4">
        <f>_xlfn.XLOOKUP(tbl_MTG_Set[[#This Row],[Play Booster Box Product Id]], tbl_Product[Product Id], tbl_Product[Pack Size])</f>
        <v/>
      </c>
      <c r="AP793" s="10">
        <f>(tbl_MTG_Set[[#This Row],[Play Booster Box Cost]]+v_Item_Shipping_Cost_In)/tbl_MTG_Set[[#This Row],[Play Booster Box Size]]</f>
        <v/>
      </c>
      <c r="AQ793" s="10">
        <f t="array" ref="AQ7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3" s="10" t="n"/>
      <c r="AS793" s="10" t="n"/>
      <c r="AT793" s="17">
        <f>tbl_MTG_Set[[#This Row],[Play Booster CardMarket Profit]]/tbl_MTG_Set[[#This Row],[Play Booster Cost]]</f>
        <v/>
      </c>
      <c r="AU793" s="10">
        <f>_xlfn.XLOOKUP(tbl_MTG_Set[[#This Row],[Collector Booster Box Product Id]], tbl_Product[Product Id], tbl_Product[Min Cost])</f>
        <v/>
      </c>
      <c r="AV793" s="10">
        <f>_xlfn.XLOOKUP(tbl_MTG_Set[[#This Row],[Collector Booster Box Product Id]], tbl_Product[Product Id], tbl_Product[Best Source])</f>
        <v/>
      </c>
      <c r="AW793" s="4">
        <f>_xlfn.XLOOKUP(tbl_MTG_Set[[#This Row],[Collector Booster Box Product Id]], tbl_Product[Product Id], tbl_Product[Pack Size])</f>
        <v/>
      </c>
      <c r="AX793" s="10">
        <f>(tbl_MTG_Set[[#This Row],[Collector Booster Box Cost]] + v_Item_Shipping_Cost_In) / tbl_MTG_Set[[#This Row],[Collector Booster Box Size]]</f>
        <v/>
      </c>
      <c r="AY793" s="10">
        <f t="array" ref="AY7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3" s="10" t="n"/>
      <c r="BA7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3" s="17">
        <f>tbl_MTG_Set[[#This Row],[Collector Booster CardMarket Profit]]/tbl_MTG_Set[[#This Row],[Collector Booster Cost]]</f>
        <v/>
      </c>
      <c r="BC793" s="10" t="n"/>
      <c r="BF793" s="10">
        <f>tbl_MTG_Set[[#This Row],[Play Booster Sell Price CardMarket]]*tbl_MTG_Set[[#This Row],[Play Booster Expected Market Value]]/tbl_MTG_Set[[#This Row],[Play Boost Sealed Market Value]]</f>
        <v/>
      </c>
      <c r="BG7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3" s="10">
        <f>tbl_MTG_Set[[#This Row],[Play Singles CardMarket Profit]]/tbl_MTG_Set[[#This Row],[Play Booster Cost]]</f>
        <v/>
      </c>
      <c r="BI793" s="10">
        <f>tbl_MTG_Set[[#This Row],[Play Singles CardMarket Profit]]&gt;0</f>
        <v/>
      </c>
      <c r="BJ793" s="10" t="n"/>
      <c r="BK793" s="10" t="n"/>
      <c r="BL793" s="10">
        <f>tbl_MTG_Set[[#This Row],[Collector Booster Sell Price CardMarket]]*tbl_MTG_Set[[#This Row],[Collector Booster Expected Market Value]]/tbl_MTG_Set[[#This Row],[Collector Boost Sealed Market Value]]</f>
        <v/>
      </c>
      <c r="BM7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3" s="10">
        <f>tbl_MTG_Set[[#This Row],[Collector Singles CardMarket Profit]]/tbl_MTG_Set[[#This Row],[Collector Booster Cost]]</f>
        <v/>
      </c>
      <c r="BO793" s="10">
        <f>tbl_MTG_Set[[#This Row],[Collector Singles CardMarket Profit]]&gt;0</f>
        <v/>
      </c>
      <c r="BP7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4">
      <c r="A794" t="n">
        <v>792</v>
      </c>
      <c r="B794" t="inlineStr">
        <is>
          <t>URL/Convention Promos PURL</t>
        </is>
      </c>
      <c r="C794" t="n">
        <v>15</v>
      </c>
      <c r="D794" s="3" t="n">
        <v>39852</v>
      </c>
      <c r="F794" t="inlineStr">
        <is>
          <t>en es fr de it pt ja ko ru 汉语 漢語</t>
        </is>
      </c>
      <c r="G794" t="n">
        <v>1530</v>
      </c>
      <c r="H794">
        <f>MONTH(NOW())+12*YEAR(NOW())-MONTH(tbl_MTG_Set[[#This Row],[Released On]])-12*YEAR(tbl_MTG_Set[[#This Row],[Released On]])</f>
        <v/>
      </c>
      <c r="I794">
        <f>_xlfn.XLOOKUP(tbl_MTG_Set[[#This Row],[Type Name]], tbl_MTG_Set_Type[Set Type], tbl_MTG_Set_Type[Index], "(Set Type not found)")</f>
        <v/>
      </c>
      <c r="J794">
        <f>_xlfn.XLOOKUP(tbl_MTG_Set[[#This Row],[Type Name]], tbl_MTG_Set_Type[Set Type], tbl_MTG_Set_Type[Buy Window Month Start], "(Set Type not found)")</f>
        <v/>
      </c>
      <c r="K794" s="3">
        <f>tbl_MTG_Set[[#This Row],[Released On]]+tbl_MTG_Set[[#This Row],[Buy Window Month Start]]*365.25/12</f>
        <v/>
      </c>
      <c r="L794">
        <f>_xlfn.XLOOKUP(tbl_MTG_Set[[#This Row],[Type Name]], tbl_MTG_Set_Type[Set Type], tbl_MTG_Set_Type[Buy Window Month End], "(Set Type not found)", 0, 1)</f>
        <v/>
      </c>
      <c r="M794" s="3">
        <f>tbl_MTG_Set[[#This Row],[Released On]]+tbl_MTG_Set[[#This Row],[Buy Window Month End]]*365.25/12</f>
        <v/>
      </c>
      <c r="N794" s="3">
        <f>AND(NOW()&gt;=tbl_MTG_Set[[#This Row],[Buy Window Start]], NOW()&lt;=tbl_MTG_Set[[#This Row],[Buy Window End]])</f>
        <v/>
      </c>
      <c r="O794">
        <f>_xlfn.XLOOKUP(tbl_MTG_Set[[#This Row],[Type Name]], tbl_MTG_Set_Type[Set Type], tbl_MTG_Set_Type[Heavy Printing Window Month Start], "(Set Type not found)", 0, 1)</f>
        <v/>
      </c>
      <c r="P794" s="3">
        <f>tbl_MTG_Set[[#This Row],[Released On]]+tbl_MTG_Set[[#This Row],[Heavy Printing Window Month Start]]*365.25/12</f>
        <v/>
      </c>
      <c r="Q794">
        <f>_xlfn.XLOOKUP(tbl_MTG_Set[[#This Row],[Type Name]], tbl_MTG_Set_Type[Set Type], tbl_MTG_Set_Type[Heavy Printing Window Month End], "(Set Type not found)", 0, 1)</f>
        <v/>
      </c>
      <c r="R794" s="3">
        <f>tbl_MTG_Set[[#This Row],[Released On]]+tbl_MTG_Set[[#This Row],[Heavy Printing Window Month End]]*365.25/12</f>
        <v/>
      </c>
      <c r="S794" s="3">
        <f>AND(NOW()&gt;=tbl_MTG_Set[[#This Row],[Heavy Printing Window Start]], NOW()&lt;=tbl_MTG_Set[[#This Row],[Heavy Printing Window End]])</f>
        <v/>
      </c>
      <c r="T794">
        <f>_xlfn.XLOOKUP(tbl_MTG_Set[[#This Row],[Type Name]], tbl_MTG_Set_Type[Set Type], tbl_MTG_Set_Type[Sell Window Month Start], "(Set Type not found)", 0, 1)</f>
        <v/>
      </c>
      <c r="U794" s="3">
        <f>tbl_MTG_Set[[#This Row],[Released On]]+tbl_MTG_Set[[#This Row],[Sell Window Month Start]]*365.25/12</f>
        <v/>
      </c>
      <c r="V794">
        <f>_xlfn.XLOOKUP(tbl_MTG_Set[[#This Row],[Type Name]], tbl_MTG_Set_Type[Set Type], tbl_MTG_Set_Type[Sell Window Month End], "(Set Type not found)", 0, 1)</f>
        <v/>
      </c>
      <c r="W794" s="3">
        <f>tbl_MTG_Set[[#This Row],[Released On]]+tbl_MTG_Set[[#This Row],[Sell Window Month End]]*365.25/12</f>
        <v/>
      </c>
      <c r="X794" s="3">
        <f>AND(NOW()&gt;=tbl_MTG_Set[[#This Row],[Sell Window Start]], NOW()&lt;=tbl_MTG_Set[[#This Row],[Sell Window End]])</f>
        <v/>
      </c>
      <c r="AG794" s="10" t="n"/>
      <c r="AH794" s="10" t="n"/>
      <c r="AM794" s="10">
        <f t="array" ref="AM7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4" s="10">
        <f t="array" ref="AN7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4" s="4">
        <f>_xlfn.XLOOKUP(tbl_MTG_Set[[#This Row],[Play Booster Box Product Id]], tbl_Product[Product Id], tbl_Product[Pack Size])</f>
        <v/>
      </c>
      <c r="AP794" s="10">
        <f>(tbl_MTG_Set[[#This Row],[Play Booster Box Cost]]+v_Item_Shipping_Cost_In)/tbl_MTG_Set[[#This Row],[Play Booster Box Size]]</f>
        <v/>
      </c>
      <c r="AQ794" s="10">
        <f t="array" ref="AQ7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4" s="10" t="n"/>
      <c r="AS794" s="10" t="n"/>
      <c r="AT794" s="17">
        <f>tbl_MTG_Set[[#This Row],[Play Booster CardMarket Profit]]/tbl_MTG_Set[[#This Row],[Play Booster Cost]]</f>
        <v/>
      </c>
      <c r="AU794" s="10">
        <f>_xlfn.XLOOKUP(tbl_MTG_Set[[#This Row],[Collector Booster Box Product Id]], tbl_Product[Product Id], tbl_Product[Min Cost])</f>
        <v/>
      </c>
      <c r="AV794" s="10">
        <f>_xlfn.XLOOKUP(tbl_MTG_Set[[#This Row],[Collector Booster Box Product Id]], tbl_Product[Product Id], tbl_Product[Best Source])</f>
        <v/>
      </c>
      <c r="AW794" s="4">
        <f>_xlfn.XLOOKUP(tbl_MTG_Set[[#This Row],[Collector Booster Box Product Id]], tbl_Product[Product Id], tbl_Product[Pack Size])</f>
        <v/>
      </c>
      <c r="AX794" s="10">
        <f>(tbl_MTG_Set[[#This Row],[Collector Booster Box Cost]] + v_Item_Shipping_Cost_In) / tbl_MTG_Set[[#This Row],[Collector Booster Box Size]]</f>
        <v/>
      </c>
      <c r="AY794" s="10">
        <f t="array" ref="AY7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4" s="10" t="n"/>
      <c r="BA7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4" s="17">
        <f>tbl_MTG_Set[[#This Row],[Collector Booster CardMarket Profit]]/tbl_MTG_Set[[#This Row],[Collector Booster Cost]]</f>
        <v/>
      </c>
      <c r="BC794" s="10" t="n"/>
      <c r="BF794" s="10">
        <f>tbl_MTG_Set[[#This Row],[Play Booster Sell Price CardMarket]]*tbl_MTG_Set[[#This Row],[Play Booster Expected Market Value]]/tbl_MTG_Set[[#This Row],[Play Boost Sealed Market Value]]</f>
        <v/>
      </c>
      <c r="BG7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4" s="10">
        <f>tbl_MTG_Set[[#This Row],[Play Singles CardMarket Profit]]/tbl_MTG_Set[[#This Row],[Play Booster Cost]]</f>
        <v/>
      </c>
      <c r="BI794" s="10">
        <f>tbl_MTG_Set[[#This Row],[Play Singles CardMarket Profit]]&gt;0</f>
        <v/>
      </c>
      <c r="BJ794" s="10" t="n"/>
      <c r="BK794" s="10" t="n"/>
      <c r="BL794" s="10">
        <f>tbl_MTG_Set[[#This Row],[Collector Booster Sell Price CardMarket]]*tbl_MTG_Set[[#This Row],[Collector Booster Expected Market Value]]/tbl_MTG_Set[[#This Row],[Collector Boost Sealed Market Value]]</f>
        <v/>
      </c>
      <c r="BM7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4" s="10">
        <f>tbl_MTG_Set[[#This Row],[Collector Singles CardMarket Profit]]/tbl_MTG_Set[[#This Row],[Collector Booster Cost]]</f>
        <v/>
      </c>
      <c r="BO794" s="10">
        <f>tbl_MTG_Set[[#This Row],[Collector Singles CardMarket Profit]]&gt;0</f>
        <v/>
      </c>
      <c r="BP7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5">
      <c r="A795" t="n">
        <v>793</v>
      </c>
      <c r="B795" t="inlineStr">
        <is>
          <t>Conflux CON</t>
        </is>
      </c>
      <c r="C795" t="n">
        <v>145</v>
      </c>
      <c r="D795" s="3" t="n">
        <v>39850</v>
      </c>
      <c r="F795" t="inlineStr">
        <is>
          <t>en es fr de it pt ja ko ru 汉语 漢語</t>
        </is>
      </c>
      <c r="G795" t="n">
        <v>1532</v>
      </c>
      <c r="H795">
        <f>MONTH(NOW())+12*YEAR(NOW())-MONTH(tbl_MTG_Set[[#This Row],[Released On]])-12*YEAR(tbl_MTG_Set[[#This Row],[Released On]])</f>
        <v/>
      </c>
      <c r="I795">
        <f>_xlfn.XLOOKUP(tbl_MTG_Set[[#This Row],[Type Name]], tbl_MTG_Set_Type[Set Type], tbl_MTG_Set_Type[Index], "(Set Type not found)")</f>
        <v/>
      </c>
      <c r="J795">
        <f>_xlfn.XLOOKUP(tbl_MTG_Set[[#This Row],[Type Name]], tbl_MTG_Set_Type[Set Type], tbl_MTG_Set_Type[Buy Window Month Start], "(Set Type not found)")</f>
        <v/>
      </c>
      <c r="K795" s="3">
        <f>tbl_MTG_Set[[#This Row],[Released On]]+tbl_MTG_Set[[#This Row],[Buy Window Month Start]]*365.25/12</f>
        <v/>
      </c>
      <c r="L795">
        <f>_xlfn.XLOOKUP(tbl_MTG_Set[[#This Row],[Type Name]], tbl_MTG_Set_Type[Set Type], tbl_MTG_Set_Type[Buy Window Month End], "(Set Type not found)", 0, 1)</f>
        <v/>
      </c>
      <c r="M795" s="3">
        <f>tbl_MTG_Set[[#This Row],[Released On]]+tbl_MTG_Set[[#This Row],[Buy Window Month End]]*365.25/12</f>
        <v/>
      </c>
      <c r="N795" s="3">
        <f>AND(NOW()&gt;=tbl_MTG_Set[[#This Row],[Buy Window Start]], NOW()&lt;=tbl_MTG_Set[[#This Row],[Buy Window End]])</f>
        <v/>
      </c>
      <c r="O795">
        <f>_xlfn.XLOOKUP(tbl_MTG_Set[[#This Row],[Type Name]], tbl_MTG_Set_Type[Set Type], tbl_MTG_Set_Type[Heavy Printing Window Month Start], "(Set Type not found)", 0, 1)</f>
        <v/>
      </c>
      <c r="P795" s="3">
        <f>tbl_MTG_Set[[#This Row],[Released On]]+tbl_MTG_Set[[#This Row],[Heavy Printing Window Month Start]]*365.25/12</f>
        <v/>
      </c>
      <c r="Q795">
        <f>_xlfn.XLOOKUP(tbl_MTG_Set[[#This Row],[Type Name]], tbl_MTG_Set_Type[Set Type], tbl_MTG_Set_Type[Heavy Printing Window Month End], "(Set Type not found)", 0, 1)</f>
        <v/>
      </c>
      <c r="R795" s="3">
        <f>tbl_MTG_Set[[#This Row],[Released On]]+tbl_MTG_Set[[#This Row],[Heavy Printing Window Month End]]*365.25/12</f>
        <v/>
      </c>
      <c r="S795" s="3">
        <f>AND(NOW()&gt;=tbl_MTG_Set[[#This Row],[Heavy Printing Window Start]], NOW()&lt;=tbl_MTG_Set[[#This Row],[Heavy Printing Window End]])</f>
        <v/>
      </c>
      <c r="T795">
        <f>_xlfn.XLOOKUP(tbl_MTG_Set[[#This Row],[Type Name]], tbl_MTG_Set_Type[Set Type], tbl_MTG_Set_Type[Sell Window Month Start], "(Set Type not found)", 0, 1)</f>
        <v/>
      </c>
      <c r="U795" s="3">
        <f>tbl_MTG_Set[[#This Row],[Released On]]+tbl_MTG_Set[[#This Row],[Sell Window Month Start]]*365.25/12</f>
        <v/>
      </c>
      <c r="V795">
        <f>_xlfn.XLOOKUP(tbl_MTG_Set[[#This Row],[Type Name]], tbl_MTG_Set_Type[Set Type], tbl_MTG_Set_Type[Sell Window Month End], "(Set Type not found)", 0, 1)</f>
        <v/>
      </c>
      <c r="W795" s="3">
        <f>tbl_MTG_Set[[#This Row],[Released On]]+tbl_MTG_Set[[#This Row],[Sell Window Month End]]*365.25/12</f>
        <v/>
      </c>
      <c r="X795" s="3">
        <f>AND(NOW()&gt;=tbl_MTG_Set[[#This Row],[Sell Window Start]], NOW()&lt;=tbl_MTG_Set[[#This Row],[Sell Window End]])</f>
        <v/>
      </c>
      <c r="AG795" s="10" t="n"/>
      <c r="AH795" s="10" t="n"/>
      <c r="AM795" s="10">
        <f t="array" ref="AM7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5" s="10">
        <f t="array" ref="AN7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5" s="4">
        <f>_xlfn.XLOOKUP(tbl_MTG_Set[[#This Row],[Play Booster Box Product Id]], tbl_Product[Product Id], tbl_Product[Pack Size])</f>
        <v/>
      </c>
      <c r="AP795" s="10">
        <f>(tbl_MTG_Set[[#This Row],[Play Booster Box Cost]]+v_Item_Shipping_Cost_In)/tbl_MTG_Set[[#This Row],[Play Booster Box Size]]</f>
        <v/>
      </c>
      <c r="AQ795" s="10">
        <f t="array" ref="AQ7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5" s="10" t="n"/>
      <c r="AS795" s="10" t="n"/>
      <c r="AT795" s="17">
        <f>tbl_MTG_Set[[#This Row],[Play Booster CardMarket Profit]]/tbl_MTG_Set[[#This Row],[Play Booster Cost]]</f>
        <v/>
      </c>
      <c r="AU795" s="10">
        <f>_xlfn.XLOOKUP(tbl_MTG_Set[[#This Row],[Collector Booster Box Product Id]], tbl_Product[Product Id], tbl_Product[Min Cost])</f>
        <v/>
      </c>
      <c r="AV795" s="10">
        <f>_xlfn.XLOOKUP(tbl_MTG_Set[[#This Row],[Collector Booster Box Product Id]], tbl_Product[Product Id], tbl_Product[Best Source])</f>
        <v/>
      </c>
      <c r="AW795" s="4">
        <f>_xlfn.XLOOKUP(tbl_MTG_Set[[#This Row],[Collector Booster Box Product Id]], tbl_Product[Product Id], tbl_Product[Pack Size])</f>
        <v/>
      </c>
      <c r="AX795" s="10">
        <f>(tbl_MTG_Set[[#This Row],[Collector Booster Box Cost]] + v_Item_Shipping_Cost_In) / tbl_MTG_Set[[#This Row],[Collector Booster Box Size]]</f>
        <v/>
      </c>
      <c r="AY795" s="10">
        <f t="array" ref="AY7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5" s="10" t="n"/>
      <c r="BA7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5" s="17">
        <f>tbl_MTG_Set[[#This Row],[Collector Booster CardMarket Profit]]/tbl_MTG_Set[[#This Row],[Collector Booster Cost]]</f>
        <v/>
      </c>
      <c r="BC795" s="10" t="n"/>
      <c r="BF795" s="10">
        <f>tbl_MTG_Set[[#This Row],[Play Booster Sell Price CardMarket]]*tbl_MTG_Set[[#This Row],[Play Booster Expected Market Value]]/tbl_MTG_Set[[#This Row],[Play Boost Sealed Market Value]]</f>
        <v/>
      </c>
      <c r="BG7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5" s="10">
        <f>tbl_MTG_Set[[#This Row],[Play Singles CardMarket Profit]]/tbl_MTG_Set[[#This Row],[Play Booster Cost]]</f>
        <v/>
      </c>
      <c r="BI795" s="10">
        <f>tbl_MTG_Set[[#This Row],[Play Singles CardMarket Profit]]&gt;0</f>
        <v/>
      </c>
      <c r="BJ795" s="10" t="n"/>
      <c r="BK795" s="10" t="n"/>
      <c r="BL795" s="10">
        <f>tbl_MTG_Set[[#This Row],[Collector Booster Sell Price CardMarket]]*tbl_MTG_Set[[#This Row],[Collector Booster Expected Market Value]]/tbl_MTG_Set[[#This Row],[Collector Boost Sealed Market Value]]</f>
        <v/>
      </c>
      <c r="BM7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5" s="10">
        <f>tbl_MTG_Set[[#This Row],[Collector Singles CardMarket Profit]]/tbl_MTG_Set[[#This Row],[Collector Booster Cost]]</f>
        <v/>
      </c>
      <c r="BO795" s="10">
        <f>tbl_MTG_Set[[#This Row],[Collector Singles CardMarket Profit]]&gt;0</f>
        <v/>
      </c>
      <c r="BP7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6">
      <c r="A796" t="n">
        <v>794</v>
      </c>
      <c r="B796" t="inlineStr">
        <is>
          <t>Conflux Promos PCON</t>
        </is>
      </c>
      <c r="C796" t="n">
        <v>2</v>
      </c>
      <c r="D796" s="3" t="n">
        <v>39850</v>
      </c>
      <c r="F796" t="inlineStr">
        <is>
          <t>en es fr de it pt ja ko ru 汉语 漢語</t>
        </is>
      </c>
      <c r="G796" t="n">
        <v>1534</v>
      </c>
      <c r="H796">
        <f>MONTH(NOW())+12*YEAR(NOW())-MONTH(tbl_MTG_Set[[#This Row],[Released On]])-12*YEAR(tbl_MTG_Set[[#This Row],[Released On]])</f>
        <v/>
      </c>
      <c r="I796">
        <f>_xlfn.XLOOKUP(tbl_MTG_Set[[#This Row],[Type Name]], tbl_MTG_Set_Type[Set Type], tbl_MTG_Set_Type[Index], "(Set Type not found)")</f>
        <v/>
      </c>
      <c r="J796">
        <f>_xlfn.XLOOKUP(tbl_MTG_Set[[#This Row],[Type Name]], tbl_MTG_Set_Type[Set Type], tbl_MTG_Set_Type[Buy Window Month Start], "(Set Type not found)")</f>
        <v/>
      </c>
      <c r="K796" s="3">
        <f>tbl_MTG_Set[[#This Row],[Released On]]+tbl_MTG_Set[[#This Row],[Buy Window Month Start]]*365.25/12</f>
        <v/>
      </c>
      <c r="L796">
        <f>_xlfn.XLOOKUP(tbl_MTG_Set[[#This Row],[Type Name]], tbl_MTG_Set_Type[Set Type], tbl_MTG_Set_Type[Buy Window Month End], "(Set Type not found)", 0, 1)</f>
        <v/>
      </c>
      <c r="M796" s="3">
        <f>tbl_MTG_Set[[#This Row],[Released On]]+tbl_MTG_Set[[#This Row],[Buy Window Month End]]*365.25/12</f>
        <v/>
      </c>
      <c r="N796" s="3">
        <f>AND(NOW()&gt;=tbl_MTG_Set[[#This Row],[Buy Window Start]], NOW()&lt;=tbl_MTG_Set[[#This Row],[Buy Window End]])</f>
        <v/>
      </c>
      <c r="O796">
        <f>_xlfn.XLOOKUP(tbl_MTG_Set[[#This Row],[Type Name]], tbl_MTG_Set_Type[Set Type], tbl_MTG_Set_Type[Heavy Printing Window Month Start], "(Set Type not found)", 0, 1)</f>
        <v/>
      </c>
      <c r="P796" s="3">
        <f>tbl_MTG_Set[[#This Row],[Released On]]+tbl_MTG_Set[[#This Row],[Heavy Printing Window Month Start]]*365.25/12</f>
        <v/>
      </c>
      <c r="Q796">
        <f>_xlfn.XLOOKUP(tbl_MTG_Set[[#This Row],[Type Name]], tbl_MTG_Set_Type[Set Type], tbl_MTG_Set_Type[Heavy Printing Window Month End], "(Set Type not found)", 0, 1)</f>
        <v/>
      </c>
      <c r="R796" s="3">
        <f>tbl_MTG_Set[[#This Row],[Released On]]+tbl_MTG_Set[[#This Row],[Heavy Printing Window Month End]]*365.25/12</f>
        <v/>
      </c>
      <c r="S796" s="3">
        <f>AND(NOW()&gt;=tbl_MTG_Set[[#This Row],[Heavy Printing Window Start]], NOW()&lt;=tbl_MTG_Set[[#This Row],[Heavy Printing Window End]])</f>
        <v/>
      </c>
      <c r="T796">
        <f>_xlfn.XLOOKUP(tbl_MTG_Set[[#This Row],[Type Name]], tbl_MTG_Set_Type[Set Type], tbl_MTG_Set_Type[Sell Window Month Start], "(Set Type not found)", 0, 1)</f>
        <v/>
      </c>
      <c r="U796" s="3">
        <f>tbl_MTG_Set[[#This Row],[Released On]]+tbl_MTG_Set[[#This Row],[Sell Window Month Start]]*365.25/12</f>
        <v/>
      </c>
      <c r="V796">
        <f>_xlfn.XLOOKUP(tbl_MTG_Set[[#This Row],[Type Name]], tbl_MTG_Set_Type[Set Type], tbl_MTG_Set_Type[Sell Window Month End], "(Set Type not found)", 0, 1)</f>
        <v/>
      </c>
      <c r="W796" s="3">
        <f>tbl_MTG_Set[[#This Row],[Released On]]+tbl_MTG_Set[[#This Row],[Sell Window Month End]]*365.25/12</f>
        <v/>
      </c>
      <c r="X796" s="3">
        <f>AND(NOW()&gt;=tbl_MTG_Set[[#This Row],[Sell Window Start]], NOW()&lt;=tbl_MTG_Set[[#This Row],[Sell Window End]])</f>
        <v/>
      </c>
      <c r="AG796" s="10" t="n"/>
      <c r="AH796" s="10" t="n"/>
      <c r="AM796" s="10">
        <f t="array" ref="AM7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6" s="10">
        <f t="array" ref="AN7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6" s="4">
        <f>_xlfn.XLOOKUP(tbl_MTG_Set[[#This Row],[Play Booster Box Product Id]], tbl_Product[Product Id], tbl_Product[Pack Size])</f>
        <v/>
      </c>
      <c r="AP796" s="10">
        <f>(tbl_MTG_Set[[#This Row],[Play Booster Box Cost]]+v_Item_Shipping_Cost_In)/tbl_MTG_Set[[#This Row],[Play Booster Box Size]]</f>
        <v/>
      </c>
      <c r="AQ796" s="10">
        <f t="array" ref="AQ7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6" s="10" t="n"/>
      <c r="AS796" s="10" t="n"/>
      <c r="AT796" s="17">
        <f>tbl_MTG_Set[[#This Row],[Play Booster CardMarket Profit]]/tbl_MTG_Set[[#This Row],[Play Booster Cost]]</f>
        <v/>
      </c>
      <c r="AU796" s="10">
        <f>_xlfn.XLOOKUP(tbl_MTG_Set[[#This Row],[Collector Booster Box Product Id]], tbl_Product[Product Id], tbl_Product[Min Cost])</f>
        <v/>
      </c>
      <c r="AV796" s="10">
        <f>_xlfn.XLOOKUP(tbl_MTG_Set[[#This Row],[Collector Booster Box Product Id]], tbl_Product[Product Id], tbl_Product[Best Source])</f>
        <v/>
      </c>
      <c r="AW796" s="4">
        <f>_xlfn.XLOOKUP(tbl_MTG_Set[[#This Row],[Collector Booster Box Product Id]], tbl_Product[Product Id], tbl_Product[Pack Size])</f>
        <v/>
      </c>
      <c r="AX796" s="10">
        <f>(tbl_MTG_Set[[#This Row],[Collector Booster Box Cost]] + v_Item_Shipping_Cost_In) / tbl_MTG_Set[[#This Row],[Collector Booster Box Size]]</f>
        <v/>
      </c>
      <c r="AY796" s="10">
        <f t="array" ref="AY7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6" s="10" t="n"/>
      <c r="BA7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6" s="17">
        <f>tbl_MTG_Set[[#This Row],[Collector Booster CardMarket Profit]]/tbl_MTG_Set[[#This Row],[Collector Booster Cost]]</f>
        <v/>
      </c>
      <c r="BC796" s="10" t="n"/>
      <c r="BF796" s="10">
        <f>tbl_MTG_Set[[#This Row],[Play Booster Sell Price CardMarket]]*tbl_MTG_Set[[#This Row],[Play Booster Expected Market Value]]/tbl_MTG_Set[[#This Row],[Play Boost Sealed Market Value]]</f>
        <v/>
      </c>
      <c r="BG7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6" s="10">
        <f>tbl_MTG_Set[[#This Row],[Play Singles CardMarket Profit]]/tbl_MTG_Set[[#This Row],[Play Booster Cost]]</f>
        <v/>
      </c>
      <c r="BI796" s="10">
        <f>tbl_MTG_Set[[#This Row],[Play Singles CardMarket Profit]]&gt;0</f>
        <v/>
      </c>
      <c r="BJ796" s="10" t="n"/>
      <c r="BK796" s="10" t="n"/>
      <c r="BL796" s="10">
        <f>tbl_MTG_Set[[#This Row],[Collector Booster Sell Price CardMarket]]*tbl_MTG_Set[[#This Row],[Collector Booster Expected Market Value]]/tbl_MTG_Set[[#This Row],[Collector Boost Sealed Market Value]]</f>
        <v/>
      </c>
      <c r="BM7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6" s="10">
        <f>tbl_MTG_Set[[#This Row],[Collector Singles CardMarket Profit]]/tbl_MTG_Set[[#This Row],[Collector Booster Cost]]</f>
        <v/>
      </c>
      <c r="BO796" s="10">
        <f>tbl_MTG_Set[[#This Row],[Collector Singles CardMarket Profit]]&gt;0</f>
        <v/>
      </c>
      <c r="BP7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7">
      <c r="A797" t="n">
        <v>795</v>
      </c>
      <c r="B797" t="inlineStr">
        <is>
          <t>Conflux Tokens TCON</t>
        </is>
      </c>
      <c r="C797" t="n">
        <v>2</v>
      </c>
      <c r="D797" s="3" t="n">
        <v>39850</v>
      </c>
      <c r="F797" t="inlineStr">
        <is>
          <t>en es fr de it pt ja ko ru 汉语 漢語</t>
        </is>
      </c>
      <c r="G797" t="n">
        <v>1536</v>
      </c>
      <c r="H797">
        <f>MONTH(NOW())+12*YEAR(NOW())-MONTH(tbl_MTG_Set[[#This Row],[Released On]])-12*YEAR(tbl_MTG_Set[[#This Row],[Released On]])</f>
        <v/>
      </c>
      <c r="I797">
        <f>_xlfn.XLOOKUP(tbl_MTG_Set[[#This Row],[Type Name]], tbl_MTG_Set_Type[Set Type], tbl_MTG_Set_Type[Index], "(Set Type not found)")</f>
        <v/>
      </c>
      <c r="J797">
        <f>_xlfn.XLOOKUP(tbl_MTG_Set[[#This Row],[Type Name]], tbl_MTG_Set_Type[Set Type], tbl_MTG_Set_Type[Buy Window Month Start], "(Set Type not found)")</f>
        <v/>
      </c>
      <c r="K797" s="3">
        <f>tbl_MTG_Set[[#This Row],[Released On]]+tbl_MTG_Set[[#This Row],[Buy Window Month Start]]*365.25/12</f>
        <v/>
      </c>
      <c r="L797">
        <f>_xlfn.XLOOKUP(tbl_MTG_Set[[#This Row],[Type Name]], tbl_MTG_Set_Type[Set Type], tbl_MTG_Set_Type[Buy Window Month End], "(Set Type not found)", 0, 1)</f>
        <v/>
      </c>
      <c r="M797" s="3">
        <f>tbl_MTG_Set[[#This Row],[Released On]]+tbl_MTG_Set[[#This Row],[Buy Window Month End]]*365.25/12</f>
        <v/>
      </c>
      <c r="N797" s="3">
        <f>AND(NOW()&gt;=tbl_MTG_Set[[#This Row],[Buy Window Start]], NOW()&lt;=tbl_MTG_Set[[#This Row],[Buy Window End]])</f>
        <v/>
      </c>
      <c r="O797">
        <f>_xlfn.XLOOKUP(tbl_MTG_Set[[#This Row],[Type Name]], tbl_MTG_Set_Type[Set Type], tbl_MTG_Set_Type[Heavy Printing Window Month Start], "(Set Type not found)", 0, 1)</f>
        <v/>
      </c>
      <c r="P797" s="3">
        <f>tbl_MTG_Set[[#This Row],[Released On]]+tbl_MTG_Set[[#This Row],[Heavy Printing Window Month Start]]*365.25/12</f>
        <v/>
      </c>
      <c r="Q797">
        <f>_xlfn.XLOOKUP(tbl_MTG_Set[[#This Row],[Type Name]], tbl_MTG_Set_Type[Set Type], tbl_MTG_Set_Type[Heavy Printing Window Month End], "(Set Type not found)", 0, 1)</f>
        <v/>
      </c>
      <c r="R797" s="3">
        <f>tbl_MTG_Set[[#This Row],[Released On]]+tbl_MTG_Set[[#This Row],[Heavy Printing Window Month End]]*365.25/12</f>
        <v/>
      </c>
      <c r="S797" s="3">
        <f>AND(NOW()&gt;=tbl_MTG_Set[[#This Row],[Heavy Printing Window Start]], NOW()&lt;=tbl_MTG_Set[[#This Row],[Heavy Printing Window End]])</f>
        <v/>
      </c>
      <c r="T797">
        <f>_xlfn.XLOOKUP(tbl_MTG_Set[[#This Row],[Type Name]], tbl_MTG_Set_Type[Set Type], tbl_MTG_Set_Type[Sell Window Month Start], "(Set Type not found)", 0, 1)</f>
        <v/>
      </c>
      <c r="U797" s="3">
        <f>tbl_MTG_Set[[#This Row],[Released On]]+tbl_MTG_Set[[#This Row],[Sell Window Month Start]]*365.25/12</f>
        <v/>
      </c>
      <c r="V797">
        <f>_xlfn.XLOOKUP(tbl_MTG_Set[[#This Row],[Type Name]], tbl_MTG_Set_Type[Set Type], tbl_MTG_Set_Type[Sell Window Month End], "(Set Type not found)", 0, 1)</f>
        <v/>
      </c>
      <c r="W797" s="3">
        <f>tbl_MTG_Set[[#This Row],[Released On]]+tbl_MTG_Set[[#This Row],[Sell Window Month End]]*365.25/12</f>
        <v/>
      </c>
      <c r="X797" s="3">
        <f>AND(NOW()&gt;=tbl_MTG_Set[[#This Row],[Sell Window Start]], NOW()&lt;=tbl_MTG_Set[[#This Row],[Sell Window End]])</f>
        <v/>
      </c>
      <c r="AG797" s="10" t="n"/>
      <c r="AH797" s="10" t="n"/>
      <c r="AM797" s="10">
        <f t="array" ref="AM7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7" s="10">
        <f t="array" ref="AN7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7" s="4">
        <f>_xlfn.XLOOKUP(tbl_MTG_Set[[#This Row],[Play Booster Box Product Id]], tbl_Product[Product Id], tbl_Product[Pack Size])</f>
        <v/>
      </c>
      <c r="AP797" s="10">
        <f>(tbl_MTG_Set[[#This Row],[Play Booster Box Cost]]+v_Item_Shipping_Cost_In)/tbl_MTG_Set[[#This Row],[Play Booster Box Size]]</f>
        <v/>
      </c>
      <c r="AQ797" s="10">
        <f t="array" ref="AQ7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7" s="10" t="n"/>
      <c r="AS797" s="10" t="n"/>
      <c r="AT797" s="17">
        <f>tbl_MTG_Set[[#This Row],[Play Booster CardMarket Profit]]/tbl_MTG_Set[[#This Row],[Play Booster Cost]]</f>
        <v/>
      </c>
      <c r="AU797" s="10">
        <f>_xlfn.XLOOKUP(tbl_MTG_Set[[#This Row],[Collector Booster Box Product Id]], tbl_Product[Product Id], tbl_Product[Min Cost])</f>
        <v/>
      </c>
      <c r="AV797" s="10">
        <f>_xlfn.XLOOKUP(tbl_MTG_Set[[#This Row],[Collector Booster Box Product Id]], tbl_Product[Product Id], tbl_Product[Best Source])</f>
        <v/>
      </c>
      <c r="AW797" s="4">
        <f>_xlfn.XLOOKUP(tbl_MTG_Set[[#This Row],[Collector Booster Box Product Id]], tbl_Product[Product Id], tbl_Product[Pack Size])</f>
        <v/>
      </c>
      <c r="AX797" s="10">
        <f>(tbl_MTG_Set[[#This Row],[Collector Booster Box Cost]] + v_Item_Shipping_Cost_In) / tbl_MTG_Set[[#This Row],[Collector Booster Box Size]]</f>
        <v/>
      </c>
      <c r="AY797" s="10">
        <f t="array" ref="AY7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7" s="10" t="n"/>
      <c r="BA7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7" s="17">
        <f>tbl_MTG_Set[[#This Row],[Collector Booster CardMarket Profit]]/tbl_MTG_Set[[#This Row],[Collector Booster Cost]]</f>
        <v/>
      </c>
      <c r="BC797" s="10" t="n"/>
      <c r="BF797" s="10">
        <f>tbl_MTG_Set[[#This Row],[Play Booster Sell Price CardMarket]]*tbl_MTG_Set[[#This Row],[Play Booster Expected Market Value]]/tbl_MTG_Set[[#This Row],[Play Boost Sealed Market Value]]</f>
        <v/>
      </c>
      <c r="BG7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7" s="10">
        <f>tbl_MTG_Set[[#This Row],[Play Singles CardMarket Profit]]/tbl_MTG_Set[[#This Row],[Play Booster Cost]]</f>
        <v/>
      </c>
      <c r="BI797" s="10">
        <f>tbl_MTG_Set[[#This Row],[Play Singles CardMarket Profit]]&gt;0</f>
        <v/>
      </c>
      <c r="BJ797" s="10" t="n"/>
      <c r="BK797" s="10" t="n"/>
      <c r="BL797" s="10">
        <f>tbl_MTG_Set[[#This Row],[Collector Booster Sell Price CardMarket]]*tbl_MTG_Set[[#This Row],[Collector Booster Expected Market Value]]/tbl_MTG_Set[[#This Row],[Collector Boost Sealed Market Value]]</f>
        <v/>
      </c>
      <c r="BM7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7" s="10">
        <f>tbl_MTG_Set[[#This Row],[Collector Singles CardMarket Profit]]/tbl_MTG_Set[[#This Row],[Collector Booster Cost]]</f>
        <v/>
      </c>
      <c r="BO797" s="10">
        <f>tbl_MTG_Set[[#This Row],[Collector Singles CardMarket Profit]]&gt;0</f>
        <v/>
      </c>
      <c r="BP7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8">
      <c r="A798" t="n">
        <v>796</v>
      </c>
      <c r="B798" t="inlineStr">
        <is>
          <t>Duels of the Planeswalkers 2009 Promos PDTP</t>
        </is>
      </c>
      <c r="C798" t="n">
        <v>1</v>
      </c>
      <c r="D798" s="3" t="n">
        <v>39814</v>
      </c>
      <c r="F798" t="inlineStr">
        <is>
          <t>en es fr de it pt ja ko ru 汉语 漢語</t>
        </is>
      </c>
      <c r="G798" t="n">
        <v>1538</v>
      </c>
      <c r="H798">
        <f>MONTH(NOW())+12*YEAR(NOW())-MONTH(tbl_MTG_Set[[#This Row],[Released On]])-12*YEAR(tbl_MTG_Set[[#This Row],[Released On]])</f>
        <v/>
      </c>
      <c r="I798">
        <f>_xlfn.XLOOKUP(tbl_MTG_Set[[#This Row],[Type Name]], tbl_MTG_Set_Type[Set Type], tbl_MTG_Set_Type[Index], "(Set Type not found)")</f>
        <v/>
      </c>
      <c r="J798">
        <f>_xlfn.XLOOKUP(tbl_MTG_Set[[#This Row],[Type Name]], tbl_MTG_Set_Type[Set Type], tbl_MTG_Set_Type[Buy Window Month Start], "(Set Type not found)")</f>
        <v/>
      </c>
      <c r="K798" s="3">
        <f>tbl_MTG_Set[[#This Row],[Released On]]+tbl_MTG_Set[[#This Row],[Buy Window Month Start]]*365.25/12</f>
        <v/>
      </c>
      <c r="L798">
        <f>_xlfn.XLOOKUP(tbl_MTG_Set[[#This Row],[Type Name]], tbl_MTG_Set_Type[Set Type], tbl_MTG_Set_Type[Buy Window Month End], "(Set Type not found)", 0, 1)</f>
        <v/>
      </c>
      <c r="M798" s="3">
        <f>tbl_MTG_Set[[#This Row],[Released On]]+tbl_MTG_Set[[#This Row],[Buy Window Month End]]*365.25/12</f>
        <v/>
      </c>
      <c r="N798" s="3">
        <f>AND(NOW()&gt;=tbl_MTG_Set[[#This Row],[Buy Window Start]], NOW()&lt;=tbl_MTG_Set[[#This Row],[Buy Window End]])</f>
        <v/>
      </c>
      <c r="O798">
        <f>_xlfn.XLOOKUP(tbl_MTG_Set[[#This Row],[Type Name]], tbl_MTG_Set_Type[Set Type], tbl_MTG_Set_Type[Heavy Printing Window Month Start], "(Set Type not found)", 0, 1)</f>
        <v/>
      </c>
      <c r="P798" s="3">
        <f>tbl_MTG_Set[[#This Row],[Released On]]+tbl_MTG_Set[[#This Row],[Heavy Printing Window Month Start]]*365.25/12</f>
        <v/>
      </c>
      <c r="Q798">
        <f>_xlfn.XLOOKUP(tbl_MTG_Set[[#This Row],[Type Name]], tbl_MTG_Set_Type[Set Type], tbl_MTG_Set_Type[Heavy Printing Window Month End], "(Set Type not found)", 0, 1)</f>
        <v/>
      </c>
      <c r="R798" s="3">
        <f>tbl_MTG_Set[[#This Row],[Released On]]+tbl_MTG_Set[[#This Row],[Heavy Printing Window Month End]]*365.25/12</f>
        <v/>
      </c>
      <c r="S798" s="3">
        <f>AND(NOW()&gt;=tbl_MTG_Set[[#This Row],[Heavy Printing Window Start]], NOW()&lt;=tbl_MTG_Set[[#This Row],[Heavy Printing Window End]])</f>
        <v/>
      </c>
      <c r="T798">
        <f>_xlfn.XLOOKUP(tbl_MTG_Set[[#This Row],[Type Name]], tbl_MTG_Set_Type[Set Type], tbl_MTG_Set_Type[Sell Window Month Start], "(Set Type not found)", 0, 1)</f>
        <v/>
      </c>
      <c r="U798" s="3">
        <f>tbl_MTG_Set[[#This Row],[Released On]]+tbl_MTG_Set[[#This Row],[Sell Window Month Start]]*365.25/12</f>
        <v/>
      </c>
      <c r="V798">
        <f>_xlfn.XLOOKUP(tbl_MTG_Set[[#This Row],[Type Name]], tbl_MTG_Set_Type[Set Type], tbl_MTG_Set_Type[Sell Window Month End], "(Set Type not found)", 0, 1)</f>
        <v/>
      </c>
      <c r="W798" s="3">
        <f>tbl_MTG_Set[[#This Row],[Released On]]+tbl_MTG_Set[[#This Row],[Sell Window Month End]]*365.25/12</f>
        <v/>
      </c>
      <c r="X798" s="3">
        <f>AND(NOW()&gt;=tbl_MTG_Set[[#This Row],[Sell Window Start]], NOW()&lt;=tbl_MTG_Set[[#This Row],[Sell Window End]])</f>
        <v/>
      </c>
      <c r="AG798" s="10" t="n"/>
      <c r="AH798" s="10" t="n"/>
      <c r="AM798" s="10">
        <f t="array" ref="AM7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8" s="10">
        <f t="array" ref="AN7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8" s="4">
        <f>_xlfn.XLOOKUP(tbl_MTG_Set[[#This Row],[Play Booster Box Product Id]], tbl_Product[Product Id], tbl_Product[Pack Size])</f>
        <v/>
      </c>
      <c r="AP798" s="10">
        <f>(tbl_MTG_Set[[#This Row],[Play Booster Box Cost]]+v_Item_Shipping_Cost_In)/tbl_MTG_Set[[#This Row],[Play Booster Box Size]]</f>
        <v/>
      </c>
      <c r="AQ798" s="10">
        <f t="array" ref="AQ7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8" s="10" t="n"/>
      <c r="AS798" s="10" t="n"/>
      <c r="AT798" s="17">
        <f>tbl_MTG_Set[[#This Row],[Play Booster CardMarket Profit]]/tbl_MTG_Set[[#This Row],[Play Booster Cost]]</f>
        <v/>
      </c>
      <c r="AU798" s="10">
        <f>_xlfn.XLOOKUP(tbl_MTG_Set[[#This Row],[Collector Booster Box Product Id]], tbl_Product[Product Id], tbl_Product[Min Cost])</f>
        <v/>
      </c>
      <c r="AV798" s="10">
        <f>_xlfn.XLOOKUP(tbl_MTG_Set[[#This Row],[Collector Booster Box Product Id]], tbl_Product[Product Id], tbl_Product[Best Source])</f>
        <v/>
      </c>
      <c r="AW798" s="4">
        <f>_xlfn.XLOOKUP(tbl_MTG_Set[[#This Row],[Collector Booster Box Product Id]], tbl_Product[Product Id], tbl_Product[Pack Size])</f>
        <v/>
      </c>
      <c r="AX798" s="10">
        <f>(tbl_MTG_Set[[#This Row],[Collector Booster Box Cost]] + v_Item_Shipping_Cost_In) / tbl_MTG_Set[[#This Row],[Collector Booster Box Size]]</f>
        <v/>
      </c>
      <c r="AY798" s="10">
        <f t="array" ref="AY7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8" s="10" t="n"/>
      <c r="BA7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8" s="17">
        <f>tbl_MTG_Set[[#This Row],[Collector Booster CardMarket Profit]]/tbl_MTG_Set[[#This Row],[Collector Booster Cost]]</f>
        <v/>
      </c>
      <c r="BC798" s="10" t="n"/>
      <c r="BF798" s="10">
        <f>tbl_MTG_Set[[#This Row],[Play Booster Sell Price CardMarket]]*tbl_MTG_Set[[#This Row],[Play Booster Expected Market Value]]/tbl_MTG_Set[[#This Row],[Play Boost Sealed Market Value]]</f>
        <v/>
      </c>
      <c r="BG7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8" s="10">
        <f>tbl_MTG_Set[[#This Row],[Play Singles CardMarket Profit]]/tbl_MTG_Set[[#This Row],[Play Booster Cost]]</f>
        <v/>
      </c>
      <c r="BI798" s="10">
        <f>tbl_MTG_Set[[#This Row],[Play Singles CardMarket Profit]]&gt;0</f>
        <v/>
      </c>
      <c r="BJ798" s="10" t="n"/>
      <c r="BK798" s="10" t="n"/>
      <c r="BL798" s="10">
        <f>tbl_MTG_Set[[#This Row],[Collector Booster Sell Price CardMarket]]*tbl_MTG_Set[[#This Row],[Collector Booster Expected Market Value]]/tbl_MTG_Set[[#This Row],[Collector Boost Sealed Market Value]]</f>
        <v/>
      </c>
      <c r="BM7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8" s="10">
        <f>tbl_MTG_Set[[#This Row],[Collector Singles CardMarket Profit]]/tbl_MTG_Set[[#This Row],[Collector Booster Cost]]</f>
        <v/>
      </c>
      <c r="BO798" s="10">
        <f>tbl_MTG_Set[[#This Row],[Collector Singles CardMarket Profit]]&gt;0</f>
        <v/>
      </c>
      <c r="BP7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9">
      <c r="A799" t="n">
        <v>797</v>
      </c>
      <c r="B799" t="inlineStr">
        <is>
          <t>Magic Premiere Shop 2009 PMPS09</t>
        </is>
      </c>
      <c r="C799" t="n">
        <v>5</v>
      </c>
      <c r="D799" s="3" t="n">
        <v>39814</v>
      </c>
      <c r="F799" t="inlineStr">
        <is>
          <t>en es fr de it pt ja ko ru 汉语 漢語</t>
        </is>
      </c>
      <c r="G799" t="n">
        <v>1540</v>
      </c>
      <c r="H799">
        <f>MONTH(NOW())+12*YEAR(NOW())-MONTH(tbl_MTG_Set[[#This Row],[Released On]])-12*YEAR(tbl_MTG_Set[[#This Row],[Released On]])</f>
        <v/>
      </c>
      <c r="I799">
        <f>_xlfn.XLOOKUP(tbl_MTG_Set[[#This Row],[Type Name]], tbl_MTG_Set_Type[Set Type], tbl_MTG_Set_Type[Index], "(Set Type not found)")</f>
        <v/>
      </c>
      <c r="J799">
        <f>_xlfn.XLOOKUP(tbl_MTG_Set[[#This Row],[Type Name]], tbl_MTG_Set_Type[Set Type], tbl_MTG_Set_Type[Buy Window Month Start], "(Set Type not found)")</f>
        <v/>
      </c>
      <c r="K799" s="3">
        <f>tbl_MTG_Set[[#This Row],[Released On]]+tbl_MTG_Set[[#This Row],[Buy Window Month Start]]*365.25/12</f>
        <v/>
      </c>
      <c r="L799">
        <f>_xlfn.XLOOKUP(tbl_MTG_Set[[#This Row],[Type Name]], tbl_MTG_Set_Type[Set Type], tbl_MTG_Set_Type[Buy Window Month End], "(Set Type not found)", 0, 1)</f>
        <v/>
      </c>
      <c r="M799" s="3">
        <f>tbl_MTG_Set[[#This Row],[Released On]]+tbl_MTG_Set[[#This Row],[Buy Window Month End]]*365.25/12</f>
        <v/>
      </c>
      <c r="N799" s="3">
        <f>AND(NOW()&gt;=tbl_MTG_Set[[#This Row],[Buy Window Start]], NOW()&lt;=tbl_MTG_Set[[#This Row],[Buy Window End]])</f>
        <v/>
      </c>
      <c r="O799">
        <f>_xlfn.XLOOKUP(tbl_MTG_Set[[#This Row],[Type Name]], tbl_MTG_Set_Type[Set Type], tbl_MTG_Set_Type[Heavy Printing Window Month Start], "(Set Type not found)", 0, 1)</f>
        <v/>
      </c>
      <c r="P799" s="3">
        <f>tbl_MTG_Set[[#This Row],[Released On]]+tbl_MTG_Set[[#This Row],[Heavy Printing Window Month Start]]*365.25/12</f>
        <v/>
      </c>
      <c r="Q799">
        <f>_xlfn.XLOOKUP(tbl_MTG_Set[[#This Row],[Type Name]], tbl_MTG_Set_Type[Set Type], tbl_MTG_Set_Type[Heavy Printing Window Month End], "(Set Type not found)", 0, 1)</f>
        <v/>
      </c>
      <c r="R799" s="3">
        <f>tbl_MTG_Set[[#This Row],[Released On]]+tbl_MTG_Set[[#This Row],[Heavy Printing Window Month End]]*365.25/12</f>
        <v/>
      </c>
      <c r="S799" s="3">
        <f>AND(NOW()&gt;=tbl_MTG_Set[[#This Row],[Heavy Printing Window Start]], NOW()&lt;=tbl_MTG_Set[[#This Row],[Heavy Printing Window End]])</f>
        <v/>
      </c>
      <c r="T799">
        <f>_xlfn.XLOOKUP(tbl_MTG_Set[[#This Row],[Type Name]], tbl_MTG_Set_Type[Set Type], tbl_MTG_Set_Type[Sell Window Month Start], "(Set Type not found)", 0, 1)</f>
        <v/>
      </c>
      <c r="U799" s="3">
        <f>tbl_MTG_Set[[#This Row],[Released On]]+tbl_MTG_Set[[#This Row],[Sell Window Month Start]]*365.25/12</f>
        <v/>
      </c>
      <c r="V799">
        <f>_xlfn.XLOOKUP(tbl_MTG_Set[[#This Row],[Type Name]], tbl_MTG_Set_Type[Set Type], tbl_MTG_Set_Type[Sell Window Month End], "(Set Type not found)", 0, 1)</f>
        <v/>
      </c>
      <c r="W799" s="3">
        <f>tbl_MTG_Set[[#This Row],[Released On]]+tbl_MTG_Set[[#This Row],[Sell Window Month End]]*365.25/12</f>
        <v/>
      </c>
      <c r="X799" s="3">
        <f>AND(NOW()&gt;=tbl_MTG_Set[[#This Row],[Sell Window Start]], NOW()&lt;=tbl_MTG_Set[[#This Row],[Sell Window End]])</f>
        <v/>
      </c>
      <c r="AG799" s="10" t="n"/>
      <c r="AH799" s="10" t="n"/>
      <c r="AM799" s="10">
        <f t="array" ref="AM7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9" s="10">
        <f t="array" ref="AN7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9" s="4">
        <f>_xlfn.XLOOKUP(tbl_MTG_Set[[#This Row],[Play Booster Box Product Id]], tbl_Product[Product Id], tbl_Product[Pack Size])</f>
        <v/>
      </c>
      <c r="AP799" s="10">
        <f>(tbl_MTG_Set[[#This Row],[Play Booster Box Cost]]+v_Item_Shipping_Cost_In)/tbl_MTG_Set[[#This Row],[Play Booster Box Size]]</f>
        <v/>
      </c>
      <c r="AQ799" s="10">
        <f t="array" ref="AQ7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799" s="10" t="n"/>
      <c r="AS799" s="10" t="n"/>
      <c r="AT799" s="17">
        <f>tbl_MTG_Set[[#This Row],[Play Booster CardMarket Profit]]/tbl_MTG_Set[[#This Row],[Play Booster Cost]]</f>
        <v/>
      </c>
      <c r="AU799" s="10">
        <f>_xlfn.XLOOKUP(tbl_MTG_Set[[#This Row],[Collector Booster Box Product Id]], tbl_Product[Product Id], tbl_Product[Min Cost])</f>
        <v/>
      </c>
      <c r="AV799" s="10">
        <f>_xlfn.XLOOKUP(tbl_MTG_Set[[#This Row],[Collector Booster Box Product Id]], tbl_Product[Product Id], tbl_Product[Best Source])</f>
        <v/>
      </c>
      <c r="AW799" s="4">
        <f>_xlfn.XLOOKUP(tbl_MTG_Set[[#This Row],[Collector Booster Box Product Id]], tbl_Product[Product Id], tbl_Product[Pack Size])</f>
        <v/>
      </c>
      <c r="AX799" s="10">
        <f>(tbl_MTG_Set[[#This Row],[Collector Booster Box Cost]] + v_Item_Shipping_Cost_In) / tbl_MTG_Set[[#This Row],[Collector Booster Box Size]]</f>
        <v/>
      </c>
      <c r="AY799" s="10">
        <f t="array" ref="AY7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799" s="10" t="n"/>
      <c r="BA7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9" s="17">
        <f>tbl_MTG_Set[[#This Row],[Collector Booster CardMarket Profit]]/tbl_MTG_Set[[#This Row],[Collector Booster Cost]]</f>
        <v/>
      </c>
      <c r="BC799" s="10" t="n"/>
      <c r="BF799" s="10">
        <f>tbl_MTG_Set[[#This Row],[Play Booster Sell Price CardMarket]]*tbl_MTG_Set[[#This Row],[Play Booster Expected Market Value]]/tbl_MTG_Set[[#This Row],[Play Boost Sealed Market Value]]</f>
        <v/>
      </c>
      <c r="BG7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9" s="10">
        <f>tbl_MTG_Set[[#This Row],[Play Singles CardMarket Profit]]/tbl_MTG_Set[[#This Row],[Play Booster Cost]]</f>
        <v/>
      </c>
      <c r="BI799" s="10">
        <f>tbl_MTG_Set[[#This Row],[Play Singles CardMarket Profit]]&gt;0</f>
        <v/>
      </c>
      <c r="BJ799" s="10" t="n"/>
      <c r="BK799" s="10" t="n"/>
      <c r="BL799" s="10">
        <f>tbl_MTG_Set[[#This Row],[Collector Booster Sell Price CardMarket]]*tbl_MTG_Set[[#This Row],[Collector Booster Expected Market Value]]/tbl_MTG_Set[[#This Row],[Collector Boost Sealed Market Value]]</f>
        <v/>
      </c>
      <c r="BM7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9" s="10">
        <f>tbl_MTG_Set[[#This Row],[Collector Singles CardMarket Profit]]/tbl_MTG_Set[[#This Row],[Collector Booster Cost]]</f>
        <v/>
      </c>
      <c r="BO799" s="10">
        <f>tbl_MTG_Set[[#This Row],[Collector Singles CardMarket Profit]]&gt;0</f>
        <v/>
      </c>
      <c r="BP7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0">
      <c r="A800" t="n">
        <v>798</v>
      </c>
      <c r="B800" t="inlineStr">
        <is>
          <t>Friday Night Magic 2009 F09</t>
        </is>
      </c>
      <c r="C800" t="n">
        <v>12</v>
      </c>
      <c r="D800" s="3" t="n">
        <v>39814</v>
      </c>
      <c r="F800" t="inlineStr">
        <is>
          <t>en es fr de it pt ja ko ru 汉语 漢語</t>
        </is>
      </c>
      <c r="G800" t="n">
        <v>1542</v>
      </c>
      <c r="H800">
        <f>MONTH(NOW())+12*YEAR(NOW())-MONTH(tbl_MTG_Set[[#This Row],[Released On]])-12*YEAR(tbl_MTG_Set[[#This Row],[Released On]])</f>
        <v/>
      </c>
      <c r="I800">
        <f>_xlfn.XLOOKUP(tbl_MTG_Set[[#This Row],[Type Name]], tbl_MTG_Set_Type[Set Type], tbl_MTG_Set_Type[Index], "(Set Type not found)")</f>
        <v/>
      </c>
      <c r="J800">
        <f>_xlfn.XLOOKUP(tbl_MTG_Set[[#This Row],[Type Name]], tbl_MTG_Set_Type[Set Type], tbl_MTG_Set_Type[Buy Window Month Start], "(Set Type not found)")</f>
        <v/>
      </c>
      <c r="K800" s="3">
        <f>tbl_MTG_Set[[#This Row],[Released On]]+tbl_MTG_Set[[#This Row],[Buy Window Month Start]]*365.25/12</f>
        <v/>
      </c>
      <c r="L800">
        <f>_xlfn.XLOOKUP(tbl_MTG_Set[[#This Row],[Type Name]], tbl_MTG_Set_Type[Set Type], tbl_MTG_Set_Type[Buy Window Month End], "(Set Type not found)", 0, 1)</f>
        <v/>
      </c>
      <c r="M800" s="3">
        <f>tbl_MTG_Set[[#This Row],[Released On]]+tbl_MTG_Set[[#This Row],[Buy Window Month End]]*365.25/12</f>
        <v/>
      </c>
      <c r="N800" s="3">
        <f>AND(NOW()&gt;=tbl_MTG_Set[[#This Row],[Buy Window Start]], NOW()&lt;=tbl_MTG_Set[[#This Row],[Buy Window End]])</f>
        <v/>
      </c>
      <c r="O800">
        <f>_xlfn.XLOOKUP(tbl_MTG_Set[[#This Row],[Type Name]], tbl_MTG_Set_Type[Set Type], tbl_MTG_Set_Type[Heavy Printing Window Month Start], "(Set Type not found)", 0, 1)</f>
        <v/>
      </c>
      <c r="P800" s="3">
        <f>tbl_MTG_Set[[#This Row],[Released On]]+tbl_MTG_Set[[#This Row],[Heavy Printing Window Month Start]]*365.25/12</f>
        <v/>
      </c>
      <c r="Q800">
        <f>_xlfn.XLOOKUP(tbl_MTG_Set[[#This Row],[Type Name]], tbl_MTG_Set_Type[Set Type], tbl_MTG_Set_Type[Heavy Printing Window Month End], "(Set Type not found)", 0, 1)</f>
        <v/>
      </c>
      <c r="R800" s="3">
        <f>tbl_MTG_Set[[#This Row],[Released On]]+tbl_MTG_Set[[#This Row],[Heavy Printing Window Month End]]*365.25/12</f>
        <v/>
      </c>
      <c r="S800" s="3">
        <f>AND(NOW()&gt;=tbl_MTG_Set[[#This Row],[Heavy Printing Window Start]], NOW()&lt;=tbl_MTG_Set[[#This Row],[Heavy Printing Window End]])</f>
        <v/>
      </c>
      <c r="T800">
        <f>_xlfn.XLOOKUP(tbl_MTG_Set[[#This Row],[Type Name]], tbl_MTG_Set_Type[Set Type], tbl_MTG_Set_Type[Sell Window Month Start], "(Set Type not found)", 0, 1)</f>
        <v/>
      </c>
      <c r="U800" s="3">
        <f>tbl_MTG_Set[[#This Row],[Released On]]+tbl_MTG_Set[[#This Row],[Sell Window Month Start]]*365.25/12</f>
        <v/>
      </c>
      <c r="V800">
        <f>_xlfn.XLOOKUP(tbl_MTG_Set[[#This Row],[Type Name]], tbl_MTG_Set_Type[Set Type], tbl_MTG_Set_Type[Sell Window Month End], "(Set Type not found)", 0, 1)</f>
        <v/>
      </c>
      <c r="W800" s="3">
        <f>tbl_MTG_Set[[#This Row],[Released On]]+tbl_MTG_Set[[#This Row],[Sell Window Month End]]*365.25/12</f>
        <v/>
      </c>
      <c r="X800" s="3">
        <f>AND(NOW()&gt;=tbl_MTG_Set[[#This Row],[Sell Window Start]], NOW()&lt;=tbl_MTG_Set[[#This Row],[Sell Window End]])</f>
        <v/>
      </c>
      <c r="AG800" s="10" t="n"/>
      <c r="AH800" s="10" t="n"/>
      <c r="AM800" s="10">
        <f t="array" ref="AM8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0" s="10">
        <f t="array" ref="AN8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0" s="4">
        <f>_xlfn.XLOOKUP(tbl_MTG_Set[[#This Row],[Play Booster Box Product Id]], tbl_Product[Product Id], tbl_Product[Pack Size])</f>
        <v/>
      </c>
      <c r="AP800" s="10">
        <f>(tbl_MTG_Set[[#This Row],[Play Booster Box Cost]]+v_Item_Shipping_Cost_In)/tbl_MTG_Set[[#This Row],[Play Booster Box Size]]</f>
        <v/>
      </c>
      <c r="AQ800" s="10">
        <f t="array" ref="AQ8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0" s="10" t="n"/>
      <c r="AS800" s="10" t="n"/>
      <c r="AT800" s="17">
        <f>tbl_MTG_Set[[#This Row],[Play Booster CardMarket Profit]]/tbl_MTG_Set[[#This Row],[Play Booster Cost]]</f>
        <v/>
      </c>
      <c r="AU800" s="10">
        <f>_xlfn.XLOOKUP(tbl_MTG_Set[[#This Row],[Collector Booster Box Product Id]], tbl_Product[Product Id], tbl_Product[Min Cost])</f>
        <v/>
      </c>
      <c r="AV800" s="10">
        <f>_xlfn.XLOOKUP(tbl_MTG_Set[[#This Row],[Collector Booster Box Product Id]], tbl_Product[Product Id], tbl_Product[Best Source])</f>
        <v/>
      </c>
      <c r="AW800" s="4">
        <f>_xlfn.XLOOKUP(tbl_MTG_Set[[#This Row],[Collector Booster Box Product Id]], tbl_Product[Product Id], tbl_Product[Pack Size])</f>
        <v/>
      </c>
      <c r="AX800" s="10">
        <f>(tbl_MTG_Set[[#This Row],[Collector Booster Box Cost]] + v_Item_Shipping_Cost_In) / tbl_MTG_Set[[#This Row],[Collector Booster Box Size]]</f>
        <v/>
      </c>
      <c r="AY800" s="10">
        <f t="array" ref="AY8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0" s="10" t="n"/>
      <c r="BA8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0" s="17">
        <f>tbl_MTG_Set[[#This Row],[Collector Booster CardMarket Profit]]/tbl_MTG_Set[[#This Row],[Collector Booster Cost]]</f>
        <v/>
      </c>
      <c r="BC800" s="10" t="n"/>
      <c r="BF800" s="10">
        <f>tbl_MTG_Set[[#This Row],[Play Booster Sell Price CardMarket]]*tbl_MTG_Set[[#This Row],[Play Booster Expected Market Value]]/tbl_MTG_Set[[#This Row],[Play Boost Sealed Market Value]]</f>
        <v/>
      </c>
      <c r="BG8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0" s="10">
        <f>tbl_MTG_Set[[#This Row],[Play Singles CardMarket Profit]]/tbl_MTG_Set[[#This Row],[Play Booster Cost]]</f>
        <v/>
      </c>
      <c r="BI800" s="10">
        <f>tbl_MTG_Set[[#This Row],[Play Singles CardMarket Profit]]&gt;0</f>
        <v/>
      </c>
      <c r="BJ800" s="10" t="n"/>
      <c r="BK800" s="10" t="n"/>
      <c r="BL800" s="10">
        <f>tbl_MTG_Set[[#This Row],[Collector Booster Sell Price CardMarket]]*tbl_MTG_Set[[#This Row],[Collector Booster Expected Market Value]]/tbl_MTG_Set[[#This Row],[Collector Boost Sealed Market Value]]</f>
        <v/>
      </c>
      <c r="BM8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0" s="10">
        <f>tbl_MTG_Set[[#This Row],[Collector Singles CardMarket Profit]]/tbl_MTG_Set[[#This Row],[Collector Booster Cost]]</f>
        <v/>
      </c>
      <c r="BO800" s="10">
        <f>tbl_MTG_Set[[#This Row],[Collector Singles CardMarket Profit]]&gt;0</f>
        <v/>
      </c>
      <c r="BP8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1">
      <c r="A801" t="n">
        <v>799</v>
      </c>
      <c r="B801" t="inlineStr">
        <is>
          <t>Magic Player Rewards 2009 P09</t>
        </is>
      </c>
      <c r="C801" t="n">
        <v>13</v>
      </c>
      <c r="D801" s="3" t="n">
        <v>39814</v>
      </c>
      <c r="F801" t="inlineStr">
        <is>
          <t>en es fr de it pt ja ko ru 汉语 漢語</t>
        </is>
      </c>
      <c r="G801" t="n">
        <v>1544</v>
      </c>
      <c r="H801">
        <f>MONTH(NOW())+12*YEAR(NOW())-MONTH(tbl_MTG_Set[[#This Row],[Released On]])-12*YEAR(tbl_MTG_Set[[#This Row],[Released On]])</f>
        <v/>
      </c>
      <c r="I801">
        <f>_xlfn.XLOOKUP(tbl_MTG_Set[[#This Row],[Type Name]], tbl_MTG_Set_Type[Set Type], tbl_MTG_Set_Type[Index], "(Set Type not found)")</f>
        <v/>
      </c>
      <c r="J801">
        <f>_xlfn.XLOOKUP(tbl_MTG_Set[[#This Row],[Type Name]], tbl_MTG_Set_Type[Set Type], tbl_MTG_Set_Type[Buy Window Month Start], "(Set Type not found)")</f>
        <v/>
      </c>
      <c r="K801" s="3">
        <f>tbl_MTG_Set[[#This Row],[Released On]]+tbl_MTG_Set[[#This Row],[Buy Window Month Start]]*365.25/12</f>
        <v/>
      </c>
      <c r="L801">
        <f>_xlfn.XLOOKUP(tbl_MTG_Set[[#This Row],[Type Name]], tbl_MTG_Set_Type[Set Type], tbl_MTG_Set_Type[Buy Window Month End], "(Set Type not found)", 0, 1)</f>
        <v/>
      </c>
      <c r="M801" s="3">
        <f>tbl_MTG_Set[[#This Row],[Released On]]+tbl_MTG_Set[[#This Row],[Buy Window Month End]]*365.25/12</f>
        <v/>
      </c>
      <c r="N801" s="3">
        <f>AND(NOW()&gt;=tbl_MTG_Set[[#This Row],[Buy Window Start]], NOW()&lt;=tbl_MTG_Set[[#This Row],[Buy Window End]])</f>
        <v/>
      </c>
      <c r="O801">
        <f>_xlfn.XLOOKUP(tbl_MTG_Set[[#This Row],[Type Name]], tbl_MTG_Set_Type[Set Type], tbl_MTG_Set_Type[Heavy Printing Window Month Start], "(Set Type not found)", 0, 1)</f>
        <v/>
      </c>
      <c r="P801" s="3">
        <f>tbl_MTG_Set[[#This Row],[Released On]]+tbl_MTG_Set[[#This Row],[Heavy Printing Window Month Start]]*365.25/12</f>
        <v/>
      </c>
      <c r="Q801">
        <f>_xlfn.XLOOKUP(tbl_MTG_Set[[#This Row],[Type Name]], tbl_MTG_Set_Type[Set Type], tbl_MTG_Set_Type[Heavy Printing Window Month End], "(Set Type not found)", 0, 1)</f>
        <v/>
      </c>
      <c r="R801" s="3">
        <f>tbl_MTG_Set[[#This Row],[Released On]]+tbl_MTG_Set[[#This Row],[Heavy Printing Window Month End]]*365.25/12</f>
        <v/>
      </c>
      <c r="S801" s="3">
        <f>AND(NOW()&gt;=tbl_MTG_Set[[#This Row],[Heavy Printing Window Start]], NOW()&lt;=tbl_MTG_Set[[#This Row],[Heavy Printing Window End]])</f>
        <v/>
      </c>
      <c r="T801">
        <f>_xlfn.XLOOKUP(tbl_MTG_Set[[#This Row],[Type Name]], tbl_MTG_Set_Type[Set Type], tbl_MTG_Set_Type[Sell Window Month Start], "(Set Type not found)", 0, 1)</f>
        <v/>
      </c>
      <c r="U801" s="3">
        <f>tbl_MTG_Set[[#This Row],[Released On]]+tbl_MTG_Set[[#This Row],[Sell Window Month Start]]*365.25/12</f>
        <v/>
      </c>
      <c r="V801">
        <f>_xlfn.XLOOKUP(tbl_MTG_Set[[#This Row],[Type Name]], tbl_MTG_Set_Type[Set Type], tbl_MTG_Set_Type[Sell Window Month End], "(Set Type not found)", 0, 1)</f>
        <v/>
      </c>
      <c r="W801" s="3">
        <f>tbl_MTG_Set[[#This Row],[Released On]]+tbl_MTG_Set[[#This Row],[Sell Window Month End]]*365.25/12</f>
        <v/>
      </c>
      <c r="X801" s="3">
        <f>AND(NOW()&gt;=tbl_MTG_Set[[#This Row],[Sell Window Start]], NOW()&lt;=tbl_MTG_Set[[#This Row],[Sell Window End]])</f>
        <v/>
      </c>
      <c r="AG801" s="10" t="n"/>
      <c r="AH801" s="10" t="n"/>
      <c r="AM801" s="10">
        <f t="array" ref="AM8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1" s="10">
        <f t="array" ref="AN8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1" s="4">
        <f>_xlfn.XLOOKUP(tbl_MTG_Set[[#This Row],[Play Booster Box Product Id]], tbl_Product[Product Id], tbl_Product[Pack Size])</f>
        <v/>
      </c>
      <c r="AP801" s="10">
        <f>(tbl_MTG_Set[[#This Row],[Play Booster Box Cost]]+v_Item_Shipping_Cost_In)/tbl_MTG_Set[[#This Row],[Play Booster Box Size]]</f>
        <v/>
      </c>
      <c r="AQ801" s="10">
        <f t="array" ref="AQ8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1" s="10" t="n"/>
      <c r="AS801" s="10" t="n"/>
      <c r="AT801" s="17">
        <f>tbl_MTG_Set[[#This Row],[Play Booster CardMarket Profit]]/tbl_MTG_Set[[#This Row],[Play Booster Cost]]</f>
        <v/>
      </c>
      <c r="AU801" s="10">
        <f>_xlfn.XLOOKUP(tbl_MTG_Set[[#This Row],[Collector Booster Box Product Id]], tbl_Product[Product Id], tbl_Product[Min Cost])</f>
        <v/>
      </c>
      <c r="AV801" s="10">
        <f>_xlfn.XLOOKUP(tbl_MTG_Set[[#This Row],[Collector Booster Box Product Id]], tbl_Product[Product Id], tbl_Product[Best Source])</f>
        <v/>
      </c>
      <c r="AW801" s="4">
        <f>_xlfn.XLOOKUP(tbl_MTG_Set[[#This Row],[Collector Booster Box Product Id]], tbl_Product[Product Id], tbl_Product[Pack Size])</f>
        <v/>
      </c>
      <c r="AX801" s="10">
        <f>(tbl_MTG_Set[[#This Row],[Collector Booster Box Cost]] + v_Item_Shipping_Cost_In) / tbl_MTG_Set[[#This Row],[Collector Booster Box Size]]</f>
        <v/>
      </c>
      <c r="AY801" s="10">
        <f t="array" ref="AY8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1" s="10" t="n"/>
      <c r="BA8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1" s="17">
        <f>tbl_MTG_Set[[#This Row],[Collector Booster CardMarket Profit]]/tbl_MTG_Set[[#This Row],[Collector Booster Cost]]</f>
        <v/>
      </c>
      <c r="BC801" s="10" t="n"/>
      <c r="BF801" s="10">
        <f>tbl_MTG_Set[[#This Row],[Play Booster Sell Price CardMarket]]*tbl_MTG_Set[[#This Row],[Play Booster Expected Market Value]]/tbl_MTG_Set[[#This Row],[Play Boost Sealed Market Value]]</f>
        <v/>
      </c>
      <c r="BG8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1" s="10">
        <f>tbl_MTG_Set[[#This Row],[Play Singles CardMarket Profit]]/tbl_MTG_Set[[#This Row],[Play Booster Cost]]</f>
        <v/>
      </c>
      <c r="BI801" s="10">
        <f>tbl_MTG_Set[[#This Row],[Play Singles CardMarket Profit]]&gt;0</f>
        <v/>
      </c>
      <c r="BJ801" s="10" t="n"/>
      <c r="BK801" s="10" t="n"/>
      <c r="BL801" s="10">
        <f>tbl_MTG_Set[[#This Row],[Collector Booster Sell Price CardMarket]]*tbl_MTG_Set[[#This Row],[Collector Booster Expected Market Value]]/tbl_MTG_Set[[#This Row],[Collector Boost Sealed Market Value]]</f>
        <v/>
      </c>
      <c r="BM8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1" s="10">
        <f>tbl_MTG_Set[[#This Row],[Collector Singles CardMarket Profit]]/tbl_MTG_Set[[#This Row],[Collector Booster Cost]]</f>
        <v/>
      </c>
      <c r="BO801" s="10">
        <f>tbl_MTG_Set[[#This Row],[Collector Singles CardMarket Profit]]&gt;0</f>
        <v/>
      </c>
      <c r="BP8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2">
      <c r="A802" t="n">
        <v>800</v>
      </c>
      <c r="B802" t="inlineStr">
        <is>
          <t>Judge Gift Cards 2009 G09</t>
        </is>
      </c>
      <c r="C802" t="n">
        <v>10</v>
      </c>
      <c r="D802" s="3" t="n">
        <v>39814</v>
      </c>
      <c r="F802" t="inlineStr">
        <is>
          <t>en es fr de it pt ja ko ru 汉语 漢語</t>
        </is>
      </c>
      <c r="G802" t="n">
        <v>1546</v>
      </c>
      <c r="H802">
        <f>MONTH(NOW())+12*YEAR(NOW())-MONTH(tbl_MTG_Set[[#This Row],[Released On]])-12*YEAR(tbl_MTG_Set[[#This Row],[Released On]])</f>
        <v/>
      </c>
      <c r="I802">
        <f>_xlfn.XLOOKUP(tbl_MTG_Set[[#This Row],[Type Name]], tbl_MTG_Set_Type[Set Type], tbl_MTG_Set_Type[Index], "(Set Type not found)")</f>
        <v/>
      </c>
      <c r="J802">
        <f>_xlfn.XLOOKUP(tbl_MTG_Set[[#This Row],[Type Name]], tbl_MTG_Set_Type[Set Type], tbl_MTG_Set_Type[Buy Window Month Start], "(Set Type not found)")</f>
        <v/>
      </c>
      <c r="K802" s="3">
        <f>tbl_MTG_Set[[#This Row],[Released On]]+tbl_MTG_Set[[#This Row],[Buy Window Month Start]]*365.25/12</f>
        <v/>
      </c>
      <c r="L802">
        <f>_xlfn.XLOOKUP(tbl_MTG_Set[[#This Row],[Type Name]], tbl_MTG_Set_Type[Set Type], tbl_MTG_Set_Type[Buy Window Month End], "(Set Type not found)", 0, 1)</f>
        <v/>
      </c>
      <c r="M802" s="3">
        <f>tbl_MTG_Set[[#This Row],[Released On]]+tbl_MTG_Set[[#This Row],[Buy Window Month End]]*365.25/12</f>
        <v/>
      </c>
      <c r="N802" s="3">
        <f>AND(NOW()&gt;=tbl_MTG_Set[[#This Row],[Buy Window Start]], NOW()&lt;=tbl_MTG_Set[[#This Row],[Buy Window End]])</f>
        <v/>
      </c>
      <c r="O802">
        <f>_xlfn.XLOOKUP(tbl_MTG_Set[[#This Row],[Type Name]], tbl_MTG_Set_Type[Set Type], tbl_MTG_Set_Type[Heavy Printing Window Month Start], "(Set Type not found)", 0, 1)</f>
        <v/>
      </c>
      <c r="P802" s="3">
        <f>tbl_MTG_Set[[#This Row],[Released On]]+tbl_MTG_Set[[#This Row],[Heavy Printing Window Month Start]]*365.25/12</f>
        <v/>
      </c>
      <c r="Q802">
        <f>_xlfn.XLOOKUP(tbl_MTG_Set[[#This Row],[Type Name]], tbl_MTG_Set_Type[Set Type], tbl_MTG_Set_Type[Heavy Printing Window Month End], "(Set Type not found)", 0, 1)</f>
        <v/>
      </c>
      <c r="R802" s="3">
        <f>tbl_MTG_Set[[#This Row],[Released On]]+tbl_MTG_Set[[#This Row],[Heavy Printing Window Month End]]*365.25/12</f>
        <v/>
      </c>
      <c r="S802" s="3">
        <f>AND(NOW()&gt;=tbl_MTG_Set[[#This Row],[Heavy Printing Window Start]], NOW()&lt;=tbl_MTG_Set[[#This Row],[Heavy Printing Window End]])</f>
        <v/>
      </c>
      <c r="T802">
        <f>_xlfn.XLOOKUP(tbl_MTG_Set[[#This Row],[Type Name]], tbl_MTG_Set_Type[Set Type], tbl_MTG_Set_Type[Sell Window Month Start], "(Set Type not found)", 0, 1)</f>
        <v/>
      </c>
      <c r="U802" s="3">
        <f>tbl_MTG_Set[[#This Row],[Released On]]+tbl_MTG_Set[[#This Row],[Sell Window Month Start]]*365.25/12</f>
        <v/>
      </c>
      <c r="V802">
        <f>_xlfn.XLOOKUP(tbl_MTG_Set[[#This Row],[Type Name]], tbl_MTG_Set_Type[Set Type], tbl_MTG_Set_Type[Sell Window Month End], "(Set Type not found)", 0, 1)</f>
        <v/>
      </c>
      <c r="W802" s="3">
        <f>tbl_MTG_Set[[#This Row],[Released On]]+tbl_MTG_Set[[#This Row],[Sell Window Month End]]*365.25/12</f>
        <v/>
      </c>
      <c r="X802" s="3">
        <f>AND(NOW()&gt;=tbl_MTG_Set[[#This Row],[Sell Window Start]], NOW()&lt;=tbl_MTG_Set[[#This Row],[Sell Window End]])</f>
        <v/>
      </c>
      <c r="AG802" s="10" t="n"/>
      <c r="AH802" s="10" t="n"/>
      <c r="AM802" s="10">
        <f t="array" ref="AM8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2" s="10">
        <f t="array" ref="AN8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2" s="4">
        <f>_xlfn.XLOOKUP(tbl_MTG_Set[[#This Row],[Play Booster Box Product Id]], tbl_Product[Product Id], tbl_Product[Pack Size])</f>
        <v/>
      </c>
      <c r="AP802" s="10">
        <f>(tbl_MTG_Set[[#This Row],[Play Booster Box Cost]]+v_Item_Shipping_Cost_In)/tbl_MTG_Set[[#This Row],[Play Booster Box Size]]</f>
        <v/>
      </c>
      <c r="AQ802" s="10">
        <f t="array" ref="AQ8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2" s="10" t="n"/>
      <c r="AS802" s="10" t="n"/>
      <c r="AT802" s="17">
        <f>tbl_MTG_Set[[#This Row],[Play Booster CardMarket Profit]]/tbl_MTG_Set[[#This Row],[Play Booster Cost]]</f>
        <v/>
      </c>
      <c r="AU802" s="10">
        <f>_xlfn.XLOOKUP(tbl_MTG_Set[[#This Row],[Collector Booster Box Product Id]], tbl_Product[Product Id], tbl_Product[Min Cost])</f>
        <v/>
      </c>
      <c r="AV802" s="10">
        <f>_xlfn.XLOOKUP(tbl_MTG_Set[[#This Row],[Collector Booster Box Product Id]], tbl_Product[Product Id], tbl_Product[Best Source])</f>
        <v/>
      </c>
      <c r="AW802" s="4">
        <f>_xlfn.XLOOKUP(tbl_MTG_Set[[#This Row],[Collector Booster Box Product Id]], tbl_Product[Product Id], tbl_Product[Pack Size])</f>
        <v/>
      </c>
      <c r="AX802" s="10">
        <f>(tbl_MTG_Set[[#This Row],[Collector Booster Box Cost]] + v_Item_Shipping_Cost_In) / tbl_MTG_Set[[#This Row],[Collector Booster Box Size]]</f>
        <v/>
      </c>
      <c r="AY802" s="10">
        <f t="array" ref="AY8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2" s="10" t="n"/>
      <c r="BA8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2" s="17">
        <f>tbl_MTG_Set[[#This Row],[Collector Booster CardMarket Profit]]/tbl_MTG_Set[[#This Row],[Collector Booster Cost]]</f>
        <v/>
      </c>
      <c r="BC802" s="10" t="n"/>
      <c r="BF802" s="10">
        <f>tbl_MTG_Set[[#This Row],[Play Booster Sell Price CardMarket]]*tbl_MTG_Set[[#This Row],[Play Booster Expected Market Value]]/tbl_MTG_Set[[#This Row],[Play Boost Sealed Market Value]]</f>
        <v/>
      </c>
      <c r="BG8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2" s="10">
        <f>tbl_MTG_Set[[#This Row],[Play Singles CardMarket Profit]]/tbl_MTG_Set[[#This Row],[Play Booster Cost]]</f>
        <v/>
      </c>
      <c r="BI802" s="10">
        <f>tbl_MTG_Set[[#This Row],[Play Singles CardMarket Profit]]&gt;0</f>
        <v/>
      </c>
      <c r="BJ802" s="10" t="n"/>
      <c r="BK802" s="10" t="n"/>
      <c r="BL802" s="10">
        <f>tbl_MTG_Set[[#This Row],[Collector Booster Sell Price CardMarket]]*tbl_MTG_Set[[#This Row],[Collector Booster Expected Market Value]]/tbl_MTG_Set[[#This Row],[Collector Boost Sealed Market Value]]</f>
        <v/>
      </c>
      <c r="BM8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2" s="10">
        <f>tbl_MTG_Set[[#This Row],[Collector Singles CardMarket Profit]]/tbl_MTG_Set[[#This Row],[Collector Booster Cost]]</f>
        <v/>
      </c>
      <c r="BO802" s="10">
        <f>tbl_MTG_Set[[#This Row],[Collector Singles CardMarket Profit]]&gt;0</f>
        <v/>
      </c>
      <c r="BP8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3">
      <c r="A803" t="n">
        <v>801</v>
      </c>
      <c r="B803" t="inlineStr">
        <is>
          <t>Duel Decks: Jace vs. Chandra DD2</t>
        </is>
      </c>
      <c r="C803" t="n">
        <v>64</v>
      </c>
      <c r="D803" s="3" t="n">
        <v>39759</v>
      </c>
      <c r="F803" t="inlineStr">
        <is>
          <t>en es fr de it pt ja ko ru 汉语 漢語</t>
        </is>
      </c>
      <c r="G803" t="n">
        <v>1548</v>
      </c>
      <c r="H803">
        <f>MONTH(NOW())+12*YEAR(NOW())-MONTH(tbl_MTG_Set[[#This Row],[Released On]])-12*YEAR(tbl_MTG_Set[[#This Row],[Released On]])</f>
        <v/>
      </c>
      <c r="I803">
        <f>_xlfn.XLOOKUP(tbl_MTG_Set[[#This Row],[Type Name]], tbl_MTG_Set_Type[Set Type], tbl_MTG_Set_Type[Index], "(Set Type not found)")</f>
        <v/>
      </c>
      <c r="J803">
        <f>_xlfn.XLOOKUP(tbl_MTG_Set[[#This Row],[Type Name]], tbl_MTG_Set_Type[Set Type], tbl_MTG_Set_Type[Buy Window Month Start], "(Set Type not found)")</f>
        <v/>
      </c>
      <c r="K803" s="3">
        <f>tbl_MTG_Set[[#This Row],[Released On]]+tbl_MTG_Set[[#This Row],[Buy Window Month Start]]*365.25/12</f>
        <v/>
      </c>
      <c r="L803">
        <f>_xlfn.XLOOKUP(tbl_MTG_Set[[#This Row],[Type Name]], tbl_MTG_Set_Type[Set Type], tbl_MTG_Set_Type[Buy Window Month End], "(Set Type not found)", 0, 1)</f>
        <v/>
      </c>
      <c r="M803" s="3">
        <f>tbl_MTG_Set[[#This Row],[Released On]]+tbl_MTG_Set[[#This Row],[Buy Window Month End]]*365.25/12</f>
        <v/>
      </c>
      <c r="N803" s="3">
        <f>AND(NOW()&gt;=tbl_MTG_Set[[#This Row],[Buy Window Start]], NOW()&lt;=tbl_MTG_Set[[#This Row],[Buy Window End]])</f>
        <v/>
      </c>
      <c r="O803">
        <f>_xlfn.XLOOKUP(tbl_MTG_Set[[#This Row],[Type Name]], tbl_MTG_Set_Type[Set Type], tbl_MTG_Set_Type[Heavy Printing Window Month Start], "(Set Type not found)", 0, 1)</f>
        <v/>
      </c>
      <c r="P803" s="3">
        <f>tbl_MTG_Set[[#This Row],[Released On]]+tbl_MTG_Set[[#This Row],[Heavy Printing Window Month Start]]*365.25/12</f>
        <v/>
      </c>
      <c r="Q803">
        <f>_xlfn.XLOOKUP(tbl_MTG_Set[[#This Row],[Type Name]], tbl_MTG_Set_Type[Set Type], tbl_MTG_Set_Type[Heavy Printing Window Month End], "(Set Type not found)", 0, 1)</f>
        <v/>
      </c>
      <c r="R803" s="3">
        <f>tbl_MTG_Set[[#This Row],[Released On]]+tbl_MTG_Set[[#This Row],[Heavy Printing Window Month End]]*365.25/12</f>
        <v/>
      </c>
      <c r="S803" s="3">
        <f>AND(NOW()&gt;=tbl_MTG_Set[[#This Row],[Heavy Printing Window Start]], NOW()&lt;=tbl_MTG_Set[[#This Row],[Heavy Printing Window End]])</f>
        <v/>
      </c>
      <c r="T803">
        <f>_xlfn.XLOOKUP(tbl_MTG_Set[[#This Row],[Type Name]], tbl_MTG_Set_Type[Set Type], tbl_MTG_Set_Type[Sell Window Month Start], "(Set Type not found)", 0, 1)</f>
        <v/>
      </c>
      <c r="U803" s="3">
        <f>tbl_MTG_Set[[#This Row],[Released On]]+tbl_MTG_Set[[#This Row],[Sell Window Month Start]]*365.25/12</f>
        <v/>
      </c>
      <c r="V803">
        <f>_xlfn.XLOOKUP(tbl_MTG_Set[[#This Row],[Type Name]], tbl_MTG_Set_Type[Set Type], tbl_MTG_Set_Type[Sell Window Month End], "(Set Type not found)", 0, 1)</f>
        <v/>
      </c>
      <c r="W803" s="3">
        <f>tbl_MTG_Set[[#This Row],[Released On]]+tbl_MTG_Set[[#This Row],[Sell Window Month End]]*365.25/12</f>
        <v/>
      </c>
      <c r="X803" s="3">
        <f>AND(NOW()&gt;=tbl_MTG_Set[[#This Row],[Sell Window Start]], NOW()&lt;=tbl_MTG_Set[[#This Row],[Sell Window End]])</f>
        <v/>
      </c>
      <c r="AG803" s="10" t="n"/>
      <c r="AH803" s="10" t="n"/>
      <c r="AM803" s="10">
        <f t="array" ref="AM8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3" s="10">
        <f t="array" ref="AN8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3" s="4">
        <f>_xlfn.XLOOKUP(tbl_MTG_Set[[#This Row],[Play Booster Box Product Id]], tbl_Product[Product Id], tbl_Product[Pack Size])</f>
        <v/>
      </c>
      <c r="AP803" s="10">
        <f>(tbl_MTG_Set[[#This Row],[Play Booster Box Cost]]+v_Item_Shipping_Cost_In)/tbl_MTG_Set[[#This Row],[Play Booster Box Size]]</f>
        <v/>
      </c>
      <c r="AQ803" s="10">
        <f t="array" ref="AQ8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3" s="10" t="n"/>
      <c r="AS803" s="10" t="n"/>
      <c r="AT803" s="17">
        <f>tbl_MTG_Set[[#This Row],[Play Booster CardMarket Profit]]/tbl_MTG_Set[[#This Row],[Play Booster Cost]]</f>
        <v/>
      </c>
      <c r="AU803" s="10">
        <f>_xlfn.XLOOKUP(tbl_MTG_Set[[#This Row],[Collector Booster Box Product Id]], tbl_Product[Product Id], tbl_Product[Min Cost])</f>
        <v/>
      </c>
      <c r="AV803" s="10">
        <f>_xlfn.XLOOKUP(tbl_MTG_Set[[#This Row],[Collector Booster Box Product Id]], tbl_Product[Product Id], tbl_Product[Best Source])</f>
        <v/>
      </c>
      <c r="AW803" s="4">
        <f>_xlfn.XLOOKUP(tbl_MTG_Set[[#This Row],[Collector Booster Box Product Id]], tbl_Product[Product Id], tbl_Product[Pack Size])</f>
        <v/>
      </c>
      <c r="AX803" s="10">
        <f>(tbl_MTG_Set[[#This Row],[Collector Booster Box Cost]] + v_Item_Shipping_Cost_In) / tbl_MTG_Set[[#This Row],[Collector Booster Box Size]]</f>
        <v/>
      </c>
      <c r="AY803" s="10">
        <f t="array" ref="AY8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3" s="10" t="n"/>
      <c r="BA8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3" s="17">
        <f>tbl_MTG_Set[[#This Row],[Collector Booster CardMarket Profit]]/tbl_MTG_Set[[#This Row],[Collector Booster Cost]]</f>
        <v/>
      </c>
      <c r="BC803" s="10" t="n"/>
      <c r="BF803" s="10">
        <f>tbl_MTG_Set[[#This Row],[Play Booster Sell Price CardMarket]]*tbl_MTG_Set[[#This Row],[Play Booster Expected Market Value]]/tbl_MTG_Set[[#This Row],[Play Boost Sealed Market Value]]</f>
        <v/>
      </c>
      <c r="BG8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3" s="10">
        <f>tbl_MTG_Set[[#This Row],[Play Singles CardMarket Profit]]/tbl_MTG_Set[[#This Row],[Play Booster Cost]]</f>
        <v/>
      </c>
      <c r="BI803" s="10">
        <f>tbl_MTG_Set[[#This Row],[Play Singles CardMarket Profit]]&gt;0</f>
        <v/>
      </c>
      <c r="BJ803" s="10" t="n"/>
      <c r="BK803" s="10" t="n"/>
      <c r="BL803" s="10">
        <f>tbl_MTG_Set[[#This Row],[Collector Booster Sell Price CardMarket]]*tbl_MTG_Set[[#This Row],[Collector Booster Expected Market Value]]/tbl_MTG_Set[[#This Row],[Collector Boost Sealed Market Value]]</f>
        <v/>
      </c>
      <c r="BM8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3" s="10">
        <f>tbl_MTG_Set[[#This Row],[Collector Singles CardMarket Profit]]/tbl_MTG_Set[[#This Row],[Collector Booster Cost]]</f>
        <v/>
      </c>
      <c r="BO803" s="10">
        <f>tbl_MTG_Set[[#This Row],[Collector Singles CardMarket Profit]]&gt;0</f>
        <v/>
      </c>
      <c r="BP8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4">
      <c r="A804" t="n">
        <v>802</v>
      </c>
      <c r="B804" t="inlineStr">
        <is>
          <t>Duel Decks: Jace vs. Chandra Tokens TDD2</t>
        </is>
      </c>
      <c r="C804" t="n">
        <v>1</v>
      </c>
      <c r="D804" s="3" t="n">
        <v>39759</v>
      </c>
      <c r="F804" t="inlineStr">
        <is>
          <t>en es fr de it pt ja ko ru 汉语 漢語</t>
        </is>
      </c>
      <c r="G804" t="n">
        <v>1550</v>
      </c>
      <c r="H804">
        <f>MONTH(NOW())+12*YEAR(NOW())-MONTH(tbl_MTG_Set[[#This Row],[Released On]])-12*YEAR(tbl_MTG_Set[[#This Row],[Released On]])</f>
        <v/>
      </c>
      <c r="I804">
        <f>_xlfn.XLOOKUP(tbl_MTG_Set[[#This Row],[Type Name]], tbl_MTG_Set_Type[Set Type], tbl_MTG_Set_Type[Index], "(Set Type not found)")</f>
        <v/>
      </c>
      <c r="J804">
        <f>_xlfn.XLOOKUP(tbl_MTG_Set[[#This Row],[Type Name]], tbl_MTG_Set_Type[Set Type], tbl_MTG_Set_Type[Buy Window Month Start], "(Set Type not found)")</f>
        <v/>
      </c>
      <c r="K804" s="3">
        <f>tbl_MTG_Set[[#This Row],[Released On]]+tbl_MTG_Set[[#This Row],[Buy Window Month Start]]*365.25/12</f>
        <v/>
      </c>
      <c r="L804">
        <f>_xlfn.XLOOKUP(tbl_MTG_Set[[#This Row],[Type Name]], tbl_MTG_Set_Type[Set Type], tbl_MTG_Set_Type[Buy Window Month End], "(Set Type not found)", 0, 1)</f>
        <v/>
      </c>
      <c r="M804" s="3">
        <f>tbl_MTG_Set[[#This Row],[Released On]]+tbl_MTG_Set[[#This Row],[Buy Window Month End]]*365.25/12</f>
        <v/>
      </c>
      <c r="N804" s="3">
        <f>AND(NOW()&gt;=tbl_MTG_Set[[#This Row],[Buy Window Start]], NOW()&lt;=tbl_MTG_Set[[#This Row],[Buy Window End]])</f>
        <v/>
      </c>
      <c r="O804">
        <f>_xlfn.XLOOKUP(tbl_MTG_Set[[#This Row],[Type Name]], tbl_MTG_Set_Type[Set Type], tbl_MTG_Set_Type[Heavy Printing Window Month Start], "(Set Type not found)", 0, 1)</f>
        <v/>
      </c>
      <c r="P804" s="3">
        <f>tbl_MTG_Set[[#This Row],[Released On]]+tbl_MTG_Set[[#This Row],[Heavy Printing Window Month Start]]*365.25/12</f>
        <v/>
      </c>
      <c r="Q804">
        <f>_xlfn.XLOOKUP(tbl_MTG_Set[[#This Row],[Type Name]], tbl_MTG_Set_Type[Set Type], tbl_MTG_Set_Type[Heavy Printing Window Month End], "(Set Type not found)", 0, 1)</f>
        <v/>
      </c>
      <c r="R804" s="3">
        <f>tbl_MTG_Set[[#This Row],[Released On]]+tbl_MTG_Set[[#This Row],[Heavy Printing Window Month End]]*365.25/12</f>
        <v/>
      </c>
      <c r="S804" s="3">
        <f>AND(NOW()&gt;=tbl_MTG_Set[[#This Row],[Heavy Printing Window Start]], NOW()&lt;=tbl_MTG_Set[[#This Row],[Heavy Printing Window End]])</f>
        <v/>
      </c>
      <c r="T804">
        <f>_xlfn.XLOOKUP(tbl_MTG_Set[[#This Row],[Type Name]], tbl_MTG_Set_Type[Set Type], tbl_MTG_Set_Type[Sell Window Month Start], "(Set Type not found)", 0, 1)</f>
        <v/>
      </c>
      <c r="U804" s="3">
        <f>tbl_MTG_Set[[#This Row],[Released On]]+tbl_MTG_Set[[#This Row],[Sell Window Month Start]]*365.25/12</f>
        <v/>
      </c>
      <c r="V804">
        <f>_xlfn.XLOOKUP(tbl_MTG_Set[[#This Row],[Type Name]], tbl_MTG_Set_Type[Set Type], tbl_MTG_Set_Type[Sell Window Month End], "(Set Type not found)", 0, 1)</f>
        <v/>
      </c>
      <c r="W804" s="3">
        <f>tbl_MTG_Set[[#This Row],[Released On]]+tbl_MTG_Set[[#This Row],[Sell Window Month End]]*365.25/12</f>
        <v/>
      </c>
      <c r="X804" s="3">
        <f>AND(NOW()&gt;=tbl_MTG_Set[[#This Row],[Sell Window Start]], NOW()&lt;=tbl_MTG_Set[[#This Row],[Sell Window End]])</f>
        <v/>
      </c>
      <c r="AG804" s="10" t="n"/>
      <c r="AH804" s="10" t="n"/>
      <c r="AM804" s="10">
        <f t="array" ref="AM8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4" s="10">
        <f t="array" ref="AN8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4" s="4">
        <f>_xlfn.XLOOKUP(tbl_MTG_Set[[#This Row],[Play Booster Box Product Id]], tbl_Product[Product Id], tbl_Product[Pack Size])</f>
        <v/>
      </c>
      <c r="AP804" s="10">
        <f>(tbl_MTG_Set[[#This Row],[Play Booster Box Cost]]+v_Item_Shipping_Cost_In)/tbl_MTG_Set[[#This Row],[Play Booster Box Size]]</f>
        <v/>
      </c>
      <c r="AQ804" s="10">
        <f t="array" ref="AQ8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4" s="10" t="n"/>
      <c r="AS804" s="10" t="n"/>
      <c r="AT804" s="17">
        <f>tbl_MTG_Set[[#This Row],[Play Booster CardMarket Profit]]/tbl_MTG_Set[[#This Row],[Play Booster Cost]]</f>
        <v/>
      </c>
      <c r="AU804" s="10">
        <f>_xlfn.XLOOKUP(tbl_MTG_Set[[#This Row],[Collector Booster Box Product Id]], tbl_Product[Product Id], tbl_Product[Min Cost])</f>
        <v/>
      </c>
      <c r="AV804" s="10">
        <f>_xlfn.XLOOKUP(tbl_MTG_Set[[#This Row],[Collector Booster Box Product Id]], tbl_Product[Product Id], tbl_Product[Best Source])</f>
        <v/>
      </c>
      <c r="AW804" s="4">
        <f>_xlfn.XLOOKUP(tbl_MTG_Set[[#This Row],[Collector Booster Box Product Id]], tbl_Product[Product Id], tbl_Product[Pack Size])</f>
        <v/>
      </c>
      <c r="AX804" s="10">
        <f>(tbl_MTG_Set[[#This Row],[Collector Booster Box Cost]] + v_Item_Shipping_Cost_In) / tbl_MTG_Set[[#This Row],[Collector Booster Box Size]]</f>
        <v/>
      </c>
      <c r="AY804" s="10">
        <f t="array" ref="AY8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4" s="10" t="n"/>
      <c r="BA8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4" s="17">
        <f>tbl_MTG_Set[[#This Row],[Collector Booster CardMarket Profit]]/tbl_MTG_Set[[#This Row],[Collector Booster Cost]]</f>
        <v/>
      </c>
      <c r="BC804" s="10" t="n"/>
      <c r="BF804" s="10">
        <f>tbl_MTG_Set[[#This Row],[Play Booster Sell Price CardMarket]]*tbl_MTG_Set[[#This Row],[Play Booster Expected Market Value]]/tbl_MTG_Set[[#This Row],[Play Boost Sealed Market Value]]</f>
        <v/>
      </c>
      <c r="BG8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4" s="10">
        <f>tbl_MTG_Set[[#This Row],[Play Singles CardMarket Profit]]/tbl_MTG_Set[[#This Row],[Play Booster Cost]]</f>
        <v/>
      </c>
      <c r="BI804" s="10">
        <f>tbl_MTG_Set[[#This Row],[Play Singles CardMarket Profit]]&gt;0</f>
        <v/>
      </c>
      <c r="BJ804" s="10" t="n"/>
      <c r="BK804" s="10" t="n"/>
      <c r="BL804" s="10">
        <f>tbl_MTG_Set[[#This Row],[Collector Booster Sell Price CardMarket]]*tbl_MTG_Set[[#This Row],[Collector Booster Expected Market Value]]/tbl_MTG_Set[[#This Row],[Collector Boost Sealed Market Value]]</f>
        <v/>
      </c>
      <c r="BM8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4" s="10">
        <f>tbl_MTG_Set[[#This Row],[Collector Singles CardMarket Profit]]/tbl_MTG_Set[[#This Row],[Collector Booster Cost]]</f>
        <v/>
      </c>
      <c r="BO804" s="10">
        <f>tbl_MTG_Set[[#This Row],[Collector Singles CardMarket Profit]]&gt;0</f>
        <v/>
      </c>
      <c r="BP8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5">
      <c r="A805" t="n">
        <v>803</v>
      </c>
      <c r="B805" t="inlineStr">
        <is>
          <t>Shards of Alara ALA</t>
        </is>
      </c>
      <c r="C805" t="n">
        <v>250</v>
      </c>
      <c r="D805" s="3" t="n">
        <v>39724</v>
      </c>
      <c r="F805" t="inlineStr">
        <is>
          <t>en es fr de it pt ja ko ru 汉语 漢語</t>
        </is>
      </c>
      <c r="G805" t="n">
        <v>1552</v>
      </c>
      <c r="H805">
        <f>MONTH(NOW())+12*YEAR(NOW())-MONTH(tbl_MTG_Set[[#This Row],[Released On]])-12*YEAR(tbl_MTG_Set[[#This Row],[Released On]])</f>
        <v/>
      </c>
      <c r="I805">
        <f>_xlfn.XLOOKUP(tbl_MTG_Set[[#This Row],[Type Name]], tbl_MTG_Set_Type[Set Type], tbl_MTG_Set_Type[Index], "(Set Type not found)")</f>
        <v/>
      </c>
      <c r="J805">
        <f>_xlfn.XLOOKUP(tbl_MTG_Set[[#This Row],[Type Name]], tbl_MTG_Set_Type[Set Type], tbl_MTG_Set_Type[Buy Window Month Start], "(Set Type not found)")</f>
        <v/>
      </c>
      <c r="K805" s="3">
        <f>tbl_MTG_Set[[#This Row],[Released On]]+tbl_MTG_Set[[#This Row],[Buy Window Month Start]]*365.25/12</f>
        <v/>
      </c>
      <c r="L805">
        <f>_xlfn.XLOOKUP(tbl_MTG_Set[[#This Row],[Type Name]], tbl_MTG_Set_Type[Set Type], tbl_MTG_Set_Type[Buy Window Month End], "(Set Type not found)", 0, 1)</f>
        <v/>
      </c>
      <c r="M805" s="3">
        <f>tbl_MTG_Set[[#This Row],[Released On]]+tbl_MTG_Set[[#This Row],[Buy Window Month End]]*365.25/12</f>
        <v/>
      </c>
      <c r="N805" s="3">
        <f>AND(NOW()&gt;=tbl_MTG_Set[[#This Row],[Buy Window Start]], NOW()&lt;=tbl_MTG_Set[[#This Row],[Buy Window End]])</f>
        <v/>
      </c>
      <c r="O805">
        <f>_xlfn.XLOOKUP(tbl_MTG_Set[[#This Row],[Type Name]], tbl_MTG_Set_Type[Set Type], tbl_MTG_Set_Type[Heavy Printing Window Month Start], "(Set Type not found)", 0, 1)</f>
        <v/>
      </c>
      <c r="P805" s="3">
        <f>tbl_MTG_Set[[#This Row],[Released On]]+tbl_MTG_Set[[#This Row],[Heavy Printing Window Month Start]]*365.25/12</f>
        <v/>
      </c>
      <c r="Q805">
        <f>_xlfn.XLOOKUP(tbl_MTG_Set[[#This Row],[Type Name]], tbl_MTG_Set_Type[Set Type], tbl_MTG_Set_Type[Heavy Printing Window Month End], "(Set Type not found)", 0, 1)</f>
        <v/>
      </c>
      <c r="R805" s="3">
        <f>tbl_MTG_Set[[#This Row],[Released On]]+tbl_MTG_Set[[#This Row],[Heavy Printing Window Month End]]*365.25/12</f>
        <v/>
      </c>
      <c r="S805" s="3">
        <f>AND(NOW()&gt;=tbl_MTG_Set[[#This Row],[Heavy Printing Window Start]], NOW()&lt;=tbl_MTG_Set[[#This Row],[Heavy Printing Window End]])</f>
        <v/>
      </c>
      <c r="T805">
        <f>_xlfn.XLOOKUP(tbl_MTG_Set[[#This Row],[Type Name]], tbl_MTG_Set_Type[Set Type], tbl_MTG_Set_Type[Sell Window Month Start], "(Set Type not found)", 0, 1)</f>
        <v/>
      </c>
      <c r="U805" s="3">
        <f>tbl_MTG_Set[[#This Row],[Released On]]+tbl_MTG_Set[[#This Row],[Sell Window Month Start]]*365.25/12</f>
        <v/>
      </c>
      <c r="V805">
        <f>_xlfn.XLOOKUP(tbl_MTG_Set[[#This Row],[Type Name]], tbl_MTG_Set_Type[Set Type], tbl_MTG_Set_Type[Sell Window Month End], "(Set Type not found)", 0, 1)</f>
        <v/>
      </c>
      <c r="W805" s="3">
        <f>tbl_MTG_Set[[#This Row],[Released On]]+tbl_MTG_Set[[#This Row],[Sell Window Month End]]*365.25/12</f>
        <v/>
      </c>
      <c r="X805" s="3">
        <f>AND(NOW()&gt;=tbl_MTG_Set[[#This Row],[Sell Window Start]], NOW()&lt;=tbl_MTG_Set[[#This Row],[Sell Window End]])</f>
        <v/>
      </c>
      <c r="AG805" s="10" t="n"/>
      <c r="AH805" s="10" t="n"/>
      <c r="AM805" s="10">
        <f t="array" ref="AM8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5" s="10">
        <f t="array" ref="AN8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5" s="4">
        <f>_xlfn.XLOOKUP(tbl_MTG_Set[[#This Row],[Play Booster Box Product Id]], tbl_Product[Product Id], tbl_Product[Pack Size])</f>
        <v/>
      </c>
      <c r="AP805" s="10">
        <f>(tbl_MTG_Set[[#This Row],[Play Booster Box Cost]]+v_Item_Shipping_Cost_In)/tbl_MTG_Set[[#This Row],[Play Booster Box Size]]</f>
        <v/>
      </c>
      <c r="AQ805" s="10">
        <f t="array" ref="AQ8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5" s="10" t="n"/>
      <c r="AS805" s="10" t="n"/>
      <c r="AT805" s="17">
        <f>tbl_MTG_Set[[#This Row],[Play Booster CardMarket Profit]]/tbl_MTG_Set[[#This Row],[Play Booster Cost]]</f>
        <v/>
      </c>
      <c r="AU805" s="10">
        <f>_xlfn.XLOOKUP(tbl_MTG_Set[[#This Row],[Collector Booster Box Product Id]], tbl_Product[Product Id], tbl_Product[Min Cost])</f>
        <v/>
      </c>
      <c r="AV805" s="10">
        <f>_xlfn.XLOOKUP(tbl_MTG_Set[[#This Row],[Collector Booster Box Product Id]], tbl_Product[Product Id], tbl_Product[Best Source])</f>
        <v/>
      </c>
      <c r="AW805" s="4">
        <f>_xlfn.XLOOKUP(tbl_MTG_Set[[#This Row],[Collector Booster Box Product Id]], tbl_Product[Product Id], tbl_Product[Pack Size])</f>
        <v/>
      </c>
      <c r="AX805" s="10">
        <f>(tbl_MTG_Set[[#This Row],[Collector Booster Box Cost]] + v_Item_Shipping_Cost_In) / tbl_MTG_Set[[#This Row],[Collector Booster Box Size]]</f>
        <v/>
      </c>
      <c r="AY805" s="10">
        <f t="array" ref="AY8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5" s="10" t="n"/>
      <c r="BA8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5" s="17">
        <f>tbl_MTG_Set[[#This Row],[Collector Booster CardMarket Profit]]/tbl_MTG_Set[[#This Row],[Collector Booster Cost]]</f>
        <v/>
      </c>
      <c r="BC805" s="10" t="n"/>
      <c r="BF805" s="10">
        <f>tbl_MTG_Set[[#This Row],[Play Booster Sell Price CardMarket]]*tbl_MTG_Set[[#This Row],[Play Booster Expected Market Value]]/tbl_MTG_Set[[#This Row],[Play Boost Sealed Market Value]]</f>
        <v/>
      </c>
      <c r="BG8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5" s="10">
        <f>tbl_MTG_Set[[#This Row],[Play Singles CardMarket Profit]]/tbl_MTG_Set[[#This Row],[Play Booster Cost]]</f>
        <v/>
      </c>
      <c r="BI805" s="10">
        <f>tbl_MTG_Set[[#This Row],[Play Singles CardMarket Profit]]&gt;0</f>
        <v/>
      </c>
      <c r="BJ805" s="10" t="n"/>
      <c r="BK805" s="10" t="n"/>
      <c r="BL805" s="10">
        <f>tbl_MTG_Set[[#This Row],[Collector Booster Sell Price CardMarket]]*tbl_MTG_Set[[#This Row],[Collector Booster Expected Market Value]]/tbl_MTG_Set[[#This Row],[Collector Boost Sealed Market Value]]</f>
        <v/>
      </c>
      <c r="BM8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5" s="10">
        <f>tbl_MTG_Set[[#This Row],[Collector Singles CardMarket Profit]]/tbl_MTG_Set[[#This Row],[Collector Booster Cost]]</f>
        <v/>
      </c>
      <c r="BO805" s="10">
        <f>tbl_MTG_Set[[#This Row],[Collector Singles CardMarket Profit]]&gt;0</f>
        <v/>
      </c>
      <c r="BP8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6">
      <c r="A806" t="n">
        <v>804</v>
      </c>
      <c r="B806" t="inlineStr">
        <is>
          <t>Shards of Alara Promos PALA</t>
        </is>
      </c>
      <c r="C806" t="n">
        <v>2</v>
      </c>
      <c r="D806" s="3" t="n">
        <v>39724</v>
      </c>
      <c r="F806" t="inlineStr">
        <is>
          <t>en es fr de it pt ja ko ru 汉语 漢語</t>
        </is>
      </c>
      <c r="G806" t="n">
        <v>1554</v>
      </c>
      <c r="H806">
        <f>MONTH(NOW())+12*YEAR(NOW())-MONTH(tbl_MTG_Set[[#This Row],[Released On]])-12*YEAR(tbl_MTG_Set[[#This Row],[Released On]])</f>
        <v/>
      </c>
      <c r="I806">
        <f>_xlfn.XLOOKUP(tbl_MTG_Set[[#This Row],[Type Name]], tbl_MTG_Set_Type[Set Type], tbl_MTG_Set_Type[Index], "(Set Type not found)")</f>
        <v/>
      </c>
      <c r="J806">
        <f>_xlfn.XLOOKUP(tbl_MTG_Set[[#This Row],[Type Name]], tbl_MTG_Set_Type[Set Type], tbl_MTG_Set_Type[Buy Window Month Start], "(Set Type not found)")</f>
        <v/>
      </c>
      <c r="K806" s="3">
        <f>tbl_MTG_Set[[#This Row],[Released On]]+tbl_MTG_Set[[#This Row],[Buy Window Month Start]]*365.25/12</f>
        <v/>
      </c>
      <c r="L806">
        <f>_xlfn.XLOOKUP(tbl_MTG_Set[[#This Row],[Type Name]], tbl_MTG_Set_Type[Set Type], tbl_MTG_Set_Type[Buy Window Month End], "(Set Type not found)", 0, 1)</f>
        <v/>
      </c>
      <c r="M806" s="3">
        <f>tbl_MTG_Set[[#This Row],[Released On]]+tbl_MTG_Set[[#This Row],[Buy Window Month End]]*365.25/12</f>
        <v/>
      </c>
      <c r="N806" s="3">
        <f>AND(NOW()&gt;=tbl_MTG_Set[[#This Row],[Buy Window Start]], NOW()&lt;=tbl_MTG_Set[[#This Row],[Buy Window End]])</f>
        <v/>
      </c>
      <c r="O806">
        <f>_xlfn.XLOOKUP(tbl_MTG_Set[[#This Row],[Type Name]], tbl_MTG_Set_Type[Set Type], tbl_MTG_Set_Type[Heavy Printing Window Month Start], "(Set Type not found)", 0, 1)</f>
        <v/>
      </c>
      <c r="P806" s="3">
        <f>tbl_MTG_Set[[#This Row],[Released On]]+tbl_MTG_Set[[#This Row],[Heavy Printing Window Month Start]]*365.25/12</f>
        <v/>
      </c>
      <c r="Q806">
        <f>_xlfn.XLOOKUP(tbl_MTG_Set[[#This Row],[Type Name]], tbl_MTG_Set_Type[Set Type], tbl_MTG_Set_Type[Heavy Printing Window Month End], "(Set Type not found)", 0, 1)</f>
        <v/>
      </c>
      <c r="R806" s="3">
        <f>tbl_MTG_Set[[#This Row],[Released On]]+tbl_MTG_Set[[#This Row],[Heavy Printing Window Month End]]*365.25/12</f>
        <v/>
      </c>
      <c r="S806" s="3">
        <f>AND(NOW()&gt;=tbl_MTG_Set[[#This Row],[Heavy Printing Window Start]], NOW()&lt;=tbl_MTG_Set[[#This Row],[Heavy Printing Window End]])</f>
        <v/>
      </c>
      <c r="T806">
        <f>_xlfn.XLOOKUP(tbl_MTG_Set[[#This Row],[Type Name]], tbl_MTG_Set_Type[Set Type], tbl_MTG_Set_Type[Sell Window Month Start], "(Set Type not found)", 0, 1)</f>
        <v/>
      </c>
      <c r="U806" s="3">
        <f>tbl_MTG_Set[[#This Row],[Released On]]+tbl_MTG_Set[[#This Row],[Sell Window Month Start]]*365.25/12</f>
        <v/>
      </c>
      <c r="V806">
        <f>_xlfn.XLOOKUP(tbl_MTG_Set[[#This Row],[Type Name]], tbl_MTG_Set_Type[Set Type], tbl_MTG_Set_Type[Sell Window Month End], "(Set Type not found)", 0, 1)</f>
        <v/>
      </c>
      <c r="W806" s="3">
        <f>tbl_MTG_Set[[#This Row],[Released On]]+tbl_MTG_Set[[#This Row],[Sell Window Month End]]*365.25/12</f>
        <v/>
      </c>
      <c r="X806" s="3">
        <f>AND(NOW()&gt;=tbl_MTG_Set[[#This Row],[Sell Window Start]], NOW()&lt;=tbl_MTG_Set[[#This Row],[Sell Window End]])</f>
        <v/>
      </c>
      <c r="AG806" s="10" t="n"/>
      <c r="AH806" s="10" t="n"/>
      <c r="AM806" s="10">
        <f t="array" ref="AM8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6" s="10">
        <f t="array" ref="AN8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6" s="4">
        <f>_xlfn.XLOOKUP(tbl_MTG_Set[[#This Row],[Play Booster Box Product Id]], tbl_Product[Product Id], tbl_Product[Pack Size])</f>
        <v/>
      </c>
      <c r="AP806" s="10">
        <f>(tbl_MTG_Set[[#This Row],[Play Booster Box Cost]]+v_Item_Shipping_Cost_In)/tbl_MTG_Set[[#This Row],[Play Booster Box Size]]</f>
        <v/>
      </c>
      <c r="AQ806" s="10">
        <f t="array" ref="AQ8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6" s="10" t="n"/>
      <c r="AS806" s="10" t="n"/>
      <c r="AT806" s="17">
        <f>tbl_MTG_Set[[#This Row],[Play Booster CardMarket Profit]]/tbl_MTG_Set[[#This Row],[Play Booster Cost]]</f>
        <v/>
      </c>
      <c r="AU806" s="10">
        <f>_xlfn.XLOOKUP(tbl_MTG_Set[[#This Row],[Collector Booster Box Product Id]], tbl_Product[Product Id], tbl_Product[Min Cost])</f>
        <v/>
      </c>
      <c r="AV806" s="10">
        <f>_xlfn.XLOOKUP(tbl_MTG_Set[[#This Row],[Collector Booster Box Product Id]], tbl_Product[Product Id], tbl_Product[Best Source])</f>
        <v/>
      </c>
      <c r="AW806" s="4">
        <f>_xlfn.XLOOKUP(tbl_MTG_Set[[#This Row],[Collector Booster Box Product Id]], tbl_Product[Product Id], tbl_Product[Pack Size])</f>
        <v/>
      </c>
      <c r="AX806" s="10">
        <f>(tbl_MTG_Set[[#This Row],[Collector Booster Box Cost]] + v_Item_Shipping_Cost_In) / tbl_MTG_Set[[#This Row],[Collector Booster Box Size]]</f>
        <v/>
      </c>
      <c r="AY806" s="10">
        <f t="array" ref="AY8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6" s="10" t="n"/>
      <c r="BA8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6" s="17">
        <f>tbl_MTG_Set[[#This Row],[Collector Booster CardMarket Profit]]/tbl_MTG_Set[[#This Row],[Collector Booster Cost]]</f>
        <v/>
      </c>
      <c r="BC806" s="10" t="n"/>
      <c r="BF806" s="10">
        <f>tbl_MTG_Set[[#This Row],[Play Booster Sell Price CardMarket]]*tbl_MTG_Set[[#This Row],[Play Booster Expected Market Value]]/tbl_MTG_Set[[#This Row],[Play Boost Sealed Market Value]]</f>
        <v/>
      </c>
      <c r="BG8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6" s="10">
        <f>tbl_MTG_Set[[#This Row],[Play Singles CardMarket Profit]]/tbl_MTG_Set[[#This Row],[Play Booster Cost]]</f>
        <v/>
      </c>
      <c r="BI806" s="10">
        <f>tbl_MTG_Set[[#This Row],[Play Singles CardMarket Profit]]&gt;0</f>
        <v/>
      </c>
      <c r="BJ806" s="10" t="n"/>
      <c r="BK806" s="10" t="n"/>
      <c r="BL806" s="10">
        <f>tbl_MTG_Set[[#This Row],[Collector Booster Sell Price CardMarket]]*tbl_MTG_Set[[#This Row],[Collector Booster Expected Market Value]]/tbl_MTG_Set[[#This Row],[Collector Boost Sealed Market Value]]</f>
        <v/>
      </c>
      <c r="BM8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6" s="10">
        <f>tbl_MTG_Set[[#This Row],[Collector Singles CardMarket Profit]]/tbl_MTG_Set[[#This Row],[Collector Booster Cost]]</f>
        <v/>
      </c>
      <c r="BO806" s="10">
        <f>tbl_MTG_Set[[#This Row],[Collector Singles CardMarket Profit]]&gt;0</f>
        <v/>
      </c>
      <c r="BP8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7">
      <c r="A807" t="n">
        <v>805</v>
      </c>
      <c r="B807" t="inlineStr">
        <is>
          <t>Shards of Alara Tokens TALA</t>
        </is>
      </c>
      <c r="C807" t="n">
        <v>10</v>
      </c>
      <c r="D807" s="3" t="n">
        <v>39724</v>
      </c>
      <c r="F807" t="inlineStr">
        <is>
          <t>en es fr de it pt ja ko ru 汉语 漢語</t>
        </is>
      </c>
      <c r="G807" t="n">
        <v>1556</v>
      </c>
      <c r="H807">
        <f>MONTH(NOW())+12*YEAR(NOW())-MONTH(tbl_MTG_Set[[#This Row],[Released On]])-12*YEAR(tbl_MTG_Set[[#This Row],[Released On]])</f>
        <v/>
      </c>
      <c r="I807">
        <f>_xlfn.XLOOKUP(tbl_MTG_Set[[#This Row],[Type Name]], tbl_MTG_Set_Type[Set Type], tbl_MTG_Set_Type[Index], "(Set Type not found)")</f>
        <v/>
      </c>
      <c r="J807">
        <f>_xlfn.XLOOKUP(tbl_MTG_Set[[#This Row],[Type Name]], tbl_MTG_Set_Type[Set Type], tbl_MTG_Set_Type[Buy Window Month Start], "(Set Type not found)")</f>
        <v/>
      </c>
      <c r="K807" s="3">
        <f>tbl_MTG_Set[[#This Row],[Released On]]+tbl_MTG_Set[[#This Row],[Buy Window Month Start]]*365.25/12</f>
        <v/>
      </c>
      <c r="L807">
        <f>_xlfn.XLOOKUP(tbl_MTG_Set[[#This Row],[Type Name]], tbl_MTG_Set_Type[Set Type], tbl_MTG_Set_Type[Buy Window Month End], "(Set Type not found)", 0, 1)</f>
        <v/>
      </c>
      <c r="M807" s="3">
        <f>tbl_MTG_Set[[#This Row],[Released On]]+tbl_MTG_Set[[#This Row],[Buy Window Month End]]*365.25/12</f>
        <v/>
      </c>
      <c r="N807" s="3">
        <f>AND(NOW()&gt;=tbl_MTG_Set[[#This Row],[Buy Window Start]], NOW()&lt;=tbl_MTG_Set[[#This Row],[Buy Window End]])</f>
        <v/>
      </c>
      <c r="O807">
        <f>_xlfn.XLOOKUP(tbl_MTG_Set[[#This Row],[Type Name]], tbl_MTG_Set_Type[Set Type], tbl_MTG_Set_Type[Heavy Printing Window Month Start], "(Set Type not found)", 0, 1)</f>
        <v/>
      </c>
      <c r="P807" s="3">
        <f>tbl_MTG_Set[[#This Row],[Released On]]+tbl_MTG_Set[[#This Row],[Heavy Printing Window Month Start]]*365.25/12</f>
        <v/>
      </c>
      <c r="Q807">
        <f>_xlfn.XLOOKUP(tbl_MTG_Set[[#This Row],[Type Name]], tbl_MTG_Set_Type[Set Type], tbl_MTG_Set_Type[Heavy Printing Window Month End], "(Set Type not found)", 0, 1)</f>
        <v/>
      </c>
      <c r="R807" s="3">
        <f>tbl_MTG_Set[[#This Row],[Released On]]+tbl_MTG_Set[[#This Row],[Heavy Printing Window Month End]]*365.25/12</f>
        <v/>
      </c>
      <c r="S807" s="3">
        <f>AND(NOW()&gt;=tbl_MTG_Set[[#This Row],[Heavy Printing Window Start]], NOW()&lt;=tbl_MTG_Set[[#This Row],[Heavy Printing Window End]])</f>
        <v/>
      </c>
      <c r="T807">
        <f>_xlfn.XLOOKUP(tbl_MTG_Set[[#This Row],[Type Name]], tbl_MTG_Set_Type[Set Type], tbl_MTG_Set_Type[Sell Window Month Start], "(Set Type not found)", 0, 1)</f>
        <v/>
      </c>
      <c r="U807" s="3">
        <f>tbl_MTG_Set[[#This Row],[Released On]]+tbl_MTG_Set[[#This Row],[Sell Window Month Start]]*365.25/12</f>
        <v/>
      </c>
      <c r="V807">
        <f>_xlfn.XLOOKUP(tbl_MTG_Set[[#This Row],[Type Name]], tbl_MTG_Set_Type[Set Type], tbl_MTG_Set_Type[Sell Window Month End], "(Set Type not found)", 0, 1)</f>
        <v/>
      </c>
      <c r="W807" s="3">
        <f>tbl_MTG_Set[[#This Row],[Released On]]+tbl_MTG_Set[[#This Row],[Sell Window Month End]]*365.25/12</f>
        <v/>
      </c>
      <c r="X807" s="3">
        <f>AND(NOW()&gt;=tbl_MTG_Set[[#This Row],[Sell Window Start]], NOW()&lt;=tbl_MTG_Set[[#This Row],[Sell Window End]])</f>
        <v/>
      </c>
      <c r="AG807" s="10" t="n"/>
      <c r="AH807" s="10" t="n"/>
      <c r="AM807" s="10">
        <f t="array" ref="AM8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7" s="10">
        <f t="array" ref="AN8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7" s="4">
        <f>_xlfn.XLOOKUP(tbl_MTG_Set[[#This Row],[Play Booster Box Product Id]], tbl_Product[Product Id], tbl_Product[Pack Size])</f>
        <v/>
      </c>
      <c r="AP807" s="10">
        <f>(tbl_MTG_Set[[#This Row],[Play Booster Box Cost]]+v_Item_Shipping_Cost_In)/tbl_MTG_Set[[#This Row],[Play Booster Box Size]]</f>
        <v/>
      </c>
      <c r="AQ807" s="10">
        <f t="array" ref="AQ8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7" s="10" t="n"/>
      <c r="AS807" s="10" t="n"/>
      <c r="AT807" s="17">
        <f>tbl_MTG_Set[[#This Row],[Play Booster CardMarket Profit]]/tbl_MTG_Set[[#This Row],[Play Booster Cost]]</f>
        <v/>
      </c>
      <c r="AU807" s="10">
        <f>_xlfn.XLOOKUP(tbl_MTG_Set[[#This Row],[Collector Booster Box Product Id]], tbl_Product[Product Id], tbl_Product[Min Cost])</f>
        <v/>
      </c>
      <c r="AV807" s="10">
        <f>_xlfn.XLOOKUP(tbl_MTG_Set[[#This Row],[Collector Booster Box Product Id]], tbl_Product[Product Id], tbl_Product[Best Source])</f>
        <v/>
      </c>
      <c r="AW807" s="4">
        <f>_xlfn.XLOOKUP(tbl_MTG_Set[[#This Row],[Collector Booster Box Product Id]], tbl_Product[Product Id], tbl_Product[Pack Size])</f>
        <v/>
      </c>
      <c r="AX807" s="10">
        <f>(tbl_MTG_Set[[#This Row],[Collector Booster Box Cost]] + v_Item_Shipping_Cost_In) / tbl_MTG_Set[[#This Row],[Collector Booster Box Size]]</f>
        <v/>
      </c>
      <c r="AY807" s="10">
        <f t="array" ref="AY8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7" s="10" t="n"/>
      <c r="BA8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7" s="17">
        <f>tbl_MTG_Set[[#This Row],[Collector Booster CardMarket Profit]]/tbl_MTG_Set[[#This Row],[Collector Booster Cost]]</f>
        <v/>
      </c>
      <c r="BC807" s="10" t="n"/>
      <c r="BF807" s="10">
        <f>tbl_MTG_Set[[#This Row],[Play Booster Sell Price CardMarket]]*tbl_MTG_Set[[#This Row],[Play Booster Expected Market Value]]/tbl_MTG_Set[[#This Row],[Play Boost Sealed Market Value]]</f>
        <v/>
      </c>
      <c r="BG8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7" s="10">
        <f>tbl_MTG_Set[[#This Row],[Play Singles CardMarket Profit]]/tbl_MTG_Set[[#This Row],[Play Booster Cost]]</f>
        <v/>
      </c>
      <c r="BI807" s="10">
        <f>tbl_MTG_Set[[#This Row],[Play Singles CardMarket Profit]]&gt;0</f>
        <v/>
      </c>
      <c r="BJ807" s="10" t="n"/>
      <c r="BK807" s="10" t="n"/>
      <c r="BL807" s="10">
        <f>tbl_MTG_Set[[#This Row],[Collector Booster Sell Price CardMarket]]*tbl_MTG_Set[[#This Row],[Collector Booster Expected Market Value]]/tbl_MTG_Set[[#This Row],[Collector Boost Sealed Market Value]]</f>
        <v/>
      </c>
      <c r="BM8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7" s="10">
        <f>tbl_MTG_Set[[#This Row],[Collector Singles CardMarket Profit]]/tbl_MTG_Set[[#This Row],[Collector Booster Cost]]</f>
        <v/>
      </c>
      <c r="BO807" s="10">
        <f>tbl_MTG_Set[[#This Row],[Collector Singles CardMarket Profit]]&gt;0</f>
        <v/>
      </c>
      <c r="BP8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8">
      <c r="A808" t="n">
        <v>806</v>
      </c>
      <c r="B808" t="inlineStr">
        <is>
          <t>Masters Edition II ME2</t>
        </is>
      </c>
      <c r="C808" t="n">
        <v>245</v>
      </c>
      <c r="D808" s="3" t="n">
        <v>39713</v>
      </c>
      <c r="F808" t="inlineStr">
        <is>
          <t>en es fr de it pt ja ko ru 汉语 漢語</t>
        </is>
      </c>
      <c r="G808" t="n">
        <v>1558</v>
      </c>
      <c r="H808">
        <f>MONTH(NOW())+12*YEAR(NOW())-MONTH(tbl_MTG_Set[[#This Row],[Released On]])-12*YEAR(tbl_MTG_Set[[#This Row],[Released On]])</f>
        <v/>
      </c>
      <c r="I808">
        <f>_xlfn.XLOOKUP(tbl_MTG_Set[[#This Row],[Type Name]], tbl_MTG_Set_Type[Set Type], tbl_MTG_Set_Type[Index], "(Set Type not found)")</f>
        <v/>
      </c>
      <c r="J808">
        <f>_xlfn.XLOOKUP(tbl_MTG_Set[[#This Row],[Type Name]], tbl_MTG_Set_Type[Set Type], tbl_MTG_Set_Type[Buy Window Month Start], "(Set Type not found)")</f>
        <v/>
      </c>
      <c r="K808" s="3">
        <f>tbl_MTG_Set[[#This Row],[Released On]]+tbl_MTG_Set[[#This Row],[Buy Window Month Start]]*365.25/12</f>
        <v/>
      </c>
      <c r="L808">
        <f>_xlfn.XLOOKUP(tbl_MTG_Set[[#This Row],[Type Name]], tbl_MTG_Set_Type[Set Type], tbl_MTG_Set_Type[Buy Window Month End], "(Set Type not found)", 0, 1)</f>
        <v/>
      </c>
      <c r="M808" s="3">
        <f>tbl_MTG_Set[[#This Row],[Released On]]+tbl_MTG_Set[[#This Row],[Buy Window Month End]]*365.25/12</f>
        <v/>
      </c>
      <c r="N808" s="3">
        <f>AND(NOW()&gt;=tbl_MTG_Set[[#This Row],[Buy Window Start]], NOW()&lt;=tbl_MTG_Set[[#This Row],[Buy Window End]])</f>
        <v/>
      </c>
      <c r="O808">
        <f>_xlfn.XLOOKUP(tbl_MTG_Set[[#This Row],[Type Name]], tbl_MTG_Set_Type[Set Type], tbl_MTG_Set_Type[Heavy Printing Window Month Start], "(Set Type not found)", 0, 1)</f>
        <v/>
      </c>
      <c r="P808" s="3">
        <f>tbl_MTG_Set[[#This Row],[Released On]]+tbl_MTG_Set[[#This Row],[Heavy Printing Window Month Start]]*365.25/12</f>
        <v/>
      </c>
      <c r="Q808">
        <f>_xlfn.XLOOKUP(tbl_MTG_Set[[#This Row],[Type Name]], tbl_MTG_Set_Type[Set Type], tbl_MTG_Set_Type[Heavy Printing Window Month End], "(Set Type not found)", 0, 1)</f>
        <v/>
      </c>
      <c r="R808" s="3">
        <f>tbl_MTG_Set[[#This Row],[Released On]]+tbl_MTG_Set[[#This Row],[Heavy Printing Window Month End]]*365.25/12</f>
        <v/>
      </c>
      <c r="S808" s="3">
        <f>AND(NOW()&gt;=tbl_MTG_Set[[#This Row],[Heavy Printing Window Start]], NOW()&lt;=tbl_MTG_Set[[#This Row],[Heavy Printing Window End]])</f>
        <v/>
      </c>
      <c r="T808">
        <f>_xlfn.XLOOKUP(tbl_MTG_Set[[#This Row],[Type Name]], tbl_MTG_Set_Type[Set Type], tbl_MTG_Set_Type[Sell Window Month Start], "(Set Type not found)", 0, 1)</f>
        <v/>
      </c>
      <c r="U808" s="3">
        <f>tbl_MTG_Set[[#This Row],[Released On]]+tbl_MTG_Set[[#This Row],[Sell Window Month Start]]*365.25/12</f>
        <v/>
      </c>
      <c r="V808">
        <f>_xlfn.XLOOKUP(tbl_MTG_Set[[#This Row],[Type Name]], tbl_MTG_Set_Type[Set Type], tbl_MTG_Set_Type[Sell Window Month End], "(Set Type not found)", 0, 1)</f>
        <v/>
      </c>
      <c r="W808" s="3">
        <f>tbl_MTG_Set[[#This Row],[Released On]]+tbl_MTG_Set[[#This Row],[Sell Window Month End]]*365.25/12</f>
        <v/>
      </c>
      <c r="X808" s="3">
        <f>AND(NOW()&gt;=tbl_MTG_Set[[#This Row],[Sell Window Start]], NOW()&lt;=tbl_MTG_Set[[#This Row],[Sell Window End]])</f>
        <v/>
      </c>
      <c r="AG808" s="10" t="n"/>
      <c r="AH808" s="10" t="n"/>
      <c r="AM808" s="10">
        <f t="array" ref="AM8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8" s="10">
        <f t="array" ref="AN8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8" s="4">
        <f>_xlfn.XLOOKUP(tbl_MTG_Set[[#This Row],[Play Booster Box Product Id]], tbl_Product[Product Id], tbl_Product[Pack Size])</f>
        <v/>
      </c>
      <c r="AP808" s="10">
        <f>(tbl_MTG_Set[[#This Row],[Play Booster Box Cost]]+v_Item_Shipping_Cost_In)/tbl_MTG_Set[[#This Row],[Play Booster Box Size]]</f>
        <v/>
      </c>
      <c r="AQ808" s="10">
        <f t="array" ref="AQ8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8" s="10" t="n"/>
      <c r="AS808" s="10" t="n"/>
      <c r="AT808" s="17">
        <f>tbl_MTG_Set[[#This Row],[Play Booster CardMarket Profit]]/tbl_MTG_Set[[#This Row],[Play Booster Cost]]</f>
        <v/>
      </c>
      <c r="AU808" s="10">
        <f>_xlfn.XLOOKUP(tbl_MTG_Set[[#This Row],[Collector Booster Box Product Id]], tbl_Product[Product Id], tbl_Product[Min Cost])</f>
        <v/>
      </c>
      <c r="AV808" s="10">
        <f>_xlfn.XLOOKUP(tbl_MTG_Set[[#This Row],[Collector Booster Box Product Id]], tbl_Product[Product Id], tbl_Product[Best Source])</f>
        <v/>
      </c>
      <c r="AW808" s="4">
        <f>_xlfn.XLOOKUP(tbl_MTG_Set[[#This Row],[Collector Booster Box Product Id]], tbl_Product[Product Id], tbl_Product[Pack Size])</f>
        <v/>
      </c>
      <c r="AX808" s="10">
        <f>(tbl_MTG_Set[[#This Row],[Collector Booster Box Cost]] + v_Item_Shipping_Cost_In) / tbl_MTG_Set[[#This Row],[Collector Booster Box Size]]</f>
        <v/>
      </c>
      <c r="AY808" s="10">
        <f t="array" ref="AY8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8" s="10" t="n"/>
      <c r="BA8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8" s="17">
        <f>tbl_MTG_Set[[#This Row],[Collector Booster CardMarket Profit]]/tbl_MTG_Set[[#This Row],[Collector Booster Cost]]</f>
        <v/>
      </c>
      <c r="BC808" s="10" t="n"/>
      <c r="BF808" s="10">
        <f>tbl_MTG_Set[[#This Row],[Play Booster Sell Price CardMarket]]*tbl_MTG_Set[[#This Row],[Play Booster Expected Market Value]]/tbl_MTG_Set[[#This Row],[Play Boost Sealed Market Value]]</f>
        <v/>
      </c>
      <c r="BG8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8" s="10">
        <f>tbl_MTG_Set[[#This Row],[Play Singles CardMarket Profit]]/tbl_MTG_Set[[#This Row],[Play Booster Cost]]</f>
        <v/>
      </c>
      <c r="BI808" s="10">
        <f>tbl_MTG_Set[[#This Row],[Play Singles CardMarket Profit]]&gt;0</f>
        <v/>
      </c>
      <c r="BJ808" s="10" t="n"/>
      <c r="BK808" s="10" t="n"/>
      <c r="BL808" s="10">
        <f>tbl_MTG_Set[[#This Row],[Collector Booster Sell Price CardMarket]]*tbl_MTG_Set[[#This Row],[Collector Booster Expected Market Value]]/tbl_MTG_Set[[#This Row],[Collector Boost Sealed Market Value]]</f>
        <v/>
      </c>
      <c r="BM8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8" s="10">
        <f>tbl_MTG_Set[[#This Row],[Collector Singles CardMarket Profit]]/tbl_MTG_Set[[#This Row],[Collector Booster Cost]]</f>
        <v/>
      </c>
      <c r="BO808" s="10">
        <f>tbl_MTG_Set[[#This Row],[Collector Singles CardMarket Profit]]&gt;0</f>
        <v/>
      </c>
      <c r="BP8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9">
      <c r="A809" t="n">
        <v>807</v>
      </c>
      <c r="B809" t="inlineStr">
        <is>
          <t>From the Vault: Dragons DRB</t>
        </is>
      </c>
      <c r="C809" t="n">
        <v>15</v>
      </c>
      <c r="D809" s="3" t="n">
        <v>39689</v>
      </c>
      <c r="F809" t="inlineStr">
        <is>
          <t>en es fr de it pt ja ko ru 汉语 漢語</t>
        </is>
      </c>
      <c r="G809" t="n">
        <v>1560</v>
      </c>
      <c r="H809">
        <f>MONTH(NOW())+12*YEAR(NOW())-MONTH(tbl_MTG_Set[[#This Row],[Released On]])-12*YEAR(tbl_MTG_Set[[#This Row],[Released On]])</f>
        <v/>
      </c>
      <c r="I809">
        <f>_xlfn.XLOOKUP(tbl_MTG_Set[[#This Row],[Type Name]], tbl_MTG_Set_Type[Set Type], tbl_MTG_Set_Type[Index], "(Set Type not found)")</f>
        <v/>
      </c>
      <c r="J809">
        <f>_xlfn.XLOOKUP(tbl_MTG_Set[[#This Row],[Type Name]], tbl_MTG_Set_Type[Set Type], tbl_MTG_Set_Type[Buy Window Month Start], "(Set Type not found)")</f>
        <v/>
      </c>
      <c r="K809" s="3">
        <f>tbl_MTG_Set[[#This Row],[Released On]]+tbl_MTG_Set[[#This Row],[Buy Window Month Start]]*365.25/12</f>
        <v/>
      </c>
      <c r="L809">
        <f>_xlfn.XLOOKUP(tbl_MTG_Set[[#This Row],[Type Name]], tbl_MTG_Set_Type[Set Type], tbl_MTG_Set_Type[Buy Window Month End], "(Set Type not found)", 0, 1)</f>
        <v/>
      </c>
      <c r="M809" s="3">
        <f>tbl_MTG_Set[[#This Row],[Released On]]+tbl_MTG_Set[[#This Row],[Buy Window Month End]]*365.25/12</f>
        <v/>
      </c>
      <c r="N809" s="3">
        <f>AND(NOW()&gt;=tbl_MTG_Set[[#This Row],[Buy Window Start]], NOW()&lt;=tbl_MTG_Set[[#This Row],[Buy Window End]])</f>
        <v/>
      </c>
      <c r="O809">
        <f>_xlfn.XLOOKUP(tbl_MTG_Set[[#This Row],[Type Name]], tbl_MTG_Set_Type[Set Type], tbl_MTG_Set_Type[Heavy Printing Window Month Start], "(Set Type not found)", 0, 1)</f>
        <v/>
      </c>
      <c r="P809" s="3">
        <f>tbl_MTG_Set[[#This Row],[Released On]]+tbl_MTG_Set[[#This Row],[Heavy Printing Window Month Start]]*365.25/12</f>
        <v/>
      </c>
      <c r="Q809">
        <f>_xlfn.XLOOKUP(tbl_MTG_Set[[#This Row],[Type Name]], tbl_MTG_Set_Type[Set Type], tbl_MTG_Set_Type[Heavy Printing Window Month End], "(Set Type not found)", 0, 1)</f>
        <v/>
      </c>
      <c r="R809" s="3">
        <f>tbl_MTG_Set[[#This Row],[Released On]]+tbl_MTG_Set[[#This Row],[Heavy Printing Window Month End]]*365.25/12</f>
        <v/>
      </c>
      <c r="S809" s="3">
        <f>AND(NOW()&gt;=tbl_MTG_Set[[#This Row],[Heavy Printing Window Start]], NOW()&lt;=tbl_MTG_Set[[#This Row],[Heavy Printing Window End]])</f>
        <v/>
      </c>
      <c r="T809">
        <f>_xlfn.XLOOKUP(tbl_MTG_Set[[#This Row],[Type Name]], tbl_MTG_Set_Type[Set Type], tbl_MTG_Set_Type[Sell Window Month Start], "(Set Type not found)", 0, 1)</f>
        <v/>
      </c>
      <c r="U809" s="3">
        <f>tbl_MTG_Set[[#This Row],[Released On]]+tbl_MTG_Set[[#This Row],[Sell Window Month Start]]*365.25/12</f>
        <v/>
      </c>
      <c r="V809">
        <f>_xlfn.XLOOKUP(tbl_MTG_Set[[#This Row],[Type Name]], tbl_MTG_Set_Type[Set Type], tbl_MTG_Set_Type[Sell Window Month End], "(Set Type not found)", 0, 1)</f>
        <v/>
      </c>
      <c r="W809" s="3">
        <f>tbl_MTG_Set[[#This Row],[Released On]]+tbl_MTG_Set[[#This Row],[Sell Window Month End]]*365.25/12</f>
        <v/>
      </c>
      <c r="X809" s="3">
        <f>AND(NOW()&gt;=tbl_MTG_Set[[#This Row],[Sell Window Start]], NOW()&lt;=tbl_MTG_Set[[#This Row],[Sell Window End]])</f>
        <v/>
      </c>
      <c r="AG809" s="10" t="n"/>
      <c r="AH809" s="10" t="n"/>
      <c r="AM809" s="10">
        <f t="array" ref="AM8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9" s="10">
        <f t="array" ref="AN8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9" s="4">
        <f>_xlfn.XLOOKUP(tbl_MTG_Set[[#This Row],[Play Booster Box Product Id]], tbl_Product[Product Id], tbl_Product[Pack Size])</f>
        <v/>
      </c>
      <c r="AP809" s="10">
        <f>(tbl_MTG_Set[[#This Row],[Play Booster Box Cost]]+v_Item_Shipping_Cost_In)/tbl_MTG_Set[[#This Row],[Play Booster Box Size]]</f>
        <v/>
      </c>
      <c r="AQ809" s="10">
        <f t="array" ref="AQ8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09" s="10" t="n"/>
      <c r="AS809" s="10" t="n"/>
      <c r="AT809" s="17">
        <f>tbl_MTG_Set[[#This Row],[Play Booster CardMarket Profit]]/tbl_MTG_Set[[#This Row],[Play Booster Cost]]</f>
        <v/>
      </c>
      <c r="AU809" s="10">
        <f>_xlfn.XLOOKUP(tbl_MTG_Set[[#This Row],[Collector Booster Box Product Id]], tbl_Product[Product Id], tbl_Product[Min Cost])</f>
        <v/>
      </c>
      <c r="AV809" s="10">
        <f>_xlfn.XLOOKUP(tbl_MTG_Set[[#This Row],[Collector Booster Box Product Id]], tbl_Product[Product Id], tbl_Product[Best Source])</f>
        <v/>
      </c>
      <c r="AW809" s="4">
        <f>_xlfn.XLOOKUP(tbl_MTG_Set[[#This Row],[Collector Booster Box Product Id]], tbl_Product[Product Id], tbl_Product[Pack Size])</f>
        <v/>
      </c>
      <c r="AX809" s="10">
        <f>(tbl_MTG_Set[[#This Row],[Collector Booster Box Cost]] + v_Item_Shipping_Cost_In) / tbl_MTG_Set[[#This Row],[Collector Booster Box Size]]</f>
        <v/>
      </c>
      <c r="AY809" s="10">
        <f t="array" ref="AY8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09" s="10" t="n"/>
      <c r="BA8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9" s="17">
        <f>tbl_MTG_Set[[#This Row],[Collector Booster CardMarket Profit]]/tbl_MTG_Set[[#This Row],[Collector Booster Cost]]</f>
        <v/>
      </c>
      <c r="BC809" s="10" t="n"/>
      <c r="BF809" s="10">
        <f>tbl_MTG_Set[[#This Row],[Play Booster Sell Price CardMarket]]*tbl_MTG_Set[[#This Row],[Play Booster Expected Market Value]]/tbl_MTG_Set[[#This Row],[Play Boost Sealed Market Value]]</f>
        <v/>
      </c>
      <c r="BG8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9" s="10">
        <f>tbl_MTG_Set[[#This Row],[Play Singles CardMarket Profit]]/tbl_MTG_Set[[#This Row],[Play Booster Cost]]</f>
        <v/>
      </c>
      <c r="BI809" s="10">
        <f>tbl_MTG_Set[[#This Row],[Play Singles CardMarket Profit]]&gt;0</f>
        <v/>
      </c>
      <c r="BJ809" s="10" t="n"/>
      <c r="BK809" s="10" t="n"/>
      <c r="BL809" s="10">
        <f>tbl_MTG_Set[[#This Row],[Collector Booster Sell Price CardMarket]]*tbl_MTG_Set[[#This Row],[Collector Booster Expected Market Value]]/tbl_MTG_Set[[#This Row],[Collector Boost Sealed Market Value]]</f>
        <v/>
      </c>
      <c r="BM8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9" s="10">
        <f>tbl_MTG_Set[[#This Row],[Collector Singles CardMarket Profit]]/tbl_MTG_Set[[#This Row],[Collector Booster Cost]]</f>
        <v/>
      </c>
      <c r="BO809" s="10">
        <f>tbl_MTG_Set[[#This Row],[Collector Singles CardMarket Profit]]&gt;0</f>
        <v/>
      </c>
      <c r="BP8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0">
      <c r="A810" t="n">
        <v>808</v>
      </c>
      <c r="B810" t="inlineStr">
        <is>
          <t>Eventide EVE</t>
        </is>
      </c>
      <c r="C810" t="n">
        <v>180</v>
      </c>
      <c r="D810" s="3" t="n">
        <v>39654</v>
      </c>
      <c r="F810" t="inlineStr">
        <is>
          <t>en es fr de it pt ja ko ru 汉语 漢語</t>
        </is>
      </c>
      <c r="G810" t="n">
        <v>1562</v>
      </c>
      <c r="H810">
        <f>MONTH(NOW())+12*YEAR(NOW())-MONTH(tbl_MTG_Set[[#This Row],[Released On]])-12*YEAR(tbl_MTG_Set[[#This Row],[Released On]])</f>
        <v/>
      </c>
      <c r="I810">
        <f>_xlfn.XLOOKUP(tbl_MTG_Set[[#This Row],[Type Name]], tbl_MTG_Set_Type[Set Type], tbl_MTG_Set_Type[Index], "(Set Type not found)")</f>
        <v/>
      </c>
      <c r="J810">
        <f>_xlfn.XLOOKUP(tbl_MTG_Set[[#This Row],[Type Name]], tbl_MTG_Set_Type[Set Type], tbl_MTG_Set_Type[Buy Window Month Start], "(Set Type not found)")</f>
        <v/>
      </c>
      <c r="K810" s="3">
        <f>tbl_MTG_Set[[#This Row],[Released On]]+tbl_MTG_Set[[#This Row],[Buy Window Month Start]]*365.25/12</f>
        <v/>
      </c>
      <c r="L810">
        <f>_xlfn.XLOOKUP(tbl_MTG_Set[[#This Row],[Type Name]], tbl_MTG_Set_Type[Set Type], tbl_MTG_Set_Type[Buy Window Month End], "(Set Type not found)", 0, 1)</f>
        <v/>
      </c>
      <c r="M810" s="3">
        <f>tbl_MTG_Set[[#This Row],[Released On]]+tbl_MTG_Set[[#This Row],[Buy Window Month End]]*365.25/12</f>
        <v/>
      </c>
      <c r="N810" s="3">
        <f>AND(NOW()&gt;=tbl_MTG_Set[[#This Row],[Buy Window Start]], NOW()&lt;=tbl_MTG_Set[[#This Row],[Buy Window End]])</f>
        <v/>
      </c>
      <c r="O810">
        <f>_xlfn.XLOOKUP(tbl_MTG_Set[[#This Row],[Type Name]], tbl_MTG_Set_Type[Set Type], tbl_MTG_Set_Type[Heavy Printing Window Month Start], "(Set Type not found)", 0, 1)</f>
        <v/>
      </c>
      <c r="P810" s="3">
        <f>tbl_MTG_Set[[#This Row],[Released On]]+tbl_MTG_Set[[#This Row],[Heavy Printing Window Month Start]]*365.25/12</f>
        <v/>
      </c>
      <c r="Q810">
        <f>_xlfn.XLOOKUP(tbl_MTG_Set[[#This Row],[Type Name]], tbl_MTG_Set_Type[Set Type], tbl_MTG_Set_Type[Heavy Printing Window Month End], "(Set Type not found)", 0, 1)</f>
        <v/>
      </c>
      <c r="R810" s="3">
        <f>tbl_MTG_Set[[#This Row],[Released On]]+tbl_MTG_Set[[#This Row],[Heavy Printing Window Month End]]*365.25/12</f>
        <v/>
      </c>
      <c r="S810" s="3">
        <f>AND(NOW()&gt;=tbl_MTG_Set[[#This Row],[Heavy Printing Window Start]], NOW()&lt;=tbl_MTG_Set[[#This Row],[Heavy Printing Window End]])</f>
        <v/>
      </c>
      <c r="T810">
        <f>_xlfn.XLOOKUP(tbl_MTG_Set[[#This Row],[Type Name]], tbl_MTG_Set_Type[Set Type], tbl_MTG_Set_Type[Sell Window Month Start], "(Set Type not found)", 0, 1)</f>
        <v/>
      </c>
      <c r="U810" s="3">
        <f>tbl_MTG_Set[[#This Row],[Released On]]+tbl_MTG_Set[[#This Row],[Sell Window Month Start]]*365.25/12</f>
        <v/>
      </c>
      <c r="V810">
        <f>_xlfn.XLOOKUP(tbl_MTG_Set[[#This Row],[Type Name]], tbl_MTG_Set_Type[Set Type], tbl_MTG_Set_Type[Sell Window Month End], "(Set Type not found)", 0, 1)</f>
        <v/>
      </c>
      <c r="W810" s="3">
        <f>tbl_MTG_Set[[#This Row],[Released On]]+tbl_MTG_Set[[#This Row],[Sell Window Month End]]*365.25/12</f>
        <v/>
      </c>
      <c r="X810" s="3">
        <f>AND(NOW()&gt;=tbl_MTG_Set[[#This Row],[Sell Window Start]], NOW()&lt;=tbl_MTG_Set[[#This Row],[Sell Window End]])</f>
        <v/>
      </c>
      <c r="AG810" s="10" t="n"/>
      <c r="AH810" s="10" t="n"/>
      <c r="AM810" s="10">
        <f t="array" ref="AM8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0" s="10">
        <f t="array" ref="AN8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0" s="4">
        <f>_xlfn.XLOOKUP(tbl_MTG_Set[[#This Row],[Play Booster Box Product Id]], tbl_Product[Product Id], tbl_Product[Pack Size])</f>
        <v/>
      </c>
      <c r="AP810" s="10">
        <f>(tbl_MTG_Set[[#This Row],[Play Booster Box Cost]]+v_Item_Shipping_Cost_In)/tbl_MTG_Set[[#This Row],[Play Booster Box Size]]</f>
        <v/>
      </c>
      <c r="AQ810" s="10">
        <f t="array" ref="AQ8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0" s="10" t="n"/>
      <c r="AS810" s="10" t="n"/>
      <c r="AT810" s="17">
        <f>tbl_MTG_Set[[#This Row],[Play Booster CardMarket Profit]]/tbl_MTG_Set[[#This Row],[Play Booster Cost]]</f>
        <v/>
      </c>
      <c r="AU810" s="10">
        <f>_xlfn.XLOOKUP(tbl_MTG_Set[[#This Row],[Collector Booster Box Product Id]], tbl_Product[Product Id], tbl_Product[Min Cost])</f>
        <v/>
      </c>
      <c r="AV810" s="10">
        <f>_xlfn.XLOOKUP(tbl_MTG_Set[[#This Row],[Collector Booster Box Product Id]], tbl_Product[Product Id], tbl_Product[Best Source])</f>
        <v/>
      </c>
      <c r="AW810" s="4">
        <f>_xlfn.XLOOKUP(tbl_MTG_Set[[#This Row],[Collector Booster Box Product Id]], tbl_Product[Product Id], tbl_Product[Pack Size])</f>
        <v/>
      </c>
      <c r="AX810" s="10">
        <f>(tbl_MTG_Set[[#This Row],[Collector Booster Box Cost]] + v_Item_Shipping_Cost_In) / tbl_MTG_Set[[#This Row],[Collector Booster Box Size]]</f>
        <v/>
      </c>
      <c r="AY810" s="10">
        <f t="array" ref="AY8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0" s="10" t="n"/>
      <c r="BA8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0" s="17">
        <f>tbl_MTG_Set[[#This Row],[Collector Booster CardMarket Profit]]/tbl_MTG_Set[[#This Row],[Collector Booster Cost]]</f>
        <v/>
      </c>
      <c r="BC810" s="10" t="n"/>
      <c r="BF810" s="10">
        <f>tbl_MTG_Set[[#This Row],[Play Booster Sell Price CardMarket]]*tbl_MTG_Set[[#This Row],[Play Booster Expected Market Value]]/tbl_MTG_Set[[#This Row],[Play Boost Sealed Market Value]]</f>
        <v/>
      </c>
      <c r="BG8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0" s="10">
        <f>tbl_MTG_Set[[#This Row],[Play Singles CardMarket Profit]]/tbl_MTG_Set[[#This Row],[Play Booster Cost]]</f>
        <v/>
      </c>
      <c r="BI810" s="10">
        <f>tbl_MTG_Set[[#This Row],[Play Singles CardMarket Profit]]&gt;0</f>
        <v/>
      </c>
      <c r="BJ810" s="10" t="n"/>
      <c r="BK810" s="10" t="n"/>
      <c r="BL810" s="10">
        <f>tbl_MTG_Set[[#This Row],[Collector Booster Sell Price CardMarket]]*tbl_MTG_Set[[#This Row],[Collector Booster Expected Market Value]]/tbl_MTG_Set[[#This Row],[Collector Boost Sealed Market Value]]</f>
        <v/>
      </c>
      <c r="BM8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0" s="10">
        <f>tbl_MTG_Set[[#This Row],[Collector Singles CardMarket Profit]]/tbl_MTG_Set[[#This Row],[Collector Booster Cost]]</f>
        <v/>
      </c>
      <c r="BO810" s="10">
        <f>tbl_MTG_Set[[#This Row],[Collector Singles CardMarket Profit]]&gt;0</f>
        <v/>
      </c>
      <c r="BP8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1">
      <c r="A811" t="n">
        <v>809</v>
      </c>
      <c r="B811" t="inlineStr">
        <is>
          <t>Eventide Promos PEVE</t>
        </is>
      </c>
      <c r="C811" t="n">
        <v>2</v>
      </c>
      <c r="D811" s="3" t="n">
        <v>39654</v>
      </c>
      <c r="F811" t="inlineStr">
        <is>
          <t>en es fr de it pt ja ko ru 汉语 漢語</t>
        </is>
      </c>
      <c r="G811" t="n">
        <v>1564</v>
      </c>
      <c r="H811">
        <f>MONTH(NOW())+12*YEAR(NOW())-MONTH(tbl_MTG_Set[[#This Row],[Released On]])-12*YEAR(tbl_MTG_Set[[#This Row],[Released On]])</f>
        <v/>
      </c>
      <c r="I811">
        <f>_xlfn.XLOOKUP(tbl_MTG_Set[[#This Row],[Type Name]], tbl_MTG_Set_Type[Set Type], tbl_MTG_Set_Type[Index], "(Set Type not found)")</f>
        <v/>
      </c>
      <c r="J811">
        <f>_xlfn.XLOOKUP(tbl_MTG_Set[[#This Row],[Type Name]], tbl_MTG_Set_Type[Set Type], tbl_MTG_Set_Type[Buy Window Month Start], "(Set Type not found)")</f>
        <v/>
      </c>
      <c r="K811" s="3">
        <f>tbl_MTG_Set[[#This Row],[Released On]]+tbl_MTG_Set[[#This Row],[Buy Window Month Start]]*365.25/12</f>
        <v/>
      </c>
      <c r="L811">
        <f>_xlfn.XLOOKUP(tbl_MTG_Set[[#This Row],[Type Name]], tbl_MTG_Set_Type[Set Type], tbl_MTG_Set_Type[Buy Window Month End], "(Set Type not found)", 0, 1)</f>
        <v/>
      </c>
      <c r="M811" s="3">
        <f>tbl_MTG_Set[[#This Row],[Released On]]+tbl_MTG_Set[[#This Row],[Buy Window Month End]]*365.25/12</f>
        <v/>
      </c>
      <c r="N811" s="3">
        <f>AND(NOW()&gt;=tbl_MTG_Set[[#This Row],[Buy Window Start]], NOW()&lt;=tbl_MTG_Set[[#This Row],[Buy Window End]])</f>
        <v/>
      </c>
      <c r="O811">
        <f>_xlfn.XLOOKUP(tbl_MTG_Set[[#This Row],[Type Name]], tbl_MTG_Set_Type[Set Type], tbl_MTG_Set_Type[Heavy Printing Window Month Start], "(Set Type not found)", 0, 1)</f>
        <v/>
      </c>
      <c r="P811" s="3">
        <f>tbl_MTG_Set[[#This Row],[Released On]]+tbl_MTG_Set[[#This Row],[Heavy Printing Window Month Start]]*365.25/12</f>
        <v/>
      </c>
      <c r="Q811">
        <f>_xlfn.XLOOKUP(tbl_MTG_Set[[#This Row],[Type Name]], tbl_MTG_Set_Type[Set Type], tbl_MTG_Set_Type[Heavy Printing Window Month End], "(Set Type not found)", 0, 1)</f>
        <v/>
      </c>
      <c r="R811" s="3">
        <f>tbl_MTG_Set[[#This Row],[Released On]]+tbl_MTG_Set[[#This Row],[Heavy Printing Window Month End]]*365.25/12</f>
        <v/>
      </c>
      <c r="S811" s="3">
        <f>AND(NOW()&gt;=tbl_MTG_Set[[#This Row],[Heavy Printing Window Start]], NOW()&lt;=tbl_MTG_Set[[#This Row],[Heavy Printing Window End]])</f>
        <v/>
      </c>
      <c r="T811">
        <f>_xlfn.XLOOKUP(tbl_MTG_Set[[#This Row],[Type Name]], tbl_MTG_Set_Type[Set Type], tbl_MTG_Set_Type[Sell Window Month Start], "(Set Type not found)", 0, 1)</f>
        <v/>
      </c>
      <c r="U811" s="3">
        <f>tbl_MTG_Set[[#This Row],[Released On]]+tbl_MTG_Set[[#This Row],[Sell Window Month Start]]*365.25/12</f>
        <v/>
      </c>
      <c r="V811">
        <f>_xlfn.XLOOKUP(tbl_MTG_Set[[#This Row],[Type Name]], tbl_MTG_Set_Type[Set Type], tbl_MTG_Set_Type[Sell Window Month End], "(Set Type not found)", 0, 1)</f>
        <v/>
      </c>
      <c r="W811" s="3">
        <f>tbl_MTG_Set[[#This Row],[Released On]]+tbl_MTG_Set[[#This Row],[Sell Window Month End]]*365.25/12</f>
        <v/>
      </c>
      <c r="X811" s="3">
        <f>AND(NOW()&gt;=tbl_MTG_Set[[#This Row],[Sell Window Start]], NOW()&lt;=tbl_MTG_Set[[#This Row],[Sell Window End]])</f>
        <v/>
      </c>
      <c r="AG811" s="10" t="n"/>
      <c r="AH811" s="10" t="n"/>
      <c r="AM811" s="10">
        <f t="array" ref="AM8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1" s="10">
        <f t="array" ref="AN8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1" s="4">
        <f>_xlfn.XLOOKUP(tbl_MTG_Set[[#This Row],[Play Booster Box Product Id]], tbl_Product[Product Id], tbl_Product[Pack Size])</f>
        <v/>
      </c>
      <c r="AP811" s="10">
        <f>(tbl_MTG_Set[[#This Row],[Play Booster Box Cost]]+v_Item_Shipping_Cost_In)/tbl_MTG_Set[[#This Row],[Play Booster Box Size]]</f>
        <v/>
      </c>
      <c r="AQ811" s="10">
        <f t="array" ref="AQ8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1" s="10" t="n"/>
      <c r="AS811" s="10" t="n"/>
      <c r="AT811" s="17">
        <f>tbl_MTG_Set[[#This Row],[Play Booster CardMarket Profit]]/tbl_MTG_Set[[#This Row],[Play Booster Cost]]</f>
        <v/>
      </c>
      <c r="AU811" s="10">
        <f>_xlfn.XLOOKUP(tbl_MTG_Set[[#This Row],[Collector Booster Box Product Id]], tbl_Product[Product Id], tbl_Product[Min Cost])</f>
        <v/>
      </c>
      <c r="AV811" s="10">
        <f>_xlfn.XLOOKUP(tbl_MTG_Set[[#This Row],[Collector Booster Box Product Id]], tbl_Product[Product Id], tbl_Product[Best Source])</f>
        <v/>
      </c>
      <c r="AW811" s="4">
        <f>_xlfn.XLOOKUP(tbl_MTG_Set[[#This Row],[Collector Booster Box Product Id]], tbl_Product[Product Id], tbl_Product[Pack Size])</f>
        <v/>
      </c>
      <c r="AX811" s="10">
        <f>(tbl_MTG_Set[[#This Row],[Collector Booster Box Cost]] + v_Item_Shipping_Cost_In) / tbl_MTG_Set[[#This Row],[Collector Booster Box Size]]</f>
        <v/>
      </c>
      <c r="AY811" s="10">
        <f t="array" ref="AY8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1" s="10" t="n"/>
      <c r="BA8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1" s="17">
        <f>tbl_MTG_Set[[#This Row],[Collector Booster CardMarket Profit]]/tbl_MTG_Set[[#This Row],[Collector Booster Cost]]</f>
        <v/>
      </c>
      <c r="BC811" s="10" t="n"/>
      <c r="BF811" s="10">
        <f>tbl_MTG_Set[[#This Row],[Play Booster Sell Price CardMarket]]*tbl_MTG_Set[[#This Row],[Play Booster Expected Market Value]]/tbl_MTG_Set[[#This Row],[Play Boost Sealed Market Value]]</f>
        <v/>
      </c>
      <c r="BG8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1" s="10">
        <f>tbl_MTG_Set[[#This Row],[Play Singles CardMarket Profit]]/tbl_MTG_Set[[#This Row],[Play Booster Cost]]</f>
        <v/>
      </c>
      <c r="BI811" s="10">
        <f>tbl_MTG_Set[[#This Row],[Play Singles CardMarket Profit]]&gt;0</f>
        <v/>
      </c>
      <c r="BJ811" s="10" t="n"/>
      <c r="BK811" s="10" t="n"/>
      <c r="BL811" s="10">
        <f>tbl_MTG_Set[[#This Row],[Collector Booster Sell Price CardMarket]]*tbl_MTG_Set[[#This Row],[Collector Booster Expected Market Value]]/tbl_MTG_Set[[#This Row],[Collector Boost Sealed Market Value]]</f>
        <v/>
      </c>
      <c r="BM8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1" s="10">
        <f>tbl_MTG_Set[[#This Row],[Collector Singles CardMarket Profit]]/tbl_MTG_Set[[#This Row],[Collector Booster Cost]]</f>
        <v/>
      </c>
      <c r="BO811" s="10">
        <f>tbl_MTG_Set[[#This Row],[Collector Singles CardMarket Profit]]&gt;0</f>
        <v/>
      </c>
      <c r="BP8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2">
      <c r="A812" t="n">
        <v>810</v>
      </c>
      <c r="B812" t="inlineStr">
        <is>
          <t>Eventide Tokens TEVE</t>
        </is>
      </c>
      <c r="C812" t="n">
        <v>7</v>
      </c>
      <c r="D812" s="3" t="n">
        <v>39654</v>
      </c>
      <c r="F812" t="inlineStr">
        <is>
          <t>en es fr de it pt ja ko ru 汉语 漢語</t>
        </is>
      </c>
      <c r="G812" t="n">
        <v>1566</v>
      </c>
      <c r="H812">
        <f>MONTH(NOW())+12*YEAR(NOW())-MONTH(tbl_MTG_Set[[#This Row],[Released On]])-12*YEAR(tbl_MTG_Set[[#This Row],[Released On]])</f>
        <v/>
      </c>
      <c r="I812">
        <f>_xlfn.XLOOKUP(tbl_MTG_Set[[#This Row],[Type Name]], tbl_MTG_Set_Type[Set Type], tbl_MTG_Set_Type[Index], "(Set Type not found)")</f>
        <v/>
      </c>
      <c r="J812">
        <f>_xlfn.XLOOKUP(tbl_MTG_Set[[#This Row],[Type Name]], tbl_MTG_Set_Type[Set Type], tbl_MTG_Set_Type[Buy Window Month Start], "(Set Type not found)")</f>
        <v/>
      </c>
      <c r="K812" s="3">
        <f>tbl_MTG_Set[[#This Row],[Released On]]+tbl_MTG_Set[[#This Row],[Buy Window Month Start]]*365.25/12</f>
        <v/>
      </c>
      <c r="L812">
        <f>_xlfn.XLOOKUP(tbl_MTG_Set[[#This Row],[Type Name]], tbl_MTG_Set_Type[Set Type], tbl_MTG_Set_Type[Buy Window Month End], "(Set Type not found)", 0, 1)</f>
        <v/>
      </c>
      <c r="M812" s="3">
        <f>tbl_MTG_Set[[#This Row],[Released On]]+tbl_MTG_Set[[#This Row],[Buy Window Month End]]*365.25/12</f>
        <v/>
      </c>
      <c r="N812" s="3">
        <f>AND(NOW()&gt;=tbl_MTG_Set[[#This Row],[Buy Window Start]], NOW()&lt;=tbl_MTG_Set[[#This Row],[Buy Window End]])</f>
        <v/>
      </c>
      <c r="O812">
        <f>_xlfn.XLOOKUP(tbl_MTG_Set[[#This Row],[Type Name]], tbl_MTG_Set_Type[Set Type], tbl_MTG_Set_Type[Heavy Printing Window Month Start], "(Set Type not found)", 0, 1)</f>
        <v/>
      </c>
      <c r="P812" s="3">
        <f>tbl_MTG_Set[[#This Row],[Released On]]+tbl_MTG_Set[[#This Row],[Heavy Printing Window Month Start]]*365.25/12</f>
        <v/>
      </c>
      <c r="Q812">
        <f>_xlfn.XLOOKUP(tbl_MTG_Set[[#This Row],[Type Name]], tbl_MTG_Set_Type[Set Type], tbl_MTG_Set_Type[Heavy Printing Window Month End], "(Set Type not found)", 0, 1)</f>
        <v/>
      </c>
      <c r="R812" s="3">
        <f>tbl_MTG_Set[[#This Row],[Released On]]+tbl_MTG_Set[[#This Row],[Heavy Printing Window Month End]]*365.25/12</f>
        <v/>
      </c>
      <c r="S812" s="3">
        <f>AND(NOW()&gt;=tbl_MTG_Set[[#This Row],[Heavy Printing Window Start]], NOW()&lt;=tbl_MTG_Set[[#This Row],[Heavy Printing Window End]])</f>
        <v/>
      </c>
      <c r="T812">
        <f>_xlfn.XLOOKUP(tbl_MTG_Set[[#This Row],[Type Name]], tbl_MTG_Set_Type[Set Type], tbl_MTG_Set_Type[Sell Window Month Start], "(Set Type not found)", 0, 1)</f>
        <v/>
      </c>
      <c r="U812" s="3">
        <f>tbl_MTG_Set[[#This Row],[Released On]]+tbl_MTG_Set[[#This Row],[Sell Window Month Start]]*365.25/12</f>
        <v/>
      </c>
      <c r="V812">
        <f>_xlfn.XLOOKUP(tbl_MTG_Set[[#This Row],[Type Name]], tbl_MTG_Set_Type[Set Type], tbl_MTG_Set_Type[Sell Window Month End], "(Set Type not found)", 0, 1)</f>
        <v/>
      </c>
      <c r="W812" s="3">
        <f>tbl_MTG_Set[[#This Row],[Released On]]+tbl_MTG_Set[[#This Row],[Sell Window Month End]]*365.25/12</f>
        <v/>
      </c>
      <c r="X812" s="3">
        <f>AND(NOW()&gt;=tbl_MTG_Set[[#This Row],[Sell Window Start]], NOW()&lt;=tbl_MTG_Set[[#This Row],[Sell Window End]])</f>
        <v/>
      </c>
      <c r="AG812" s="10" t="n"/>
      <c r="AH812" s="10" t="n"/>
      <c r="AM812" s="10">
        <f t="array" ref="AM8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2" s="10">
        <f t="array" ref="AN8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2" s="4">
        <f>_xlfn.XLOOKUP(tbl_MTG_Set[[#This Row],[Play Booster Box Product Id]], tbl_Product[Product Id], tbl_Product[Pack Size])</f>
        <v/>
      </c>
      <c r="AP812" s="10">
        <f>(tbl_MTG_Set[[#This Row],[Play Booster Box Cost]]+v_Item_Shipping_Cost_In)/tbl_MTG_Set[[#This Row],[Play Booster Box Size]]</f>
        <v/>
      </c>
      <c r="AQ812" s="10">
        <f t="array" ref="AQ8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2" s="10" t="n"/>
      <c r="AS812" s="10" t="n"/>
      <c r="AT812" s="17">
        <f>tbl_MTG_Set[[#This Row],[Play Booster CardMarket Profit]]/tbl_MTG_Set[[#This Row],[Play Booster Cost]]</f>
        <v/>
      </c>
      <c r="AU812" s="10">
        <f>_xlfn.XLOOKUP(tbl_MTG_Set[[#This Row],[Collector Booster Box Product Id]], tbl_Product[Product Id], tbl_Product[Min Cost])</f>
        <v/>
      </c>
      <c r="AV812" s="10">
        <f>_xlfn.XLOOKUP(tbl_MTG_Set[[#This Row],[Collector Booster Box Product Id]], tbl_Product[Product Id], tbl_Product[Best Source])</f>
        <v/>
      </c>
      <c r="AW812" s="4">
        <f>_xlfn.XLOOKUP(tbl_MTG_Set[[#This Row],[Collector Booster Box Product Id]], tbl_Product[Product Id], tbl_Product[Pack Size])</f>
        <v/>
      </c>
      <c r="AX812" s="10">
        <f>(tbl_MTG_Set[[#This Row],[Collector Booster Box Cost]] + v_Item_Shipping_Cost_In) / tbl_MTG_Set[[#This Row],[Collector Booster Box Size]]</f>
        <v/>
      </c>
      <c r="AY812" s="10">
        <f t="array" ref="AY8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2" s="10" t="n"/>
      <c r="BA8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2" s="17">
        <f>tbl_MTG_Set[[#This Row],[Collector Booster CardMarket Profit]]/tbl_MTG_Set[[#This Row],[Collector Booster Cost]]</f>
        <v/>
      </c>
      <c r="BC812" s="10" t="n"/>
      <c r="BF812" s="10">
        <f>tbl_MTG_Set[[#This Row],[Play Booster Sell Price CardMarket]]*tbl_MTG_Set[[#This Row],[Play Booster Expected Market Value]]/tbl_MTG_Set[[#This Row],[Play Boost Sealed Market Value]]</f>
        <v/>
      </c>
      <c r="BG8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2" s="10">
        <f>tbl_MTG_Set[[#This Row],[Play Singles CardMarket Profit]]/tbl_MTG_Set[[#This Row],[Play Booster Cost]]</f>
        <v/>
      </c>
      <c r="BI812" s="10">
        <f>tbl_MTG_Set[[#This Row],[Play Singles CardMarket Profit]]&gt;0</f>
        <v/>
      </c>
      <c r="BJ812" s="10" t="n"/>
      <c r="BK812" s="10" t="n"/>
      <c r="BL812" s="10">
        <f>tbl_MTG_Set[[#This Row],[Collector Booster Sell Price CardMarket]]*tbl_MTG_Set[[#This Row],[Collector Booster Expected Market Value]]/tbl_MTG_Set[[#This Row],[Collector Boost Sealed Market Value]]</f>
        <v/>
      </c>
      <c r="BM8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2" s="10">
        <f>tbl_MTG_Set[[#This Row],[Collector Singles CardMarket Profit]]/tbl_MTG_Set[[#This Row],[Collector Booster Cost]]</f>
        <v/>
      </c>
      <c r="BO812" s="10">
        <f>tbl_MTG_Set[[#This Row],[Collector Singles CardMarket Profit]]&gt;0</f>
        <v/>
      </c>
      <c r="BP8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3">
      <c r="A813" t="n">
        <v>811</v>
      </c>
      <c r="B813" t="inlineStr">
        <is>
          <t>Shadowmoor SHM</t>
        </is>
      </c>
      <c r="C813" t="n">
        <v>302</v>
      </c>
      <c r="D813" s="3" t="n">
        <v>39570</v>
      </c>
      <c r="F813" t="inlineStr">
        <is>
          <t>en es fr de it pt ja ko ru 汉语 漢語</t>
        </is>
      </c>
      <c r="G813" t="n">
        <v>1568</v>
      </c>
      <c r="H813">
        <f>MONTH(NOW())+12*YEAR(NOW())-MONTH(tbl_MTG_Set[[#This Row],[Released On]])-12*YEAR(tbl_MTG_Set[[#This Row],[Released On]])</f>
        <v/>
      </c>
      <c r="I813">
        <f>_xlfn.XLOOKUP(tbl_MTG_Set[[#This Row],[Type Name]], tbl_MTG_Set_Type[Set Type], tbl_MTG_Set_Type[Index], "(Set Type not found)")</f>
        <v/>
      </c>
      <c r="J813">
        <f>_xlfn.XLOOKUP(tbl_MTG_Set[[#This Row],[Type Name]], tbl_MTG_Set_Type[Set Type], tbl_MTG_Set_Type[Buy Window Month Start], "(Set Type not found)")</f>
        <v/>
      </c>
      <c r="K813" s="3">
        <f>tbl_MTG_Set[[#This Row],[Released On]]+tbl_MTG_Set[[#This Row],[Buy Window Month Start]]*365.25/12</f>
        <v/>
      </c>
      <c r="L813">
        <f>_xlfn.XLOOKUP(tbl_MTG_Set[[#This Row],[Type Name]], tbl_MTG_Set_Type[Set Type], tbl_MTG_Set_Type[Buy Window Month End], "(Set Type not found)", 0, 1)</f>
        <v/>
      </c>
      <c r="M813" s="3">
        <f>tbl_MTG_Set[[#This Row],[Released On]]+tbl_MTG_Set[[#This Row],[Buy Window Month End]]*365.25/12</f>
        <v/>
      </c>
      <c r="N813" s="3">
        <f>AND(NOW()&gt;=tbl_MTG_Set[[#This Row],[Buy Window Start]], NOW()&lt;=tbl_MTG_Set[[#This Row],[Buy Window End]])</f>
        <v/>
      </c>
      <c r="O813">
        <f>_xlfn.XLOOKUP(tbl_MTG_Set[[#This Row],[Type Name]], tbl_MTG_Set_Type[Set Type], tbl_MTG_Set_Type[Heavy Printing Window Month Start], "(Set Type not found)", 0, 1)</f>
        <v/>
      </c>
      <c r="P813" s="3">
        <f>tbl_MTG_Set[[#This Row],[Released On]]+tbl_MTG_Set[[#This Row],[Heavy Printing Window Month Start]]*365.25/12</f>
        <v/>
      </c>
      <c r="Q813">
        <f>_xlfn.XLOOKUP(tbl_MTG_Set[[#This Row],[Type Name]], tbl_MTG_Set_Type[Set Type], tbl_MTG_Set_Type[Heavy Printing Window Month End], "(Set Type not found)", 0, 1)</f>
        <v/>
      </c>
      <c r="R813" s="3">
        <f>tbl_MTG_Set[[#This Row],[Released On]]+tbl_MTG_Set[[#This Row],[Heavy Printing Window Month End]]*365.25/12</f>
        <v/>
      </c>
      <c r="S813" s="3">
        <f>AND(NOW()&gt;=tbl_MTG_Set[[#This Row],[Heavy Printing Window Start]], NOW()&lt;=tbl_MTG_Set[[#This Row],[Heavy Printing Window End]])</f>
        <v/>
      </c>
      <c r="T813">
        <f>_xlfn.XLOOKUP(tbl_MTG_Set[[#This Row],[Type Name]], tbl_MTG_Set_Type[Set Type], tbl_MTG_Set_Type[Sell Window Month Start], "(Set Type not found)", 0, 1)</f>
        <v/>
      </c>
      <c r="U813" s="3">
        <f>tbl_MTG_Set[[#This Row],[Released On]]+tbl_MTG_Set[[#This Row],[Sell Window Month Start]]*365.25/12</f>
        <v/>
      </c>
      <c r="V813">
        <f>_xlfn.XLOOKUP(tbl_MTG_Set[[#This Row],[Type Name]], tbl_MTG_Set_Type[Set Type], tbl_MTG_Set_Type[Sell Window Month End], "(Set Type not found)", 0, 1)</f>
        <v/>
      </c>
      <c r="W813" s="3">
        <f>tbl_MTG_Set[[#This Row],[Released On]]+tbl_MTG_Set[[#This Row],[Sell Window Month End]]*365.25/12</f>
        <v/>
      </c>
      <c r="X813" s="3">
        <f>AND(NOW()&gt;=tbl_MTG_Set[[#This Row],[Sell Window Start]], NOW()&lt;=tbl_MTG_Set[[#This Row],[Sell Window End]])</f>
        <v/>
      </c>
      <c r="AG813" s="10" t="n"/>
      <c r="AH813" s="10" t="n"/>
      <c r="AM813" s="10">
        <f t="array" ref="AM8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3" s="10">
        <f t="array" ref="AN8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3" s="4">
        <f>_xlfn.XLOOKUP(tbl_MTG_Set[[#This Row],[Play Booster Box Product Id]], tbl_Product[Product Id], tbl_Product[Pack Size])</f>
        <v/>
      </c>
      <c r="AP813" s="10">
        <f>(tbl_MTG_Set[[#This Row],[Play Booster Box Cost]]+v_Item_Shipping_Cost_In)/tbl_MTG_Set[[#This Row],[Play Booster Box Size]]</f>
        <v/>
      </c>
      <c r="AQ813" s="10">
        <f t="array" ref="AQ8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3" s="10" t="n"/>
      <c r="AS813" s="10" t="n"/>
      <c r="AT813" s="17">
        <f>tbl_MTG_Set[[#This Row],[Play Booster CardMarket Profit]]/tbl_MTG_Set[[#This Row],[Play Booster Cost]]</f>
        <v/>
      </c>
      <c r="AU813" s="10">
        <f>_xlfn.XLOOKUP(tbl_MTG_Set[[#This Row],[Collector Booster Box Product Id]], tbl_Product[Product Id], tbl_Product[Min Cost])</f>
        <v/>
      </c>
      <c r="AV813" s="10">
        <f>_xlfn.XLOOKUP(tbl_MTG_Set[[#This Row],[Collector Booster Box Product Id]], tbl_Product[Product Id], tbl_Product[Best Source])</f>
        <v/>
      </c>
      <c r="AW813" s="4">
        <f>_xlfn.XLOOKUP(tbl_MTG_Set[[#This Row],[Collector Booster Box Product Id]], tbl_Product[Product Id], tbl_Product[Pack Size])</f>
        <v/>
      </c>
      <c r="AX813" s="10">
        <f>(tbl_MTG_Set[[#This Row],[Collector Booster Box Cost]] + v_Item_Shipping_Cost_In) / tbl_MTG_Set[[#This Row],[Collector Booster Box Size]]</f>
        <v/>
      </c>
      <c r="AY813" s="10">
        <f t="array" ref="AY8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3" s="10" t="n"/>
      <c r="BA8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3" s="17">
        <f>tbl_MTG_Set[[#This Row],[Collector Booster CardMarket Profit]]/tbl_MTG_Set[[#This Row],[Collector Booster Cost]]</f>
        <v/>
      </c>
      <c r="BC813" s="10" t="n"/>
      <c r="BF813" s="10">
        <f>tbl_MTG_Set[[#This Row],[Play Booster Sell Price CardMarket]]*tbl_MTG_Set[[#This Row],[Play Booster Expected Market Value]]/tbl_MTG_Set[[#This Row],[Play Boost Sealed Market Value]]</f>
        <v/>
      </c>
      <c r="BG8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3" s="10">
        <f>tbl_MTG_Set[[#This Row],[Play Singles CardMarket Profit]]/tbl_MTG_Set[[#This Row],[Play Booster Cost]]</f>
        <v/>
      </c>
      <c r="BI813" s="10">
        <f>tbl_MTG_Set[[#This Row],[Play Singles CardMarket Profit]]&gt;0</f>
        <v/>
      </c>
      <c r="BJ813" s="10" t="n"/>
      <c r="BK813" s="10" t="n"/>
      <c r="BL813" s="10">
        <f>tbl_MTG_Set[[#This Row],[Collector Booster Sell Price CardMarket]]*tbl_MTG_Set[[#This Row],[Collector Booster Expected Market Value]]/tbl_MTG_Set[[#This Row],[Collector Boost Sealed Market Value]]</f>
        <v/>
      </c>
      <c r="BM8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3" s="10">
        <f>tbl_MTG_Set[[#This Row],[Collector Singles CardMarket Profit]]/tbl_MTG_Set[[#This Row],[Collector Booster Cost]]</f>
        <v/>
      </c>
      <c r="BO813" s="10">
        <f>tbl_MTG_Set[[#This Row],[Collector Singles CardMarket Profit]]&gt;0</f>
        <v/>
      </c>
      <c r="BP8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4">
      <c r="A814" t="n">
        <v>812</v>
      </c>
      <c r="B814" t="inlineStr">
        <is>
          <t>Shadowmoor Promos PSHM</t>
        </is>
      </c>
      <c r="C814" t="n">
        <v>2</v>
      </c>
      <c r="D814" s="3" t="n">
        <v>39570</v>
      </c>
      <c r="F814" t="inlineStr">
        <is>
          <t>en es fr de it pt ja ko ru 汉语 漢語</t>
        </is>
      </c>
      <c r="G814" t="n">
        <v>1570</v>
      </c>
      <c r="H814">
        <f>MONTH(NOW())+12*YEAR(NOW())-MONTH(tbl_MTG_Set[[#This Row],[Released On]])-12*YEAR(tbl_MTG_Set[[#This Row],[Released On]])</f>
        <v/>
      </c>
      <c r="I814">
        <f>_xlfn.XLOOKUP(tbl_MTG_Set[[#This Row],[Type Name]], tbl_MTG_Set_Type[Set Type], tbl_MTG_Set_Type[Index], "(Set Type not found)")</f>
        <v/>
      </c>
      <c r="J814">
        <f>_xlfn.XLOOKUP(tbl_MTG_Set[[#This Row],[Type Name]], tbl_MTG_Set_Type[Set Type], tbl_MTG_Set_Type[Buy Window Month Start], "(Set Type not found)")</f>
        <v/>
      </c>
      <c r="K814" s="3">
        <f>tbl_MTG_Set[[#This Row],[Released On]]+tbl_MTG_Set[[#This Row],[Buy Window Month Start]]*365.25/12</f>
        <v/>
      </c>
      <c r="L814">
        <f>_xlfn.XLOOKUP(tbl_MTG_Set[[#This Row],[Type Name]], tbl_MTG_Set_Type[Set Type], tbl_MTG_Set_Type[Buy Window Month End], "(Set Type not found)", 0, 1)</f>
        <v/>
      </c>
      <c r="M814" s="3">
        <f>tbl_MTG_Set[[#This Row],[Released On]]+tbl_MTG_Set[[#This Row],[Buy Window Month End]]*365.25/12</f>
        <v/>
      </c>
      <c r="N814" s="3">
        <f>AND(NOW()&gt;=tbl_MTG_Set[[#This Row],[Buy Window Start]], NOW()&lt;=tbl_MTG_Set[[#This Row],[Buy Window End]])</f>
        <v/>
      </c>
      <c r="O814">
        <f>_xlfn.XLOOKUP(tbl_MTG_Set[[#This Row],[Type Name]], tbl_MTG_Set_Type[Set Type], tbl_MTG_Set_Type[Heavy Printing Window Month Start], "(Set Type not found)", 0, 1)</f>
        <v/>
      </c>
      <c r="P814" s="3">
        <f>tbl_MTG_Set[[#This Row],[Released On]]+tbl_MTG_Set[[#This Row],[Heavy Printing Window Month Start]]*365.25/12</f>
        <v/>
      </c>
      <c r="Q814">
        <f>_xlfn.XLOOKUP(tbl_MTG_Set[[#This Row],[Type Name]], tbl_MTG_Set_Type[Set Type], tbl_MTG_Set_Type[Heavy Printing Window Month End], "(Set Type not found)", 0, 1)</f>
        <v/>
      </c>
      <c r="R814" s="3">
        <f>tbl_MTG_Set[[#This Row],[Released On]]+tbl_MTG_Set[[#This Row],[Heavy Printing Window Month End]]*365.25/12</f>
        <v/>
      </c>
      <c r="S814" s="3">
        <f>AND(NOW()&gt;=tbl_MTG_Set[[#This Row],[Heavy Printing Window Start]], NOW()&lt;=tbl_MTG_Set[[#This Row],[Heavy Printing Window End]])</f>
        <v/>
      </c>
      <c r="T814">
        <f>_xlfn.XLOOKUP(tbl_MTG_Set[[#This Row],[Type Name]], tbl_MTG_Set_Type[Set Type], tbl_MTG_Set_Type[Sell Window Month Start], "(Set Type not found)", 0, 1)</f>
        <v/>
      </c>
      <c r="U814" s="3">
        <f>tbl_MTG_Set[[#This Row],[Released On]]+tbl_MTG_Set[[#This Row],[Sell Window Month Start]]*365.25/12</f>
        <v/>
      </c>
      <c r="V814">
        <f>_xlfn.XLOOKUP(tbl_MTG_Set[[#This Row],[Type Name]], tbl_MTG_Set_Type[Set Type], tbl_MTG_Set_Type[Sell Window Month End], "(Set Type not found)", 0, 1)</f>
        <v/>
      </c>
      <c r="W814" s="3">
        <f>tbl_MTG_Set[[#This Row],[Released On]]+tbl_MTG_Set[[#This Row],[Sell Window Month End]]*365.25/12</f>
        <v/>
      </c>
      <c r="X814" s="3">
        <f>AND(NOW()&gt;=tbl_MTG_Set[[#This Row],[Sell Window Start]], NOW()&lt;=tbl_MTG_Set[[#This Row],[Sell Window End]])</f>
        <v/>
      </c>
      <c r="AG814" s="10" t="n"/>
      <c r="AH814" s="10" t="n"/>
      <c r="AM814" s="10">
        <f t="array" ref="AM8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4" s="10">
        <f t="array" ref="AN8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4" s="4">
        <f>_xlfn.XLOOKUP(tbl_MTG_Set[[#This Row],[Play Booster Box Product Id]], tbl_Product[Product Id], tbl_Product[Pack Size])</f>
        <v/>
      </c>
      <c r="AP814" s="10">
        <f>(tbl_MTG_Set[[#This Row],[Play Booster Box Cost]]+v_Item_Shipping_Cost_In)/tbl_MTG_Set[[#This Row],[Play Booster Box Size]]</f>
        <v/>
      </c>
      <c r="AQ814" s="10">
        <f t="array" ref="AQ8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4" s="10" t="n"/>
      <c r="AS814" s="10" t="n"/>
      <c r="AT814" s="17">
        <f>tbl_MTG_Set[[#This Row],[Play Booster CardMarket Profit]]/tbl_MTG_Set[[#This Row],[Play Booster Cost]]</f>
        <v/>
      </c>
      <c r="AU814" s="10">
        <f>_xlfn.XLOOKUP(tbl_MTG_Set[[#This Row],[Collector Booster Box Product Id]], tbl_Product[Product Id], tbl_Product[Min Cost])</f>
        <v/>
      </c>
      <c r="AV814" s="10">
        <f>_xlfn.XLOOKUP(tbl_MTG_Set[[#This Row],[Collector Booster Box Product Id]], tbl_Product[Product Id], tbl_Product[Best Source])</f>
        <v/>
      </c>
      <c r="AW814" s="4">
        <f>_xlfn.XLOOKUP(tbl_MTG_Set[[#This Row],[Collector Booster Box Product Id]], tbl_Product[Product Id], tbl_Product[Pack Size])</f>
        <v/>
      </c>
      <c r="AX814" s="10">
        <f>(tbl_MTG_Set[[#This Row],[Collector Booster Box Cost]] + v_Item_Shipping_Cost_In) / tbl_MTG_Set[[#This Row],[Collector Booster Box Size]]</f>
        <v/>
      </c>
      <c r="AY814" s="10">
        <f t="array" ref="AY8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4" s="10" t="n"/>
      <c r="BA8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4" s="17">
        <f>tbl_MTG_Set[[#This Row],[Collector Booster CardMarket Profit]]/tbl_MTG_Set[[#This Row],[Collector Booster Cost]]</f>
        <v/>
      </c>
      <c r="BC814" s="10" t="n"/>
      <c r="BF814" s="10">
        <f>tbl_MTG_Set[[#This Row],[Play Booster Sell Price CardMarket]]*tbl_MTG_Set[[#This Row],[Play Booster Expected Market Value]]/tbl_MTG_Set[[#This Row],[Play Boost Sealed Market Value]]</f>
        <v/>
      </c>
      <c r="BG8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4" s="10">
        <f>tbl_MTG_Set[[#This Row],[Play Singles CardMarket Profit]]/tbl_MTG_Set[[#This Row],[Play Booster Cost]]</f>
        <v/>
      </c>
      <c r="BI814" s="10">
        <f>tbl_MTG_Set[[#This Row],[Play Singles CardMarket Profit]]&gt;0</f>
        <v/>
      </c>
      <c r="BJ814" s="10" t="n"/>
      <c r="BK814" s="10" t="n"/>
      <c r="BL814" s="10">
        <f>tbl_MTG_Set[[#This Row],[Collector Booster Sell Price CardMarket]]*tbl_MTG_Set[[#This Row],[Collector Booster Expected Market Value]]/tbl_MTG_Set[[#This Row],[Collector Boost Sealed Market Value]]</f>
        <v/>
      </c>
      <c r="BM8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4" s="10">
        <f>tbl_MTG_Set[[#This Row],[Collector Singles CardMarket Profit]]/tbl_MTG_Set[[#This Row],[Collector Booster Cost]]</f>
        <v/>
      </c>
      <c r="BO814" s="10">
        <f>tbl_MTG_Set[[#This Row],[Collector Singles CardMarket Profit]]&gt;0</f>
        <v/>
      </c>
      <c r="BP8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5">
      <c r="A815" t="n">
        <v>813</v>
      </c>
      <c r="B815" t="inlineStr">
        <is>
          <t>Shadowmoor Tokens TSHM</t>
        </is>
      </c>
      <c r="C815" t="n">
        <v>12</v>
      </c>
      <c r="D815" s="3" t="n">
        <v>39570</v>
      </c>
      <c r="F815" t="inlineStr">
        <is>
          <t>en es fr de it pt ja ko ru 汉语 漢語</t>
        </is>
      </c>
      <c r="G815" t="n">
        <v>1572</v>
      </c>
      <c r="H815">
        <f>MONTH(NOW())+12*YEAR(NOW())-MONTH(tbl_MTG_Set[[#This Row],[Released On]])-12*YEAR(tbl_MTG_Set[[#This Row],[Released On]])</f>
        <v/>
      </c>
      <c r="I815">
        <f>_xlfn.XLOOKUP(tbl_MTG_Set[[#This Row],[Type Name]], tbl_MTG_Set_Type[Set Type], tbl_MTG_Set_Type[Index], "(Set Type not found)")</f>
        <v/>
      </c>
      <c r="J815">
        <f>_xlfn.XLOOKUP(tbl_MTG_Set[[#This Row],[Type Name]], tbl_MTG_Set_Type[Set Type], tbl_MTG_Set_Type[Buy Window Month Start], "(Set Type not found)")</f>
        <v/>
      </c>
      <c r="K815" s="3">
        <f>tbl_MTG_Set[[#This Row],[Released On]]+tbl_MTG_Set[[#This Row],[Buy Window Month Start]]*365.25/12</f>
        <v/>
      </c>
      <c r="L815">
        <f>_xlfn.XLOOKUP(tbl_MTG_Set[[#This Row],[Type Name]], tbl_MTG_Set_Type[Set Type], tbl_MTG_Set_Type[Buy Window Month End], "(Set Type not found)", 0, 1)</f>
        <v/>
      </c>
      <c r="M815" s="3">
        <f>tbl_MTG_Set[[#This Row],[Released On]]+tbl_MTG_Set[[#This Row],[Buy Window Month End]]*365.25/12</f>
        <v/>
      </c>
      <c r="N815" s="3">
        <f>AND(NOW()&gt;=tbl_MTG_Set[[#This Row],[Buy Window Start]], NOW()&lt;=tbl_MTG_Set[[#This Row],[Buy Window End]])</f>
        <v/>
      </c>
      <c r="O815">
        <f>_xlfn.XLOOKUP(tbl_MTG_Set[[#This Row],[Type Name]], tbl_MTG_Set_Type[Set Type], tbl_MTG_Set_Type[Heavy Printing Window Month Start], "(Set Type not found)", 0, 1)</f>
        <v/>
      </c>
      <c r="P815" s="3">
        <f>tbl_MTG_Set[[#This Row],[Released On]]+tbl_MTG_Set[[#This Row],[Heavy Printing Window Month Start]]*365.25/12</f>
        <v/>
      </c>
      <c r="Q815">
        <f>_xlfn.XLOOKUP(tbl_MTG_Set[[#This Row],[Type Name]], tbl_MTG_Set_Type[Set Type], tbl_MTG_Set_Type[Heavy Printing Window Month End], "(Set Type not found)", 0, 1)</f>
        <v/>
      </c>
      <c r="R815" s="3">
        <f>tbl_MTG_Set[[#This Row],[Released On]]+tbl_MTG_Set[[#This Row],[Heavy Printing Window Month End]]*365.25/12</f>
        <v/>
      </c>
      <c r="S815" s="3">
        <f>AND(NOW()&gt;=tbl_MTG_Set[[#This Row],[Heavy Printing Window Start]], NOW()&lt;=tbl_MTG_Set[[#This Row],[Heavy Printing Window End]])</f>
        <v/>
      </c>
      <c r="T815">
        <f>_xlfn.XLOOKUP(tbl_MTG_Set[[#This Row],[Type Name]], tbl_MTG_Set_Type[Set Type], tbl_MTG_Set_Type[Sell Window Month Start], "(Set Type not found)", 0, 1)</f>
        <v/>
      </c>
      <c r="U815" s="3">
        <f>tbl_MTG_Set[[#This Row],[Released On]]+tbl_MTG_Set[[#This Row],[Sell Window Month Start]]*365.25/12</f>
        <v/>
      </c>
      <c r="V815">
        <f>_xlfn.XLOOKUP(tbl_MTG_Set[[#This Row],[Type Name]], tbl_MTG_Set_Type[Set Type], tbl_MTG_Set_Type[Sell Window Month End], "(Set Type not found)", 0, 1)</f>
        <v/>
      </c>
      <c r="W815" s="3">
        <f>tbl_MTG_Set[[#This Row],[Released On]]+tbl_MTG_Set[[#This Row],[Sell Window Month End]]*365.25/12</f>
        <v/>
      </c>
      <c r="X815" s="3">
        <f>AND(NOW()&gt;=tbl_MTG_Set[[#This Row],[Sell Window Start]], NOW()&lt;=tbl_MTG_Set[[#This Row],[Sell Window End]])</f>
        <v/>
      </c>
      <c r="AG815" s="10" t="n"/>
      <c r="AH815" s="10" t="n"/>
      <c r="AM815" s="10">
        <f t="array" ref="AM8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5" s="10">
        <f t="array" ref="AN8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5" s="4">
        <f>_xlfn.XLOOKUP(tbl_MTG_Set[[#This Row],[Play Booster Box Product Id]], tbl_Product[Product Id], tbl_Product[Pack Size])</f>
        <v/>
      </c>
      <c r="AP815" s="10">
        <f>(tbl_MTG_Set[[#This Row],[Play Booster Box Cost]]+v_Item_Shipping_Cost_In)/tbl_MTG_Set[[#This Row],[Play Booster Box Size]]</f>
        <v/>
      </c>
      <c r="AQ815" s="10">
        <f t="array" ref="AQ8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5" s="10" t="n"/>
      <c r="AS815" s="10" t="n"/>
      <c r="AT815" s="17">
        <f>tbl_MTG_Set[[#This Row],[Play Booster CardMarket Profit]]/tbl_MTG_Set[[#This Row],[Play Booster Cost]]</f>
        <v/>
      </c>
      <c r="AU815" s="10">
        <f>_xlfn.XLOOKUP(tbl_MTG_Set[[#This Row],[Collector Booster Box Product Id]], tbl_Product[Product Id], tbl_Product[Min Cost])</f>
        <v/>
      </c>
      <c r="AV815" s="10">
        <f>_xlfn.XLOOKUP(tbl_MTG_Set[[#This Row],[Collector Booster Box Product Id]], tbl_Product[Product Id], tbl_Product[Best Source])</f>
        <v/>
      </c>
      <c r="AW815" s="4">
        <f>_xlfn.XLOOKUP(tbl_MTG_Set[[#This Row],[Collector Booster Box Product Id]], tbl_Product[Product Id], tbl_Product[Pack Size])</f>
        <v/>
      </c>
      <c r="AX815" s="10">
        <f>(tbl_MTG_Set[[#This Row],[Collector Booster Box Cost]] + v_Item_Shipping_Cost_In) / tbl_MTG_Set[[#This Row],[Collector Booster Box Size]]</f>
        <v/>
      </c>
      <c r="AY815" s="10">
        <f t="array" ref="AY8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5" s="10" t="n"/>
      <c r="BA8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5" s="17">
        <f>tbl_MTG_Set[[#This Row],[Collector Booster CardMarket Profit]]/tbl_MTG_Set[[#This Row],[Collector Booster Cost]]</f>
        <v/>
      </c>
      <c r="BC815" s="10" t="n"/>
      <c r="BF815" s="10">
        <f>tbl_MTG_Set[[#This Row],[Play Booster Sell Price CardMarket]]*tbl_MTG_Set[[#This Row],[Play Booster Expected Market Value]]/tbl_MTG_Set[[#This Row],[Play Boost Sealed Market Value]]</f>
        <v/>
      </c>
      <c r="BG8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5" s="10">
        <f>tbl_MTG_Set[[#This Row],[Play Singles CardMarket Profit]]/tbl_MTG_Set[[#This Row],[Play Booster Cost]]</f>
        <v/>
      </c>
      <c r="BI815" s="10">
        <f>tbl_MTG_Set[[#This Row],[Play Singles CardMarket Profit]]&gt;0</f>
        <v/>
      </c>
      <c r="BJ815" s="10" t="n"/>
      <c r="BK815" s="10" t="n"/>
      <c r="BL815" s="10">
        <f>tbl_MTG_Set[[#This Row],[Collector Booster Sell Price CardMarket]]*tbl_MTG_Set[[#This Row],[Collector Booster Expected Market Value]]/tbl_MTG_Set[[#This Row],[Collector Boost Sealed Market Value]]</f>
        <v/>
      </c>
      <c r="BM8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5" s="10">
        <f>tbl_MTG_Set[[#This Row],[Collector Singles CardMarket Profit]]/tbl_MTG_Set[[#This Row],[Collector Booster Cost]]</f>
        <v/>
      </c>
      <c r="BO815" s="10">
        <f>tbl_MTG_Set[[#This Row],[Collector Singles CardMarket Profit]]&gt;0</f>
        <v/>
      </c>
      <c r="BP8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6">
      <c r="A816" t="n">
        <v>814</v>
      </c>
      <c r="B816" t="inlineStr">
        <is>
          <t>15th Anniversary Cards P15A</t>
        </is>
      </c>
      <c r="C816" t="n">
        <v>2</v>
      </c>
      <c r="D816" s="3" t="n">
        <v>39539</v>
      </c>
      <c r="F816" t="inlineStr">
        <is>
          <t>en es fr de it pt ja ko ru 汉语 漢語</t>
        </is>
      </c>
      <c r="G816" t="n">
        <v>1574</v>
      </c>
      <c r="H816">
        <f>MONTH(NOW())+12*YEAR(NOW())-MONTH(tbl_MTG_Set[[#This Row],[Released On]])-12*YEAR(tbl_MTG_Set[[#This Row],[Released On]])</f>
        <v/>
      </c>
      <c r="I816">
        <f>_xlfn.XLOOKUP(tbl_MTG_Set[[#This Row],[Type Name]], tbl_MTG_Set_Type[Set Type], tbl_MTG_Set_Type[Index], "(Set Type not found)")</f>
        <v/>
      </c>
      <c r="J816">
        <f>_xlfn.XLOOKUP(tbl_MTG_Set[[#This Row],[Type Name]], tbl_MTG_Set_Type[Set Type], tbl_MTG_Set_Type[Buy Window Month Start], "(Set Type not found)")</f>
        <v/>
      </c>
      <c r="K816" s="3">
        <f>tbl_MTG_Set[[#This Row],[Released On]]+tbl_MTG_Set[[#This Row],[Buy Window Month Start]]*365.25/12</f>
        <v/>
      </c>
      <c r="L816">
        <f>_xlfn.XLOOKUP(tbl_MTG_Set[[#This Row],[Type Name]], tbl_MTG_Set_Type[Set Type], tbl_MTG_Set_Type[Buy Window Month End], "(Set Type not found)", 0, 1)</f>
        <v/>
      </c>
      <c r="M816" s="3">
        <f>tbl_MTG_Set[[#This Row],[Released On]]+tbl_MTG_Set[[#This Row],[Buy Window Month End]]*365.25/12</f>
        <v/>
      </c>
      <c r="N816" s="3">
        <f>AND(NOW()&gt;=tbl_MTG_Set[[#This Row],[Buy Window Start]], NOW()&lt;=tbl_MTG_Set[[#This Row],[Buy Window End]])</f>
        <v/>
      </c>
      <c r="O816">
        <f>_xlfn.XLOOKUP(tbl_MTG_Set[[#This Row],[Type Name]], tbl_MTG_Set_Type[Set Type], tbl_MTG_Set_Type[Heavy Printing Window Month Start], "(Set Type not found)", 0, 1)</f>
        <v/>
      </c>
      <c r="P816" s="3">
        <f>tbl_MTG_Set[[#This Row],[Released On]]+tbl_MTG_Set[[#This Row],[Heavy Printing Window Month Start]]*365.25/12</f>
        <v/>
      </c>
      <c r="Q816">
        <f>_xlfn.XLOOKUP(tbl_MTG_Set[[#This Row],[Type Name]], tbl_MTG_Set_Type[Set Type], tbl_MTG_Set_Type[Heavy Printing Window Month End], "(Set Type not found)", 0, 1)</f>
        <v/>
      </c>
      <c r="R816" s="3">
        <f>tbl_MTG_Set[[#This Row],[Released On]]+tbl_MTG_Set[[#This Row],[Heavy Printing Window Month End]]*365.25/12</f>
        <v/>
      </c>
      <c r="S816" s="3">
        <f>AND(NOW()&gt;=tbl_MTG_Set[[#This Row],[Heavy Printing Window Start]], NOW()&lt;=tbl_MTG_Set[[#This Row],[Heavy Printing Window End]])</f>
        <v/>
      </c>
      <c r="T816">
        <f>_xlfn.XLOOKUP(tbl_MTG_Set[[#This Row],[Type Name]], tbl_MTG_Set_Type[Set Type], tbl_MTG_Set_Type[Sell Window Month Start], "(Set Type not found)", 0, 1)</f>
        <v/>
      </c>
      <c r="U816" s="3">
        <f>tbl_MTG_Set[[#This Row],[Released On]]+tbl_MTG_Set[[#This Row],[Sell Window Month Start]]*365.25/12</f>
        <v/>
      </c>
      <c r="V816">
        <f>_xlfn.XLOOKUP(tbl_MTG_Set[[#This Row],[Type Name]], tbl_MTG_Set_Type[Set Type], tbl_MTG_Set_Type[Sell Window Month End], "(Set Type not found)", 0, 1)</f>
        <v/>
      </c>
      <c r="W816" s="3">
        <f>tbl_MTG_Set[[#This Row],[Released On]]+tbl_MTG_Set[[#This Row],[Sell Window Month End]]*365.25/12</f>
        <v/>
      </c>
      <c r="X816" s="3">
        <f>AND(NOW()&gt;=tbl_MTG_Set[[#This Row],[Sell Window Start]], NOW()&lt;=tbl_MTG_Set[[#This Row],[Sell Window End]])</f>
        <v/>
      </c>
      <c r="AG816" s="10" t="n"/>
      <c r="AH816" s="10" t="n"/>
      <c r="AM816" s="10">
        <f t="array" ref="AM8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6" s="10">
        <f t="array" ref="AN8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6" s="4">
        <f>_xlfn.XLOOKUP(tbl_MTG_Set[[#This Row],[Play Booster Box Product Id]], tbl_Product[Product Id], tbl_Product[Pack Size])</f>
        <v/>
      </c>
      <c r="AP816" s="10">
        <f>(tbl_MTG_Set[[#This Row],[Play Booster Box Cost]]+v_Item_Shipping_Cost_In)/tbl_MTG_Set[[#This Row],[Play Booster Box Size]]</f>
        <v/>
      </c>
      <c r="AQ816" s="10">
        <f t="array" ref="AQ8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6" s="10" t="n"/>
      <c r="AS816" s="10" t="n"/>
      <c r="AT816" s="17">
        <f>tbl_MTG_Set[[#This Row],[Play Booster CardMarket Profit]]/tbl_MTG_Set[[#This Row],[Play Booster Cost]]</f>
        <v/>
      </c>
      <c r="AU816" s="10">
        <f>_xlfn.XLOOKUP(tbl_MTG_Set[[#This Row],[Collector Booster Box Product Id]], tbl_Product[Product Id], tbl_Product[Min Cost])</f>
        <v/>
      </c>
      <c r="AV816" s="10">
        <f>_xlfn.XLOOKUP(tbl_MTG_Set[[#This Row],[Collector Booster Box Product Id]], tbl_Product[Product Id], tbl_Product[Best Source])</f>
        <v/>
      </c>
      <c r="AW816" s="4">
        <f>_xlfn.XLOOKUP(tbl_MTG_Set[[#This Row],[Collector Booster Box Product Id]], tbl_Product[Product Id], tbl_Product[Pack Size])</f>
        <v/>
      </c>
      <c r="AX816" s="10">
        <f>(tbl_MTG_Set[[#This Row],[Collector Booster Box Cost]] + v_Item_Shipping_Cost_In) / tbl_MTG_Set[[#This Row],[Collector Booster Box Size]]</f>
        <v/>
      </c>
      <c r="AY816" s="10">
        <f t="array" ref="AY8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6" s="10" t="n"/>
      <c r="BA8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6" s="17">
        <f>tbl_MTG_Set[[#This Row],[Collector Booster CardMarket Profit]]/tbl_MTG_Set[[#This Row],[Collector Booster Cost]]</f>
        <v/>
      </c>
      <c r="BC816" s="10" t="n"/>
      <c r="BF816" s="10">
        <f>tbl_MTG_Set[[#This Row],[Play Booster Sell Price CardMarket]]*tbl_MTG_Set[[#This Row],[Play Booster Expected Market Value]]/tbl_MTG_Set[[#This Row],[Play Boost Sealed Market Value]]</f>
        <v/>
      </c>
      <c r="BG8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6" s="10">
        <f>tbl_MTG_Set[[#This Row],[Play Singles CardMarket Profit]]/tbl_MTG_Set[[#This Row],[Play Booster Cost]]</f>
        <v/>
      </c>
      <c r="BI816" s="10">
        <f>tbl_MTG_Set[[#This Row],[Play Singles CardMarket Profit]]&gt;0</f>
        <v/>
      </c>
      <c r="BJ816" s="10" t="n"/>
      <c r="BK816" s="10" t="n"/>
      <c r="BL816" s="10">
        <f>tbl_MTG_Set[[#This Row],[Collector Booster Sell Price CardMarket]]*tbl_MTG_Set[[#This Row],[Collector Booster Expected Market Value]]/tbl_MTG_Set[[#This Row],[Collector Boost Sealed Market Value]]</f>
        <v/>
      </c>
      <c r="BM8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6" s="10">
        <f>tbl_MTG_Set[[#This Row],[Collector Singles CardMarket Profit]]/tbl_MTG_Set[[#This Row],[Collector Booster Cost]]</f>
        <v/>
      </c>
      <c r="BO816" s="10">
        <f>tbl_MTG_Set[[#This Row],[Collector Singles CardMarket Profit]]&gt;0</f>
        <v/>
      </c>
      <c r="BP8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7">
      <c r="A817" t="n">
        <v>815</v>
      </c>
      <c r="B817" t="inlineStr">
        <is>
          <t>Morningtide MOR</t>
        </is>
      </c>
      <c r="C817" t="n">
        <v>150</v>
      </c>
      <c r="D817" s="3" t="n">
        <v>39479</v>
      </c>
      <c r="F817" t="inlineStr">
        <is>
          <t>en es fr de it pt ja ko ru 汉语 漢語</t>
        </is>
      </c>
      <c r="G817" t="n">
        <v>1576</v>
      </c>
      <c r="H817">
        <f>MONTH(NOW())+12*YEAR(NOW())-MONTH(tbl_MTG_Set[[#This Row],[Released On]])-12*YEAR(tbl_MTG_Set[[#This Row],[Released On]])</f>
        <v/>
      </c>
      <c r="I817">
        <f>_xlfn.XLOOKUP(tbl_MTG_Set[[#This Row],[Type Name]], tbl_MTG_Set_Type[Set Type], tbl_MTG_Set_Type[Index], "(Set Type not found)")</f>
        <v/>
      </c>
      <c r="J817">
        <f>_xlfn.XLOOKUP(tbl_MTG_Set[[#This Row],[Type Name]], tbl_MTG_Set_Type[Set Type], tbl_MTG_Set_Type[Buy Window Month Start], "(Set Type not found)")</f>
        <v/>
      </c>
      <c r="K817" s="3">
        <f>tbl_MTG_Set[[#This Row],[Released On]]+tbl_MTG_Set[[#This Row],[Buy Window Month Start]]*365.25/12</f>
        <v/>
      </c>
      <c r="L817">
        <f>_xlfn.XLOOKUP(tbl_MTG_Set[[#This Row],[Type Name]], tbl_MTG_Set_Type[Set Type], tbl_MTG_Set_Type[Buy Window Month End], "(Set Type not found)", 0, 1)</f>
        <v/>
      </c>
      <c r="M817" s="3">
        <f>tbl_MTG_Set[[#This Row],[Released On]]+tbl_MTG_Set[[#This Row],[Buy Window Month End]]*365.25/12</f>
        <v/>
      </c>
      <c r="N817" s="3">
        <f>AND(NOW()&gt;=tbl_MTG_Set[[#This Row],[Buy Window Start]], NOW()&lt;=tbl_MTG_Set[[#This Row],[Buy Window End]])</f>
        <v/>
      </c>
      <c r="O817">
        <f>_xlfn.XLOOKUP(tbl_MTG_Set[[#This Row],[Type Name]], tbl_MTG_Set_Type[Set Type], tbl_MTG_Set_Type[Heavy Printing Window Month Start], "(Set Type not found)", 0, 1)</f>
        <v/>
      </c>
      <c r="P817" s="3">
        <f>tbl_MTG_Set[[#This Row],[Released On]]+tbl_MTG_Set[[#This Row],[Heavy Printing Window Month Start]]*365.25/12</f>
        <v/>
      </c>
      <c r="Q817">
        <f>_xlfn.XLOOKUP(tbl_MTG_Set[[#This Row],[Type Name]], tbl_MTG_Set_Type[Set Type], tbl_MTG_Set_Type[Heavy Printing Window Month End], "(Set Type not found)", 0, 1)</f>
        <v/>
      </c>
      <c r="R817" s="3">
        <f>tbl_MTG_Set[[#This Row],[Released On]]+tbl_MTG_Set[[#This Row],[Heavy Printing Window Month End]]*365.25/12</f>
        <v/>
      </c>
      <c r="S817" s="3">
        <f>AND(NOW()&gt;=tbl_MTG_Set[[#This Row],[Heavy Printing Window Start]], NOW()&lt;=tbl_MTG_Set[[#This Row],[Heavy Printing Window End]])</f>
        <v/>
      </c>
      <c r="T817">
        <f>_xlfn.XLOOKUP(tbl_MTG_Set[[#This Row],[Type Name]], tbl_MTG_Set_Type[Set Type], tbl_MTG_Set_Type[Sell Window Month Start], "(Set Type not found)", 0, 1)</f>
        <v/>
      </c>
      <c r="U817" s="3">
        <f>tbl_MTG_Set[[#This Row],[Released On]]+tbl_MTG_Set[[#This Row],[Sell Window Month Start]]*365.25/12</f>
        <v/>
      </c>
      <c r="V817">
        <f>_xlfn.XLOOKUP(tbl_MTG_Set[[#This Row],[Type Name]], tbl_MTG_Set_Type[Set Type], tbl_MTG_Set_Type[Sell Window Month End], "(Set Type not found)", 0, 1)</f>
        <v/>
      </c>
      <c r="W817" s="3">
        <f>tbl_MTG_Set[[#This Row],[Released On]]+tbl_MTG_Set[[#This Row],[Sell Window Month End]]*365.25/12</f>
        <v/>
      </c>
      <c r="X817" s="3">
        <f>AND(NOW()&gt;=tbl_MTG_Set[[#This Row],[Sell Window Start]], NOW()&lt;=tbl_MTG_Set[[#This Row],[Sell Window End]])</f>
        <v/>
      </c>
      <c r="AG817" s="10" t="n"/>
      <c r="AH817" s="10" t="n"/>
      <c r="AM817" s="10">
        <f t="array" ref="AM8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7" s="10">
        <f t="array" ref="AN8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7" s="4">
        <f>_xlfn.XLOOKUP(tbl_MTG_Set[[#This Row],[Play Booster Box Product Id]], tbl_Product[Product Id], tbl_Product[Pack Size])</f>
        <v/>
      </c>
      <c r="AP817" s="10">
        <f>(tbl_MTG_Set[[#This Row],[Play Booster Box Cost]]+v_Item_Shipping_Cost_In)/tbl_MTG_Set[[#This Row],[Play Booster Box Size]]</f>
        <v/>
      </c>
      <c r="AQ817" s="10">
        <f t="array" ref="AQ8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7" s="10" t="n"/>
      <c r="AS817" s="10" t="n"/>
      <c r="AT817" s="17">
        <f>tbl_MTG_Set[[#This Row],[Play Booster CardMarket Profit]]/tbl_MTG_Set[[#This Row],[Play Booster Cost]]</f>
        <v/>
      </c>
      <c r="AU817" s="10">
        <f>_xlfn.XLOOKUP(tbl_MTG_Set[[#This Row],[Collector Booster Box Product Id]], tbl_Product[Product Id], tbl_Product[Min Cost])</f>
        <v/>
      </c>
      <c r="AV817" s="10">
        <f>_xlfn.XLOOKUP(tbl_MTG_Set[[#This Row],[Collector Booster Box Product Id]], tbl_Product[Product Id], tbl_Product[Best Source])</f>
        <v/>
      </c>
      <c r="AW817" s="4">
        <f>_xlfn.XLOOKUP(tbl_MTG_Set[[#This Row],[Collector Booster Box Product Id]], tbl_Product[Product Id], tbl_Product[Pack Size])</f>
        <v/>
      </c>
      <c r="AX817" s="10">
        <f>(tbl_MTG_Set[[#This Row],[Collector Booster Box Cost]] + v_Item_Shipping_Cost_In) / tbl_MTG_Set[[#This Row],[Collector Booster Box Size]]</f>
        <v/>
      </c>
      <c r="AY817" s="10">
        <f t="array" ref="AY8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7" s="10" t="n"/>
      <c r="BA8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7" s="17">
        <f>tbl_MTG_Set[[#This Row],[Collector Booster CardMarket Profit]]/tbl_MTG_Set[[#This Row],[Collector Booster Cost]]</f>
        <v/>
      </c>
      <c r="BC817" s="10" t="n"/>
      <c r="BF817" s="10">
        <f>tbl_MTG_Set[[#This Row],[Play Booster Sell Price CardMarket]]*tbl_MTG_Set[[#This Row],[Play Booster Expected Market Value]]/tbl_MTG_Set[[#This Row],[Play Boost Sealed Market Value]]</f>
        <v/>
      </c>
      <c r="BG8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7" s="10">
        <f>tbl_MTG_Set[[#This Row],[Play Singles CardMarket Profit]]/tbl_MTG_Set[[#This Row],[Play Booster Cost]]</f>
        <v/>
      </c>
      <c r="BI817" s="10">
        <f>tbl_MTG_Set[[#This Row],[Play Singles CardMarket Profit]]&gt;0</f>
        <v/>
      </c>
      <c r="BJ817" s="10" t="n"/>
      <c r="BK817" s="10" t="n"/>
      <c r="BL817" s="10">
        <f>tbl_MTG_Set[[#This Row],[Collector Booster Sell Price CardMarket]]*tbl_MTG_Set[[#This Row],[Collector Booster Expected Market Value]]/tbl_MTG_Set[[#This Row],[Collector Boost Sealed Market Value]]</f>
        <v/>
      </c>
      <c r="BM8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7" s="10">
        <f>tbl_MTG_Set[[#This Row],[Collector Singles CardMarket Profit]]/tbl_MTG_Set[[#This Row],[Collector Booster Cost]]</f>
        <v/>
      </c>
      <c r="BO817" s="10">
        <f>tbl_MTG_Set[[#This Row],[Collector Singles CardMarket Profit]]&gt;0</f>
        <v/>
      </c>
      <c r="BP8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8">
      <c r="A818" t="n">
        <v>816</v>
      </c>
      <c r="B818" t="inlineStr">
        <is>
          <t>Morningtide Promos PMOR</t>
        </is>
      </c>
      <c r="C818" t="n">
        <v>2</v>
      </c>
      <c r="D818" s="3" t="n">
        <v>39479</v>
      </c>
      <c r="F818" t="inlineStr">
        <is>
          <t>en es fr de it pt ja ko ru 汉语 漢語</t>
        </is>
      </c>
      <c r="G818" t="n">
        <v>1578</v>
      </c>
      <c r="H818">
        <f>MONTH(NOW())+12*YEAR(NOW())-MONTH(tbl_MTG_Set[[#This Row],[Released On]])-12*YEAR(tbl_MTG_Set[[#This Row],[Released On]])</f>
        <v/>
      </c>
      <c r="I818">
        <f>_xlfn.XLOOKUP(tbl_MTG_Set[[#This Row],[Type Name]], tbl_MTG_Set_Type[Set Type], tbl_MTG_Set_Type[Index], "(Set Type not found)")</f>
        <v/>
      </c>
      <c r="J818">
        <f>_xlfn.XLOOKUP(tbl_MTG_Set[[#This Row],[Type Name]], tbl_MTG_Set_Type[Set Type], tbl_MTG_Set_Type[Buy Window Month Start], "(Set Type not found)")</f>
        <v/>
      </c>
      <c r="K818" s="3">
        <f>tbl_MTG_Set[[#This Row],[Released On]]+tbl_MTG_Set[[#This Row],[Buy Window Month Start]]*365.25/12</f>
        <v/>
      </c>
      <c r="L818">
        <f>_xlfn.XLOOKUP(tbl_MTG_Set[[#This Row],[Type Name]], tbl_MTG_Set_Type[Set Type], tbl_MTG_Set_Type[Buy Window Month End], "(Set Type not found)", 0, 1)</f>
        <v/>
      </c>
      <c r="M818" s="3">
        <f>tbl_MTG_Set[[#This Row],[Released On]]+tbl_MTG_Set[[#This Row],[Buy Window Month End]]*365.25/12</f>
        <v/>
      </c>
      <c r="N818" s="3">
        <f>AND(NOW()&gt;=tbl_MTG_Set[[#This Row],[Buy Window Start]], NOW()&lt;=tbl_MTG_Set[[#This Row],[Buy Window End]])</f>
        <v/>
      </c>
      <c r="O818">
        <f>_xlfn.XLOOKUP(tbl_MTG_Set[[#This Row],[Type Name]], tbl_MTG_Set_Type[Set Type], tbl_MTG_Set_Type[Heavy Printing Window Month Start], "(Set Type not found)", 0, 1)</f>
        <v/>
      </c>
      <c r="P818" s="3">
        <f>tbl_MTG_Set[[#This Row],[Released On]]+tbl_MTG_Set[[#This Row],[Heavy Printing Window Month Start]]*365.25/12</f>
        <v/>
      </c>
      <c r="Q818">
        <f>_xlfn.XLOOKUP(tbl_MTG_Set[[#This Row],[Type Name]], tbl_MTG_Set_Type[Set Type], tbl_MTG_Set_Type[Heavy Printing Window Month End], "(Set Type not found)", 0, 1)</f>
        <v/>
      </c>
      <c r="R818" s="3">
        <f>tbl_MTG_Set[[#This Row],[Released On]]+tbl_MTG_Set[[#This Row],[Heavy Printing Window Month End]]*365.25/12</f>
        <v/>
      </c>
      <c r="S818" s="3">
        <f>AND(NOW()&gt;=tbl_MTG_Set[[#This Row],[Heavy Printing Window Start]], NOW()&lt;=tbl_MTG_Set[[#This Row],[Heavy Printing Window End]])</f>
        <v/>
      </c>
      <c r="T818">
        <f>_xlfn.XLOOKUP(tbl_MTG_Set[[#This Row],[Type Name]], tbl_MTG_Set_Type[Set Type], tbl_MTG_Set_Type[Sell Window Month Start], "(Set Type not found)", 0, 1)</f>
        <v/>
      </c>
      <c r="U818" s="3">
        <f>tbl_MTG_Set[[#This Row],[Released On]]+tbl_MTG_Set[[#This Row],[Sell Window Month Start]]*365.25/12</f>
        <v/>
      </c>
      <c r="V818">
        <f>_xlfn.XLOOKUP(tbl_MTG_Set[[#This Row],[Type Name]], tbl_MTG_Set_Type[Set Type], tbl_MTG_Set_Type[Sell Window Month End], "(Set Type not found)", 0, 1)</f>
        <v/>
      </c>
      <c r="W818" s="3">
        <f>tbl_MTG_Set[[#This Row],[Released On]]+tbl_MTG_Set[[#This Row],[Sell Window Month End]]*365.25/12</f>
        <v/>
      </c>
      <c r="X818" s="3">
        <f>AND(NOW()&gt;=tbl_MTG_Set[[#This Row],[Sell Window Start]], NOW()&lt;=tbl_MTG_Set[[#This Row],[Sell Window End]])</f>
        <v/>
      </c>
      <c r="AG818" s="10" t="n"/>
      <c r="AH818" s="10" t="n"/>
      <c r="AM818" s="10">
        <f t="array" ref="AM8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8" s="10">
        <f t="array" ref="AN8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8" s="4">
        <f>_xlfn.XLOOKUP(tbl_MTG_Set[[#This Row],[Play Booster Box Product Id]], tbl_Product[Product Id], tbl_Product[Pack Size])</f>
        <v/>
      </c>
      <c r="AP818" s="10">
        <f>(tbl_MTG_Set[[#This Row],[Play Booster Box Cost]]+v_Item_Shipping_Cost_In)/tbl_MTG_Set[[#This Row],[Play Booster Box Size]]</f>
        <v/>
      </c>
      <c r="AQ818" s="10">
        <f t="array" ref="AQ8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8" s="10" t="n"/>
      <c r="AS818" s="10" t="n"/>
      <c r="AT818" s="17">
        <f>tbl_MTG_Set[[#This Row],[Play Booster CardMarket Profit]]/tbl_MTG_Set[[#This Row],[Play Booster Cost]]</f>
        <v/>
      </c>
      <c r="AU818" s="10">
        <f>_xlfn.XLOOKUP(tbl_MTG_Set[[#This Row],[Collector Booster Box Product Id]], tbl_Product[Product Id], tbl_Product[Min Cost])</f>
        <v/>
      </c>
      <c r="AV818" s="10">
        <f>_xlfn.XLOOKUP(tbl_MTG_Set[[#This Row],[Collector Booster Box Product Id]], tbl_Product[Product Id], tbl_Product[Best Source])</f>
        <v/>
      </c>
      <c r="AW818" s="4">
        <f>_xlfn.XLOOKUP(tbl_MTG_Set[[#This Row],[Collector Booster Box Product Id]], tbl_Product[Product Id], tbl_Product[Pack Size])</f>
        <v/>
      </c>
      <c r="AX818" s="10">
        <f>(tbl_MTG_Set[[#This Row],[Collector Booster Box Cost]] + v_Item_Shipping_Cost_In) / tbl_MTG_Set[[#This Row],[Collector Booster Box Size]]</f>
        <v/>
      </c>
      <c r="AY818" s="10">
        <f t="array" ref="AY8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8" s="10" t="n"/>
      <c r="BA8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8" s="17">
        <f>tbl_MTG_Set[[#This Row],[Collector Booster CardMarket Profit]]/tbl_MTG_Set[[#This Row],[Collector Booster Cost]]</f>
        <v/>
      </c>
      <c r="BC818" s="10" t="n"/>
      <c r="BF818" s="10">
        <f>tbl_MTG_Set[[#This Row],[Play Booster Sell Price CardMarket]]*tbl_MTG_Set[[#This Row],[Play Booster Expected Market Value]]/tbl_MTG_Set[[#This Row],[Play Boost Sealed Market Value]]</f>
        <v/>
      </c>
      <c r="BG8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8" s="10">
        <f>tbl_MTG_Set[[#This Row],[Play Singles CardMarket Profit]]/tbl_MTG_Set[[#This Row],[Play Booster Cost]]</f>
        <v/>
      </c>
      <c r="BI818" s="10">
        <f>tbl_MTG_Set[[#This Row],[Play Singles CardMarket Profit]]&gt;0</f>
        <v/>
      </c>
      <c r="BJ818" s="10" t="n"/>
      <c r="BK818" s="10" t="n"/>
      <c r="BL818" s="10">
        <f>tbl_MTG_Set[[#This Row],[Collector Booster Sell Price CardMarket]]*tbl_MTG_Set[[#This Row],[Collector Booster Expected Market Value]]/tbl_MTG_Set[[#This Row],[Collector Boost Sealed Market Value]]</f>
        <v/>
      </c>
      <c r="BM8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8" s="10">
        <f>tbl_MTG_Set[[#This Row],[Collector Singles CardMarket Profit]]/tbl_MTG_Set[[#This Row],[Collector Booster Cost]]</f>
        <v/>
      </c>
      <c r="BO818" s="10">
        <f>tbl_MTG_Set[[#This Row],[Collector Singles CardMarket Profit]]&gt;0</f>
        <v/>
      </c>
      <c r="BP8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9">
      <c r="A819" t="n">
        <v>817</v>
      </c>
      <c r="B819" t="inlineStr">
        <is>
          <t>Morningtide Tokens TMOR</t>
        </is>
      </c>
      <c r="C819" t="n">
        <v>3</v>
      </c>
      <c r="D819" s="3" t="n">
        <v>39479</v>
      </c>
      <c r="F819" t="inlineStr">
        <is>
          <t>en es fr de it pt ja ko ru 汉语 漢語</t>
        </is>
      </c>
      <c r="G819" t="n">
        <v>1580</v>
      </c>
      <c r="H819">
        <f>MONTH(NOW())+12*YEAR(NOW())-MONTH(tbl_MTG_Set[[#This Row],[Released On]])-12*YEAR(tbl_MTG_Set[[#This Row],[Released On]])</f>
        <v/>
      </c>
      <c r="I819">
        <f>_xlfn.XLOOKUP(tbl_MTG_Set[[#This Row],[Type Name]], tbl_MTG_Set_Type[Set Type], tbl_MTG_Set_Type[Index], "(Set Type not found)")</f>
        <v/>
      </c>
      <c r="J819">
        <f>_xlfn.XLOOKUP(tbl_MTG_Set[[#This Row],[Type Name]], tbl_MTG_Set_Type[Set Type], tbl_MTG_Set_Type[Buy Window Month Start], "(Set Type not found)")</f>
        <v/>
      </c>
      <c r="K819" s="3">
        <f>tbl_MTG_Set[[#This Row],[Released On]]+tbl_MTG_Set[[#This Row],[Buy Window Month Start]]*365.25/12</f>
        <v/>
      </c>
      <c r="L819">
        <f>_xlfn.XLOOKUP(tbl_MTG_Set[[#This Row],[Type Name]], tbl_MTG_Set_Type[Set Type], tbl_MTG_Set_Type[Buy Window Month End], "(Set Type not found)", 0, 1)</f>
        <v/>
      </c>
      <c r="M819" s="3">
        <f>tbl_MTG_Set[[#This Row],[Released On]]+tbl_MTG_Set[[#This Row],[Buy Window Month End]]*365.25/12</f>
        <v/>
      </c>
      <c r="N819" s="3">
        <f>AND(NOW()&gt;=tbl_MTG_Set[[#This Row],[Buy Window Start]], NOW()&lt;=tbl_MTG_Set[[#This Row],[Buy Window End]])</f>
        <v/>
      </c>
      <c r="O819">
        <f>_xlfn.XLOOKUP(tbl_MTG_Set[[#This Row],[Type Name]], tbl_MTG_Set_Type[Set Type], tbl_MTG_Set_Type[Heavy Printing Window Month Start], "(Set Type not found)", 0, 1)</f>
        <v/>
      </c>
      <c r="P819" s="3">
        <f>tbl_MTG_Set[[#This Row],[Released On]]+tbl_MTG_Set[[#This Row],[Heavy Printing Window Month Start]]*365.25/12</f>
        <v/>
      </c>
      <c r="Q819">
        <f>_xlfn.XLOOKUP(tbl_MTG_Set[[#This Row],[Type Name]], tbl_MTG_Set_Type[Set Type], tbl_MTG_Set_Type[Heavy Printing Window Month End], "(Set Type not found)", 0, 1)</f>
        <v/>
      </c>
      <c r="R819" s="3">
        <f>tbl_MTG_Set[[#This Row],[Released On]]+tbl_MTG_Set[[#This Row],[Heavy Printing Window Month End]]*365.25/12</f>
        <v/>
      </c>
      <c r="S819" s="3">
        <f>AND(NOW()&gt;=tbl_MTG_Set[[#This Row],[Heavy Printing Window Start]], NOW()&lt;=tbl_MTG_Set[[#This Row],[Heavy Printing Window End]])</f>
        <v/>
      </c>
      <c r="T819">
        <f>_xlfn.XLOOKUP(tbl_MTG_Set[[#This Row],[Type Name]], tbl_MTG_Set_Type[Set Type], tbl_MTG_Set_Type[Sell Window Month Start], "(Set Type not found)", 0, 1)</f>
        <v/>
      </c>
      <c r="U819" s="3">
        <f>tbl_MTG_Set[[#This Row],[Released On]]+tbl_MTG_Set[[#This Row],[Sell Window Month Start]]*365.25/12</f>
        <v/>
      </c>
      <c r="V819">
        <f>_xlfn.XLOOKUP(tbl_MTG_Set[[#This Row],[Type Name]], tbl_MTG_Set_Type[Set Type], tbl_MTG_Set_Type[Sell Window Month End], "(Set Type not found)", 0, 1)</f>
        <v/>
      </c>
      <c r="W819" s="3">
        <f>tbl_MTG_Set[[#This Row],[Released On]]+tbl_MTG_Set[[#This Row],[Sell Window Month End]]*365.25/12</f>
        <v/>
      </c>
      <c r="X819" s="3">
        <f>AND(NOW()&gt;=tbl_MTG_Set[[#This Row],[Sell Window Start]], NOW()&lt;=tbl_MTG_Set[[#This Row],[Sell Window End]])</f>
        <v/>
      </c>
      <c r="AG819" s="10" t="n"/>
      <c r="AH819" s="10" t="n"/>
      <c r="AM819" s="10">
        <f t="array" ref="AM8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9" s="10">
        <f t="array" ref="AN8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9" s="4">
        <f>_xlfn.XLOOKUP(tbl_MTG_Set[[#This Row],[Play Booster Box Product Id]], tbl_Product[Product Id], tbl_Product[Pack Size])</f>
        <v/>
      </c>
      <c r="AP819" s="10">
        <f>(tbl_MTG_Set[[#This Row],[Play Booster Box Cost]]+v_Item_Shipping_Cost_In)/tbl_MTG_Set[[#This Row],[Play Booster Box Size]]</f>
        <v/>
      </c>
      <c r="AQ819" s="10">
        <f t="array" ref="AQ8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19" s="10" t="n"/>
      <c r="AS819" s="10" t="n"/>
      <c r="AT819" s="17">
        <f>tbl_MTG_Set[[#This Row],[Play Booster CardMarket Profit]]/tbl_MTG_Set[[#This Row],[Play Booster Cost]]</f>
        <v/>
      </c>
      <c r="AU819" s="10">
        <f>_xlfn.XLOOKUP(tbl_MTG_Set[[#This Row],[Collector Booster Box Product Id]], tbl_Product[Product Id], tbl_Product[Min Cost])</f>
        <v/>
      </c>
      <c r="AV819" s="10">
        <f>_xlfn.XLOOKUP(tbl_MTG_Set[[#This Row],[Collector Booster Box Product Id]], tbl_Product[Product Id], tbl_Product[Best Source])</f>
        <v/>
      </c>
      <c r="AW819" s="4">
        <f>_xlfn.XLOOKUP(tbl_MTG_Set[[#This Row],[Collector Booster Box Product Id]], tbl_Product[Product Id], tbl_Product[Pack Size])</f>
        <v/>
      </c>
      <c r="AX819" s="10">
        <f>(tbl_MTG_Set[[#This Row],[Collector Booster Box Cost]] + v_Item_Shipping_Cost_In) / tbl_MTG_Set[[#This Row],[Collector Booster Box Size]]</f>
        <v/>
      </c>
      <c r="AY819" s="10">
        <f t="array" ref="AY8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19" s="10" t="n"/>
      <c r="BA8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9" s="17">
        <f>tbl_MTG_Set[[#This Row],[Collector Booster CardMarket Profit]]/tbl_MTG_Set[[#This Row],[Collector Booster Cost]]</f>
        <v/>
      </c>
      <c r="BC819" s="10" t="n"/>
      <c r="BF819" s="10">
        <f>tbl_MTG_Set[[#This Row],[Play Booster Sell Price CardMarket]]*tbl_MTG_Set[[#This Row],[Play Booster Expected Market Value]]/tbl_MTG_Set[[#This Row],[Play Boost Sealed Market Value]]</f>
        <v/>
      </c>
      <c r="BG8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9" s="10">
        <f>tbl_MTG_Set[[#This Row],[Play Singles CardMarket Profit]]/tbl_MTG_Set[[#This Row],[Play Booster Cost]]</f>
        <v/>
      </c>
      <c r="BI819" s="10">
        <f>tbl_MTG_Set[[#This Row],[Play Singles CardMarket Profit]]&gt;0</f>
        <v/>
      </c>
      <c r="BJ819" s="10" t="n"/>
      <c r="BK819" s="10" t="n"/>
      <c r="BL819" s="10">
        <f>tbl_MTG_Set[[#This Row],[Collector Booster Sell Price CardMarket]]*tbl_MTG_Set[[#This Row],[Collector Booster Expected Market Value]]/tbl_MTG_Set[[#This Row],[Collector Boost Sealed Market Value]]</f>
        <v/>
      </c>
      <c r="BM8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9" s="10">
        <f>tbl_MTG_Set[[#This Row],[Collector Singles CardMarket Profit]]/tbl_MTG_Set[[#This Row],[Collector Booster Cost]]</f>
        <v/>
      </c>
      <c r="BO819" s="10">
        <f>tbl_MTG_Set[[#This Row],[Collector Singles CardMarket Profit]]&gt;0</f>
        <v/>
      </c>
      <c r="BP8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0">
      <c r="A820" t="n">
        <v>818</v>
      </c>
      <c r="B820" t="inlineStr">
        <is>
          <t>Magic Premiere Shop 2008 PMPS08</t>
        </is>
      </c>
      <c r="C820" t="n">
        <v>6</v>
      </c>
      <c r="D820" s="3" t="n">
        <v>39448</v>
      </c>
      <c r="F820" t="inlineStr">
        <is>
          <t>en es fr de it pt ja ko ru 汉语 漢語</t>
        </is>
      </c>
      <c r="G820" t="n">
        <v>1582</v>
      </c>
      <c r="H820">
        <f>MONTH(NOW())+12*YEAR(NOW())-MONTH(tbl_MTG_Set[[#This Row],[Released On]])-12*YEAR(tbl_MTG_Set[[#This Row],[Released On]])</f>
        <v/>
      </c>
      <c r="I820">
        <f>_xlfn.XLOOKUP(tbl_MTG_Set[[#This Row],[Type Name]], tbl_MTG_Set_Type[Set Type], tbl_MTG_Set_Type[Index], "(Set Type not found)")</f>
        <v/>
      </c>
      <c r="J820">
        <f>_xlfn.XLOOKUP(tbl_MTG_Set[[#This Row],[Type Name]], tbl_MTG_Set_Type[Set Type], tbl_MTG_Set_Type[Buy Window Month Start], "(Set Type not found)")</f>
        <v/>
      </c>
      <c r="K820" s="3">
        <f>tbl_MTG_Set[[#This Row],[Released On]]+tbl_MTG_Set[[#This Row],[Buy Window Month Start]]*365.25/12</f>
        <v/>
      </c>
      <c r="L820">
        <f>_xlfn.XLOOKUP(tbl_MTG_Set[[#This Row],[Type Name]], tbl_MTG_Set_Type[Set Type], tbl_MTG_Set_Type[Buy Window Month End], "(Set Type not found)", 0, 1)</f>
        <v/>
      </c>
      <c r="M820" s="3">
        <f>tbl_MTG_Set[[#This Row],[Released On]]+tbl_MTG_Set[[#This Row],[Buy Window Month End]]*365.25/12</f>
        <v/>
      </c>
      <c r="N820" s="3">
        <f>AND(NOW()&gt;=tbl_MTG_Set[[#This Row],[Buy Window Start]], NOW()&lt;=tbl_MTG_Set[[#This Row],[Buy Window End]])</f>
        <v/>
      </c>
      <c r="O820">
        <f>_xlfn.XLOOKUP(tbl_MTG_Set[[#This Row],[Type Name]], tbl_MTG_Set_Type[Set Type], tbl_MTG_Set_Type[Heavy Printing Window Month Start], "(Set Type not found)", 0, 1)</f>
        <v/>
      </c>
      <c r="P820" s="3">
        <f>tbl_MTG_Set[[#This Row],[Released On]]+tbl_MTG_Set[[#This Row],[Heavy Printing Window Month Start]]*365.25/12</f>
        <v/>
      </c>
      <c r="Q820">
        <f>_xlfn.XLOOKUP(tbl_MTG_Set[[#This Row],[Type Name]], tbl_MTG_Set_Type[Set Type], tbl_MTG_Set_Type[Heavy Printing Window Month End], "(Set Type not found)", 0, 1)</f>
        <v/>
      </c>
      <c r="R820" s="3">
        <f>tbl_MTG_Set[[#This Row],[Released On]]+tbl_MTG_Set[[#This Row],[Heavy Printing Window Month End]]*365.25/12</f>
        <v/>
      </c>
      <c r="S820" s="3">
        <f>AND(NOW()&gt;=tbl_MTG_Set[[#This Row],[Heavy Printing Window Start]], NOW()&lt;=tbl_MTG_Set[[#This Row],[Heavy Printing Window End]])</f>
        <v/>
      </c>
      <c r="T820">
        <f>_xlfn.XLOOKUP(tbl_MTG_Set[[#This Row],[Type Name]], tbl_MTG_Set_Type[Set Type], tbl_MTG_Set_Type[Sell Window Month Start], "(Set Type not found)", 0, 1)</f>
        <v/>
      </c>
      <c r="U820" s="3">
        <f>tbl_MTG_Set[[#This Row],[Released On]]+tbl_MTG_Set[[#This Row],[Sell Window Month Start]]*365.25/12</f>
        <v/>
      </c>
      <c r="V820">
        <f>_xlfn.XLOOKUP(tbl_MTG_Set[[#This Row],[Type Name]], tbl_MTG_Set_Type[Set Type], tbl_MTG_Set_Type[Sell Window Month End], "(Set Type not found)", 0, 1)</f>
        <v/>
      </c>
      <c r="W820" s="3">
        <f>tbl_MTG_Set[[#This Row],[Released On]]+tbl_MTG_Set[[#This Row],[Sell Window Month End]]*365.25/12</f>
        <v/>
      </c>
      <c r="X820" s="3">
        <f>AND(NOW()&gt;=tbl_MTG_Set[[#This Row],[Sell Window Start]], NOW()&lt;=tbl_MTG_Set[[#This Row],[Sell Window End]])</f>
        <v/>
      </c>
      <c r="AG820" s="10" t="n"/>
      <c r="AH820" s="10" t="n"/>
      <c r="AM820" s="10">
        <f t="array" ref="AM8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0" s="10">
        <f t="array" ref="AN8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0" s="4">
        <f>_xlfn.XLOOKUP(tbl_MTG_Set[[#This Row],[Play Booster Box Product Id]], tbl_Product[Product Id], tbl_Product[Pack Size])</f>
        <v/>
      </c>
      <c r="AP820" s="10">
        <f>(tbl_MTG_Set[[#This Row],[Play Booster Box Cost]]+v_Item_Shipping_Cost_In)/tbl_MTG_Set[[#This Row],[Play Booster Box Size]]</f>
        <v/>
      </c>
      <c r="AQ820" s="10">
        <f t="array" ref="AQ8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0" s="10" t="n"/>
      <c r="AS820" s="10" t="n"/>
      <c r="AT820" s="17">
        <f>tbl_MTG_Set[[#This Row],[Play Booster CardMarket Profit]]/tbl_MTG_Set[[#This Row],[Play Booster Cost]]</f>
        <v/>
      </c>
      <c r="AU820" s="10">
        <f>_xlfn.XLOOKUP(tbl_MTG_Set[[#This Row],[Collector Booster Box Product Id]], tbl_Product[Product Id], tbl_Product[Min Cost])</f>
        <v/>
      </c>
      <c r="AV820" s="10">
        <f>_xlfn.XLOOKUP(tbl_MTG_Set[[#This Row],[Collector Booster Box Product Id]], tbl_Product[Product Id], tbl_Product[Best Source])</f>
        <v/>
      </c>
      <c r="AW820" s="4">
        <f>_xlfn.XLOOKUP(tbl_MTG_Set[[#This Row],[Collector Booster Box Product Id]], tbl_Product[Product Id], tbl_Product[Pack Size])</f>
        <v/>
      </c>
      <c r="AX820" s="10">
        <f>(tbl_MTG_Set[[#This Row],[Collector Booster Box Cost]] + v_Item_Shipping_Cost_In) / tbl_MTG_Set[[#This Row],[Collector Booster Box Size]]</f>
        <v/>
      </c>
      <c r="AY820" s="10">
        <f t="array" ref="AY8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0" s="10" t="n"/>
      <c r="BA8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0" s="17">
        <f>tbl_MTG_Set[[#This Row],[Collector Booster CardMarket Profit]]/tbl_MTG_Set[[#This Row],[Collector Booster Cost]]</f>
        <v/>
      </c>
      <c r="BC820" s="10" t="n"/>
      <c r="BF820" s="10">
        <f>tbl_MTG_Set[[#This Row],[Play Booster Sell Price CardMarket]]*tbl_MTG_Set[[#This Row],[Play Booster Expected Market Value]]/tbl_MTG_Set[[#This Row],[Play Boost Sealed Market Value]]</f>
        <v/>
      </c>
      <c r="BG8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0" s="10">
        <f>tbl_MTG_Set[[#This Row],[Play Singles CardMarket Profit]]/tbl_MTG_Set[[#This Row],[Play Booster Cost]]</f>
        <v/>
      </c>
      <c r="BI820" s="10">
        <f>tbl_MTG_Set[[#This Row],[Play Singles CardMarket Profit]]&gt;0</f>
        <v/>
      </c>
      <c r="BJ820" s="10" t="n"/>
      <c r="BK820" s="10" t="n"/>
      <c r="BL820" s="10">
        <f>tbl_MTG_Set[[#This Row],[Collector Booster Sell Price CardMarket]]*tbl_MTG_Set[[#This Row],[Collector Booster Expected Market Value]]/tbl_MTG_Set[[#This Row],[Collector Boost Sealed Market Value]]</f>
        <v/>
      </c>
      <c r="BM8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0" s="10">
        <f>tbl_MTG_Set[[#This Row],[Collector Singles CardMarket Profit]]/tbl_MTG_Set[[#This Row],[Collector Booster Cost]]</f>
        <v/>
      </c>
      <c r="BO820" s="10">
        <f>tbl_MTG_Set[[#This Row],[Collector Singles CardMarket Profit]]&gt;0</f>
        <v/>
      </c>
      <c r="BP8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1">
      <c r="A821" t="n">
        <v>819</v>
      </c>
      <c r="B821" t="inlineStr">
        <is>
          <t>Magic Player Rewards 2008 P08</t>
        </is>
      </c>
      <c r="C821" t="n">
        <v>7</v>
      </c>
      <c r="D821" s="3" t="n">
        <v>39448</v>
      </c>
      <c r="F821" t="inlineStr">
        <is>
          <t>en es fr de it pt ja ko ru 汉语 漢語</t>
        </is>
      </c>
      <c r="G821" t="n">
        <v>1584</v>
      </c>
      <c r="H821">
        <f>MONTH(NOW())+12*YEAR(NOW())-MONTH(tbl_MTG_Set[[#This Row],[Released On]])-12*YEAR(tbl_MTG_Set[[#This Row],[Released On]])</f>
        <v/>
      </c>
      <c r="I821">
        <f>_xlfn.XLOOKUP(tbl_MTG_Set[[#This Row],[Type Name]], tbl_MTG_Set_Type[Set Type], tbl_MTG_Set_Type[Index], "(Set Type not found)")</f>
        <v/>
      </c>
      <c r="J821">
        <f>_xlfn.XLOOKUP(tbl_MTG_Set[[#This Row],[Type Name]], tbl_MTG_Set_Type[Set Type], tbl_MTG_Set_Type[Buy Window Month Start], "(Set Type not found)")</f>
        <v/>
      </c>
      <c r="K821" s="3">
        <f>tbl_MTG_Set[[#This Row],[Released On]]+tbl_MTG_Set[[#This Row],[Buy Window Month Start]]*365.25/12</f>
        <v/>
      </c>
      <c r="L821">
        <f>_xlfn.XLOOKUP(tbl_MTG_Set[[#This Row],[Type Name]], tbl_MTG_Set_Type[Set Type], tbl_MTG_Set_Type[Buy Window Month End], "(Set Type not found)", 0, 1)</f>
        <v/>
      </c>
      <c r="M821" s="3">
        <f>tbl_MTG_Set[[#This Row],[Released On]]+tbl_MTG_Set[[#This Row],[Buy Window Month End]]*365.25/12</f>
        <v/>
      </c>
      <c r="N821" s="3">
        <f>AND(NOW()&gt;=tbl_MTG_Set[[#This Row],[Buy Window Start]], NOW()&lt;=tbl_MTG_Set[[#This Row],[Buy Window End]])</f>
        <v/>
      </c>
      <c r="O821">
        <f>_xlfn.XLOOKUP(tbl_MTG_Set[[#This Row],[Type Name]], tbl_MTG_Set_Type[Set Type], tbl_MTG_Set_Type[Heavy Printing Window Month Start], "(Set Type not found)", 0, 1)</f>
        <v/>
      </c>
      <c r="P821" s="3">
        <f>tbl_MTG_Set[[#This Row],[Released On]]+tbl_MTG_Set[[#This Row],[Heavy Printing Window Month Start]]*365.25/12</f>
        <v/>
      </c>
      <c r="Q821">
        <f>_xlfn.XLOOKUP(tbl_MTG_Set[[#This Row],[Type Name]], tbl_MTG_Set_Type[Set Type], tbl_MTG_Set_Type[Heavy Printing Window Month End], "(Set Type not found)", 0, 1)</f>
        <v/>
      </c>
      <c r="R821" s="3">
        <f>tbl_MTG_Set[[#This Row],[Released On]]+tbl_MTG_Set[[#This Row],[Heavy Printing Window Month End]]*365.25/12</f>
        <v/>
      </c>
      <c r="S821" s="3">
        <f>AND(NOW()&gt;=tbl_MTG_Set[[#This Row],[Heavy Printing Window Start]], NOW()&lt;=tbl_MTG_Set[[#This Row],[Heavy Printing Window End]])</f>
        <v/>
      </c>
      <c r="T821">
        <f>_xlfn.XLOOKUP(tbl_MTG_Set[[#This Row],[Type Name]], tbl_MTG_Set_Type[Set Type], tbl_MTG_Set_Type[Sell Window Month Start], "(Set Type not found)", 0, 1)</f>
        <v/>
      </c>
      <c r="U821" s="3">
        <f>tbl_MTG_Set[[#This Row],[Released On]]+tbl_MTG_Set[[#This Row],[Sell Window Month Start]]*365.25/12</f>
        <v/>
      </c>
      <c r="V821">
        <f>_xlfn.XLOOKUP(tbl_MTG_Set[[#This Row],[Type Name]], tbl_MTG_Set_Type[Set Type], tbl_MTG_Set_Type[Sell Window Month End], "(Set Type not found)", 0, 1)</f>
        <v/>
      </c>
      <c r="W821" s="3">
        <f>tbl_MTG_Set[[#This Row],[Released On]]+tbl_MTG_Set[[#This Row],[Sell Window Month End]]*365.25/12</f>
        <v/>
      </c>
      <c r="X821" s="3">
        <f>AND(NOW()&gt;=tbl_MTG_Set[[#This Row],[Sell Window Start]], NOW()&lt;=tbl_MTG_Set[[#This Row],[Sell Window End]])</f>
        <v/>
      </c>
      <c r="AG821" s="10" t="n"/>
      <c r="AH821" s="10" t="n"/>
      <c r="AM821" s="10">
        <f t="array" ref="AM8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1" s="10">
        <f t="array" ref="AN8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1" s="4">
        <f>_xlfn.XLOOKUP(tbl_MTG_Set[[#This Row],[Play Booster Box Product Id]], tbl_Product[Product Id], tbl_Product[Pack Size])</f>
        <v/>
      </c>
      <c r="AP821" s="10">
        <f>(tbl_MTG_Set[[#This Row],[Play Booster Box Cost]]+v_Item_Shipping_Cost_In)/tbl_MTG_Set[[#This Row],[Play Booster Box Size]]</f>
        <v/>
      </c>
      <c r="AQ821" s="10">
        <f t="array" ref="AQ8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1" s="10" t="n"/>
      <c r="AS821" s="10" t="n"/>
      <c r="AT821" s="17">
        <f>tbl_MTG_Set[[#This Row],[Play Booster CardMarket Profit]]/tbl_MTG_Set[[#This Row],[Play Booster Cost]]</f>
        <v/>
      </c>
      <c r="AU821" s="10">
        <f>_xlfn.XLOOKUP(tbl_MTG_Set[[#This Row],[Collector Booster Box Product Id]], tbl_Product[Product Id], tbl_Product[Min Cost])</f>
        <v/>
      </c>
      <c r="AV821" s="10">
        <f>_xlfn.XLOOKUP(tbl_MTG_Set[[#This Row],[Collector Booster Box Product Id]], tbl_Product[Product Id], tbl_Product[Best Source])</f>
        <v/>
      </c>
      <c r="AW821" s="4">
        <f>_xlfn.XLOOKUP(tbl_MTG_Set[[#This Row],[Collector Booster Box Product Id]], tbl_Product[Product Id], tbl_Product[Pack Size])</f>
        <v/>
      </c>
      <c r="AX821" s="10">
        <f>(tbl_MTG_Set[[#This Row],[Collector Booster Box Cost]] + v_Item_Shipping_Cost_In) / tbl_MTG_Set[[#This Row],[Collector Booster Box Size]]</f>
        <v/>
      </c>
      <c r="AY821" s="10">
        <f t="array" ref="AY8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1" s="10" t="n"/>
      <c r="BA8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1" s="17">
        <f>tbl_MTG_Set[[#This Row],[Collector Booster CardMarket Profit]]/tbl_MTG_Set[[#This Row],[Collector Booster Cost]]</f>
        <v/>
      </c>
      <c r="BC821" s="10" t="n"/>
      <c r="BF821" s="10">
        <f>tbl_MTG_Set[[#This Row],[Play Booster Sell Price CardMarket]]*tbl_MTG_Set[[#This Row],[Play Booster Expected Market Value]]/tbl_MTG_Set[[#This Row],[Play Boost Sealed Market Value]]</f>
        <v/>
      </c>
      <c r="BG8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1" s="10">
        <f>tbl_MTG_Set[[#This Row],[Play Singles CardMarket Profit]]/tbl_MTG_Set[[#This Row],[Play Booster Cost]]</f>
        <v/>
      </c>
      <c r="BI821" s="10">
        <f>tbl_MTG_Set[[#This Row],[Play Singles CardMarket Profit]]&gt;0</f>
        <v/>
      </c>
      <c r="BJ821" s="10" t="n"/>
      <c r="BK821" s="10" t="n"/>
      <c r="BL821" s="10">
        <f>tbl_MTG_Set[[#This Row],[Collector Booster Sell Price CardMarket]]*tbl_MTG_Set[[#This Row],[Collector Booster Expected Market Value]]/tbl_MTG_Set[[#This Row],[Collector Boost Sealed Market Value]]</f>
        <v/>
      </c>
      <c r="BM8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1" s="10">
        <f>tbl_MTG_Set[[#This Row],[Collector Singles CardMarket Profit]]/tbl_MTG_Set[[#This Row],[Collector Booster Cost]]</f>
        <v/>
      </c>
      <c r="BO821" s="10">
        <f>tbl_MTG_Set[[#This Row],[Collector Singles CardMarket Profit]]&gt;0</f>
        <v/>
      </c>
      <c r="BP8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2">
      <c r="A822" t="n">
        <v>820</v>
      </c>
      <c r="B822" t="inlineStr">
        <is>
          <t>Friday Night Magic 2008 F08</t>
        </is>
      </c>
      <c r="C822" t="n">
        <v>12</v>
      </c>
      <c r="D822" s="3" t="n">
        <v>39448</v>
      </c>
      <c r="F822" t="inlineStr">
        <is>
          <t>en es fr de it pt ja ko ru 汉语 漢語</t>
        </is>
      </c>
      <c r="G822" t="n">
        <v>1586</v>
      </c>
      <c r="H822">
        <f>MONTH(NOW())+12*YEAR(NOW())-MONTH(tbl_MTG_Set[[#This Row],[Released On]])-12*YEAR(tbl_MTG_Set[[#This Row],[Released On]])</f>
        <v/>
      </c>
      <c r="I822">
        <f>_xlfn.XLOOKUP(tbl_MTG_Set[[#This Row],[Type Name]], tbl_MTG_Set_Type[Set Type], tbl_MTG_Set_Type[Index], "(Set Type not found)")</f>
        <v/>
      </c>
      <c r="J822">
        <f>_xlfn.XLOOKUP(tbl_MTG_Set[[#This Row],[Type Name]], tbl_MTG_Set_Type[Set Type], tbl_MTG_Set_Type[Buy Window Month Start], "(Set Type not found)")</f>
        <v/>
      </c>
      <c r="K822" s="3">
        <f>tbl_MTG_Set[[#This Row],[Released On]]+tbl_MTG_Set[[#This Row],[Buy Window Month Start]]*365.25/12</f>
        <v/>
      </c>
      <c r="L822">
        <f>_xlfn.XLOOKUP(tbl_MTG_Set[[#This Row],[Type Name]], tbl_MTG_Set_Type[Set Type], tbl_MTG_Set_Type[Buy Window Month End], "(Set Type not found)", 0, 1)</f>
        <v/>
      </c>
      <c r="M822" s="3">
        <f>tbl_MTG_Set[[#This Row],[Released On]]+tbl_MTG_Set[[#This Row],[Buy Window Month End]]*365.25/12</f>
        <v/>
      </c>
      <c r="N822" s="3">
        <f>AND(NOW()&gt;=tbl_MTG_Set[[#This Row],[Buy Window Start]], NOW()&lt;=tbl_MTG_Set[[#This Row],[Buy Window End]])</f>
        <v/>
      </c>
      <c r="O822">
        <f>_xlfn.XLOOKUP(tbl_MTG_Set[[#This Row],[Type Name]], tbl_MTG_Set_Type[Set Type], tbl_MTG_Set_Type[Heavy Printing Window Month Start], "(Set Type not found)", 0, 1)</f>
        <v/>
      </c>
      <c r="P822" s="3">
        <f>tbl_MTG_Set[[#This Row],[Released On]]+tbl_MTG_Set[[#This Row],[Heavy Printing Window Month Start]]*365.25/12</f>
        <v/>
      </c>
      <c r="Q822">
        <f>_xlfn.XLOOKUP(tbl_MTG_Set[[#This Row],[Type Name]], tbl_MTG_Set_Type[Set Type], tbl_MTG_Set_Type[Heavy Printing Window Month End], "(Set Type not found)", 0, 1)</f>
        <v/>
      </c>
      <c r="R822" s="3">
        <f>tbl_MTG_Set[[#This Row],[Released On]]+tbl_MTG_Set[[#This Row],[Heavy Printing Window Month End]]*365.25/12</f>
        <v/>
      </c>
      <c r="S822" s="3">
        <f>AND(NOW()&gt;=tbl_MTG_Set[[#This Row],[Heavy Printing Window Start]], NOW()&lt;=tbl_MTG_Set[[#This Row],[Heavy Printing Window End]])</f>
        <v/>
      </c>
      <c r="T822">
        <f>_xlfn.XLOOKUP(tbl_MTG_Set[[#This Row],[Type Name]], tbl_MTG_Set_Type[Set Type], tbl_MTG_Set_Type[Sell Window Month Start], "(Set Type not found)", 0, 1)</f>
        <v/>
      </c>
      <c r="U822" s="3">
        <f>tbl_MTG_Set[[#This Row],[Released On]]+tbl_MTG_Set[[#This Row],[Sell Window Month Start]]*365.25/12</f>
        <v/>
      </c>
      <c r="V822">
        <f>_xlfn.XLOOKUP(tbl_MTG_Set[[#This Row],[Type Name]], tbl_MTG_Set_Type[Set Type], tbl_MTG_Set_Type[Sell Window Month End], "(Set Type not found)", 0, 1)</f>
        <v/>
      </c>
      <c r="W822" s="3">
        <f>tbl_MTG_Set[[#This Row],[Released On]]+tbl_MTG_Set[[#This Row],[Sell Window Month End]]*365.25/12</f>
        <v/>
      </c>
      <c r="X822" s="3">
        <f>AND(NOW()&gt;=tbl_MTG_Set[[#This Row],[Sell Window Start]], NOW()&lt;=tbl_MTG_Set[[#This Row],[Sell Window End]])</f>
        <v/>
      </c>
      <c r="AG822" s="10" t="n"/>
      <c r="AH822" s="10" t="n"/>
      <c r="AM822" s="10">
        <f t="array" ref="AM8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2" s="10">
        <f t="array" ref="AN8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2" s="4">
        <f>_xlfn.XLOOKUP(tbl_MTG_Set[[#This Row],[Play Booster Box Product Id]], tbl_Product[Product Id], tbl_Product[Pack Size])</f>
        <v/>
      </c>
      <c r="AP822" s="10">
        <f>(tbl_MTG_Set[[#This Row],[Play Booster Box Cost]]+v_Item_Shipping_Cost_In)/tbl_MTG_Set[[#This Row],[Play Booster Box Size]]</f>
        <v/>
      </c>
      <c r="AQ822" s="10">
        <f t="array" ref="AQ8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2" s="10" t="n"/>
      <c r="AS822" s="10" t="n"/>
      <c r="AT822" s="17">
        <f>tbl_MTG_Set[[#This Row],[Play Booster CardMarket Profit]]/tbl_MTG_Set[[#This Row],[Play Booster Cost]]</f>
        <v/>
      </c>
      <c r="AU822" s="10">
        <f>_xlfn.XLOOKUP(tbl_MTG_Set[[#This Row],[Collector Booster Box Product Id]], tbl_Product[Product Id], tbl_Product[Min Cost])</f>
        <v/>
      </c>
      <c r="AV822" s="10">
        <f>_xlfn.XLOOKUP(tbl_MTG_Set[[#This Row],[Collector Booster Box Product Id]], tbl_Product[Product Id], tbl_Product[Best Source])</f>
        <v/>
      </c>
      <c r="AW822" s="4">
        <f>_xlfn.XLOOKUP(tbl_MTG_Set[[#This Row],[Collector Booster Box Product Id]], tbl_Product[Product Id], tbl_Product[Pack Size])</f>
        <v/>
      </c>
      <c r="AX822" s="10">
        <f>(tbl_MTG_Set[[#This Row],[Collector Booster Box Cost]] + v_Item_Shipping_Cost_In) / tbl_MTG_Set[[#This Row],[Collector Booster Box Size]]</f>
        <v/>
      </c>
      <c r="AY822" s="10">
        <f t="array" ref="AY8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2" s="10" t="n"/>
      <c r="BA8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2" s="17">
        <f>tbl_MTG_Set[[#This Row],[Collector Booster CardMarket Profit]]/tbl_MTG_Set[[#This Row],[Collector Booster Cost]]</f>
        <v/>
      </c>
      <c r="BC822" s="10" t="n"/>
      <c r="BF822" s="10">
        <f>tbl_MTG_Set[[#This Row],[Play Booster Sell Price CardMarket]]*tbl_MTG_Set[[#This Row],[Play Booster Expected Market Value]]/tbl_MTG_Set[[#This Row],[Play Boost Sealed Market Value]]</f>
        <v/>
      </c>
      <c r="BG8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2" s="10">
        <f>tbl_MTG_Set[[#This Row],[Play Singles CardMarket Profit]]/tbl_MTG_Set[[#This Row],[Play Booster Cost]]</f>
        <v/>
      </c>
      <c r="BI822" s="10">
        <f>tbl_MTG_Set[[#This Row],[Play Singles CardMarket Profit]]&gt;0</f>
        <v/>
      </c>
      <c r="BJ822" s="10" t="n"/>
      <c r="BK822" s="10" t="n"/>
      <c r="BL822" s="10">
        <f>tbl_MTG_Set[[#This Row],[Collector Booster Sell Price CardMarket]]*tbl_MTG_Set[[#This Row],[Collector Booster Expected Market Value]]/tbl_MTG_Set[[#This Row],[Collector Boost Sealed Market Value]]</f>
        <v/>
      </c>
      <c r="BM8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2" s="10">
        <f>tbl_MTG_Set[[#This Row],[Collector Singles CardMarket Profit]]/tbl_MTG_Set[[#This Row],[Collector Booster Cost]]</f>
        <v/>
      </c>
      <c r="BO822" s="10">
        <f>tbl_MTG_Set[[#This Row],[Collector Singles CardMarket Profit]]&gt;0</f>
        <v/>
      </c>
      <c r="BP8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3">
      <c r="A823" t="n">
        <v>821</v>
      </c>
      <c r="B823" t="inlineStr">
        <is>
          <t>Judge Gift Cards 2008 G08</t>
        </is>
      </c>
      <c r="C823" t="n">
        <v>5</v>
      </c>
      <c r="D823" s="3" t="n">
        <v>39448</v>
      </c>
      <c r="F823" t="inlineStr">
        <is>
          <t>en es fr de it pt ja ko ru 汉语 漢語</t>
        </is>
      </c>
      <c r="G823" t="n">
        <v>1588</v>
      </c>
      <c r="H823">
        <f>MONTH(NOW())+12*YEAR(NOW())-MONTH(tbl_MTG_Set[[#This Row],[Released On]])-12*YEAR(tbl_MTG_Set[[#This Row],[Released On]])</f>
        <v/>
      </c>
      <c r="I823">
        <f>_xlfn.XLOOKUP(tbl_MTG_Set[[#This Row],[Type Name]], tbl_MTG_Set_Type[Set Type], tbl_MTG_Set_Type[Index], "(Set Type not found)")</f>
        <v/>
      </c>
      <c r="J823">
        <f>_xlfn.XLOOKUP(tbl_MTG_Set[[#This Row],[Type Name]], tbl_MTG_Set_Type[Set Type], tbl_MTG_Set_Type[Buy Window Month Start], "(Set Type not found)")</f>
        <v/>
      </c>
      <c r="K823" s="3">
        <f>tbl_MTG_Set[[#This Row],[Released On]]+tbl_MTG_Set[[#This Row],[Buy Window Month Start]]*365.25/12</f>
        <v/>
      </c>
      <c r="L823">
        <f>_xlfn.XLOOKUP(tbl_MTG_Set[[#This Row],[Type Name]], tbl_MTG_Set_Type[Set Type], tbl_MTG_Set_Type[Buy Window Month End], "(Set Type not found)", 0, 1)</f>
        <v/>
      </c>
      <c r="M823" s="3">
        <f>tbl_MTG_Set[[#This Row],[Released On]]+tbl_MTG_Set[[#This Row],[Buy Window Month End]]*365.25/12</f>
        <v/>
      </c>
      <c r="N823" s="3">
        <f>AND(NOW()&gt;=tbl_MTG_Set[[#This Row],[Buy Window Start]], NOW()&lt;=tbl_MTG_Set[[#This Row],[Buy Window End]])</f>
        <v/>
      </c>
      <c r="O823">
        <f>_xlfn.XLOOKUP(tbl_MTG_Set[[#This Row],[Type Name]], tbl_MTG_Set_Type[Set Type], tbl_MTG_Set_Type[Heavy Printing Window Month Start], "(Set Type not found)", 0, 1)</f>
        <v/>
      </c>
      <c r="P823" s="3">
        <f>tbl_MTG_Set[[#This Row],[Released On]]+tbl_MTG_Set[[#This Row],[Heavy Printing Window Month Start]]*365.25/12</f>
        <v/>
      </c>
      <c r="Q823">
        <f>_xlfn.XLOOKUP(tbl_MTG_Set[[#This Row],[Type Name]], tbl_MTG_Set_Type[Set Type], tbl_MTG_Set_Type[Heavy Printing Window Month End], "(Set Type not found)", 0, 1)</f>
        <v/>
      </c>
      <c r="R823" s="3">
        <f>tbl_MTG_Set[[#This Row],[Released On]]+tbl_MTG_Set[[#This Row],[Heavy Printing Window Month End]]*365.25/12</f>
        <v/>
      </c>
      <c r="S823" s="3">
        <f>AND(NOW()&gt;=tbl_MTG_Set[[#This Row],[Heavy Printing Window Start]], NOW()&lt;=tbl_MTG_Set[[#This Row],[Heavy Printing Window End]])</f>
        <v/>
      </c>
      <c r="T823">
        <f>_xlfn.XLOOKUP(tbl_MTG_Set[[#This Row],[Type Name]], tbl_MTG_Set_Type[Set Type], tbl_MTG_Set_Type[Sell Window Month Start], "(Set Type not found)", 0, 1)</f>
        <v/>
      </c>
      <c r="U823" s="3">
        <f>tbl_MTG_Set[[#This Row],[Released On]]+tbl_MTG_Set[[#This Row],[Sell Window Month Start]]*365.25/12</f>
        <v/>
      </c>
      <c r="V823">
        <f>_xlfn.XLOOKUP(tbl_MTG_Set[[#This Row],[Type Name]], tbl_MTG_Set_Type[Set Type], tbl_MTG_Set_Type[Sell Window Month End], "(Set Type not found)", 0, 1)</f>
        <v/>
      </c>
      <c r="W823" s="3">
        <f>tbl_MTG_Set[[#This Row],[Released On]]+tbl_MTG_Set[[#This Row],[Sell Window Month End]]*365.25/12</f>
        <v/>
      </c>
      <c r="X823" s="3">
        <f>AND(NOW()&gt;=tbl_MTG_Set[[#This Row],[Sell Window Start]], NOW()&lt;=tbl_MTG_Set[[#This Row],[Sell Window End]])</f>
        <v/>
      </c>
      <c r="AG823" s="10" t="n"/>
      <c r="AH823" s="10" t="n"/>
      <c r="AM823" s="10">
        <f t="array" ref="AM8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3" s="10">
        <f t="array" ref="AN8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3" s="4">
        <f>_xlfn.XLOOKUP(tbl_MTG_Set[[#This Row],[Play Booster Box Product Id]], tbl_Product[Product Id], tbl_Product[Pack Size])</f>
        <v/>
      </c>
      <c r="AP823" s="10">
        <f>(tbl_MTG_Set[[#This Row],[Play Booster Box Cost]]+v_Item_Shipping_Cost_In)/tbl_MTG_Set[[#This Row],[Play Booster Box Size]]</f>
        <v/>
      </c>
      <c r="AQ823" s="10">
        <f t="array" ref="AQ8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3" s="10" t="n"/>
      <c r="AS823" s="10" t="n"/>
      <c r="AT823" s="17">
        <f>tbl_MTG_Set[[#This Row],[Play Booster CardMarket Profit]]/tbl_MTG_Set[[#This Row],[Play Booster Cost]]</f>
        <v/>
      </c>
      <c r="AU823" s="10">
        <f>_xlfn.XLOOKUP(tbl_MTG_Set[[#This Row],[Collector Booster Box Product Id]], tbl_Product[Product Id], tbl_Product[Min Cost])</f>
        <v/>
      </c>
      <c r="AV823" s="10">
        <f>_xlfn.XLOOKUP(tbl_MTG_Set[[#This Row],[Collector Booster Box Product Id]], tbl_Product[Product Id], tbl_Product[Best Source])</f>
        <v/>
      </c>
      <c r="AW823" s="4">
        <f>_xlfn.XLOOKUP(tbl_MTG_Set[[#This Row],[Collector Booster Box Product Id]], tbl_Product[Product Id], tbl_Product[Pack Size])</f>
        <v/>
      </c>
      <c r="AX823" s="10">
        <f>(tbl_MTG_Set[[#This Row],[Collector Booster Box Cost]] + v_Item_Shipping_Cost_In) / tbl_MTG_Set[[#This Row],[Collector Booster Box Size]]</f>
        <v/>
      </c>
      <c r="AY823" s="10">
        <f t="array" ref="AY8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3" s="10" t="n"/>
      <c r="BA8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3" s="17">
        <f>tbl_MTG_Set[[#This Row],[Collector Booster CardMarket Profit]]/tbl_MTG_Set[[#This Row],[Collector Booster Cost]]</f>
        <v/>
      </c>
      <c r="BC823" s="10" t="n"/>
      <c r="BF823" s="10">
        <f>tbl_MTG_Set[[#This Row],[Play Booster Sell Price CardMarket]]*tbl_MTG_Set[[#This Row],[Play Booster Expected Market Value]]/tbl_MTG_Set[[#This Row],[Play Boost Sealed Market Value]]</f>
        <v/>
      </c>
      <c r="BG8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3" s="10">
        <f>tbl_MTG_Set[[#This Row],[Play Singles CardMarket Profit]]/tbl_MTG_Set[[#This Row],[Play Booster Cost]]</f>
        <v/>
      </c>
      <c r="BI823" s="10">
        <f>tbl_MTG_Set[[#This Row],[Play Singles CardMarket Profit]]&gt;0</f>
        <v/>
      </c>
      <c r="BJ823" s="10" t="n"/>
      <c r="BK823" s="10" t="n"/>
      <c r="BL823" s="10">
        <f>tbl_MTG_Set[[#This Row],[Collector Booster Sell Price CardMarket]]*tbl_MTG_Set[[#This Row],[Collector Booster Expected Market Value]]/tbl_MTG_Set[[#This Row],[Collector Boost Sealed Market Value]]</f>
        <v/>
      </c>
      <c r="BM8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3" s="10">
        <f>tbl_MTG_Set[[#This Row],[Collector Singles CardMarket Profit]]/tbl_MTG_Set[[#This Row],[Collector Booster Cost]]</f>
        <v/>
      </c>
      <c r="BO823" s="10">
        <f>tbl_MTG_Set[[#This Row],[Collector Singles CardMarket Profit]]&gt;0</f>
        <v/>
      </c>
      <c r="BP8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4">
      <c r="A824" t="n">
        <v>822</v>
      </c>
      <c r="B824" t="inlineStr">
        <is>
          <t>Duel Decks: Elves vs. Goblins DD1</t>
        </is>
      </c>
      <c r="C824" t="n">
        <v>62</v>
      </c>
      <c r="D824" s="3" t="n">
        <v>39402</v>
      </c>
      <c r="F824" t="inlineStr">
        <is>
          <t>en es fr de it pt ja ko ru 汉语 漢語</t>
        </is>
      </c>
      <c r="G824" t="n">
        <v>1590</v>
      </c>
      <c r="H824">
        <f>MONTH(NOW())+12*YEAR(NOW())-MONTH(tbl_MTG_Set[[#This Row],[Released On]])-12*YEAR(tbl_MTG_Set[[#This Row],[Released On]])</f>
        <v/>
      </c>
      <c r="I824">
        <f>_xlfn.XLOOKUP(tbl_MTG_Set[[#This Row],[Type Name]], tbl_MTG_Set_Type[Set Type], tbl_MTG_Set_Type[Index], "(Set Type not found)")</f>
        <v/>
      </c>
      <c r="J824">
        <f>_xlfn.XLOOKUP(tbl_MTG_Set[[#This Row],[Type Name]], tbl_MTG_Set_Type[Set Type], tbl_MTG_Set_Type[Buy Window Month Start], "(Set Type not found)")</f>
        <v/>
      </c>
      <c r="K824" s="3">
        <f>tbl_MTG_Set[[#This Row],[Released On]]+tbl_MTG_Set[[#This Row],[Buy Window Month Start]]*365.25/12</f>
        <v/>
      </c>
      <c r="L824">
        <f>_xlfn.XLOOKUP(tbl_MTG_Set[[#This Row],[Type Name]], tbl_MTG_Set_Type[Set Type], tbl_MTG_Set_Type[Buy Window Month End], "(Set Type not found)", 0, 1)</f>
        <v/>
      </c>
      <c r="M824" s="3">
        <f>tbl_MTG_Set[[#This Row],[Released On]]+tbl_MTG_Set[[#This Row],[Buy Window Month End]]*365.25/12</f>
        <v/>
      </c>
      <c r="N824" s="3">
        <f>AND(NOW()&gt;=tbl_MTG_Set[[#This Row],[Buy Window Start]], NOW()&lt;=tbl_MTG_Set[[#This Row],[Buy Window End]])</f>
        <v/>
      </c>
      <c r="O824">
        <f>_xlfn.XLOOKUP(tbl_MTG_Set[[#This Row],[Type Name]], tbl_MTG_Set_Type[Set Type], tbl_MTG_Set_Type[Heavy Printing Window Month Start], "(Set Type not found)", 0, 1)</f>
        <v/>
      </c>
      <c r="P824" s="3">
        <f>tbl_MTG_Set[[#This Row],[Released On]]+tbl_MTG_Set[[#This Row],[Heavy Printing Window Month Start]]*365.25/12</f>
        <v/>
      </c>
      <c r="Q824">
        <f>_xlfn.XLOOKUP(tbl_MTG_Set[[#This Row],[Type Name]], tbl_MTG_Set_Type[Set Type], tbl_MTG_Set_Type[Heavy Printing Window Month End], "(Set Type not found)", 0, 1)</f>
        <v/>
      </c>
      <c r="R824" s="3">
        <f>tbl_MTG_Set[[#This Row],[Released On]]+tbl_MTG_Set[[#This Row],[Heavy Printing Window Month End]]*365.25/12</f>
        <v/>
      </c>
      <c r="S824" s="3">
        <f>AND(NOW()&gt;=tbl_MTG_Set[[#This Row],[Heavy Printing Window Start]], NOW()&lt;=tbl_MTG_Set[[#This Row],[Heavy Printing Window End]])</f>
        <v/>
      </c>
      <c r="T824">
        <f>_xlfn.XLOOKUP(tbl_MTG_Set[[#This Row],[Type Name]], tbl_MTG_Set_Type[Set Type], tbl_MTG_Set_Type[Sell Window Month Start], "(Set Type not found)", 0, 1)</f>
        <v/>
      </c>
      <c r="U824" s="3">
        <f>tbl_MTG_Set[[#This Row],[Released On]]+tbl_MTG_Set[[#This Row],[Sell Window Month Start]]*365.25/12</f>
        <v/>
      </c>
      <c r="V824">
        <f>_xlfn.XLOOKUP(tbl_MTG_Set[[#This Row],[Type Name]], tbl_MTG_Set_Type[Set Type], tbl_MTG_Set_Type[Sell Window Month End], "(Set Type not found)", 0, 1)</f>
        <v/>
      </c>
      <c r="W824" s="3">
        <f>tbl_MTG_Set[[#This Row],[Released On]]+tbl_MTG_Set[[#This Row],[Sell Window Month End]]*365.25/12</f>
        <v/>
      </c>
      <c r="X824" s="3">
        <f>AND(NOW()&gt;=tbl_MTG_Set[[#This Row],[Sell Window Start]], NOW()&lt;=tbl_MTG_Set[[#This Row],[Sell Window End]])</f>
        <v/>
      </c>
      <c r="AG824" s="10" t="n"/>
      <c r="AH824" s="10" t="n"/>
      <c r="AM824" s="10">
        <f t="array" ref="AM8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4" s="10">
        <f t="array" ref="AN8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4" s="4">
        <f>_xlfn.XLOOKUP(tbl_MTG_Set[[#This Row],[Play Booster Box Product Id]], tbl_Product[Product Id], tbl_Product[Pack Size])</f>
        <v/>
      </c>
      <c r="AP824" s="10">
        <f>(tbl_MTG_Set[[#This Row],[Play Booster Box Cost]]+v_Item_Shipping_Cost_In)/tbl_MTG_Set[[#This Row],[Play Booster Box Size]]</f>
        <v/>
      </c>
      <c r="AQ824" s="10">
        <f t="array" ref="AQ8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4" s="10" t="n"/>
      <c r="AS824" s="10" t="n"/>
      <c r="AT824" s="17">
        <f>tbl_MTG_Set[[#This Row],[Play Booster CardMarket Profit]]/tbl_MTG_Set[[#This Row],[Play Booster Cost]]</f>
        <v/>
      </c>
      <c r="AU824" s="10">
        <f>_xlfn.XLOOKUP(tbl_MTG_Set[[#This Row],[Collector Booster Box Product Id]], tbl_Product[Product Id], tbl_Product[Min Cost])</f>
        <v/>
      </c>
      <c r="AV824" s="10">
        <f>_xlfn.XLOOKUP(tbl_MTG_Set[[#This Row],[Collector Booster Box Product Id]], tbl_Product[Product Id], tbl_Product[Best Source])</f>
        <v/>
      </c>
      <c r="AW824" s="4">
        <f>_xlfn.XLOOKUP(tbl_MTG_Set[[#This Row],[Collector Booster Box Product Id]], tbl_Product[Product Id], tbl_Product[Pack Size])</f>
        <v/>
      </c>
      <c r="AX824" s="10">
        <f>(tbl_MTG_Set[[#This Row],[Collector Booster Box Cost]] + v_Item_Shipping_Cost_In) / tbl_MTG_Set[[#This Row],[Collector Booster Box Size]]</f>
        <v/>
      </c>
      <c r="AY824" s="10">
        <f t="array" ref="AY8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4" s="10" t="n"/>
      <c r="BA8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4" s="17">
        <f>tbl_MTG_Set[[#This Row],[Collector Booster CardMarket Profit]]/tbl_MTG_Set[[#This Row],[Collector Booster Cost]]</f>
        <v/>
      </c>
      <c r="BC824" s="10" t="n"/>
      <c r="BF824" s="10">
        <f>tbl_MTG_Set[[#This Row],[Play Booster Sell Price CardMarket]]*tbl_MTG_Set[[#This Row],[Play Booster Expected Market Value]]/tbl_MTG_Set[[#This Row],[Play Boost Sealed Market Value]]</f>
        <v/>
      </c>
      <c r="BG8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4" s="10">
        <f>tbl_MTG_Set[[#This Row],[Play Singles CardMarket Profit]]/tbl_MTG_Set[[#This Row],[Play Booster Cost]]</f>
        <v/>
      </c>
      <c r="BI824" s="10">
        <f>tbl_MTG_Set[[#This Row],[Play Singles CardMarket Profit]]&gt;0</f>
        <v/>
      </c>
      <c r="BJ824" s="10" t="n"/>
      <c r="BK824" s="10" t="n"/>
      <c r="BL824" s="10">
        <f>tbl_MTG_Set[[#This Row],[Collector Booster Sell Price CardMarket]]*tbl_MTG_Set[[#This Row],[Collector Booster Expected Market Value]]/tbl_MTG_Set[[#This Row],[Collector Boost Sealed Market Value]]</f>
        <v/>
      </c>
      <c r="BM8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4" s="10">
        <f>tbl_MTG_Set[[#This Row],[Collector Singles CardMarket Profit]]/tbl_MTG_Set[[#This Row],[Collector Booster Cost]]</f>
        <v/>
      </c>
      <c r="BO824" s="10">
        <f>tbl_MTG_Set[[#This Row],[Collector Singles CardMarket Profit]]&gt;0</f>
        <v/>
      </c>
      <c r="BP8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5">
      <c r="A825" t="n">
        <v>823</v>
      </c>
      <c r="B825" t="inlineStr">
        <is>
          <t>Duel Decks: Elves vs. Goblins Tokens TDD1</t>
        </is>
      </c>
      <c r="C825" t="n">
        <v>3</v>
      </c>
      <c r="D825" s="3" t="n">
        <v>39402</v>
      </c>
      <c r="F825" t="inlineStr">
        <is>
          <t>en es fr de it pt ja ko ru 汉语 漢語</t>
        </is>
      </c>
      <c r="G825" t="n">
        <v>1592</v>
      </c>
      <c r="H825">
        <f>MONTH(NOW())+12*YEAR(NOW())-MONTH(tbl_MTG_Set[[#This Row],[Released On]])-12*YEAR(tbl_MTG_Set[[#This Row],[Released On]])</f>
        <v/>
      </c>
      <c r="I825">
        <f>_xlfn.XLOOKUP(tbl_MTG_Set[[#This Row],[Type Name]], tbl_MTG_Set_Type[Set Type], tbl_MTG_Set_Type[Index], "(Set Type not found)")</f>
        <v/>
      </c>
      <c r="J825">
        <f>_xlfn.XLOOKUP(tbl_MTG_Set[[#This Row],[Type Name]], tbl_MTG_Set_Type[Set Type], tbl_MTG_Set_Type[Buy Window Month Start], "(Set Type not found)")</f>
        <v/>
      </c>
      <c r="K825" s="3">
        <f>tbl_MTG_Set[[#This Row],[Released On]]+tbl_MTG_Set[[#This Row],[Buy Window Month Start]]*365.25/12</f>
        <v/>
      </c>
      <c r="L825">
        <f>_xlfn.XLOOKUP(tbl_MTG_Set[[#This Row],[Type Name]], tbl_MTG_Set_Type[Set Type], tbl_MTG_Set_Type[Buy Window Month End], "(Set Type not found)", 0, 1)</f>
        <v/>
      </c>
      <c r="M825" s="3">
        <f>tbl_MTG_Set[[#This Row],[Released On]]+tbl_MTG_Set[[#This Row],[Buy Window Month End]]*365.25/12</f>
        <v/>
      </c>
      <c r="N825" s="3">
        <f>AND(NOW()&gt;=tbl_MTG_Set[[#This Row],[Buy Window Start]], NOW()&lt;=tbl_MTG_Set[[#This Row],[Buy Window End]])</f>
        <v/>
      </c>
      <c r="O825">
        <f>_xlfn.XLOOKUP(tbl_MTG_Set[[#This Row],[Type Name]], tbl_MTG_Set_Type[Set Type], tbl_MTG_Set_Type[Heavy Printing Window Month Start], "(Set Type not found)", 0, 1)</f>
        <v/>
      </c>
      <c r="P825" s="3">
        <f>tbl_MTG_Set[[#This Row],[Released On]]+tbl_MTG_Set[[#This Row],[Heavy Printing Window Month Start]]*365.25/12</f>
        <v/>
      </c>
      <c r="Q825">
        <f>_xlfn.XLOOKUP(tbl_MTG_Set[[#This Row],[Type Name]], tbl_MTG_Set_Type[Set Type], tbl_MTG_Set_Type[Heavy Printing Window Month End], "(Set Type not found)", 0, 1)</f>
        <v/>
      </c>
      <c r="R825" s="3">
        <f>tbl_MTG_Set[[#This Row],[Released On]]+tbl_MTG_Set[[#This Row],[Heavy Printing Window Month End]]*365.25/12</f>
        <v/>
      </c>
      <c r="S825" s="3">
        <f>AND(NOW()&gt;=tbl_MTG_Set[[#This Row],[Heavy Printing Window Start]], NOW()&lt;=tbl_MTG_Set[[#This Row],[Heavy Printing Window End]])</f>
        <v/>
      </c>
      <c r="T825">
        <f>_xlfn.XLOOKUP(tbl_MTG_Set[[#This Row],[Type Name]], tbl_MTG_Set_Type[Set Type], tbl_MTG_Set_Type[Sell Window Month Start], "(Set Type not found)", 0, 1)</f>
        <v/>
      </c>
      <c r="U825" s="3">
        <f>tbl_MTG_Set[[#This Row],[Released On]]+tbl_MTG_Set[[#This Row],[Sell Window Month Start]]*365.25/12</f>
        <v/>
      </c>
      <c r="V825">
        <f>_xlfn.XLOOKUP(tbl_MTG_Set[[#This Row],[Type Name]], tbl_MTG_Set_Type[Set Type], tbl_MTG_Set_Type[Sell Window Month End], "(Set Type not found)", 0, 1)</f>
        <v/>
      </c>
      <c r="W825" s="3">
        <f>tbl_MTG_Set[[#This Row],[Released On]]+tbl_MTG_Set[[#This Row],[Sell Window Month End]]*365.25/12</f>
        <v/>
      </c>
      <c r="X825" s="3">
        <f>AND(NOW()&gt;=tbl_MTG_Set[[#This Row],[Sell Window Start]], NOW()&lt;=tbl_MTG_Set[[#This Row],[Sell Window End]])</f>
        <v/>
      </c>
      <c r="AG825" s="10" t="n"/>
      <c r="AH825" s="10" t="n"/>
      <c r="AM825" s="10">
        <f t="array" ref="AM8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5" s="10">
        <f t="array" ref="AN8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5" s="4">
        <f>_xlfn.XLOOKUP(tbl_MTG_Set[[#This Row],[Play Booster Box Product Id]], tbl_Product[Product Id], tbl_Product[Pack Size])</f>
        <v/>
      </c>
      <c r="AP825" s="10">
        <f>(tbl_MTG_Set[[#This Row],[Play Booster Box Cost]]+v_Item_Shipping_Cost_In)/tbl_MTG_Set[[#This Row],[Play Booster Box Size]]</f>
        <v/>
      </c>
      <c r="AQ825" s="10">
        <f t="array" ref="AQ8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5" s="10" t="n"/>
      <c r="AS825" s="10" t="n"/>
      <c r="AT825" s="17">
        <f>tbl_MTG_Set[[#This Row],[Play Booster CardMarket Profit]]/tbl_MTG_Set[[#This Row],[Play Booster Cost]]</f>
        <v/>
      </c>
      <c r="AU825" s="10">
        <f>_xlfn.XLOOKUP(tbl_MTG_Set[[#This Row],[Collector Booster Box Product Id]], tbl_Product[Product Id], tbl_Product[Min Cost])</f>
        <v/>
      </c>
      <c r="AV825" s="10">
        <f>_xlfn.XLOOKUP(tbl_MTG_Set[[#This Row],[Collector Booster Box Product Id]], tbl_Product[Product Id], tbl_Product[Best Source])</f>
        <v/>
      </c>
      <c r="AW825" s="4">
        <f>_xlfn.XLOOKUP(tbl_MTG_Set[[#This Row],[Collector Booster Box Product Id]], tbl_Product[Product Id], tbl_Product[Pack Size])</f>
        <v/>
      </c>
      <c r="AX825" s="10">
        <f>(tbl_MTG_Set[[#This Row],[Collector Booster Box Cost]] + v_Item_Shipping_Cost_In) / tbl_MTG_Set[[#This Row],[Collector Booster Box Size]]</f>
        <v/>
      </c>
      <c r="AY825" s="10">
        <f t="array" ref="AY8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5" s="10" t="n"/>
      <c r="BA8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5" s="17">
        <f>tbl_MTG_Set[[#This Row],[Collector Booster CardMarket Profit]]/tbl_MTG_Set[[#This Row],[Collector Booster Cost]]</f>
        <v/>
      </c>
      <c r="BC825" s="10" t="n"/>
      <c r="BF825" s="10">
        <f>tbl_MTG_Set[[#This Row],[Play Booster Sell Price CardMarket]]*tbl_MTG_Set[[#This Row],[Play Booster Expected Market Value]]/tbl_MTG_Set[[#This Row],[Play Boost Sealed Market Value]]</f>
        <v/>
      </c>
      <c r="BG8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5" s="10">
        <f>tbl_MTG_Set[[#This Row],[Play Singles CardMarket Profit]]/tbl_MTG_Set[[#This Row],[Play Booster Cost]]</f>
        <v/>
      </c>
      <c r="BI825" s="10">
        <f>tbl_MTG_Set[[#This Row],[Play Singles CardMarket Profit]]&gt;0</f>
        <v/>
      </c>
      <c r="BJ825" s="10" t="n"/>
      <c r="BK825" s="10" t="n"/>
      <c r="BL825" s="10">
        <f>tbl_MTG_Set[[#This Row],[Collector Booster Sell Price CardMarket]]*tbl_MTG_Set[[#This Row],[Collector Booster Expected Market Value]]/tbl_MTG_Set[[#This Row],[Collector Boost Sealed Market Value]]</f>
        <v/>
      </c>
      <c r="BM8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5" s="10">
        <f>tbl_MTG_Set[[#This Row],[Collector Singles CardMarket Profit]]/tbl_MTG_Set[[#This Row],[Collector Booster Cost]]</f>
        <v/>
      </c>
      <c r="BO825" s="10">
        <f>tbl_MTG_Set[[#This Row],[Collector Singles CardMarket Profit]]&gt;0</f>
        <v/>
      </c>
      <c r="BP8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6">
      <c r="A826" t="n">
        <v>824</v>
      </c>
      <c r="B826" t="inlineStr">
        <is>
          <t>Lorwyn LRW</t>
        </is>
      </c>
      <c r="C826" t="n">
        <v>301</v>
      </c>
      <c r="D826" s="3" t="n">
        <v>39367</v>
      </c>
      <c r="F826" t="inlineStr">
        <is>
          <t>en es fr de it pt ja ko ru 汉语 漢語</t>
        </is>
      </c>
      <c r="G826" t="n">
        <v>1594</v>
      </c>
      <c r="H826">
        <f>MONTH(NOW())+12*YEAR(NOW())-MONTH(tbl_MTG_Set[[#This Row],[Released On]])-12*YEAR(tbl_MTG_Set[[#This Row],[Released On]])</f>
        <v/>
      </c>
      <c r="I826">
        <f>_xlfn.XLOOKUP(tbl_MTG_Set[[#This Row],[Type Name]], tbl_MTG_Set_Type[Set Type], tbl_MTG_Set_Type[Index], "(Set Type not found)")</f>
        <v/>
      </c>
      <c r="J826">
        <f>_xlfn.XLOOKUP(tbl_MTG_Set[[#This Row],[Type Name]], tbl_MTG_Set_Type[Set Type], tbl_MTG_Set_Type[Buy Window Month Start], "(Set Type not found)")</f>
        <v/>
      </c>
      <c r="K826" s="3">
        <f>tbl_MTG_Set[[#This Row],[Released On]]+tbl_MTG_Set[[#This Row],[Buy Window Month Start]]*365.25/12</f>
        <v/>
      </c>
      <c r="L826">
        <f>_xlfn.XLOOKUP(tbl_MTG_Set[[#This Row],[Type Name]], tbl_MTG_Set_Type[Set Type], tbl_MTG_Set_Type[Buy Window Month End], "(Set Type not found)", 0, 1)</f>
        <v/>
      </c>
      <c r="M826" s="3">
        <f>tbl_MTG_Set[[#This Row],[Released On]]+tbl_MTG_Set[[#This Row],[Buy Window Month End]]*365.25/12</f>
        <v/>
      </c>
      <c r="N826" s="3">
        <f>AND(NOW()&gt;=tbl_MTG_Set[[#This Row],[Buy Window Start]], NOW()&lt;=tbl_MTG_Set[[#This Row],[Buy Window End]])</f>
        <v/>
      </c>
      <c r="O826">
        <f>_xlfn.XLOOKUP(tbl_MTG_Set[[#This Row],[Type Name]], tbl_MTG_Set_Type[Set Type], tbl_MTG_Set_Type[Heavy Printing Window Month Start], "(Set Type not found)", 0, 1)</f>
        <v/>
      </c>
      <c r="P826" s="3">
        <f>tbl_MTG_Set[[#This Row],[Released On]]+tbl_MTG_Set[[#This Row],[Heavy Printing Window Month Start]]*365.25/12</f>
        <v/>
      </c>
      <c r="Q826">
        <f>_xlfn.XLOOKUP(tbl_MTG_Set[[#This Row],[Type Name]], tbl_MTG_Set_Type[Set Type], tbl_MTG_Set_Type[Heavy Printing Window Month End], "(Set Type not found)", 0, 1)</f>
        <v/>
      </c>
      <c r="R826" s="3">
        <f>tbl_MTG_Set[[#This Row],[Released On]]+tbl_MTG_Set[[#This Row],[Heavy Printing Window Month End]]*365.25/12</f>
        <v/>
      </c>
      <c r="S826" s="3">
        <f>AND(NOW()&gt;=tbl_MTG_Set[[#This Row],[Heavy Printing Window Start]], NOW()&lt;=tbl_MTG_Set[[#This Row],[Heavy Printing Window End]])</f>
        <v/>
      </c>
      <c r="T826">
        <f>_xlfn.XLOOKUP(tbl_MTG_Set[[#This Row],[Type Name]], tbl_MTG_Set_Type[Set Type], tbl_MTG_Set_Type[Sell Window Month Start], "(Set Type not found)", 0, 1)</f>
        <v/>
      </c>
      <c r="U826" s="3">
        <f>tbl_MTG_Set[[#This Row],[Released On]]+tbl_MTG_Set[[#This Row],[Sell Window Month Start]]*365.25/12</f>
        <v/>
      </c>
      <c r="V826">
        <f>_xlfn.XLOOKUP(tbl_MTG_Set[[#This Row],[Type Name]], tbl_MTG_Set_Type[Set Type], tbl_MTG_Set_Type[Sell Window Month End], "(Set Type not found)", 0, 1)</f>
        <v/>
      </c>
      <c r="W826" s="3">
        <f>tbl_MTG_Set[[#This Row],[Released On]]+tbl_MTG_Set[[#This Row],[Sell Window Month End]]*365.25/12</f>
        <v/>
      </c>
      <c r="X826" s="3">
        <f>AND(NOW()&gt;=tbl_MTG_Set[[#This Row],[Sell Window Start]], NOW()&lt;=tbl_MTG_Set[[#This Row],[Sell Window End]])</f>
        <v/>
      </c>
      <c r="AG826" s="10" t="n"/>
      <c r="AH826" s="10" t="n"/>
      <c r="AM826" s="10">
        <f t="array" ref="AM8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6" s="10">
        <f t="array" ref="AN8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6" s="4">
        <f>_xlfn.XLOOKUP(tbl_MTG_Set[[#This Row],[Play Booster Box Product Id]], tbl_Product[Product Id], tbl_Product[Pack Size])</f>
        <v/>
      </c>
      <c r="AP826" s="10">
        <f>(tbl_MTG_Set[[#This Row],[Play Booster Box Cost]]+v_Item_Shipping_Cost_In)/tbl_MTG_Set[[#This Row],[Play Booster Box Size]]</f>
        <v/>
      </c>
      <c r="AQ826" s="10">
        <f t="array" ref="AQ8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6" s="10" t="n"/>
      <c r="AS826" s="10" t="n"/>
      <c r="AT826" s="17">
        <f>tbl_MTG_Set[[#This Row],[Play Booster CardMarket Profit]]/tbl_MTG_Set[[#This Row],[Play Booster Cost]]</f>
        <v/>
      </c>
      <c r="AU826" s="10">
        <f>_xlfn.XLOOKUP(tbl_MTG_Set[[#This Row],[Collector Booster Box Product Id]], tbl_Product[Product Id], tbl_Product[Min Cost])</f>
        <v/>
      </c>
      <c r="AV826" s="10">
        <f>_xlfn.XLOOKUP(tbl_MTG_Set[[#This Row],[Collector Booster Box Product Id]], tbl_Product[Product Id], tbl_Product[Best Source])</f>
        <v/>
      </c>
      <c r="AW826" s="4">
        <f>_xlfn.XLOOKUP(tbl_MTG_Set[[#This Row],[Collector Booster Box Product Id]], tbl_Product[Product Id], tbl_Product[Pack Size])</f>
        <v/>
      </c>
      <c r="AX826" s="10">
        <f>(tbl_MTG_Set[[#This Row],[Collector Booster Box Cost]] + v_Item_Shipping_Cost_In) / tbl_MTG_Set[[#This Row],[Collector Booster Box Size]]</f>
        <v/>
      </c>
      <c r="AY826" s="10">
        <f t="array" ref="AY8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6" s="10" t="n"/>
      <c r="BA8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6" s="17">
        <f>tbl_MTG_Set[[#This Row],[Collector Booster CardMarket Profit]]/tbl_MTG_Set[[#This Row],[Collector Booster Cost]]</f>
        <v/>
      </c>
      <c r="BC826" s="10" t="n"/>
      <c r="BF826" s="10">
        <f>tbl_MTG_Set[[#This Row],[Play Booster Sell Price CardMarket]]*tbl_MTG_Set[[#This Row],[Play Booster Expected Market Value]]/tbl_MTG_Set[[#This Row],[Play Boost Sealed Market Value]]</f>
        <v/>
      </c>
      <c r="BG8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6" s="10">
        <f>tbl_MTG_Set[[#This Row],[Play Singles CardMarket Profit]]/tbl_MTG_Set[[#This Row],[Play Booster Cost]]</f>
        <v/>
      </c>
      <c r="BI826" s="10">
        <f>tbl_MTG_Set[[#This Row],[Play Singles CardMarket Profit]]&gt;0</f>
        <v/>
      </c>
      <c r="BJ826" s="10" t="n"/>
      <c r="BK826" s="10" t="n"/>
      <c r="BL826" s="10">
        <f>tbl_MTG_Set[[#This Row],[Collector Booster Sell Price CardMarket]]*tbl_MTG_Set[[#This Row],[Collector Booster Expected Market Value]]/tbl_MTG_Set[[#This Row],[Collector Boost Sealed Market Value]]</f>
        <v/>
      </c>
      <c r="BM8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6" s="10">
        <f>tbl_MTG_Set[[#This Row],[Collector Singles CardMarket Profit]]/tbl_MTG_Set[[#This Row],[Collector Booster Cost]]</f>
        <v/>
      </c>
      <c r="BO826" s="10">
        <f>tbl_MTG_Set[[#This Row],[Collector Singles CardMarket Profit]]&gt;0</f>
        <v/>
      </c>
      <c r="BP8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7">
      <c r="A827" t="n">
        <v>825</v>
      </c>
      <c r="B827" t="inlineStr">
        <is>
          <t>Lorwyn Promos PLRW</t>
        </is>
      </c>
      <c r="C827" t="n">
        <v>3</v>
      </c>
      <c r="D827" s="3" t="n">
        <v>39367</v>
      </c>
      <c r="F827" t="inlineStr">
        <is>
          <t>en es fr de it pt ja ko ru 汉语 漢語</t>
        </is>
      </c>
      <c r="G827" t="n">
        <v>1596</v>
      </c>
      <c r="H827">
        <f>MONTH(NOW())+12*YEAR(NOW())-MONTH(tbl_MTG_Set[[#This Row],[Released On]])-12*YEAR(tbl_MTG_Set[[#This Row],[Released On]])</f>
        <v/>
      </c>
      <c r="I827">
        <f>_xlfn.XLOOKUP(tbl_MTG_Set[[#This Row],[Type Name]], tbl_MTG_Set_Type[Set Type], tbl_MTG_Set_Type[Index], "(Set Type not found)")</f>
        <v/>
      </c>
      <c r="J827">
        <f>_xlfn.XLOOKUP(tbl_MTG_Set[[#This Row],[Type Name]], tbl_MTG_Set_Type[Set Type], tbl_MTG_Set_Type[Buy Window Month Start], "(Set Type not found)")</f>
        <v/>
      </c>
      <c r="K827" s="3">
        <f>tbl_MTG_Set[[#This Row],[Released On]]+tbl_MTG_Set[[#This Row],[Buy Window Month Start]]*365.25/12</f>
        <v/>
      </c>
      <c r="L827">
        <f>_xlfn.XLOOKUP(tbl_MTG_Set[[#This Row],[Type Name]], tbl_MTG_Set_Type[Set Type], tbl_MTG_Set_Type[Buy Window Month End], "(Set Type not found)", 0, 1)</f>
        <v/>
      </c>
      <c r="M827" s="3">
        <f>tbl_MTG_Set[[#This Row],[Released On]]+tbl_MTG_Set[[#This Row],[Buy Window Month End]]*365.25/12</f>
        <v/>
      </c>
      <c r="N827" s="3">
        <f>AND(NOW()&gt;=tbl_MTG_Set[[#This Row],[Buy Window Start]], NOW()&lt;=tbl_MTG_Set[[#This Row],[Buy Window End]])</f>
        <v/>
      </c>
      <c r="O827">
        <f>_xlfn.XLOOKUP(tbl_MTG_Set[[#This Row],[Type Name]], tbl_MTG_Set_Type[Set Type], tbl_MTG_Set_Type[Heavy Printing Window Month Start], "(Set Type not found)", 0, 1)</f>
        <v/>
      </c>
      <c r="P827" s="3">
        <f>tbl_MTG_Set[[#This Row],[Released On]]+tbl_MTG_Set[[#This Row],[Heavy Printing Window Month Start]]*365.25/12</f>
        <v/>
      </c>
      <c r="Q827">
        <f>_xlfn.XLOOKUP(tbl_MTG_Set[[#This Row],[Type Name]], tbl_MTG_Set_Type[Set Type], tbl_MTG_Set_Type[Heavy Printing Window Month End], "(Set Type not found)", 0, 1)</f>
        <v/>
      </c>
      <c r="R827" s="3">
        <f>tbl_MTG_Set[[#This Row],[Released On]]+tbl_MTG_Set[[#This Row],[Heavy Printing Window Month End]]*365.25/12</f>
        <v/>
      </c>
      <c r="S827" s="3">
        <f>AND(NOW()&gt;=tbl_MTG_Set[[#This Row],[Heavy Printing Window Start]], NOW()&lt;=tbl_MTG_Set[[#This Row],[Heavy Printing Window End]])</f>
        <v/>
      </c>
      <c r="T827">
        <f>_xlfn.XLOOKUP(tbl_MTG_Set[[#This Row],[Type Name]], tbl_MTG_Set_Type[Set Type], tbl_MTG_Set_Type[Sell Window Month Start], "(Set Type not found)", 0, 1)</f>
        <v/>
      </c>
      <c r="U827" s="3">
        <f>tbl_MTG_Set[[#This Row],[Released On]]+tbl_MTG_Set[[#This Row],[Sell Window Month Start]]*365.25/12</f>
        <v/>
      </c>
      <c r="V827">
        <f>_xlfn.XLOOKUP(tbl_MTG_Set[[#This Row],[Type Name]], tbl_MTG_Set_Type[Set Type], tbl_MTG_Set_Type[Sell Window Month End], "(Set Type not found)", 0, 1)</f>
        <v/>
      </c>
      <c r="W827" s="3">
        <f>tbl_MTG_Set[[#This Row],[Released On]]+tbl_MTG_Set[[#This Row],[Sell Window Month End]]*365.25/12</f>
        <v/>
      </c>
      <c r="X827" s="3">
        <f>AND(NOW()&gt;=tbl_MTG_Set[[#This Row],[Sell Window Start]], NOW()&lt;=tbl_MTG_Set[[#This Row],[Sell Window End]])</f>
        <v/>
      </c>
      <c r="AG827" s="10" t="n"/>
      <c r="AH827" s="10" t="n"/>
      <c r="AM827" s="10">
        <f t="array" ref="AM8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7" s="10">
        <f t="array" ref="AN8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7" s="4">
        <f>_xlfn.XLOOKUP(tbl_MTG_Set[[#This Row],[Play Booster Box Product Id]], tbl_Product[Product Id], tbl_Product[Pack Size])</f>
        <v/>
      </c>
      <c r="AP827" s="10">
        <f>(tbl_MTG_Set[[#This Row],[Play Booster Box Cost]]+v_Item_Shipping_Cost_In)/tbl_MTG_Set[[#This Row],[Play Booster Box Size]]</f>
        <v/>
      </c>
      <c r="AQ827" s="10">
        <f t="array" ref="AQ8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7" s="10" t="n"/>
      <c r="AS827" s="10" t="n"/>
      <c r="AT827" s="17">
        <f>tbl_MTG_Set[[#This Row],[Play Booster CardMarket Profit]]/tbl_MTG_Set[[#This Row],[Play Booster Cost]]</f>
        <v/>
      </c>
      <c r="AU827" s="10">
        <f>_xlfn.XLOOKUP(tbl_MTG_Set[[#This Row],[Collector Booster Box Product Id]], tbl_Product[Product Id], tbl_Product[Min Cost])</f>
        <v/>
      </c>
      <c r="AV827" s="10">
        <f>_xlfn.XLOOKUP(tbl_MTG_Set[[#This Row],[Collector Booster Box Product Id]], tbl_Product[Product Id], tbl_Product[Best Source])</f>
        <v/>
      </c>
      <c r="AW827" s="4">
        <f>_xlfn.XLOOKUP(tbl_MTG_Set[[#This Row],[Collector Booster Box Product Id]], tbl_Product[Product Id], tbl_Product[Pack Size])</f>
        <v/>
      </c>
      <c r="AX827" s="10">
        <f>(tbl_MTG_Set[[#This Row],[Collector Booster Box Cost]] + v_Item_Shipping_Cost_In) / tbl_MTG_Set[[#This Row],[Collector Booster Box Size]]</f>
        <v/>
      </c>
      <c r="AY827" s="10">
        <f t="array" ref="AY8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7" s="10" t="n"/>
      <c r="BA8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7" s="17">
        <f>tbl_MTG_Set[[#This Row],[Collector Booster CardMarket Profit]]/tbl_MTG_Set[[#This Row],[Collector Booster Cost]]</f>
        <v/>
      </c>
      <c r="BC827" s="10" t="n"/>
      <c r="BF827" s="10">
        <f>tbl_MTG_Set[[#This Row],[Play Booster Sell Price CardMarket]]*tbl_MTG_Set[[#This Row],[Play Booster Expected Market Value]]/tbl_MTG_Set[[#This Row],[Play Boost Sealed Market Value]]</f>
        <v/>
      </c>
      <c r="BG8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7" s="10">
        <f>tbl_MTG_Set[[#This Row],[Play Singles CardMarket Profit]]/tbl_MTG_Set[[#This Row],[Play Booster Cost]]</f>
        <v/>
      </c>
      <c r="BI827" s="10">
        <f>tbl_MTG_Set[[#This Row],[Play Singles CardMarket Profit]]&gt;0</f>
        <v/>
      </c>
      <c r="BJ827" s="10" t="n"/>
      <c r="BK827" s="10" t="n"/>
      <c r="BL827" s="10">
        <f>tbl_MTG_Set[[#This Row],[Collector Booster Sell Price CardMarket]]*tbl_MTG_Set[[#This Row],[Collector Booster Expected Market Value]]/tbl_MTG_Set[[#This Row],[Collector Boost Sealed Market Value]]</f>
        <v/>
      </c>
      <c r="BM8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7" s="10">
        <f>tbl_MTG_Set[[#This Row],[Collector Singles CardMarket Profit]]/tbl_MTG_Set[[#This Row],[Collector Booster Cost]]</f>
        <v/>
      </c>
      <c r="BO827" s="10">
        <f>tbl_MTG_Set[[#This Row],[Collector Singles CardMarket Profit]]&gt;0</f>
        <v/>
      </c>
      <c r="BP8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8">
      <c r="A828" t="n">
        <v>826</v>
      </c>
      <c r="B828" t="inlineStr">
        <is>
          <t>Lorwyn Tokens TLRW</t>
        </is>
      </c>
      <c r="C828" t="n">
        <v>11</v>
      </c>
      <c r="D828" s="3" t="n">
        <v>39367</v>
      </c>
      <c r="F828" t="inlineStr">
        <is>
          <t>en es fr de it pt ja ko ru 汉语 漢語</t>
        </is>
      </c>
      <c r="G828" t="n">
        <v>1598</v>
      </c>
      <c r="H828">
        <f>MONTH(NOW())+12*YEAR(NOW())-MONTH(tbl_MTG_Set[[#This Row],[Released On]])-12*YEAR(tbl_MTG_Set[[#This Row],[Released On]])</f>
        <v/>
      </c>
      <c r="I828">
        <f>_xlfn.XLOOKUP(tbl_MTG_Set[[#This Row],[Type Name]], tbl_MTG_Set_Type[Set Type], tbl_MTG_Set_Type[Index], "(Set Type not found)")</f>
        <v/>
      </c>
      <c r="J828">
        <f>_xlfn.XLOOKUP(tbl_MTG_Set[[#This Row],[Type Name]], tbl_MTG_Set_Type[Set Type], tbl_MTG_Set_Type[Buy Window Month Start], "(Set Type not found)")</f>
        <v/>
      </c>
      <c r="K828" s="3">
        <f>tbl_MTG_Set[[#This Row],[Released On]]+tbl_MTG_Set[[#This Row],[Buy Window Month Start]]*365.25/12</f>
        <v/>
      </c>
      <c r="L828">
        <f>_xlfn.XLOOKUP(tbl_MTG_Set[[#This Row],[Type Name]], tbl_MTG_Set_Type[Set Type], tbl_MTG_Set_Type[Buy Window Month End], "(Set Type not found)", 0, 1)</f>
        <v/>
      </c>
      <c r="M828" s="3">
        <f>tbl_MTG_Set[[#This Row],[Released On]]+tbl_MTG_Set[[#This Row],[Buy Window Month End]]*365.25/12</f>
        <v/>
      </c>
      <c r="N828" s="3">
        <f>AND(NOW()&gt;=tbl_MTG_Set[[#This Row],[Buy Window Start]], NOW()&lt;=tbl_MTG_Set[[#This Row],[Buy Window End]])</f>
        <v/>
      </c>
      <c r="O828">
        <f>_xlfn.XLOOKUP(tbl_MTG_Set[[#This Row],[Type Name]], tbl_MTG_Set_Type[Set Type], tbl_MTG_Set_Type[Heavy Printing Window Month Start], "(Set Type not found)", 0, 1)</f>
        <v/>
      </c>
      <c r="P828" s="3">
        <f>tbl_MTG_Set[[#This Row],[Released On]]+tbl_MTG_Set[[#This Row],[Heavy Printing Window Month Start]]*365.25/12</f>
        <v/>
      </c>
      <c r="Q828">
        <f>_xlfn.XLOOKUP(tbl_MTG_Set[[#This Row],[Type Name]], tbl_MTG_Set_Type[Set Type], tbl_MTG_Set_Type[Heavy Printing Window Month End], "(Set Type not found)", 0, 1)</f>
        <v/>
      </c>
      <c r="R828" s="3">
        <f>tbl_MTG_Set[[#This Row],[Released On]]+tbl_MTG_Set[[#This Row],[Heavy Printing Window Month End]]*365.25/12</f>
        <v/>
      </c>
      <c r="S828" s="3">
        <f>AND(NOW()&gt;=tbl_MTG_Set[[#This Row],[Heavy Printing Window Start]], NOW()&lt;=tbl_MTG_Set[[#This Row],[Heavy Printing Window End]])</f>
        <v/>
      </c>
      <c r="T828">
        <f>_xlfn.XLOOKUP(tbl_MTG_Set[[#This Row],[Type Name]], tbl_MTG_Set_Type[Set Type], tbl_MTG_Set_Type[Sell Window Month Start], "(Set Type not found)", 0, 1)</f>
        <v/>
      </c>
      <c r="U828" s="3">
        <f>tbl_MTG_Set[[#This Row],[Released On]]+tbl_MTG_Set[[#This Row],[Sell Window Month Start]]*365.25/12</f>
        <v/>
      </c>
      <c r="V828">
        <f>_xlfn.XLOOKUP(tbl_MTG_Set[[#This Row],[Type Name]], tbl_MTG_Set_Type[Set Type], tbl_MTG_Set_Type[Sell Window Month End], "(Set Type not found)", 0, 1)</f>
        <v/>
      </c>
      <c r="W828" s="3">
        <f>tbl_MTG_Set[[#This Row],[Released On]]+tbl_MTG_Set[[#This Row],[Sell Window Month End]]*365.25/12</f>
        <v/>
      </c>
      <c r="X828" s="3">
        <f>AND(NOW()&gt;=tbl_MTG_Set[[#This Row],[Sell Window Start]], NOW()&lt;=tbl_MTG_Set[[#This Row],[Sell Window End]])</f>
        <v/>
      </c>
      <c r="AG828" s="10" t="n"/>
      <c r="AH828" s="10" t="n"/>
      <c r="AM828" s="10">
        <f t="array" ref="AM8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8" s="10">
        <f t="array" ref="AN8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8" s="4">
        <f>_xlfn.XLOOKUP(tbl_MTG_Set[[#This Row],[Play Booster Box Product Id]], tbl_Product[Product Id], tbl_Product[Pack Size])</f>
        <v/>
      </c>
      <c r="AP828" s="10">
        <f>(tbl_MTG_Set[[#This Row],[Play Booster Box Cost]]+v_Item_Shipping_Cost_In)/tbl_MTG_Set[[#This Row],[Play Booster Box Size]]</f>
        <v/>
      </c>
      <c r="AQ828" s="10">
        <f t="array" ref="AQ8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8" s="10" t="n"/>
      <c r="AS828" s="10" t="n"/>
      <c r="AT828" s="17">
        <f>tbl_MTG_Set[[#This Row],[Play Booster CardMarket Profit]]/tbl_MTG_Set[[#This Row],[Play Booster Cost]]</f>
        <v/>
      </c>
      <c r="AU828" s="10">
        <f>_xlfn.XLOOKUP(tbl_MTG_Set[[#This Row],[Collector Booster Box Product Id]], tbl_Product[Product Id], tbl_Product[Min Cost])</f>
        <v/>
      </c>
      <c r="AV828" s="10">
        <f>_xlfn.XLOOKUP(tbl_MTG_Set[[#This Row],[Collector Booster Box Product Id]], tbl_Product[Product Id], tbl_Product[Best Source])</f>
        <v/>
      </c>
      <c r="AW828" s="4">
        <f>_xlfn.XLOOKUP(tbl_MTG_Set[[#This Row],[Collector Booster Box Product Id]], tbl_Product[Product Id], tbl_Product[Pack Size])</f>
        <v/>
      </c>
      <c r="AX828" s="10">
        <f>(tbl_MTG_Set[[#This Row],[Collector Booster Box Cost]] + v_Item_Shipping_Cost_In) / tbl_MTG_Set[[#This Row],[Collector Booster Box Size]]</f>
        <v/>
      </c>
      <c r="AY828" s="10">
        <f t="array" ref="AY8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8" s="10" t="n"/>
      <c r="BA8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8" s="17">
        <f>tbl_MTG_Set[[#This Row],[Collector Booster CardMarket Profit]]/tbl_MTG_Set[[#This Row],[Collector Booster Cost]]</f>
        <v/>
      </c>
      <c r="BC828" s="10" t="n"/>
      <c r="BF828" s="10">
        <f>tbl_MTG_Set[[#This Row],[Play Booster Sell Price CardMarket]]*tbl_MTG_Set[[#This Row],[Play Booster Expected Market Value]]/tbl_MTG_Set[[#This Row],[Play Boost Sealed Market Value]]</f>
        <v/>
      </c>
      <c r="BG8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8" s="10">
        <f>tbl_MTG_Set[[#This Row],[Play Singles CardMarket Profit]]/tbl_MTG_Set[[#This Row],[Play Booster Cost]]</f>
        <v/>
      </c>
      <c r="BI828" s="10">
        <f>tbl_MTG_Set[[#This Row],[Play Singles CardMarket Profit]]&gt;0</f>
        <v/>
      </c>
      <c r="BJ828" s="10" t="n"/>
      <c r="BK828" s="10" t="n"/>
      <c r="BL828" s="10">
        <f>tbl_MTG_Set[[#This Row],[Collector Booster Sell Price CardMarket]]*tbl_MTG_Set[[#This Row],[Collector Booster Expected Market Value]]/tbl_MTG_Set[[#This Row],[Collector Boost Sealed Market Value]]</f>
        <v/>
      </c>
      <c r="BM8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8" s="10">
        <f>tbl_MTG_Set[[#This Row],[Collector Singles CardMarket Profit]]/tbl_MTG_Set[[#This Row],[Collector Booster Cost]]</f>
        <v/>
      </c>
      <c r="BO828" s="10">
        <f>tbl_MTG_Set[[#This Row],[Collector Singles CardMarket Profit]]&gt;0</f>
        <v/>
      </c>
      <c r="BP8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9">
      <c r="A829" t="n">
        <v>827</v>
      </c>
      <c r="B829" t="inlineStr">
        <is>
          <t>Masters Edition ME1</t>
        </is>
      </c>
      <c r="C829" t="n">
        <v>195</v>
      </c>
      <c r="D829" s="3" t="n">
        <v>39335</v>
      </c>
      <c r="F829" t="inlineStr">
        <is>
          <t>en es fr de it pt ja ko ru 汉语 漢語</t>
        </is>
      </c>
      <c r="G829" t="n">
        <v>1600</v>
      </c>
      <c r="H829">
        <f>MONTH(NOW())+12*YEAR(NOW())-MONTH(tbl_MTG_Set[[#This Row],[Released On]])-12*YEAR(tbl_MTG_Set[[#This Row],[Released On]])</f>
        <v/>
      </c>
      <c r="I829">
        <f>_xlfn.XLOOKUP(tbl_MTG_Set[[#This Row],[Type Name]], tbl_MTG_Set_Type[Set Type], tbl_MTG_Set_Type[Index], "(Set Type not found)")</f>
        <v/>
      </c>
      <c r="J829">
        <f>_xlfn.XLOOKUP(tbl_MTG_Set[[#This Row],[Type Name]], tbl_MTG_Set_Type[Set Type], tbl_MTG_Set_Type[Buy Window Month Start], "(Set Type not found)")</f>
        <v/>
      </c>
      <c r="K829" s="3">
        <f>tbl_MTG_Set[[#This Row],[Released On]]+tbl_MTG_Set[[#This Row],[Buy Window Month Start]]*365.25/12</f>
        <v/>
      </c>
      <c r="L829">
        <f>_xlfn.XLOOKUP(tbl_MTG_Set[[#This Row],[Type Name]], tbl_MTG_Set_Type[Set Type], tbl_MTG_Set_Type[Buy Window Month End], "(Set Type not found)", 0, 1)</f>
        <v/>
      </c>
      <c r="M829" s="3">
        <f>tbl_MTG_Set[[#This Row],[Released On]]+tbl_MTG_Set[[#This Row],[Buy Window Month End]]*365.25/12</f>
        <v/>
      </c>
      <c r="N829" s="3">
        <f>AND(NOW()&gt;=tbl_MTG_Set[[#This Row],[Buy Window Start]], NOW()&lt;=tbl_MTG_Set[[#This Row],[Buy Window End]])</f>
        <v/>
      </c>
      <c r="O829">
        <f>_xlfn.XLOOKUP(tbl_MTG_Set[[#This Row],[Type Name]], tbl_MTG_Set_Type[Set Type], tbl_MTG_Set_Type[Heavy Printing Window Month Start], "(Set Type not found)", 0, 1)</f>
        <v/>
      </c>
      <c r="P829" s="3">
        <f>tbl_MTG_Set[[#This Row],[Released On]]+tbl_MTG_Set[[#This Row],[Heavy Printing Window Month Start]]*365.25/12</f>
        <v/>
      </c>
      <c r="Q829">
        <f>_xlfn.XLOOKUP(tbl_MTG_Set[[#This Row],[Type Name]], tbl_MTG_Set_Type[Set Type], tbl_MTG_Set_Type[Heavy Printing Window Month End], "(Set Type not found)", 0, 1)</f>
        <v/>
      </c>
      <c r="R829" s="3">
        <f>tbl_MTG_Set[[#This Row],[Released On]]+tbl_MTG_Set[[#This Row],[Heavy Printing Window Month End]]*365.25/12</f>
        <v/>
      </c>
      <c r="S829" s="3">
        <f>AND(NOW()&gt;=tbl_MTG_Set[[#This Row],[Heavy Printing Window Start]], NOW()&lt;=tbl_MTG_Set[[#This Row],[Heavy Printing Window End]])</f>
        <v/>
      </c>
      <c r="T829">
        <f>_xlfn.XLOOKUP(tbl_MTG_Set[[#This Row],[Type Name]], tbl_MTG_Set_Type[Set Type], tbl_MTG_Set_Type[Sell Window Month Start], "(Set Type not found)", 0, 1)</f>
        <v/>
      </c>
      <c r="U829" s="3">
        <f>tbl_MTG_Set[[#This Row],[Released On]]+tbl_MTG_Set[[#This Row],[Sell Window Month Start]]*365.25/12</f>
        <v/>
      </c>
      <c r="V829">
        <f>_xlfn.XLOOKUP(tbl_MTG_Set[[#This Row],[Type Name]], tbl_MTG_Set_Type[Set Type], tbl_MTG_Set_Type[Sell Window Month End], "(Set Type not found)", 0, 1)</f>
        <v/>
      </c>
      <c r="W829" s="3">
        <f>tbl_MTG_Set[[#This Row],[Released On]]+tbl_MTG_Set[[#This Row],[Sell Window Month End]]*365.25/12</f>
        <v/>
      </c>
      <c r="X829" s="3">
        <f>AND(NOW()&gt;=tbl_MTG_Set[[#This Row],[Sell Window Start]], NOW()&lt;=tbl_MTG_Set[[#This Row],[Sell Window End]])</f>
        <v/>
      </c>
      <c r="AG829" s="10" t="n"/>
      <c r="AH829" s="10" t="n"/>
      <c r="AM829" s="10">
        <f t="array" ref="AM8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9" s="10">
        <f t="array" ref="AN8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9" s="4">
        <f>_xlfn.XLOOKUP(tbl_MTG_Set[[#This Row],[Play Booster Box Product Id]], tbl_Product[Product Id], tbl_Product[Pack Size])</f>
        <v/>
      </c>
      <c r="AP829" s="10">
        <f>(tbl_MTG_Set[[#This Row],[Play Booster Box Cost]]+v_Item_Shipping_Cost_In)/tbl_MTG_Set[[#This Row],[Play Booster Box Size]]</f>
        <v/>
      </c>
      <c r="AQ829" s="10">
        <f t="array" ref="AQ8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29" s="10" t="n"/>
      <c r="AS829" s="10" t="n"/>
      <c r="AT829" s="17">
        <f>tbl_MTG_Set[[#This Row],[Play Booster CardMarket Profit]]/tbl_MTG_Set[[#This Row],[Play Booster Cost]]</f>
        <v/>
      </c>
      <c r="AU829" s="10">
        <f>_xlfn.XLOOKUP(tbl_MTG_Set[[#This Row],[Collector Booster Box Product Id]], tbl_Product[Product Id], tbl_Product[Min Cost])</f>
        <v/>
      </c>
      <c r="AV829" s="10">
        <f>_xlfn.XLOOKUP(tbl_MTG_Set[[#This Row],[Collector Booster Box Product Id]], tbl_Product[Product Id], tbl_Product[Best Source])</f>
        <v/>
      </c>
      <c r="AW829" s="4">
        <f>_xlfn.XLOOKUP(tbl_MTG_Set[[#This Row],[Collector Booster Box Product Id]], tbl_Product[Product Id], tbl_Product[Pack Size])</f>
        <v/>
      </c>
      <c r="AX829" s="10">
        <f>(tbl_MTG_Set[[#This Row],[Collector Booster Box Cost]] + v_Item_Shipping_Cost_In) / tbl_MTG_Set[[#This Row],[Collector Booster Box Size]]</f>
        <v/>
      </c>
      <c r="AY829" s="10">
        <f t="array" ref="AY8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29" s="10" t="n"/>
      <c r="BA8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9" s="17">
        <f>tbl_MTG_Set[[#This Row],[Collector Booster CardMarket Profit]]/tbl_MTG_Set[[#This Row],[Collector Booster Cost]]</f>
        <v/>
      </c>
      <c r="BC829" s="10" t="n"/>
      <c r="BF829" s="10">
        <f>tbl_MTG_Set[[#This Row],[Play Booster Sell Price CardMarket]]*tbl_MTG_Set[[#This Row],[Play Booster Expected Market Value]]/tbl_MTG_Set[[#This Row],[Play Boost Sealed Market Value]]</f>
        <v/>
      </c>
      <c r="BG8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9" s="10">
        <f>tbl_MTG_Set[[#This Row],[Play Singles CardMarket Profit]]/tbl_MTG_Set[[#This Row],[Play Booster Cost]]</f>
        <v/>
      </c>
      <c r="BI829" s="10">
        <f>tbl_MTG_Set[[#This Row],[Play Singles CardMarket Profit]]&gt;0</f>
        <v/>
      </c>
      <c r="BJ829" s="10" t="n"/>
      <c r="BK829" s="10" t="n"/>
      <c r="BL829" s="10">
        <f>tbl_MTG_Set[[#This Row],[Collector Booster Sell Price CardMarket]]*tbl_MTG_Set[[#This Row],[Collector Booster Expected Market Value]]/tbl_MTG_Set[[#This Row],[Collector Boost Sealed Market Value]]</f>
        <v/>
      </c>
      <c r="BM8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9" s="10">
        <f>tbl_MTG_Set[[#This Row],[Collector Singles CardMarket Profit]]/tbl_MTG_Set[[#This Row],[Collector Booster Cost]]</f>
        <v/>
      </c>
      <c r="BO829" s="10">
        <f>tbl_MTG_Set[[#This Row],[Collector Singles CardMarket Profit]]&gt;0</f>
        <v/>
      </c>
      <c r="BP8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0">
      <c r="A830" t="n">
        <v>828</v>
      </c>
      <c r="B830" t="inlineStr">
        <is>
          <t>Tenth Edition 10E</t>
        </is>
      </c>
      <c r="C830" t="n">
        <v>510</v>
      </c>
      <c r="D830" s="3" t="n">
        <v>39276</v>
      </c>
      <c r="F830" t="inlineStr">
        <is>
          <t>en es fr de it pt ja ko ru 汉语 漢語</t>
        </is>
      </c>
      <c r="G830" t="n">
        <v>1602</v>
      </c>
      <c r="H830">
        <f>MONTH(NOW())+12*YEAR(NOW())-MONTH(tbl_MTG_Set[[#This Row],[Released On]])-12*YEAR(tbl_MTG_Set[[#This Row],[Released On]])</f>
        <v/>
      </c>
      <c r="I830">
        <f>_xlfn.XLOOKUP(tbl_MTG_Set[[#This Row],[Type Name]], tbl_MTG_Set_Type[Set Type], tbl_MTG_Set_Type[Index], "(Set Type not found)")</f>
        <v/>
      </c>
      <c r="J830">
        <f>_xlfn.XLOOKUP(tbl_MTG_Set[[#This Row],[Type Name]], tbl_MTG_Set_Type[Set Type], tbl_MTG_Set_Type[Buy Window Month Start], "(Set Type not found)")</f>
        <v/>
      </c>
      <c r="K830" s="3">
        <f>tbl_MTG_Set[[#This Row],[Released On]]+tbl_MTG_Set[[#This Row],[Buy Window Month Start]]*365.25/12</f>
        <v/>
      </c>
      <c r="L830">
        <f>_xlfn.XLOOKUP(tbl_MTG_Set[[#This Row],[Type Name]], tbl_MTG_Set_Type[Set Type], tbl_MTG_Set_Type[Buy Window Month End], "(Set Type not found)", 0, 1)</f>
        <v/>
      </c>
      <c r="M830" s="3">
        <f>tbl_MTG_Set[[#This Row],[Released On]]+tbl_MTG_Set[[#This Row],[Buy Window Month End]]*365.25/12</f>
        <v/>
      </c>
      <c r="N830" s="3">
        <f>AND(NOW()&gt;=tbl_MTG_Set[[#This Row],[Buy Window Start]], NOW()&lt;=tbl_MTG_Set[[#This Row],[Buy Window End]])</f>
        <v/>
      </c>
      <c r="O830">
        <f>_xlfn.XLOOKUP(tbl_MTG_Set[[#This Row],[Type Name]], tbl_MTG_Set_Type[Set Type], tbl_MTG_Set_Type[Heavy Printing Window Month Start], "(Set Type not found)", 0, 1)</f>
        <v/>
      </c>
      <c r="P830" s="3">
        <f>tbl_MTG_Set[[#This Row],[Released On]]+tbl_MTG_Set[[#This Row],[Heavy Printing Window Month Start]]*365.25/12</f>
        <v/>
      </c>
      <c r="Q830">
        <f>_xlfn.XLOOKUP(tbl_MTG_Set[[#This Row],[Type Name]], tbl_MTG_Set_Type[Set Type], tbl_MTG_Set_Type[Heavy Printing Window Month End], "(Set Type not found)", 0, 1)</f>
        <v/>
      </c>
      <c r="R830" s="3">
        <f>tbl_MTG_Set[[#This Row],[Released On]]+tbl_MTG_Set[[#This Row],[Heavy Printing Window Month End]]*365.25/12</f>
        <v/>
      </c>
      <c r="S830" s="3">
        <f>AND(NOW()&gt;=tbl_MTG_Set[[#This Row],[Heavy Printing Window Start]], NOW()&lt;=tbl_MTG_Set[[#This Row],[Heavy Printing Window End]])</f>
        <v/>
      </c>
      <c r="T830">
        <f>_xlfn.XLOOKUP(tbl_MTG_Set[[#This Row],[Type Name]], tbl_MTG_Set_Type[Set Type], tbl_MTG_Set_Type[Sell Window Month Start], "(Set Type not found)", 0, 1)</f>
        <v/>
      </c>
      <c r="U830" s="3">
        <f>tbl_MTG_Set[[#This Row],[Released On]]+tbl_MTG_Set[[#This Row],[Sell Window Month Start]]*365.25/12</f>
        <v/>
      </c>
      <c r="V830">
        <f>_xlfn.XLOOKUP(tbl_MTG_Set[[#This Row],[Type Name]], tbl_MTG_Set_Type[Set Type], tbl_MTG_Set_Type[Sell Window Month End], "(Set Type not found)", 0, 1)</f>
        <v/>
      </c>
      <c r="W830" s="3">
        <f>tbl_MTG_Set[[#This Row],[Released On]]+tbl_MTG_Set[[#This Row],[Sell Window Month End]]*365.25/12</f>
        <v/>
      </c>
      <c r="X830" s="3">
        <f>AND(NOW()&gt;=tbl_MTG_Set[[#This Row],[Sell Window Start]], NOW()&lt;=tbl_MTG_Set[[#This Row],[Sell Window End]])</f>
        <v/>
      </c>
      <c r="AG830" s="10" t="n"/>
      <c r="AH830" s="10" t="n"/>
      <c r="AM830" s="10">
        <f t="array" ref="AM8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0" s="10">
        <f t="array" ref="AN8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0" s="4">
        <f>_xlfn.XLOOKUP(tbl_MTG_Set[[#This Row],[Play Booster Box Product Id]], tbl_Product[Product Id], tbl_Product[Pack Size])</f>
        <v/>
      </c>
      <c r="AP830" s="10">
        <f>(tbl_MTG_Set[[#This Row],[Play Booster Box Cost]]+v_Item_Shipping_Cost_In)/tbl_MTG_Set[[#This Row],[Play Booster Box Size]]</f>
        <v/>
      </c>
      <c r="AQ830" s="10">
        <f t="array" ref="AQ8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0" s="10" t="n"/>
      <c r="AS830" s="10" t="n"/>
      <c r="AT830" s="17">
        <f>tbl_MTG_Set[[#This Row],[Play Booster CardMarket Profit]]/tbl_MTG_Set[[#This Row],[Play Booster Cost]]</f>
        <v/>
      </c>
      <c r="AU830" s="10">
        <f>_xlfn.XLOOKUP(tbl_MTG_Set[[#This Row],[Collector Booster Box Product Id]], tbl_Product[Product Id], tbl_Product[Min Cost])</f>
        <v/>
      </c>
      <c r="AV830" s="10">
        <f>_xlfn.XLOOKUP(tbl_MTG_Set[[#This Row],[Collector Booster Box Product Id]], tbl_Product[Product Id], tbl_Product[Best Source])</f>
        <v/>
      </c>
      <c r="AW830" s="4">
        <f>_xlfn.XLOOKUP(tbl_MTG_Set[[#This Row],[Collector Booster Box Product Id]], tbl_Product[Product Id], tbl_Product[Pack Size])</f>
        <v/>
      </c>
      <c r="AX830" s="10">
        <f>(tbl_MTG_Set[[#This Row],[Collector Booster Box Cost]] + v_Item_Shipping_Cost_In) / tbl_MTG_Set[[#This Row],[Collector Booster Box Size]]</f>
        <v/>
      </c>
      <c r="AY830" s="10">
        <f t="array" ref="AY8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0" s="10" t="n"/>
      <c r="BA8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0" s="17">
        <f>tbl_MTG_Set[[#This Row],[Collector Booster CardMarket Profit]]/tbl_MTG_Set[[#This Row],[Collector Booster Cost]]</f>
        <v/>
      </c>
      <c r="BC830" s="10" t="n"/>
      <c r="BF830" s="10">
        <f>tbl_MTG_Set[[#This Row],[Play Booster Sell Price CardMarket]]*tbl_MTG_Set[[#This Row],[Play Booster Expected Market Value]]/tbl_MTG_Set[[#This Row],[Play Boost Sealed Market Value]]</f>
        <v/>
      </c>
      <c r="BG8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0" s="10">
        <f>tbl_MTG_Set[[#This Row],[Play Singles CardMarket Profit]]/tbl_MTG_Set[[#This Row],[Play Booster Cost]]</f>
        <v/>
      </c>
      <c r="BI830" s="10">
        <f>tbl_MTG_Set[[#This Row],[Play Singles CardMarket Profit]]&gt;0</f>
        <v/>
      </c>
      <c r="BJ830" s="10" t="n"/>
      <c r="BK830" s="10" t="n"/>
      <c r="BL830" s="10">
        <f>tbl_MTG_Set[[#This Row],[Collector Booster Sell Price CardMarket]]*tbl_MTG_Set[[#This Row],[Collector Booster Expected Market Value]]/tbl_MTG_Set[[#This Row],[Collector Boost Sealed Market Value]]</f>
        <v/>
      </c>
      <c r="BM8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0" s="10">
        <f>tbl_MTG_Set[[#This Row],[Collector Singles CardMarket Profit]]/tbl_MTG_Set[[#This Row],[Collector Booster Cost]]</f>
        <v/>
      </c>
      <c r="BO830" s="10">
        <f>tbl_MTG_Set[[#This Row],[Collector Singles CardMarket Profit]]&gt;0</f>
        <v/>
      </c>
      <c r="BP8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1">
      <c r="A831" t="n">
        <v>829</v>
      </c>
      <c r="B831" t="inlineStr">
        <is>
          <t>Tenth Edition Promos P10E</t>
        </is>
      </c>
      <c r="C831" t="n">
        <v>3</v>
      </c>
      <c r="D831" s="3" t="n">
        <v>39276</v>
      </c>
      <c r="F831" t="inlineStr">
        <is>
          <t>en es fr de it pt ja ko ru 汉语 漢語</t>
        </is>
      </c>
      <c r="G831" t="n">
        <v>1604</v>
      </c>
      <c r="H831">
        <f>MONTH(NOW())+12*YEAR(NOW())-MONTH(tbl_MTG_Set[[#This Row],[Released On]])-12*YEAR(tbl_MTG_Set[[#This Row],[Released On]])</f>
        <v/>
      </c>
      <c r="I831">
        <f>_xlfn.XLOOKUP(tbl_MTG_Set[[#This Row],[Type Name]], tbl_MTG_Set_Type[Set Type], tbl_MTG_Set_Type[Index], "(Set Type not found)")</f>
        <v/>
      </c>
      <c r="J831">
        <f>_xlfn.XLOOKUP(tbl_MTG_Set[[#This Row],[Type Name]], tbl_MTG_Set_Type[Set Type], tbl_MTG_Set_Type[Buy Window Month Start], "(Set Type not found)")</f>
        <v/>
      </c>
      <c r="K831" s="3">
        <f>tbl_MTG_Set[[#This Row],[Released On]]+tbl_MTG_Set[[#This Row],[Buy Window Month Start]]*365.25/12</f>
        <v/>
      </c>
      <c r="L831">
        <f>_xlfn.XLOOKUP(tbl_MTG_Set[[#This Row],[Type Name]], tbl_MTG_Set_Type[Set Type], tbl_MTG_Set_Type[Buy Window Month End], "(Set Type not found)", 0, 1)</f>
        <v/>
      </c>
      <c r="M831" s="3">
        <f>tbl_MTG_Set[[#This Row],[Released On]]+tbl_MTG_Set[[#This Row],[Buy Window Month End]]*365.25/12</f>
        <v/>
      </c>
      <c r="N831" s="3">
        <f>AND(NOW()&gt;=tbl_MTG_Set[[#This Row],[Buy Window Start]], NOW()&lt;=tbl_MTG_Set[[#This Row],[Buy Window End]])</f>
        <v/>
      </c>
      <c r="O831">
        <f>_xlfn.XLOOKUP(tbl_MTG_Set[[#This Row],[Type Name]], tbl_MTG_Set_Type[Set Type], tbl_MTG_Set_Type[Heavy Printing Window Month Start], "(Set Type not found)", 0, 1)</f>
        <v/>
      </c>
      <c r="P831" s="3">
        <f>tbl_MTG_Set[[#This Row],[Released On]]+tbl_MTG_Set[[#This Row],[Heavy Printing Window Month Start]]*365.25/12</f>
        <v/>
      </c>
      <c r="Q831">
        <f>_xlfn.XLOOKUP(tbl_MTG_Set[[#This Row],[Type Name]], tbl_MTG_Set_Type[Set Type], tbl_MTG_Set_Type[Heavy Printing Window Month End], "(Set Type not found)", 0, 1)</f>
        <v/>
      </c>
      <c r="R831" s="3">
        <f>tbl_MTG_Set[[#This Row],[Released On]]+tbl_MTG_Set[[#This Row],[Heavy Printing Window Month End]]*365.25/12</f>
        <v/>
      </c>
      <c r="S831" s="3">
        <f>AND(NOW()&gt;=tbl_MTG_Set[[#This Row],[Heavy Printing Window Start]], NOW()&lt;=tbl_MTG_Set[[#This Row],[Heavy Printing Window End]])</f>
        <v/>
      </c>
      <c r="T831">
        <f>_xlfn.XLOOKUP(tbl_MTG_Set[[#This Row],[Type Name]], tbl_MTG_Set_Type[Set Type], tbl_MTG_Set_Type[Sell Window Month Start], "(Set Type not found)", 0, 1)</f>
        <v/>
      </c>
      <c r="U831" s="3">
        <f>tbl_MTG_Set[[#This Row],[Released On]]+tbl_MTG_Set[[#This Row],[Sell Window Month Start]]*365.25/12</f>
        <v/>
      </c>
      <c r="V831">
        <f>_xlfn.XLOOKUP(tbl_MTG_Set[[#This Row],[Type Name]], tbl_MTG_Set_Type[Set Type], tbl_MTG_Set_Type[Sell Window Month End], "(Set Type not found)", 0, 1)</f>
        <v/>
      </c>
      <c r="W831" s="3">
        <f>tbl_MTG_Set[[#This Row],[Released On]]+tbl_MTG_Set[[#This Row],[Sell Window Month End]]*365.25/12</f>
        <v/>
      </c>
      <c r="X831" s="3">
        <f>AND(NOW()&gt;=tbl_MTG_Set[[#This Row],[Sell Window Start]], NOW()&lt;=tbl_MTG_Set[[#This Row],[Sell Window End]])</f>
        <v/>
      </c>
      <c r="AG831" s="10" t="n"/>
      <c r="AH831" s="10" t="n"/>
      <c r="AM831" s="10">
        <f t="array" ref="AM8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1" s="10">
        <f t="array" ref="AN8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1" s="4">
        <f>_xlfn.XLOOKUP(tbl_MTG_Set[[#This Row],[Play Booster Box Product Id]], tbl_Product[Product Id], tbl_Product[Pack Size])</f>
        <v/>
      </c>
      <c r="AP831" s="10">
        <f>(tbl_MTG_Set[[#This Row],[Play Booster Box Cost]]+v_Item_Shipping_Cost_In)/tbl_MTG_Set[[#This Row],[Play Booster Box Size]]</f>
        <v/>
      </c>
      <c r="AQ831" s="10">
        <f t="array" ref="AQ8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1" s="10" t="n"/>
      <c r="AS831" s="10" t="n"/>
      <c r="AT831" s="17">
        <f>tbl_MTG_Set[[#This Row],[Play Booster CardMarket Profit]]/tbl_MTG_Set[[#This Row],[Play Booster Cost]]</f>
        <v/>
      </c>
      <c r="AU831" s="10">
        <f>_xlfn.XLOOKUP(tbl_MTG_Set[[#This Row],[Collector Booster Box Product Id]], tbl_Product[Product Id], tbl_Product[Min Cost])</f>
        <v/>
      </c>
      <c r="AV831" s="10">
        <f>_xlfn.XLOOKUP(tbl_MTG_Set[[#This Row],[Collector Booster Box Product Id]], tbl_Product[Product Id], tbl_Product[Best Source])</f>
        <v/>
      </c>
      <c r="AW831" s="4">
        <f>_xlfn.XLOOKUP(tbl_MTG_Set[[#This Row],[Collector Booster Box Product Id]], tbl_Product[Product Id], tbl_Product[Pack Size])</f>
        <v/>
      </c>
      <c r="AX831" s="10">
        <f>(tbl_MTG_Set[[#This Row],[Collector Booster Box Cost]] + v_Item_Shipping_Cost_In) / tbl_MTG_Set[[#This Row],[Collector Booster Box Size]]</f>
        <v/>
      </c>
      <c r="AY831" s="10">
        <f t="array" ref="AY8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1" s="10" t="n"/>
      <c r="BA8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1" s="17">
        <f>tbl_MTG_Set[[#This Row],[Collector Booster CardMarket Profit]]/tbl_MTG_Set[[#This Row],[Collector Booster Cost]]</f>
        <v/>
      </c>
      <c r="BC831" s="10" t="n"/>
      <c r="BF831" s="10">
        <f>tbl_MTG_Set[[#This Row],[Play Booster Sell Price CardMarket]]*tbl_MTG_Set[[#This Row],[Play Booster Expected Market Value]]/tbl_MTG_Set[[#This Row],[Play Boost Sealed Market Value]]</f>
        <v/>
      </c>
      <c r="BG8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1" s="10">
        <f>tbl_MTG_Set[[#This Row],[Play Singles CardMarket Profit]]/tbl_MTG_Set[[#This Row],[Play Booster Cost]]</f>
        <v/>
      </c>
      <c r="BI831" s="10">
        <f>tbl_MTG_Set[[#This Row],[Play Singles CardMarket Profit]]&gt;0</f>
        <v/>
      </c>
      <c r="BJ831" s="10" t="n"/>
      <c r="BK831" s="10" t="n"/>
      <c r="BL831" s="10">
        <f>tbl_MTG_Set[[#This Row],[Collector Booster Sell Price CardMarket]]*tbl_MTG_Set[[#This Row],[Collector Booster Expected Market Value]]/tbl_MTG_Set[[#This Row],[Collector Boost Sealed Market Value]]</f>
        <v/>
      </c>
      <c r="BM8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1" s="10">
        <f>tbl_MTG_Set[[#This Row],[Collector Singles CardMarket Profit]]/tbl_MTG_Set[[#This Row],[Collector Booster Cost]]</f>
        <v/>
      </c>
      <c r="BO831" s="10">
        <f>tbl_MTG_Set[[#This Row],[Collector Singles CardMarket Profit]]&gt;0</f>
        <v/>
      </c>
      <c r="BP8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2">
      <c r="A832" t="n">
        <v>830</v>
      </c>
      <c r="B832" t="inlineStr">
        <is>
          <t>Tenth Edition Tokens T10E</t>
        </is>
      </c>
      <c r="C832" t="n">
        <v>6</v>
      </c>
      <c r="D832" s="3" t="n">
        <v>39276</v>
      </c>
      <c r="F832" t="inlineStr">
        <is>
          <t>en es fr de it pt ja ko ru 汉语 漢語</t>
        </is>
      </c>
      <c r="G832" t="n">
        <v>1606</v>
      </c>
      <c r="H832">
        <f>MONTH(NOW())+12*YEAR(NOW())-MONTH(tbl_MTG_Set[[#This Row],[Released On]])-12*YEAR(tbl_MTG_Set[[#This Row],[Released On]])</f>
        <v/>
      </c>
      <c r="I832">
        <f>_xlfn.XLOOKUP(tbl_MTG_Set[[#This Row],[Type Name]], tbl_MTG_Set_Type[Set Type], tbl_MTG_Set_Type[Index], "(Set Type not found)")</f>
        <v/>
      </c>
      <c r="J832">
        <f>_xlfn.XLOOKUP(tbl_MTG_Set[[#This Row],[Type Name]], tbl_MTG_Set_Type[Set Type], tbl_MTG_Set_Type[Buy Window Month Start], "(Set Type not found)")</f>
        <v/>
      </c>
      <c r="K832" s="3">
        <f>tbl_MTG_Set[[#This Row],[Released On]]+tbl_MTG_Set[[#This Row],[Buy Window Month Start]]*365.25/12</f>
        <v/>
      </c>
      <c r="L832">
        <f>_xlfn.XLOOKUP(tbl_MTG_Set[[#This Row],[Type Name]], tbl_MTG_Set_Type[Set Type], tbl_MTG_Set_Type[Buy Window Month End], "(Set Type not found)", 0, 1)</f>
        <v/>
      </c>
      <c r="M832" s="3">
        <f>tbl_MTG_Set[[#This Row],[Released On]]+tbl_MTG_Set[[#This Row],[Buy Window Month End]]*365.25/12</f>
        <v/>
      </c>
      <c r="N832" s="3">
        <f>AND(NOW()&gt;=tbl_MTG_Set[[#This Row],[Buy Window Start]], NOW()&lt;=tbl_MTG_Set[[#This Row],[Buy Window End]])</f>
        <v/>
      </c>
      <c r="O832">
        <f>_xlfn.XLOOKUP(tbl_MTG_Set[[#This Row],[Type Name]], tbl_MTG_Set_Type[Set Type], tbl_MTG_Set_Type[Heavy Printing Window Month Start], "(Set Type not found)", 0, 1)</f>
        <v/>
      </c>
      <c r="P832" s="3">
        <f>tbl_MTG_Set[[#This Row],[Released On]]+tbl_MTG_Set[[#This Row],[Heavy Printing Window Month Start]]*365.25/12</f>
        <v/>
      </c>
      <c r="Q832">
        <f>_xlfn.XLOOKUP(tbl_MTG_Set[[#This Row],[Type Name]], tbl_MTG_Set_Type[Set Type], tbl_MTG_Set_Type[Heavy Printing Window Month End], "(Set Type not found)", 0, 1)</f>
        <v/>
      </c>
      <c r="R832" s="3">
        <f>tbl_MTG_Set[[#This Row],[Released On]]+tbl_MTG_Set[[#This Row],[Heavy Printing Window Month End]]*365.25/12</f>
        <v/>
      </c>
      <c r="S832" s="3">
        <f>AND(NOW()&gt;=tbl_MTG_Set[[#This Row],[Heavy Printing Window Start]], NOW()&lt;=tbl_MTG_Set[[#This Row],[Heavy Printing Window End]])</f>
        <v/>
      </c>
      <c r="T832">
        <f>_xlfn.XLOOKUP(tbl_MTG_Set[[#This Row],[Type Name]], tbl_MTG_Set_Type[Set Type], tbl_MTG_Set_Type[Sell Window Month Start], "(Set Type not found)", 0, 1)</f>
        <v/>
      </c>
      <c r="U832" s="3">
        <f>tbl_MTG_Set[[#This Row],[Released On]]+tbl_MTG_Set[[#This Row],[Sell Window Month Start]]*365.25/12</f>
        <v/>
      </c>
      <c r="V832">
        <f>_xlfn.XLOOKUP(tbl_MTG_Set[[#This Row],[Type Name]], tbl_MTG_Set_Type[Set Type], tbl_MTG_Set_Type[Sell Window Month End], "(Set Type not found)", 0, 1)</f>
        <v/>
      </c>
      <c r="W832" s="3">
        <f>tbl_MTG_Set[[#This Row],[Released On]]+tbl_MTG_Set[[#This Row],[Sell Window Month End]]*365.25/12</f>
        <v/>
      </c>
      <c r="X832" s="3">
        <f>AND(NOW()&gt;=tbl_MTG_Set[[#This Row],[Sell Window Start]], NOW()&lt;=tbl_MTG_Set[[#This Row],[Sell Window End]])</f>
        <v/>
      </c>
      <c r="AG832" s="10" t="n"/>
      <c r="AH832" s="10" t="n"/>
      <c r="AM832" s="10">
        <f t="array" ref="AM8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2" s="10">
        <f t="array" ref="AN8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2" s="4">
        <f>_xlfn.XLOOKUP(tbl_MTG_Set[[#This Row],[Play Booster Box Product Id]], tbl_Product[Product Id], tbl_Product[Pack Size])</f>
        <v/>
      </c>
      <c r="AP832" s="10">
        <f>(tbl_MTG_Set[[#This Row],[Play Booster Box Cost]]+v_Item_Shipping_Cost_In)/tbl_MTG_Set[[#This Row],[Play Booster Box Size]]</f>
        <v/>
      </c>
      <c r="AQ832" s="10">
        <f t="array" ref="AQ8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2" s="10" t="n"/>
      <c r="AS832" s="10" t="n"/>
      <c r="AT832" s="17">
        <f>tbl_MTG_Set[[#This Row],[Play Booster CardMarket Profit]]/tbl_MTG_Set[[#This Row],[Play Booster Cost]]</f>
        <v/>
      </c>
      <c r="AU832" s="10">
        <f>_xlfn.XLOOKUP(tbl_MTG_Set[[#This Row],[Collector Booster Box Product Id]], tbl_Product[Product Id], tbl_Product[Min Cost])</f>
        <v/>
      </c>
      <c r="AV832" s="10">
        <f>_xlfn.XLOOKUP(tbl_MTG_Set[[#This Row],[Collector Booster Box Product Id]], tbl_Product[Product Id], tbl_Product[Best Source])</f>
        <v/>
      </c>
      <c r="AW832" s="4">
        <f>_xlfn.XLOOKUP(tbl_MTG_Set[[#This Row],[Collector Booster Box Product Id]], tbl_Product[Product Id], tbl_Product[Pack Size])</f>
        <v/>
      </c>
      <c r="AX832" s="10">
        <f>(tbl_MTG_Set[[#This Row],[Collector Booster Box Cost]] + v_Item_Shipping_Cost_In) / tbl_MTG_Set[[#This Row],[Collector Booster Box Size]]</f>
        <v/>
      </c>
      <c r="AY832" s="10">
        <f t="array" ref="AY8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2" s="10" t="n"/>
      <c r="BA8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2" s="17">
        <f>tbl_MTG_Set[[#This Row],[Collector Booster CardMarket Profit]]/tbl_MTG_Set[[#This Row],[Collector Booster Cost]]</f>
        <v/>
      </c>
      <c r="BC832" s="10" t="n"/>
      <c r="BF832" s="10">
        <f>tbl_MTG_Set[[#This Row],[Play Booster Sell Price CardMarket]]*tbl_MTG_Set[[#This Row],[Play Booster Expected Market Value]]/tbl_MTG_Set[[#This Row],[Play Boost Sealed Market Value]]</f>
        <v/>
      </c>
      <c r="BG8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2" s="10">
        <f>tbl_MTG_Set[[#This Row],[Play Singles CardMarket Profit]]/tbl_MTG_Set[[#This Row],[Play Booster Cost]]</f>
        <v/>
      </c>
      <c r="BI832" s="10">
        <f>tbl_MTG_Set[[#This Row],[Play Singles CardMarket Profit]]&gt;0</f>
        <v/>
      </c>
      <c r="BJ832" s="10" t="n"/>
      <c r="BK832" s="10" t="n"/>
      <c r="BL832" s="10">
        <f>tbl_MTG_Set[[#This Row],[Collector Booster Sell Price CardMarket]]*tbl_MTG_Set[[#This Row],[Collector Booster Expected Market Value]]/tbl_MTG_Set[[#This Row],[Collector Boost Sealed Market Value]]</f>
        <v/>
      </c>
      <c r="BM8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2" s="10">
        <f>tbl_MTG_Set[[#This Row],[Collector Singles CardMarket Profit]]/tbl_MTG_Set[[#This Row],[Collector Booster Cost]]</f>
        <v/>
      </c>
      <c r="BO832" s="10">
        <f>tbl_MTG_Set[[#This Row],[Collector Singles CardMarket Profit]]&gt;0</f>
        <v/>
      </c>
      <c r="BP8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3">
      <c r="A833" t="n">
        <v>831</v>
      </c>
      <c r="B833" t="inlineStr">
        <is>
          <t>Future Sight FUT</t>
        </is>
      </c>
      <c r="C833" t="n">
        <v>180</v>
      </c>
      <c r="D833" s="3" t="n">
        <v>39206</v>
      </c>
      <c r="F833" t="inlineStr">
        <is>
          <t>en es fr de it pt ja ko ru 汉语 漢語</t>
        </is>
      </c>
      <c r="G833" t="n">
        <v>1608</v>
      </c>
      <c r="H833">
        <f>MONTH(NOW())+12*YEAR(NOW())-MONTH(tbl_MTG_Set[[#This Row],[Released On]])-12*YEAR(tbl_MTG_Set[[#This Row],[Released On]])</f>
        <v/>
      </c>
      <c r="I833">
        <f>_xlfn.XLOOKUP(tbl_MTG_Set[[#This Row],[Type Name]], tbl_MTG_Set_Type[Set Type], tbl_MTG_Set_Type[Index], "(Set Type not found)")</f>
        <v/>
      </c>
      <c r="J833">
        <f>_xlfn.XLOOKUP(tbl_MTG_Set[[#This Row],[Type Name]], tbl_MTG_Set_Type[Set Type], tbl_MTG_Set_Type[Buy Window Month Start], "(Set Type not found)")</f>
        <v/>
      </c>
      <c r="K833" s="3">
        <f>tbl_MTG_Set[[#This Row],[Released On]]+tbl_MTG_Set[[#This Row],[Buy Window Month Start]]*365.25/12</f>
        <v/>
      </c>
      <c r="L833">
        <f>_xlfn.XLOOKUP(tbl_MTG_Set[[#This Row],[Type Name]], tbl_MTG_Set_Type[Set Type], tbl_MTG_Set_Type[Buy Window Month End], "(Set Type not found)", 0, 1)</f>
        <v/>
      </c>
      <c r="M833" s="3">
        <f>tbl_MTG_Set[[#This Row],[Released On]]+tbl_MTG_Set[[#This Row],[Buy Window Month End]]*365.25/12</f>
        <v/>
      </c>
      <c r="N833" s="3">
        <f>AND(NOW()&gt;=tbl_MTG_Set[[#This Row],[Buy Window Start]], NOW()&lt;=tbl_MTG_Set[[#This Row],[Buy Window End]])</f>
        <v/>
      </c>
      <c r="O833">
        <f>_xlfn.XLOOKUP(tbl_MTG_Set[[#This Row],[Type Name]], tbl_MTG_Set_Type[Set Type], tbl_MTG_Set_Type[Heavy Printing Window Month Start], "(Set Type not found)", 0, 1)</f>
        <v/>
      </c>
      <c r="P833" s="3">
        <f>tbl_MTG_Set[[#This Row],[Released On]]+tbl_MTG_Set[[#This Row],[Heavy Printing Window Month Start]]*365.25/12</f>
        <v/>
      </c>
      <c r="Q833">
        <f>_xlfn.XLOOKUP(tbl_MTG_Set[[#This Row],[Type Name]], tbl_MTG_Set_Type[Set Type], tbl_MTG_Set_Type[Heavy Printing Window Month End], "(Set Type not found)", 0, 1)</f>
        <v/>
      </c>
      <c r="R833" s="3">
        <f>tbl_MTG_Set[[#This Row],[Released On]]+tbl_MTG_Set[[#This Row],[Heavy Printing Window Month End]]*365.25/12</f>
        <v/>
      </c>
      <c r="S833" s="3">
        <f>AND(NOW()&gt;=tbl_MTG_Set[[#This Row],[Heavy Printing Window Start]], NOW()&lt;=tbl_MTG_Set[[#This Row],[Heavy Printing Window End]])</f>
        <v/>
      </c>
      <c r="T833">
        <f>_xlfn.XLOOKUP(tbl_MTG_Set[[#This Row],[Type Name]], tbl_MTG_Set_Type[Set Type], tbl_MTG_Set_Type[Sell Window Month Start], "(Set Type not found)", 0, 1)</f>
        <v/>
      </c>
      <c r="U833" s="3">
        <f>tbl_MTG_Set[[#This Row],[Released On]]+tbl_MTG_Set[[#This Row],[Sell Window Month Start]]*365.25/12</f>
        <v/>
      </c>
      <c r="V833">
        <f>_xlfn.XLOOKUP(tbl_MTG_Set[[#This Row],[Type Name]], tbl_MTG_Set_Type[Set Type], tbl_MTG_Set_Type[Sell Window Month End], "(Set Type not found)", 0, 1)</f>
        <v/>
      </c>
      <c r="W833" s="3">
        <f>tbl_MTG_Set[[#This Row],[Released On]]+tbl_MTG_Set[[#This Row],[Sell Window Month End]]*365.25/12</f>
        <v/>
      </c>
      <c r="X833" s="3">
        <f>AND(NOW()&gt;=tbl_MTG_Set[[#This Row],[Sell Window Start]], NOW()&lt;=tbl_MTG_Set[[#This Row],[Sell Window End]])</f>
        <v/>
      </c>
      <c r="AG833" s="10" t="n"/>
      <c r="AH833" s="10" t="n"/>
      <c r="AM833" s="10">
        <f t="array" ref="AM8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3" s="10">
        <f t="array" ref="AN8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3" s="4">
        <f>_xlfn.XLOOKUP(tbl_MTG_Set[[#This Row],[Play Booster Box Product Id]], tbl_Product[Product Id], tbl_Product[Pack Size])</f>
        <v/>
      </c>
      <c r="AP833" s="10">
        <f>(tbl_MTG_Set[[#This Row],[Play Booster Box Cost]]+v_Item_Shipping_Cost_In)/tbl_MTG_Set[[#This Row],[Play Booster Box Size]]</f>
        <v/>
      </c>
      <c r="AQ833" s="10">
        <f t="array" ref="AQ8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3" s="10" t="n"/>
      <c r="AS833" s="10" t="n"/>
      <c r="AT833" s="17">
        <f>tbl_MTG_Set[[#This Row],[Play Booster CardMarket Profit]]/tbl_MTG_Set[[#This Row],[Play Booster Cost]]</f>
        <v/>
      </c>
      <c r="AU833" s="10">
        <f>_xlfn.XLOOKUP(tbl_MTG_Set[[#This Row],[Collector Booster Box Product Id]], tbl_Product[Product Id], tbl_Product[Min Cost])</f>
        <v/>
      </c>
      <c r="AV833" s="10">
        <f>_xlfn.XLOOKUP(tbl_MTG_Set[[#This Row],[Collector Booster Box Product Id]], tbl_Product[Product Id], tbl_Product[Best Source])</f>
        <v/>
      </c>
      <c r="AW833" s="4">
        <f>_xlfn.XLOOKUP(tbl_MTG_Set[[#This Row],[Collector Booster Box Product Id]], tbl_Product[Product Id], tbl_Product[Pack Size])</f>
        <v/>
      </c>
      <c r="AX833" s="10">
        <f>(tbl_MTG_Set[[#This Row],[Collector Booster Box Cost]] + v_Item_Shipping_Cost_In) / tbl_MTG_Set[[#This Row],[Collector Booster Box Size]]</f>
        <v/>
      </c>
      <c r="AY833" s="10">
        <f t="array" ref="AY8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3" s="10" t="n"/>
      <c r="BA8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3" s="17">
        <f>tbl_MTG_Set[[#This Row],[Collector Booster CardMarket Profit]]/tbl_MTG_Set[[#This Row],[Collector Booster Cost]]</f>
        <v/>
      </c>
      <c r="BC833" s="10" t="n"/>
      <c r="BF833" s="10">
        <f>tbl_MTG_Set[[#This Row],[Play Booster Sell Price CardMarket]]*tbl_MTG_Set[[#This Row],[Play Booster Expected Market Value]]/tbl_MTG_Set[[#This Row],[Play Boost Sealed Market Value]]</f>
        <v/>
      </c>
      <c r="BG8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3" s="10">
        <f>tbl_MTG_Set[[#This Row],[Play Singles CardMarket Profit]]/tbl_MTG_Set[[#This Row],[Play Booster Cost]]</f>
        <v/>
      </c>
      <c r="BI833" s="10">
        <f>tbl_MTG_Set[[#This Row],[Play Singles CardMarket Profit]]&gt;0</f>
        <v/>
      </c>
      <c r="BJ833" s="10" t="n"/>
      <c r="BK833" s="10" t="n"/>
      <c r="BL833" s="10">
        <f>tbl_MTG_Set[[#This Row],[Collector Booster Sell Price CardMarket]]*tbl_MTG_Set[[#This Row],[Collector Booster Expected Market Value]]/tbl_MTG_Set[[#This Row],[Collector Boost Sealed Market Value]]</f>
        <v/>
      </c>
      <c r="BM8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3" s="10">
        <f>tbl_MTG_Set[[#This Row],[Collector Singles CardMarket Profit]]/tbl_MTG_Set[[#This Row],[Collector Booster Cost]]</f>
        <v/>
      </c>
      <c r="BO833" s="10">
        <f>tbl_MTG_Set[[#This Row],[Collector Singles CardMarket Profit]]&gt;0</f>
        <v/>
      </c>
      <c r="BP8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4">
      <c r="A834" t="n">
        <v>832</v>
      </c>
      <c r="B834" t="inlineStr">
        <is>
          <t>Future Sight Promos PFUT</t>
        </is>
      </c>
      <c r="C834" t="n">
        <v>2</v>
      </c>
      <c r="D834" s="3" t="n">
        <v>39206</v>
      </c>
      <c r="F834" t="inlineStr">
        <is>
          <t>en es fr de it pt ja ko ru 汉语 漢語</t>
        </is>
      </c>
      <c r="G834" t="n">
        <v>1610</v>
      </c>
      <c r="H834">
        <f>MONTH(NOW())+12*YEAR(NOW())-MONTH(tbl_MTG_Set[[#This Row],[Released On]])-12*YEAR(tbl_MTG_Set[[#This Row],[Released On]])</f>
        <v/>
      </c>
      <c r="I834">
        <f>_xlfn.XLOOKUP(tbl_MTG_Set[[#This Row],[Type Name]], tbl_MTG_Set_Type[Set Type], tbl_MTG_Set_Type[Index], "(Set Type not found)")</f>
        <v/>
      </c>
      <c r="J834">
        <f>_xlfn.XLOOKUP(tbl_MTG_Set[[#This Row],[Type Name]], tbl_MTG_Set_Type[Set Type], tbl_MTG_Set_Type[Buy Window Month Start], "(Set Type not found)")</f>
        <v/>
      </c>
      <c r="K834" s="3">
        <f>tbl_MTG_Set[[#This Row],[Released On]]+tbl_MTG_Set[[#This Row],[Buy Window Month Start]]*365.25/12</f>
        <v/>
      </c>
      <c r="L834">
        <f>_xlfn.XLOOKUP(tbl_MTG_Set[[#This Row],[Type Name]], tbl_MTG_Set_Type[Set Type], tbl_MTG_Set_Type[Buy Window Month End], "(Set Type not found)", 0, 1)</f>
        <v/>
      </c>
      <c r="M834" s="3">
        <f>tbl_MTG_Set[[#This Row],[Released On]]+tbl_MTG_Set[[#This Row],[Buy Window Month End]]*365.25/12</f>
        <v/>
      </c>
      <c r="N834" s="3">
        <f>AND(NOW()&gt;=tbl_MTG_Set[[#This Row],[Buy Window Start]], NOW()&lt;=tbl_MTG_Set[[#This Row],[Buy Window End]])</f>
        <v/>
      </c>
      <c r="O834">
        <f>_xlfn.XLOOKUP(tbl_MTG_Set[[#This Row],[Type Name]], tbl_MTG_Set_Type[Set Type], tbl_MTG_Set_Type[Heavy Printing Window Month Start], "(Set Type not found)", 0, 1)</f>
        <v/>
      </c>
      <c r="P834" s="3">
        <f>tbl_MTG_Set[[#This Row],[Released On]]+tbl_MTG_Set[[#This Row],[Heavy Printing Window Month Start]]*365.25/12</f>
        <v/>
      </c>
      <c r="Q834">
        <f>_xlfn.XLOOKUP(tbl_MTG_Set[[#This Row],[Type Name]], tbl_MTG_Set_Type[Set Type], tbl_MTG_Set_Type[Heavy Printing Window Month End], "(Set Type not found)", 0, 1)</f>
        <v/>
      </c>
      <c r="R834" s="3">
        <f>tbl_MTG_Set[[#This Row],[Released On]]+tbl_MTG_Set[[#This Row],[Heavy Printing Window Month End]]*365.25/12</f>
        <v/>
      </c>
      <c r="S834" s="3">
        <f>AND(NOW()&gt;=tbl_MTG_Set[[#This Row],[Heavy Printing Window Start]], NOW()&lt;=tbl_MTG_Set[[#This Row],[Heavy Printing Window End]])</f>
        <v/>
      </c>
      <c r="T834">
        <f>_xlfn.XLOOKUP(tbl_MTG_Set[[#This Row],[Type Name]], tbl_MTG_Set_Type[Set Type], tbl_MTG_Set_Type[Sell Window Month Start], "(Set Type not found)", 0, 1)</f>
        <v/>
      </c>
      <c r="U834" s="3">
        <f>tbl_MTG_Set[[#This Row],[Released On]]+tbl_MTG_Set[[#This Row],[Sell Window Month Start]]*365.25/12</f>
        <v/>
      </c>
      <c r="V834">
        <f>_xlfn.XLOOKUP(tbl_MTG_Set[[#This Row],[Type Name]], tbl_MTG_Set_Type[Set Type], tbl_MTG_Set_Type[Sell Window Month End], "(Set Type not found)", 0, 1)</f>
        <v/>
      </c>
      <c r="W834" s="3">
        <f>tbl_MTG_Set[[#This Row],[Released On]]+tbl_MTG_Set[[#This Row],[Sell Window Month End]]*365.25/12</f>
        <v/>
      </c>
      <c r="X834" s="3">
        <f>AND(NOW()&gt;=tbl_MTG_Set[[#This Row],[Sell Window Start]], NOW()&lt;=tbl_MTG_Set[[#This Row],[Sell Window End]])</f>
        <v/>
      </c>
      <c r="AG834" s="10" t="n"/>
      <c r="AH834" s="10" t="n"/>
      <c r="AM834" s="10">
        <f t="array" ref="AM8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4" s="10">
        <f t="array" ref="AN8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4" s="4">
        <f>_xlfn.XLOOKUP(tbl_MTG_Set[[#This Row],[Play Booster Box Product Id]], tbl_Product[Product Id], tbl_Product[Pack Size])</f>
        <v/>
      </c>
      <c r="AP834" s="10">
        <f>(tbl_MTG_Set[[#This Row],[Play Booster Box Cost]]+v_Item_Shipping_Cost_In)/tbl_MTG_Set[[#This Row],[Play Booster Box Size]]</f>
        <v/>
      </c>
      <c r="AQ834" s="10">
        <f t="array" ref="AQ8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4" s="10" t="n"/>
      <c r="AS834" s="10" t="n"/>
      <c r="AT834" s="17">
        <f>tbl_MTG_Set[[#This Row],[Play Booster CardMarket Profit]]/tbl_MTG_Set[[#This Row],[Play Booster Cost]]</f>
        <v/>
      </c>
      <c r="AU834" s="10">
        <f>_xlfn.XLOOKUP(tbl_MTG_Set[[#This Row],[Collector Booster Box Product Id]], tbl_Product[Product Id], tbl_Product[Min Cost])</f>
        <v/>
      </c>
      <c r="AV834" s="10">
        <f>_xlfn.XLOOKUP(tbl_MTG_Set[[#This Row],[Collector Booster Box Product Id]], tbl_Product[Product Id], tbl_Product[Best Source])</f>
        <v/>
      </c>
      <c r="AW834" s="4">
        <f>_xlfn.XLOOKUP(tbl_MTG_Set[[#This Row],[Collector Booster Box Product Id]], tbl_Product[Product Id], tbl_Product[Pack Size])</f>
        <v/>
      </c>
      <c r="AX834" s="10">
        <f>(tbl_MTG_Set[[#This Row],[Collector Booster Box Cost]] + v_Item_Shipping_Cost_In) / tbl_MTG_Set[[#This Row],[Collector Booster Box Size]]</f>
        <v/>
      </c>
      <c r="AY834" s="10">
        <f t="array" ref="AY8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4" s="10" t="n"/>
      <c r="BA8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4" s="17">
        <f>tbl_MTG_Set[[#This Row],[Collector Booster CardMarket Profit]]/tbl_MTG_Set[[#This Row],[Collector Booster Cost]]</f>
        <v/>
      </c>
      <c r="BC834" s="10" t="n"/>
      <c r="BF834" s="10">
        <f>tbl_MTG_Set[[#This Row],[Play Booster Sell Price CardMarket]]*tbl_MTG_Set[[#This Row],[Play Booster Expected Market Value]]/tbl_MTG_Set[[#This Row],[Play Boost Sealed Market Value]]</f>
        <v/>
      </c>
      <c r="BG8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4" s="10">
        <f>tbl_MTG_Set[[#This Row],[Play Singles CardMarket Profit]]/tbl_MTG_Set[[#This Row],[Play Booster Cost]]</f>
        <v/>
      </c>
      <c r="BI834" s="10">
        <f>tbl_MTG_Set[[#This Row],[Play Singles CardMarket Profit]]&gt;0</f>
        <v/>
      </c>
      <c r="BJ834" s="10" t="n"/>
      <c r="BK834" s="10" t="n"/>
      <c r="BL834" s="10">
        <f>tbl_MTG_Set[[#This Row],[Collector Booster Sell Price CardMarket]]*tbl_MTG_Set[[#This Row],[Collector Booster Expected Market Value]]/tbl_MTG_Set[[#This Row],[Collector Boost Sealed Market Value]]</f>
        <v/>
      </c>
      <c r="BM8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4" s="10">
        <f>tbl_MTG_Set[[#This Row],[Collector Singles CardMarket Profit]]/tbl_MTG_Set[[#This Row],[Collector Booster Cost]]</f>
        <v/>
      </c>
      <c r="BO834" s="10">
        <f>tbl_MTG_Set[[#This Row],[Collector Singles CardMarket Profit]]&gt;0</f>
        <v/>
      </c>
      <c r="BP8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5">
      <c r="A835" t="n">
        <v>833</v>
      </c>
      <c r="B835" t="inlineStr">
        <is>
          <t>Grand Prix Promos PGPX</t>
        </is>
      </c>
      <c r="C835" t="n">
        <v>20</v>
      </c>
      <c r="D835" s="3" t="n">
        <v>39137</v>
      </c>
      <c r="F835" t="inlineStr">
        <is>
          <t>en es fr de it pt ja ko ru 汉语 漢語</t>
        </is>
      </c>
      <c r="G835" t="n">
        <v>1612</v>
      </c>
      <c r="H835">
        <f>MONTH(NOW())+12*YEAR(NOW())-MONTH(tbl_MTG_Set[[#This Row],[Released On]])-12*YEAR(tbl_MTG_Set[[#This Row],[Released On]])</f>
        <v/>
      </c>
      <c r="I835">
        <f>_xlfn.XLOOKUP(tbl_MTG_Set[[#This Row],[Type Name]], tbl_MTG_Set_Type[Set Type], tbl_MTG_Set_Type[Index], "(Set Type not found)")</f>
        <v/>
      </c>
      <c r="J835">
        <f>_xlfn.XLOOKUP(tbl_MTG_Set[[#This Row],[Type Name]], tbl_MTG_Set_Type[Set Type], tbl_MTG_Set_Type[Buy Window Month Start], "(Set Type not found)")</f>
        <v/>
      </c>
      <c r="K835" s="3">
        <f>tbl_MTG_Set[[#This Row],[Released On]]+tbl_MTG_Set[[#This Row],[Buy Window Month Start]]*365.25/12</f>
        <v/>
      </c>
      <c r="L835">
        <f>_xlfn.XLOOKUP(tbl_MTG_Set[[#This Row],[Type Name]], tbl_MTG_Set_Type[Set Type], tbl_MTG_Set_Type[Buy Window Month End], "(Set Type not found)", 0, 1)</f>
        <v/>
      </c>
      <c r="M835" s="3">
        <f>tbl_MTG_Set[[#This Row],[Released On]]+tbl_MTG_Set[[#This Row],[Buy Window Month End]]*365.25/12</f>
        <v/>
      </c>
      <c r="N835" s="3">
        <f>AND(NOW()&gt;=tbl_MTG_Set[[#This Row],[Buy Window Start]], NOW()&lt;=tbl_MTG_Set[[#This Row],[Buy Window End]])</f>
        <v/>
      </c>
      <c r="O835">
        <f>_xlfn.XLOOKUP(tbl_MTG_Set[[#This Row],[Type Name]], tbl_MTG_Set_Type[Set Type], tbl_MTG_Set_Type[Heavy Printing Window Month Start], "(Set Type not found)", 0, 1)</f>
        <v/>
      </c>
      <c r="P835" s="3">
        <f>tbl_MTG_Set[[#This Row],[Released On]]+tbl_MTG_Set[[#This Row],[Heavy Printing Window Month Start]]*365.25/12</f>
        <v/>
      </c>
      <c r="Q835">
        <f>_xlfn.XLOOKUP(tbl_MTG_Set[[#This Row],[Type Name]], tbl_MTG_Set_Type[Set Type], tbl_MTG_Set_Type[Heavy Printing Window Month End], "(Set Type not found)", 0, 1)</f>
        <v/>
      </c>
      <c r="R835" s="3">
        <f>tbl_MTG_Set[[#This Row],[Released On]]+tbl_MTG_Set[[#This Row],[Heavy Printing Window Month End]]*365.25/12</f>
        <v/>
      </c>
      <c r="S835" s="3">
        <f>AND(NOW()&gt;=tbl_MTG_Set[[#This Row],[Heavy Printing Window Start]], NOW()&lt;=tbl_MTG_Set[[#This Row],[Heavy Printing Window End]])</f>
        <v/>
      </c>
      <c r="T835">
        <f>_xlfn.XLOOKUP(tbl_MTG_Set[[#This Row],[Type Name]], tbl_MTG_Set_Type[Set Type], tbl_MTG_Set_Type[Sell Window Month Start], "(Set Type not found)", 0, 1)</f>
        <v/>
      </c>
      <c r="U835" s="3">
        <f>tbl_MTG_Set[[#This Row],[Released On]]+tbl_MTG_Set[[#This Row],[Sell Window Month Start]]*365.25/12</f>
        <v/>
      </c>
      <c r="V835">
        <f>_xlfn.XLOOKUP(tbl_MTG_Set[[#This Row],[Type Name]], tbl_MTG_Set_Type[Set Type], tbl_MTG_Set_Type[Sell Window Month End], "(Set Type not found)", 0, 1)</f>
        <v/>
      </c>
      <c r="W835" s="3">
        <f>tbl_MTG_Set[[#This Row],[Released On]]+tbl_MTG_Set[[#This Row],[Sell Window Month End]]*365.25/12</f>
        <v/>
      </c>
      <c r="X835" s="3">
        <f>AND(NOW()&gt;=tbl_MTG_Set[[#This Row],[Sell Window Start]], NOW()&lt;=tbl_MTG_Set[[#This Row],[Sell Window End]])</f>
        <v/>
      </c>
      <c r="AG835" s="10" t="n"/>
      <c r="AH835" s="10" t="n"/>
      <c r="AM835" s="10">
        <f t="array" ref="AM8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5" s="10">
        <f t="array" ref="AN8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5" s="4">
        <f>_xlfn.XLOOKUP(tbl_MTG_Set[[#This Row],[Play Booster Box Product Id]], tbl_Product[Product Id], tbl_Product[Pack Size])</f>
        <v/>
      </c>
      <c r="AP835" s="10">
        <f>(tbl_MTG_Set[[#This Row],[Play Booster Box Cost]]+v_Item_Shipping_Cost_In)/tbl_MTG_Set[[#This Row],[Play Booster Box Size]]</f>
        <v/>
      </c>
      <c r="AQ835" s="10">
        <f t="array" ref="AQ8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5" s="10" t="n"/>
      <c r="AS835" s="10" t="n"/>
      <c r="AT835" s="17">
        <f>tbl_MTG_Set[[#This Row],[Play Booster CardMarket Profit]]/tbl_MTG_Set[[#This Row],[Play Booster Cost]]</f>
        <v/>
      </c>
      <c r="AU835" s="10">
        <f>_xlfn.XLOOKUP(tbl_MTG_Set[[#This Row],[Collector Booster Box Product Id]], tbl_Product[Product Id], tbl_Product[Min Cost])</f>
        <v/>
      </c>
      <c r="AV835" s="10">
        <f>_xlfn.XLOOKUP(tbl_MTG_Set[[#This Row],[Collector Booster Box Product Id]], tbl_Product[Product Id], tbl_Product[Best Source])</f>
        <v/>
      </c>
      <c r="AW835" s="4">
        <f>_xlfn.XLOOKUP(tbl_MTG_Set[[#This Row],[Collector Booster Box Product Id]], tbl_Product[Product Id], tbl_Product[Pack Size])</f>
        <v/>
      </c>
      <c r="AX835" s="10">
        <f>(tbl_MTG_Set[[#This Row],[Collector Booster Box Cost]] + v_Item_Shipping_Cost_In) / tbl_MTG_Set[[#This Row],[Collector Booster Box Size]]</f>
        <v/>
      </c>
      <c r="AY835" s="10">
        <f t="array" ref="AY8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5" s="10" t="n"/>
      <c r="BA8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5" s="17">
        <f>tbl_MTG_Set[[#This Row],[Collector Booster CardMarket Profit]]/tbl_MTG_Set[[#This Row],[Collector Booster Cost]]</f>
        <v/>
      </c>
      <c r="BC835" s="10" t="n"/>
      <c r="BF835" s="10">
        <f>tbl_MTG_Set[[#This Row],[Play Booster Sell Price CardMarket]]*tbl_MTG_Set[[#This Row],[Play Booster Expected Market Value]]/tbl_MTG_Set[[#This Row],[Play Boost Sealed Market Value]]</f>
        <v/>
      </c>
      <c r="BG8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5" s="10">
        <f>tbl_MTG_Set[[#This Row],[Play Singles CardMarket Profit]]/tbl_MTG_Set[[#This Row],[Play Booster Cost]]</f>
        <v/>
      </c>
      <c r="BI835" s="10">
        <f>tbl_MTG_Set[[#This Row],[Play Singles CardMarket Profit]]&gt;0</f>
        <v/>
      </c>
      <c r="BJ835" s="10" t="n"/>
      <c r="BK835" s="10" t="n"/>
      <c r="BL835" s="10">
        <f>tbl_MTG_Set[[#This Row],[Collector Booster Sell Price CardMarket]]*tbl_MTG_Set[[#This Row],[Collector Booster Expected Market Value]]/tbl_MTG_Set[[#This Row],[Collector Boost Sealed Market Value]]</f>
        <v/>
      </c>
      <c r="BM8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5" s="10">
        <f>tbl_MTG_Set[[#This Row],[Collector Singles CardMarket Profit]]/tbl_MTG_Set[[#This Row],[Collector Booster Cost]]</f>
        <v/>
      </c>
      <c r="BO835" s="10">
        <f>tbl_MTG_Set[[#This Row],[Collector Singles CardMarket Profit]]&gt;0</f>
        <v/>
      </c>
      <c r="BP8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6">
      <c r="A836" t="n">
        <v>834</v>
      </c>
      <c r="B836" t="inlineStr">
        <is>
          <t>Pro Tour Promos PPRO</t>
        </is>
      </c>
      <c r="C836" t="n">
        <v>17</v>
      </c>
      <c r="D836" s="3" t="n">
        <v>39122</v>
      </c>
      <c r="F836" t="inlineStr">
        <is>
          <t>en es fr de it pt ja ko ru 汉语 漢語</t>
        </is>
      </c>
      <c r="G836" t="n">
        <v>1614</v>
      </c>
      <c r="H836">
        <f>MONTH(NOW())+12*YEAR(NOW())-MONTH(tbl_MTG_Set[[#This Row],[Released On]])-12*YEAR(tbl_MTG_Set[[#This Row],[Released On]])</f>
        <v/>
      </c>
      <c r="I836">
        <f>_xlfn.XLOOKUP(tbl_MTG_Set[[#This Row],[Type Name]], tbl_MTG_Set_Type[Set Type], tbl_MTG_Set_Type[Index], "(Set Type not found)")</f>
        <v/>
      </c>
      <c r="J836">
        <f>_xlfn.XLOOKUP(tbl_MTG_Set[[#This Row],[Type Name]], tbl_MTG_Set_Type[Set Type], tbl_MTG_Set_Type[Buy Window Month Start], "(Set Type not found)")</f>
        <v/>
      </c>
      <c r="K836" s="3">
        <f>tbl_MTG_Set[[#This Row],[Released On]]+tbl_MTG_Set[[#This Row],[Buy Window Month Start]]*365.25/12</f>
        <v/>
      </c>
      <c r="L836">
        <f>_xlfn.XLOOKUP(tbl_MTG_Set[[#This Row],[Type Name]], tbl_MTG_Set_Type[Set Type], tbl_MTG_Set_Type[Buy Window Month End], "(Set Type not found)", 0, 1)</f>
        <v/>
      </c>
      <c r="M836" s="3">
        <f>tbl_MTG_Set[[#This Row],[Released On]]+tbl_MTG_Set[[#This Row],[Buy Window Month End]]*365.25/12</f>
        <v/>
      </c>
      <c r="N836" s="3">
        <f>AND(NOW()&gt;=tbl_MTG_Set[[#This Row],[Buy Window Start]], NOW()&lt;=tbl_MTG_Set[[#This Row],[Buy Window End]])</f>
        <v/>
      </c>
      <c r="O836">
        <f>_xlfn.XLOOKUP(tbl_MTG_Set[[#This Row],[Type Name]], tbl_MTG_Set_Type[Set Type], tbl_MTG_Set_Type[Heavy Printing Window Month Start], "(Set Type not found)", 0, 1)</f>
        <v/>
      </c>
      <c r="P836" s="3">
        <f>tbl_MTG_Set[[#This Row],[Released On]]+tbl_MTG_Set[[#This Row],[Heavy Printing Window Month Start]]*365.25/12</f>
        <v/>
      </c>
      <c r="Q836">
        <f>_xlfn.XLOOKUP(tbl_MTG_Set[[#This Row],[Type Name]], tbl_MTG_Set_Type[Set Type], tbl_MTG_Set_Type[Heavy Printing Window Month End], "(Set Type not found)", 0, 1)</f>
        <v/>
      </c>
      <c r="R836" s="3">
        <f>tbl_MTG_Set[[#This Row],[Released On]]+tbl_MTG_Set[[#This Row],[Heavy Printing Window Month End]]*365.25/12</f>
        <v/>
      </c>
      <c r="S836" s="3">
        <f>AND(NOW()&gt;=tbl_MTG_Set[[#This Row],[Heavy Printing Window Start]], NOW()&lt;=tbl_MTG_Set[[#This Row],[Heavy Printing Window End]])</f>
        <v/>
      </c>
      <c r="T836">
        <f>_xlfn.XLOOKUP(tbl_MTG_Set[[#This Row],[Type Name]], tbl_MTG_Set_Type[Set Type], tbl_MTG_Set_Type[Sell Window Month Start], "(Set Type not found)", 0, 1)</f>
        <v/>
      </c>
      <c r="U836" s="3">
        <f>tbl_MTG_Set[[#This Row],[Released On]]+tbl_MTG_Set[[#This Row],[Sell Window Month Start]]*365.25/12</f>
        <v/>
      </c>
      <c r="V836">
        <f>_xlfn.XLOOKUP(tbl_MTG_Set[[#This Row],[Type Name]], tbl_MTG_Set_Type[Set Type], tbl_MTG_Set_Type[Sell Window Month End], "(Set Type not found)", 0, 1)</f>
        <v/>
      </c>
      <c r="W836" s="3">
        <f>tbl_MTG_Set[[#This Row],[Released On]]+tbl_MTG_Set[[#This Row],[Sell Window Month End]]*365.25/12</f>
        <v/>
      </c>
      <c r="X836" s="3">
        <f>AND(NOW()&gt;=tbl_MTG_Set[[#This Row],[Sell Window Start]], NOW()&lt;=tbl_MTG_Set[[#This Row],[Sell Window End]])</f>
        <v/>
      </c>
      <c r="AG836" s="10" t="n"/>
      <c r="AH836" s="10" t="n"/>
      <c r="AM836" s="10">
        <f t="array" ref="AM8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6" s="10">
        <f t="array" ref="AN8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6" s="4">
        <f>_xlfn.XLOOKUP(tbl_MTG_Set[[#This Row],[Play Booster Box Product Id]], tbl_Product[Product Id], tbl_Product[Pack Size])</f>
        <v/>
      </c>
      <c r="AP836" s="10">
        <f>(tbl_MTG_Set[[#This Row],[Play Booster Box Cost]]+v_Item_Shipping_Cost_In)/tbl_MTG_Set[[#This Row],[Play Booster Box Size]]</f>
        <v/>
      </c>
      <c r="AQ836" s="10">
        <f t="array" ref="AQ8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6" s="10" t="n"/>
      <c r="AS836" s="10" t="n"/>
      <c r="AT836" s="17">
        <f>tbl_MTG_Set[[#This Row],[Play Booster CardMarket Profit]]/tbl_MTG_Set[[#This Row],[Play Booster Cost]]</f>
        <v/>
      </c>
      <c r="AU836" s="10">
        <f>_xlfn.XLOOKUP(tbl_MTG_Set[[#This Row],[Collector Booster Box Product Id]], tbl_Product[Product Id], tbl_Product[Min Cost])</f>
        <v/>
      </c>
      <c r="AV836" s="10">
        <f>_xlfn.XLOOKUP(tbl_MTG_Set[[#This Row],[Collector Booster Box Product Id]], tbl_Product[Product Id], tbl_Product[Best Source])</f>
        <v/>
      </c>
      <c r="AW836" s="4">
        <f>_xlfn.XLOOKUP(tbl_MTG_Set[[#This Row],[Collector Booster Box Product Id]], tbl_Product[Product Id], tbl_Product[Pack Size])</f>
        <v/>
      </c>
      <c r="AX836" s="10">
        <f>(tbl_MTG_Set[[#This Row],[Collector Booster Box Cost]] + v_Item_Shipping_Cost_In) / tbl_MTG_Set[[#This Row],[Collector Booster Box Size]]</f>
        <v/>
      </c>
      <c r="AY836" s="10">
        <f t="array" ref="AY8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6" s="10" t="n"/>
      <c r="BA8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6" s="17">
        <f>tbl_MTG_Set[[#This Row],[Collector Booster CardMarket Profit]]/tbl_MTG_Set[[#This Row],[Collector Booster Cost]]</f>
        <v/>
      </c>
      <c r="BC836" s="10" t="n"/>
      <c r="BF836" s="10">
        <f>tbl_MTG_Set[[#This Row],[Play Booster Sell Price CardMarket]]*tbl_MTG_Set[[#This Row],[Play Booster Expected Market Value]]/tbl_MTG_Set[[#This Row],[Play Boost Sealed Market Value]]</f>
        <v/>
      </c>
      <c r="BG8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6" s="10">
        <f>tbl_MTG_Set[[#This Row],[Play Singles CardMarket Profit]]/tbl_MTG_Set[[#This Row],[Play Booster Cost]]</f>
        <v/>
      </c>
      <c r="BI836" s="10">
        <f>tbl_MTG_Set[[#This Row],[Play Singles CardMarket Profit]]&gt;0</f>
        <v/>
      </c>
      <c r="BJ836" s="10" t="n"/>
      <c r="BK836" s="10" t="n"/>
      <c r="BL836" s="10">
        <f>tbl_MTG_Set[[#This Row],[Collector Booster Sell Price CardMarket]]*tbl_MTG_Set[[#This Row],[Collector Booster Expected Market Value]]/tbl_MTG_Set[[#This Row],[Collector Boost Sealed Market Value]]</f>
        <v/>
      </c>
      <c r="BM8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6" s="10">
        <f>tbl_MTG_Set[[#This Row],[Collector Singles CardMarket Profit]]/tbl_MTG_Set[[#This Row],[Collector Booster Cost]]</f>
        <v/>
      </c>
      <c r="BO836" s="10">
        <f>tbl_MTG_Set[[#This Row],[Collector Singles CardMarket Profit]]&gt;0</f>
        <v/>
      </c>
      <c r="BP8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7">
      <c r="A837" t="n">
        <v>835</v>
      </c>
      <c r="B837" t="inlineStr">
        <is>
          <t>Planar Chaos PLC</t>
        </is>
      </c>
      <c r="C837" t="n">
        <v>165</v>
      </c>
      <c r="D837" s="3" t="n">
        <v>39115</v>
      </c>
      <c r="F837" t="inlineStr">
        <is>
          <t>en es fr de it pt ja ko ru 汉语 漢語</t>
        </is>
      </c>
      <c r="G837" t="n">
        <v>1616</v>
      </c>
      <c r="H837">
        <f>MONTH(NOW())+12*YEAR(NOW())-MONTH(tbl_MTG_Set[[#This Row],[Released On]])-12*YEAR(tbl_MTG_Set[[#This Row],[Released On]])</f>
        <v/>
      </c>
      <c r="I837">
        <f>_xlfn.XLOOKUP(tbl_MTG_Set[[#This Row],[Type Name]], tbl_MTG_Set_Type[Set Type], tbl_MTG_Set_Type[Index], "(Set Type not found)")</f>
        <v/>
      </c>
      <c r="J837">
        <f>_xlfn.XLOOKUP(tbl_MTG_Set[[#This Row],[Type Name]], tbl_MTG_Set_Type[Set Type], tbl_MTG_Set_Type[Buy Window Month Start], "(Set Type not found)")</f>
        <v/>
      </c>
      <c r="K837" s="3">
        <f>tbl_MTG_Set[[#This Row],[Released On]]+tbl_MTG_Set[[#This Row],[Buy Window Month Start]]*365.25/12</f>
        <v/>
      </c>
      <c r="L837">
        <f>_xlfn.XLOOKUP(tbl_MTG_Set[[#This Row],[Type Name]], tbl_MTG_Set_Type[Set Type], tbl_MTG_Set_Type[Buy Window Month End], "(Set Type not found)", 0, 1)</f>
        <v/>
      </c>
      <c r="M837" s="3">
        <f>tbl_MTG_Set[[#This Row],[Released On]]+tbl_MTG_Set[[#This Row],[Buy Window Month End]]*365.25/12</f>
        <v/>
      </c>
      <c r="N837" s="3">
        <f>AND(NOW()&gt;=tbl_MTG_Set[[#This Row],[Buy Window Start]], NOW()&lt;=tbl_MTG_Set[[#This Row],[Buy Window End]])</f>
        <v/>
      </c>
      <c r="O837">
        <f>_xlfn.XLOOKUP(tbl_MTG_Set[[#This Row],[Type Name]], tbl_MTG_Set_Type[Set Type], tbl_MTG_Set_Type[Heavy Printing Window Month Start], "(Set Type not found)", 0, 1)</f>
        <v/>
      </c>
      <c r="P837" s="3">
        <f>tbl_MTG_Set[[#This Row],[Released On]]+tbl_MTG_Set[[#This Row],[Heavy Printing Window Month Start]]*365.25/12</f>
        <v/>
      </c>
      <c r="Q837">
        <f>_xlfn.XLOOKUP(tbl_MTG_Set[[#This Row],[Type Name]], tbl_MTG_Set_Type[Set Type], tbl_MTG_Set_Type[Heavy Printing Window Month End], "(Set Type not found)", 0, 1)</f>
        <v/>
      </c>
      <c r="R837" s="3">
        <f>tbl_MTG_Set[[#This Row],[Released On]]+tbl_MTG_Set[[#This Row],[Heavy Printing Window Month End]]*365.25/12</f>
        <v/>
      </c>
      <c r="S837" s="3">
        <f>AND(NOW()&gt;=tbl_MTG_Set[[#This Row],[Heavy Printing Window Start]], NOW()&lt;=tbl_MTG_Set[[#This Row],[Heavy Printing Window End]])</f>
        <v/>
      </c>
      <c r="T837">
        <f>_xlfn.XLOOKUP(tbl_MTG_Set[[#This Row],[Type Name]], tbl_MTG_Set_Type[Set Type], tbl_MTG_Set_Type[Sell Window Month Start], "(Set Type not found)", 0, 1)</f>
        <v/>
      </c>
      <c r="U837" s="3">
        <f>tbl_MTG_Set[[#This Row],[Released On]]+tbl_MTG_Set[[#This Row],[Sell Window Month Start]]*365.25/12</f>
        <v/>
      </c>
      <c r="V837">
        <f>_xlfn.XLOOKUP(tbl_MTG_Set[[#This Row],[Type Name]], tbl_MTG_Set_Type[Set Type], tbl_MTG_Set_Type[Sell Window Month End], "(Set Type not found)", 0, 1)</f>
        <v/>
      </c>
      <c r="W837" s="3">
        <f>tbl_MTG_Set[[#This Row],[Released On]]+tbl_MTG_Set[[#This Row],[Sell Window Month End]]*365.25/12</f>
        <v/>
      </c>
      <c r="X837" s="3">
        <f>AND(NOW()&gt;=tbl_MTG_Set[[#This Row],[Sell Window Start]], NOW()&lt;=tbl_MTG_Set[[#This Row],[Sell Window End]])</f>
        <v/>
      </c>
      <c r="AG837" s="10" t="n"/>
      <c r="AH837" s="10" t="n"/>
      <c r="AM837" s="10">
        <f t="array" ref="AM8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7" s="10">
        <f t="array" ref="AN8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7" s="4">
        <f>_xlfn.XLOOKUP(tbl_MTG_Set[[#This Row],[Play Booster Box Product Id]], tbl_Product[Product Id], tbl_Product[Pack Size])</f>
        <v/>
      </c>
      <c r="AP837" s="10">
        <f>(tbl_MTG_Set[[#This Row],[Play Booster Box Cost]]+v_Item_Shipping_Cost_In)/tbl_MTG_Set[[#This Row],[Play Booster Box Size]]</f>
        <v/>
      </c>
      <c r="AQ837" s="10">
        <f t="array" ref="AQ8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7" s="10" t="n"/>
      <c r="AS837" s="10" t="n"/>
      <c r="AT837" s="17">
        <f>tbl_MTG_Set[[#This Row],[Play Booster CardMarket Profit]]/tbl_MTG_Set[[#This Row],[Play Booster Cost]]</f>
        <v/>
      </c>
      <c r="AU837" s="10">
        <f>_xlfn.XLOOKUP(tbl_MTG_Set[[#This Row],[Collector Booster Box Product Id]], tbl_Product[Product Id], tbl_Product[Min Cost])</f>
        <v/>
      </c>
      <c r="AV837" s="10">
        <f>_xlfn.XLOOKUP(tbl_MTG_Set[[#This Row],[Collector Booster Box Product Id]], tbl_Product[Product Id], tbl_Product[Best Source])</f>
        <v/>
      </c>
      <c r="AW837" s="4">
        <f>_xlfn.XLOOKUP(tbl_MTG_Set[[#This Row],[Collector Booster Box Product Id]], tbl_Product[Product Id], tbl_Product[Pack Size])</f>
        <v/>
      </c>
      <c r="AX837" s="10">
        <f>(tbl_MTG_Set[[#This Row],[Collector Booster Box Cost]] + v_Item_Shipping_Cost_In) / tbl_MTG_Set[[#This Row],[Collector Booster Box Size]]</f>
        <v/>
      </c>
      <c r="AY837" s="10">
        <f t="array" ref="AY8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7" s="10" t="n"/>
      <c r="BA8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7" s="17">
        <f>tbl_MTG_Set[[#This Row],[Collector Booster CardMarket Profit]]/tbl_MTG_Set[[#This Row],[Collector Booster Cost]]</f>
        <v/>
      </c>
      <c r="BC837" s="10" t="n"/>
      <c r="BF837" s="10">
        <f>tbl_MTG_Set[[#This Row],[Play Booster Sell Price CardMarket]]*tbl_MTG_Set[[#This Row],[Play Booster Expected Market Value]]/tbl_MTG_Set[[#This Row],[Play Boost Sealed Market Value]]</f>
        <v/>
      </c>
      <c r="BG8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7" s="10">
        <f>tbl_MTG_Set[[#This Row],[Play Singles CardMarket Profit]]/tbl_MTG_Set[[#This Row],[Play Booster Cost]]</f>
        <v/>
      </c>
      <c r="BI837" s="10">
        <f>tbl_MTG_Set[[#This Row],[Play Singles CardMarket Profit]]&gt;0</f>
        <v/>
      </c>
      <c r="BJ837" s="10" t="n"/>
      <c r="BK837" s="10" t="n"/>
      <c r="BL837" s="10">
        <f>tbl_MTG_Set[[#This Row],[Collector Booster Sell Price CardMarket]]*tbl_MTG_Set[[#This Row],[Collector Booster Expected Market Value]]/tbl_MTG_Set[[#This Row],[Collector Boost Sealed Market Value]]</f>
        <v/>
      </c>
      <c r="BM8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7" s="10">
        <f>tbl_MTG_Set[[#This Row],[Collector Singles CardMarket Profit]]/tbl_MTG_Set[[#This Row],[Collector Booster Cost]]</f>
        <v/>
      </c>
      <c r="BO837" s="10">
        <f>tbl_MTG_Set[[#This Row],[Collector Singles CardMarket Profit]]&gt;0</f>
        <v/>
      </c>
      <c r="BP8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8">
      <c r="A838" t="n">
        <v>836</v>
      </c>
      <c r="B838" t="inlineStr">
        <is>
          <t>Planar Chaos Promos PPLC</t>
        </is>
      </c>
      <c r="C838" t="n">
        <v>2</v>
      </c>
      <c r="D838" s="3" t="n">
        <v>39115</v>
      </c>
      <c r="F838" t="inlineStr">
        <is>
          <t>en es fr de it pt ja ko ru 汉语 漢語</t>
        </is>
      </c>
      <c r="G838" t="n">
        <v>1618</v>
      </c>
      <c r="H838">
        <f>MONTH(NOW())+12*YEAR(NOW())-MONTH(tbl_MTG_Set[[#This Row],[Released On]])-12*YEAR(tbl_MTG_Set[[#This Row],[Released On]])</f>
        <v/>
      </c>
      <c r="I838">
        <f>_xlfn.XLOOKUP(tbl_MTG_Set[[#This Row],[Type Name]], tbl_MTG_Set_Type[Set Type], tbl_MTG_Set_Type[Index], "(Set Type not found)")</f>
        <v/>
      </c>
      <c r="J838">
        <f>_xlfn.XLOOKUP(tbl_MTG_Set[[#This Row],[Type Name]], tbl_MTG_Set_Type[Set Type], tbl_MTG_Set_Type[Buy Window Month Start], "(Set Type not found)")</f>
        <v/>
      </c>
      <c r="K838" s="3">
        <f>tbl_MTG_Set[[#This Row],[Released On]]+tbl_MTG_Set[[#This Row],[Buy Window Month Start]]*365.25/12</f>
        <v/>
      </c>
      <c r="L838">
        <f>_xlfn.XLOOKUP(tbl_MTG_Set[[#This Row],[Type Name]], tbl_MTG_Set_Type[Set Type], tbl_MTG_Set_Type[Buy Window Month End], "(Set Type not found)", 0, 1)</f>
        <v/>
      </c>
      <c r="M838" s="3">
        <f>tbl_MTG_Set[[#This Row],[Released On]]+tbl_MTG_Set[[#This Row],[Buy Window Month End]]*365.25/12</f>
        <v/>
      </c>
      <c r="N838" s="3">
        <f>AND(NOW()&gt;=tbl_MTG_Set[[#This Row],[Buy Window Start]], NOW()&lt;=tbl_MTG_Set[[#This Row],[Buy Window End]])</f>
        <v/>
      </c>
      <c r="O838">
        <f>_xlfn.XLOOKUP(tbl_MTG_Set[[#This Row],[Type Name]], tbl_MTG_Set_Type[Set Type], tbl_MTG_Set_Type[Heavy Printing Window Month Start], "(Set Type not found)", 0, 1)</f>
        <v/>
      </c>
      <c r="P838" s="3">
        <f>tbl_MTG_Set[[#This Row],[Released On]]+tbl_MTG_Set[[#This Row],[Heavy Printing Window Month Start]]*365.25/12</f>
        <v/>
      </c>
      <c r="Q838">
        <f>_xlfn.XLOOKUP(tbl_MTG_Set[[#This Row],[Type Name]], tbl_MTG_Set_Type[Set Type], tbl_MTG_Set_Type[Heavy Printing Window Month End], "(Set Type not found)", 0, 1)</f>
        <v/>
      </c>
      <c r="R838" s="3">
        <f>tbl_MTG_Set[[#This Row],[Released On]]+tbl_MTG_Set[[#This Row],[Heavy Printing Window Month End]]*365.25/12</f>
        <v/>
      </c>
      <c r="S838" s="3">
        <f>AND(NOW()&gt;=tbl_MTG_Set[[#This Row],[Heavy Printing Window Start]], NOW()&lt;=tbl_MTG_Set[[#This Row],[Heavy Printing Window End]])</f>
        <v/>
      </c>
      <c r="T838">
        <f>_xlfn.XLOOKUP(tbl_MTG_Set[[#This Row],[Type Name]], tbl_MTG_Set_Type[Set Type], tbl_MTG_Set_Type[Sell Window Month Start], "(Set Type not found)", 0, 1)</f>
        <v/>
      </c>
      <c r="U838" s="3">
        <f>tbl_MTG_Set[[#This Row],[Released On]]+tbl_MTG_Set[[#This Row],[Sell Window Month Start]]*365.25/12</f>
        <v/>
      </c>
      <c r="V838">
        <f>_xlfn.XLOOKUP(tbl_MTG_Set[[#This Row],[Type Name]], tbl_MTG_Set_Type[Set Type], tbl_MTG_Set_Type[Sell Window Month End], "(Set Type not found)", 0, 1)</f>
        <v/>
      </c>
      <c r="W838" s="3">
        <f>tbl_MTG_Set[[#This Row],[Released On]]+tbl_MTG_Set[[#This Row],[Sell Window Month End]]*365.25/12</f>
        <v/>
      </c>
      <c r="X838" s="3">
        <f>AND(NOW()&gt;=tbl_MTG_Set[[#This Row],[Sell Window Start]], NOW()&lt;=tbl_MTG_Set[[#This Row],[Sell Window End]])</f>
        <v/>
      </c>
      <c r="AG838" s="10" t="n"/>
      <c r="AH838" s="10" t="n"/>
      <c r="AM838" s="10">
        <f t="array" ref="AM8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8" s="10">
        <f t="array" ref="AN8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8" s="4">
        <f>_xlfn.XLOOKUP(tbl_MTG_Set[[#This Row],[Play Booster Box Product Id]], tbl_Product[Product Id], tbl_Product[Pack Size])</f>
        <v/>
      </c>
      <c r="AP838" s="10">
        <f>(tbl_MTG_Set[[#This Row],[Play Booster Box Cost]]+v_Item_Shipping_Cost_In)/tbl_MTG_Set[[#This Row],[Play Booster Box Size]]</f>
        <v/>
      </c>
      <c r="AQ838" s="10">
        <f t="array" ref="AQ8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8" s="10" t="n"/>
      <c r="AS838" s="10" t="n"/>
      <c r="AT838" s="17">
        <f>tbl_MTG_Set[[#This Row],[Play Booster CardMarket Profit]]/tbl_MTG_Set[[#This Row],[Play Booster Cost]]</f>
        <v/>
      </c>
      <c r="AU838" s="10">
        <f>_xlfn.XLOOKUP(tbl_MTG_Set[[#This Row],[Collector Booster Box Product Id]], tbl_Product[Product Id], tbl_Product[Min Cost])</f>
        <v/>
      </c>
      <c r="AV838" s="10">
        <f>_xlfn.XLOOKUP(tbl_MTG_Set[[#This Row],[Collector Booster Box Product Id]], tbl_Product[Product Id], tbl_Product[Best Source])</f>
        <v/>
      </c>
      <c r="AW838" s="4">
        <f>_xlfn.XLOOKUP(tbl_MTG_Set[[#This Row],[Collector Booster Box Product Id]], tbl_Product[Product Id], tbl_Product[Pack Size])</f>
        <v/>
      </c>
      <c r="AX838" s="10">
        <f>(tbl_MTG_Set[[#This Row],[Collector Booster Box Cost]] + v_Item_Shipping_Cost_In) / tbl_MTG_Set[[#This Row],[Collector Booster Box Size]]</f>
        <v/>
      </c>
      <c r="AY838" s="10">
        <f t="array" ref="AY8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8" s="10" t="n"/>
      <c r="BA8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8" s="17">
        <f>tbl_MTG_Set[[#This Row],[Collector Booster CardMarket Profit]]/tbl_MTG_Set[[#This Row],[Collector Booster Cost]]</f>
        <v/>
      </c>
      <c r="BC838" s="10" t="n"/>
      <c r="BF838" s="10">
        <f>tbl_MTG_Set[[#This Row],[Play Booster Sell Price CardMarket]]*tbl_MTG_Set[[#This Row],[Play Booster Expected Market Value]]/tbl_MTG_Set[[#This Row],[Play Boost Sealed Market Value]]</f>
        <v/>
      </c>
      <c r="BG8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8" s="10">
        <f>tbl_MTG_Set[[#This Row],[Play Singles CardMarket Profit]]/tbl_MTG_Set[[#This Row],[Play Booster Cost]]</f>
        <v/>
      </c>
      <c r="BI838" s="10">
        <f>tbl_MTG_Set[[#This Row],[Play Singles CardMarket Profit]]&gt;0</f>
        <v/>
      </c>
      <c r="BJ838" s="10" t="n"/>
      <c r="BK838" s="10" t="n"/>
      <c r="BL838" s="10">
        <f>tbl_MTG_Set[[#This Row],[Collector Booster Sell Price CardMarket]]*tbl_MTG_Set[[#This Row],[Collector Booster Expected Market Value]]/tbl_MTG_Set[[#This Row],[Collector Boost Sealed Market Value]]</f>
        <v/>
      </c>
      <c r="BM8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8" s="10">
        <f>tbl_MTG_Set[[#This Row],[Collector Singles CardMarket Profit]]/tbl_MTG_Set[[#This Row],[Collector Booster Cost]]</f>
        <v/>
      </c>
      <c r="BO838" s="10">
        <f>tbl_MTG_Set[[#This Row],[Collector Singles CardMarket Profit]]&gt;0</f>
        <v/>
      </c>
      <c r="BP8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9">
      <c r="A839" t="n">
        <v>837</v>
      </c>
      <c r="B839" t="inlineStr">
        <is>
          <t>Magic Premiere Shop 2007 PMPS07</t>
        </is>
      </c>
      <c r="C839" t="n">
        <v>5</v>
      </c>
      <c r="D839" s="3" t="n">
        <v>39083</v>
      </c>
      <c r="F839" t="inlineStr">
        <is>
          <t>en es fr de it pt ja ko ru 汉语 漢語</t>
        </is>
      </c>
      <c r="G839" t="n">
        <v>1620</v>
      </c>
      <c r="H839">
        <f>MONTH(NOW())+12*YEAR(NOW())-MONTH(tbl_MTG_Set[[#This Row],[Released On]])-12*YEAR(tbl_MTG_Set[[#This Row],[Released On]])</f>
        <v/>
      </c>
      <c r="I839">
        <f>_xlfn.XLOOKUP(tbl_MTG_Set[[#This Row],[Type Name]], tbl_MTG_Set_Type[Set Type], tbl_MTG_Set_Type[Index], "(Set Type not found)")</f>
        <v/>
      </c>
      <c r="J839">
        <f>_xlfn.XLOOKUP(tbl_MTG_Set[[#This Row],[Type Name]], tbl_MTG_Set_Type[Set Type], tbl_MTG_Set_Type[Buy Window Month Start], "(Set Type not found)")</f>
        <v/>
      </c>
      <c r="K839" s="3">
        <f>tbl_MTG_Set[[#This Row],[Released On]]+tbl_MTG_Set[[#This Row],[Buy Window Month Start]]*365.25/12</f>
        <v/>
      </c>
      <c r="L839">
        <f>_xlfn.XLOOKUP(tbl_MTG_Set[[#This Row],[Type Name]], tbl_MTG_Set_Type[Set Type], tbl_MTG_Set_Type[Buy Window Month End], "(Set Type not found)", 0, 1)</f>
        <v/>
      </c>
      <c r="M839" s="3">
        <f>tbl_MTG_Set[[#This Row],[Released On]]+tbl_MTG_Set[[#This Row],[Buy Window Month End]]*365.25/12</f>
        <v/>
      </c>
      <c r="N839" s="3">
        <f>AND(NOW()&gt;=tbl_MTG_Set[[#This Row],[Buy Window Start]], NOW()&lt;=tbl_MTG_Set[[#This Row],[Buy Window End]])</f>
        <v/>
      </c>
      <c r="O839">
        <f>_xlfn.XLOOKUP(tbl_MTG_Set[[#This Row],[Type Name]], tbl_MTG_Set_Type[Set Type], tbl_MTG_Set_Type[Heavy Printing Window Month Start], "(Set Type not found)", 0, 1)</f>
        <v/>
      </c>
      <c r="P839" s="3">
        <f>tbl_MTG_Set[[#This Row],[Released On]]+tbl_MTG_Set[[#This Row],[Heavy Printing Window Month Start]]*365.25/12</f>
        <v/>
      </c>
      <c r="Q839">
        <f>_xlfn.XLOOKUP(tbl_MTG_Set[[#This Row],[Type Name]], tbl_MTG_Set_Type[Set Type], tbl_MTG_Set_Type[Heavy Printing Window Month End], "(Set Type not found)", 0, 1)</f>
        <v/>
      </c>
      <c r="R839" s="3">
        <f>tbl_MTG_Set[[#This Row],[Released On]]+tbl_MTG_Set[[#This Row],[Heavy Printing Window Month End]]*365.25/12</f>
        <v/>
      </c>
      <c r="S839" s="3">
        <f>AND(NOW()&gt;=tbl_MTG_Set[[#This Row],[Heavy Printing Window Start]], NOW()&lt;=tbl_MTG_Set[[#This Row],[Heavy Printing Window End]])</f>
        <v/>
      </c>
      <c r="T839">
        <f>_xlfn.XLOOKUP(tbl_MTG_Set[[#This Row],[Type Name]], tbl_MTG_Set_Type[Set Type], tbl_MTG_Set_Type[Sell Window Month Start], "(Set Type not found)", 0, 1)</f>
        <v/>
      </c>
      <c r="U839" s="3">
        <f>tbl_MTG_Set[[#This Row],[Released On]]+tbl_MTG_Set[[#This Row],[Sell Window Month Start]]*365.25/12</f>
        <v/>
      </c>
      <c r="V839">
        <f>_xlfn.XLOOKUP(tbl_MTG_Set[[#This Row],[Type Name]], tbl_MTG_Set_Type[Set Type], tbl_MTG_Set_Type[Sell Window Month End], "(Set Type not found)", 0, 1)</f>
        <v/>
      </c>
      <c r="W839" s="3">
        <f>tbl_MTG_Set[[#This Row],[Released On]]+tbl_MTG_Set[[#This Row],[Sell Window Month End]]*365.25/12</f>
        <v/>
      </c>
      <c r="X839" s="3">
        <f>AND(NOW()&gt;=tbl_MTG_Set[[#This Row],[Sell Window Start]], NOW()&lt;=tbl_MTG_Set[[#This Row],[Sell Window End]])</f>
        <v/>
      </c>
      <c r="AG839" s="10" t="n"/>
      <c r="AH839" s="10" t="n"/>
      <c r="AM839" s="10">
        <f t="array" ref="AM8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9" s="10">
        <f t="array" ref="AN8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9" s="4">
        <f>_xlfn.XLOOKUP(tbl_MTG_Set[[#This Row],[Play Booster Box Product Id]], tbl_Product[Product Id], tbl_Product[Pack Size])</f>
        <v/>
      </c>
      <c r="AP839" s="10">
        <f>(tbl_MTG_Set[[#This Row],[Play Booster Box Cost]]+v_Item_Shipping_Cost_In)/tbl_MTG_Set[[#This Row],[Play Booster Box Size]]</f>
        <v/>
      </c>
      <c r="AQ839" s="10">
        <f t="array" ref="AQ8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39" s="10" t="n"/>
      <c r="AS839" s="10" t="n"/>
      <c r="AT839" s="17">
        <f>tbl_MTG_Set[[#This Row],[Play Booster CardMarket Profit]]/tbl_MTG_Set[[#This Row],[Play Booster Cost]]</f>
        <v/>
      </c>
      <c r="AU839" s="10">
        <f>_xlfn.XLOOKUP(tbl_MTG_Set[[#This Row],[Collector Booster Box Product Id]], tbl_Product[Product Id], tbl_Product[Min Cost])</f>
        <v/>
      </c>
      <c r="AV839" s="10">
        <f>_xlfn.XLOOKUP(tbl_MTG_Set[[#This Row],[Collector Booster Box Product Id]], tbl_Product[Product Id], tbl_Product[Best Source])</f>
        <v/>
      </c>
      <c r="AW839" s="4">
        <f>_xlfn.XLOOKUP(tbl_MTG_Set[[#This Row],[Collector Booster Box Product Id]], tbl_Product[Product Id], tbl_Product[Pack Size])</f>
        <v/>
      </c>
      <c r="AX839" s="10">
        <f>(tbl_MTG_Set[[#This Row],[Collector Booster Box Cost]] + v_Item_Shipping_Cost_In) / tbl_MTG_Set[[#This Row],[Collector Booster Box Size]]</f>
        <v/>
      </c>
      <c r="AY839" s="10">
        <f t="array" ref="AY8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39" s="10" t="n"/>
      <c r="BA8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9" s="17">
        <f>tbl_MTG_Set[[#This Row],[Collector Booster CardMarket Profit]]/tbl_MTG_Set[[#This Row],[Collector Booster Cost]]</f>
        <v/>
      </c>
      <c r="BC839" s="10" t="n"/>
      <c r="BF839" s="10">
        <f>tbl_MTG_Set[[#This Row],[Play Booster Sell Price CardMarket]]*tbl_MTG_Set[[#This Row],[Play Booster Expected Market Value]]/tbl_MTG_Set[[#This Row],[Play Boost Sealed Market Value]]</f>
        <v/>
      </c>
      <c r="BG8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9" s="10">
        <f>tbl_MTG_Set[[#This Row],[Play Singles CardMarket Profit]]/tbl_MTG_Set[[#This Row],[Play Booster Cost]]</f>
        <v/>
      </c>
      <c r="BI839" s="10">
        <f>tbl_MTG_Set[[#This Row],[Play Singles CardMarket Profit]]&gt;0</f>
        <v/>
      </c>
      <c r="BJ839" s="10" t="n"/>
      <c r="BK839" s="10" t="n"/>
      <c r="BL839" s="10">
        <f>tbl_MTG_Set[[#This Row],[Collector Booster Sell Price CardMarket]]*tbl_MTG_Set[[#This Row],[Collector Booster Expected Market Value]]/tbl_MTG_Set[[#This Row],[Collector Boost Sealed Market Value]]</f>
        <v/>
      </c>
      <c r="BM8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9" s="10">
        <f>tbl_MTG_Set[[#This Row],[Collector Singles CardMarket Profit]]/tbl_MTG_Set[[#This Row],[Collector Booster Cost]]</f>
        <v/>
      </c>
      <c r="BO839" s="10">
        <f>tbl_MTG_Set[[#This Row],[Collector Singles CardMarket Profit]]&gt;0</f>
        <v/>
      </c>
      <c r="BP8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0">
      <c r="A840" t="n">
        <v>838</v>
      </c>
      <c r="B840" t="inlineStr">
        <is>
          <t>Judge Gift Cards 2007 G07</t>
        </is>
      </c>
      <c r="C840" t="n">
        <v>5</v>
      </c>
      <c r="D840" s="3" t="n">
        <v>39083</v>
      </c>
      <c r="F840" t="inlineStr">
        <is>
          <t>en es fr de it pt ja ko ru 汉语 漢語</t>
        </is>
      </c>
      <c r="G840" t="n">
        <v>1622</v>
      </c>
      <c r="H840">
        <f>MONTH(NOW())+12*YEAR(NOW())-MONTH(tbl_MTG_Set[[#This Row],[Released On]])-12*YEAR(tbl_MTG_Set[[#This Row],[Released On]])</f>
        <v/>
      </c>
      <c r="I840">
        <f>_xlfn.XLOOKUP(tbl_MTG_Set[[#This Row],[Type Name]], tbl_MTG_Set_Type[Set Type], tbl_MTG_Set_Type[Index], "(Set Type not found)")</f>
        <v/>
      </c>
      <c r="J840">
        <f>_xlfn.XLOOKUP(tbl_MTG_Set[[#This Row],[Type Name]], tbl_MTG_Set_Type[Set Type], tbl_MTG_Set_Type[Buy Window Month Start], "(Set Type not found)")</f>
        <v/>
      </c>
      <c r="K840" s="3">
        <f>tbl_MTG_Set[[#This Row],[Released On]]+tbl_MTG_Set[[#This Row],[Buy Window Month Start]]*365.25/12</f>
        <v/>
      </c>
      <c r="L840">
        <f>_xlfn.XLOOKUP(tbl_MTG_Set[[#This Row],[Type Name]], tbl_MTG_Set_Type[Set Type], tbl_MTG_Set_Type[Buy Window Month End], "(Set Type not found)", 0, 1)</f>
        <v/>
      </c>
      <c r="M840" s="3">
        <f>tbl_MTG_Set[[#This Row],[Released On]]+tbl_MTG_Set[[#This Row],[Buy Window Month End]]*365.25/12</f>
        <v/>
      </c>
      <c r="N840" s="3">
        <f>AND(NOW()&gt;=tbl_MTG_Set[[#This Row],[Buy Window Start]], NOW()&lt;=tbl_MTG_Set[[#This Row],[Buy Window End]])</f>
        <v/>
      </c>
      <c r="O840">
        <f>_xlfn.XLOOKUP(tbl_MTG_Set[[#This Row],[Type Name]], tbl_MTG_Set_Type[Set Type], tbl_MTG_Set_Type[Heavy Printing Window Month Start], "(Set Type not found)", 0, 1)</f>
        <v/>
      </c>
      <c r="P840" s="3">
        <f>tbl_MTG_Set[[#This Row],[Released On]]+tbl_MTG_Set[[#This Row],[Heavy Printing Window Month Start]]*365.25/12</f>
        <v/>
      </c>
      <c r="Q840">
        <f>_xlfn.XLOOKUP(tbl_MTG_Set[[#This Row],[Type Name]], tbl_MTG_Set_Type[Set Type], tbl_MTG_Set_Type[Heavy Printing Window Month End], "(Set Type not found)", 0, 1)</f>
        <v/>
      </c>
      <c r="R840" s="3">
        <f>tbl_MTG_Set[[#This Row],[Released On]]+tbl_MTG_Set[[#This Row],[Heavy Printing Window Month End]]*365.25/12</f>
        <v/>
      </c>
      <c r="S840" s="3">
        <f>AND(NOW()&gt;=tbl_MTG_Set[[#This Row],[Heavy Printing Window Start]], NOW()&lt;=tbl_MTG_Set[[#This Row],[Heavy Printing Window End]])</f>
        <v/>
      </c>
      <c r="T840">
        <f>_xlfn.XLOOKUP(tbl_MTG_Set[[#This Row],[Type Name]], tbl_MTG_Set_Type[Set Type], tbl_MTG_Set_Type[Sell Window Month Start], "(Set Type not found)", 0, 1)</f>
        <v/>
      </c>
      <c r="U840" s="3">
        <f>tbl_MTG_Set[[#This Row],[Released On]]+tbl_MTG_Set[[#This Row],[Sell Window Month Start]]*365.25/12</f>
        <v/>
      </c>
      <c r="V840">
        <f>_xlfn.XLOOKUP(tbl_MTG_Set[[#This Row],[Type Name]], tbl_MTG_Set_Type[Set Type], tbl_MTG_Set_Type[Sell Window Month End], "(Set Type not found)", 0, 1)</f>
        <v/>
      </c>
      <c r="W840" s="3">
        <f>tbl_MTG_Set[[#This Row],[Released On]]+tbl_MTG_Set[[#This Row],[Sell Window Month End]]*365.25/12</f>
        <v/>
      </c>
      <c r="X840" s="3">
        <f>AND(NOW()&gt;=tbl_MTG_Set[[#This Row],[Sell Window Start]], NOW()&lt;=tbl_MTG_Set[[#This Row],[Sell Window End]])</f>
        <v/>
      </c>
      <c r="AG840" s="10" t="n"/>
      <c r="AH840" s="10" t="n"/>
      <c r="AM840" s="10">
        <f t="array" ref="AM8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0" s="10">
        <f t="array" ref="AN8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0" s="4">
        <f>_xlfn.XLOOKUP(tbl_MTG_Set[[#This Row],[Play Booster Box Product Id]], tbl_Product[Product Id], tbl_Product[Pack Size])</f>
        <v/>
      </c>
      <c r="AP840" s="10">
        <f>(tbl_MTG_Set[[#This Row],[Play Booster Box Cost]]+v_Item_Shipping_Cost_In)/tbl_MTG_Set[[#This Row],[Play Booster Box Size]]</f>
        <v/>
      </c>
      <c r="AQ840" s="10">
        <f t="array" ref="AQ8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0" s="10" t="n"/>
      <c r="AS840" s="10" t="n"/>
      <c r="AT840" s="17">
        <f>tbl_MTG_Set[[#This Row],[Play Booster CardMarket Profit]]/tbl_MTG_Set[[#This Row],[Play Booster Cost]]</f>
        <v/>
      </c>
      <c r="AU840" s="10">
        <f>_xlfn.XLOOKUP(tbl_MTG_Set[[#This Row],[Collector Booster Box Product Id]], tbl_Product[Product Id], tbl_Product[Min Cost])</f>
        <v/>
      </c>
      <c r="AV840" s="10">
        <f>_xlfn.XLOOKUP(tbl_MTG_Set[[#This Row],[Collector Booster Box Product Id]], tbl_Product[Product Id], tbl_Product[Best Source])</f>
        <v/>
      </c>
      <c r="AW840" s="4">
        <f>_xlfn.XLOOKUP(tbl_MTG_Set[[#This Row],[Collector Booster Box Product Id]], tbl_Product[Product Id], tbl_Product[Pack Size])</f>
        <v/>
      </c>
      <c r="AX840" s="10">
        <f>(tbl_MTG_Set[[#This Row],[Collector Booster Box Cost]] + v_Item_Shipping_Cost_In) / tbl_MTG_Set[[#This Row],[Collector Booster Box Size]]</f>
        <v/>
      </c>
      <c r="AY840" s="10">
        <f t="array" ref="AY8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0" s="10" t="n"/>
      <c r="BA8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0" s="17">
        <f>tbl_MTG_Set[[#This Row],[Collector Booster CardMarket Profit]]/tbl_MTG_Set[[#This Row],[Collector Booster Cost]]</f>
        <v/>
      </c>
      <c r="BC840" s="10" t="n"/>
      <c r="BF840" s="10">
        <f>tbl_MTG_Set[[#This Row],[Play Booster Sell Price CardMarket]]*tbl_MTG_Set[[#This Row],[Play Booster Expected Market Value]]/tbl_MTG_Set[[#This Row],[Play Boost Sealed Market Value]]</f>
        <v/>
      </c>
      <c r="BG8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0" s="10">
        <f>tbl_MTG_Set[[#This Row],[Play Singles CardMarket Profit]]/tbl_MTG_Set[[#This Row],[Play Booster Cost]]</f>
        <v/>
      </c>
      <c r="BI840" s="10">
        <f>tbl_MTG_Set[[#This Row],[Play Singles CardMarket Profit]]&gt;0</f>
        <v/>
      </c>
      <c r="BJ840" s="10" t="n"/>
      <c r="BK840" s="10" t="n"/>
      <c r="BL840" s="10">
        <f>tbl_MTG_Set[[#This Row],[Collector Booster Sell Price CardMarket]]*tbl_MTG_Set[[#This Row],[Collector Booster Expected Market Value]]/tbl_MTG_Set[[#This Row],[Collector Boost Sealed Market Value]]</f>
        <v/>
      </c>
      <c r="BM8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0" s="10">
        <f>tbl_MTG_Set[[#This Row],[Collector Singles CardMarket Profit]]/tbl_MTG_Set[[#This Row],[Collector Booster Cost]]</f>
        <v/>
      </c>
      <c r="BO840" s="10">
        <f>tbl_MTG_Set[[#This Row],[Collector Singles CardMarket Profit]]&gt;0</f>
        <v/>
      </c>
      <c r="BP8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1">
      <c r="A841" t="n">
        <v>839</v>
      </c>
      <c r="B841" t="inlineStr">
        <is>
          <t>Magic Player Rewards 2007 P07</t>
        </is>
      </c>
      <c r="C841" t="n">
        <v>7</v>
      </c>
      <c r="D841" s="3" t="n">
        <v>39083</v>
      </c>
      <c r="F841" t="inlineStr">
        <is>
          <t>en es fr de it pt ja ko ru 汉语 漢語</t>
        </is>
      </c>
      <c r="G841" t="n">
        <v>1624</v>
      </c>
      <c r="H841">
        <f>MONTH(NOW())+12*YEAR(NOW())-MONTH(tbl_MTG_Set[[#This Row],[Released On]])-12*YEAR(tbl_MTG_Set[[#This Row],[Released On]])</f>
        <v/>
      </c>
      <c r="I841">
        <f>_xlfn.XLOOKUP(tbl_MTG_Set[[#This Row],[Type Name]], tbl_MTG_Set_Type[Set Type], tbl_MTG_Set_Type[Index], "(Set Type not found)")</f>
        <v/>
      </c>
      <c r="J841">
        <f>_xlfn.XLOOKUP(tbl_MTG_Set[[#This Row],[Type Name]], tbl_MTG_Set_Type[Set Type], tbl_MTG_Set_Type[Buy Window Month Start], "(Set Type not found)")</f>
        <v/>
      </c>
      <c r="K841" s="3">
        <f>tbl_MTG_Set[[#This Row],[Released On]]+tbl_MTG_Set[[#This Row],[Buy Window Month Start]]*365.25/12</f>
        <v/>
      </c>
      <c r="L841">
        <f>_xlfn.XLOOKUP(tbl_MTG_Set[[#This Row],[Type Name]], tbl_MTG_Set_Type[Set Type], tbl_MTG_Set_Type[Buy Window Month End], "(Set Type not found)", 0, 1)</f>
        <v/>
      </c>
      <c r="M841" s="3">
        <f>tbl_MTG_Set[[#This Row],[Released On]]+tbl_MTG_Set[[#This Row],[Buy Window Month End]]*365.25/12</f>
        <v/>
      </c>
      <c r="N841" s="3">
        <f>AND(NOW()&gt;=tbl_MTG_Set[[#This Row],[Buy Window Start]], NOW()&lt;=tbl_MTG_Set[[#This Row],[Buy Window End]])</f>
        <v/>
      </c>
      <c r="O841">
        <f>_xlfn.XLOOKUP(tbl_MTG_Set[[#This Row],[Type Name]], tbl_MTG_Set_Type[Set Type], tbl_MTG_Set_Type[Heavy Printing Window Month Start], "(Set Type not found)", 0, 1)</f>
        <v/>
      </c>
      <c r="P841" s="3">
        <f>tbl_MTG_Set[[#This Row],[Released On]]+tbl_MTG_Set[[#This Row],[Heavy Printing Window Month Start]]*365.25/12</f>
        <v/>
      </c>
      <c r="Q841">
        <f>_xlfn.XLOOKUP(tbl_MTG_Set[[#This Row],[Type Name]], tbl_MTG_Set_Type[Set Type], tbl_MTG_Set_Type[Heavy Printing Window Month End], "(Set Type not found)", 0, 1)</f>
        <v/>
      </c>
      <c r="R841" s="3">
        <f>tbl_MTG_Set[[#This Row],[Released On]]+tbl_MTG_Set[[#This Row],[Heavy Printing Window Month End]]*365.25/12</f>
        <v/>
      </c>
      <c r="S841" s="3">
        <f>AND(NOW()&gt;=tbl_MTG_Set[[#This Row],[Heavy Printing Window Start]], NOW()&lt;=tbl_MTG_Set[[#This Row],[Heavy Printing Window End]])</f>
        <v/>
      </c>
      <c r="T841">
        <f>_xlfn.XLOOKUP(tbl_MTG_Set[[#This Row],[Type Name]], tbl_MTG_Set_Type[Set Type], tbl_MTG_Set_Type[Sell Window Month Start], "(Set Type not found)", 0, 1)</f>
        <v/>
      </c>
      <c r="U841" s="3">
        <f>tbl_MTG_Set[[#This Row],[Released On]]+tbl_MTG_Set[[#This Row],[Sell Window Month Start]]*365.25/12</f>
        <v/>
      </c>
      <c r="V841">
        <f>_xlfn.XLOOKUP(tbl_MTG_Set[[#This Row],[Type Name]], tbl_MTG_Set_Type[Set Type], tbl_MTG_Set_Type[Sell Window Month End], "(Set Type not found)", 0, 1)</f>
        <v/>
      </c>
      <c r="W841" s="3">
        <f>tbl_MTG_Set[[#This Row],[Released On]]+tbl_MTG_Set[[#This Row],[Sell Window Month End]]*365.25/12</f>
        <v/>
      </c>
      <c r="X841" s="3">
        <f>AND(NOW()&gt;=tbl_MTG_Set[[#This Row],[Sell Window Start]], NOW()&lt;=tbl_MTG_Set[[#This Row],[Sell Window End]])</f>
        <v/>
      </c>
      <c r="AG841" s="10" t="n"/>
      <c r="AH841" s="10" t="n"/>
      <c r="AM841" s="10">
        <f t="array" ref="AM8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1" s="10">
        <f t="array" ref="AN8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1" s="4">
        <f>_xlfn.XLOOKUP(tbl_MTG_Set[[#This Row],[Play Booster Box Product Id]], tbl_Product[Product Id], tbl_Product[Pack Size])</f>
        <v/>
      </c>
      <c r="AP841" s="10">
        <f>(tbl_MTG_Set[[#This Row],[Play Booster Box Cost]]+v_Item_Shipping_Cost_In)/tbl_MTG_Set[[#This Row],[Play Booster Box Size]]</f>
        <v/>
      </c>
      <c r="AQ841" s="10">
        <f t="array" ref="AQ8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1" s="10" t="n"/>
      <c r="AS841" s="10" t="n"/>
      <c r="AT841" s="17">
        <f>tbl_MTG_Set[[#This Row],[Play Booster CardMarket Profit]]/tbl_MTG_Set[[#This Row],[Play Booster Cost]]</f>
        <v/>
      </c>
      <c r="AU841" s="10">
        <f>_xlfn.XLOOKUP(tbl_MTG_Set[[#This Row],[Collector Booster Box Product Id]], tbl_Product[Product Id], tbl_Product[Min Cost])</f>
        <v/>
      </c>
      <c r="AV841" s="10">
        <f>_xlfn.XLOOKUP(tbl_MTG_Set[[#This Row],[Collector Booster Box Product Id]], tbl_Product[Product Id], tbl_Product[Best Source])</f>
        <v/>
      </c>
      <c r="AW841" s="4">
        <f>_xlfn.XLOOKUP(tbl_MTG_Set[[#This Row],[Collector Booster Box Product Id]], tbl_Product[Product Id], tbl_Product[Pack Size])</f>
        <v/>
      </c>
      <c r="AX841" s="10">
        <f>(tbl_MTG_Set[[#This Row],[Collector Booster Box Cost]] + v_Item_Shipping_Cost_In) / tbl_MTG_Set[[#This Row],[Collector Booster Box Size]]</f>
        <v/>
      </c>
      <c r="AY841" s="10">
        <f t="array" ref="AY8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1" s="10" t="n"/>
      <c r="BA8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1" s="17">
        <f>tbl_MTG_Set[[#This Row],[Collector Booster CardMarket Profit]]/tbl_MTG_Set[[#This Row],[Collector Booster Cost]]</f>
        <v/>
      </c>
      <c r="BC841" s="10" t="n"/>
      <c r="BF841" s="10">
        <f>tbl_MTG_Set[[#This Row],[Play Booster Sell Price CardMarket]]*tbl_MTG_Set[[#This Row],[Play Booster Expected Market Value]]/tbl_MTG_Set[[#This Row],[Play Boost Sealed Market Value]]</f>
        <v/>
      </c>
      <c r="BG8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1" s="10">
        <f>tbl_MTG_Set[[#This Row],[Play Singles CardMarket Profit]]/tbl_MTG_Set[[#This Row],[Play Booster Cost]]</f>
        <v/>
      </c>
      <c r="BI841" s="10">
        <f>tbl_MTG_Set[[#This Row],[Play Singles CardMarket Profit]]&gt;0</f>
        <v/>
      </c>
      <c r="BJ841" s="10" t="n"/>
      <c r="BK841" s="10" t="n"/>
      <c r="BL841" s="10">
        <f>tbl_MTG_Set[[#This Row],[Collector Booster Sell Price CardMarket]]*tbl_MTG_Set[[#This Row],[Collector Booster Expected Market Value]]/tbl_MTG_Set[[#This Row],[Collector Boost Sealed Market Value]]</f>
        <v/>
      </c>
      <c r="BM8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1" s="10">
        <f>tbl_MTG_Set[[#This Row],[Collector Singles CardMarket Profit]]/tbl_MTG_Set[[#This Row],[Collector Booster Cost]]</f>
        <v/>
      </c>
      <c r="BO841" s="10">
        <f>tbl_MTG_Set[[#This Row],[Collector Singles CardMarket Profit]]&gt;0</f>
        <v/>
      </c>
      <c r="BP8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2">
      <c r="A842" t="n">
        <v>840</v>
      </c>
      <c r="B842" t="inlineStr">
        <is>
          <t>Friday Night Magic 2007 F07</t>
        </is>
      </c>
      <c r="C842" t="n">
        <v>12</v>
      </c>
      <c r="D842" s="3" t="n">
        <v>39083</v>
      </c>
      <c r="F842" t="inlineStr">
        <is>
          <t>en es fr de it pt ja ko ru 汉语 漢語</t>
        </is>
      </c>
      <c r="G842" t="n">
        <v>1626</v>
      </c>
      <c r="H842">
        <f>MONTH(NOW())+12*YEAR(NOW())-MONTH(tbl_MTG_Set[[#This Row],[Released On]])-12*YEAR(tbl_MTG_Set[[#This Row],[Released On]])</f>
        <v/>
      </c>
      <c r="I842">
        <f>_xlfn.XLOOKUP(tbl_MTG_Set[[#This Row],[Type Name]], tbl_MTG_Set_Type[Set Type], tbl_MTG_Set_Type[Index], "(Set Type not found)")</f>
        <v/>
      </c>
      <c r="J842">
        <f>_xlfn.XLOOKUP(tbl_MTG_Set[[#This Row],[Type Name]], tbl_MTG_Set_Type[Set Type], tbl_MTG_Set_Type[Buy Window Month Start], "(Set Type not found)")</f>
        <v/>
      </c>
      <c r="K842" s="3">
        <f>tbl_MTG_Set[[#This Row],[Released On]]+tbl_MTG_Set[[#This Row],[Buy Window Month Start]]*365.25/12</f>
        <v/>
      </c>
      <c r="L842">
        <f>_xlfn.XLOOKUP(tbl_MTG_Set[[#This Row],[Type Name]], tbl_MTG_Set_Type[Set Type], tbl_MTG_Set_Type[Buy Window Month End], "(Set Type not found)", 0, 1)</f>
        <v/>
      </c>
      <c r="M842" s="3">
        <f>tbl_MTG_Set[[#This Row],[Released On]]+tbl_MTG_Set[[#This Row],[Buy Window Month End]]*365.25/12</f>
        <v/>
      </c>
      <c r="N842" s="3">
        <f>AND(NOW()&gt;=tbl_MTG_Set[[#This Row],[Buy Window Start]], NOW()&lt;=tbl_MTG_Set[[#This Row],[Buy Window End]])</f>
        <v/>
      </c>
      <c r="O842">
        <f>_xlfn.XLOOKUP(tbl_MTG_Set[[#This Row],[Type Name]], tbl_MTG_Set_Type[Set Type], tbl_MTG_Set_Type[Heavy Printing Window Month Start], "(Set Type not found)", 0, 1)</f>
        <v/>
      </c>
      <c r="P842" s="3">
        <f>tbl_MTG_Set[[#This Row],[Released On]]+tbl_MTG_Set[[#This Row],[Heavy Printing Window Month Start]]*365.25/12</f>
        <v/>
      </c>
      <c r="Q842">
        <f>_xlfn.XLOOKUP(tbl_MTG_Set[[#This Row],[Type Name]], tbl_MTG_Set_Type[Set Type], tbl_MTG_Set_Type[Heavy Printing Window Month End], "(Set Type not found)", 0, 1)</f>
        <v/>
      </c>
      <c r="R842" s="3">
        <f>tbl_MTG_Set[[#This Row],[Released On]]+tbl_MTG_Set[[#This Row],[Heavy Printing Window Month End]]*365.25/12</f>
        <v/>
      </c>
      <c r="S842" s="3">
        <f>AND(NOW()&gt;=tbl_MTG_Set[[#This Row],[Heavy Printing Window Start]], NOW()&lt;=tbl_MTG_Set[[#This Row],[Heavy Printing Window End]])</f>
        <v/>
      </c>
      <c r="T842">
        <f>_xlfn.XLOOKUP(tbl_MTG_Set[[#This Row],[Type Name]], tbl_MTG_Set_Type[Set Type], tbl_MTG_Set_Type[Sell Window Month Start], "(Set Type not found)", 0, 1)</f>
        <v/>
      </c>
      <c r="U842" s="3">
        <f>tbl_MTG_Set[[#This Row],[Released On]]+tbl_MTG_Set[[#This Row],[Sell Window Month Start]]*365.25/12</f>
        <v/>
      </c>
      <c r="V842">
        <f>_xlfn.XLOOKUP(tbl_MTG_Set[[#This Row],[Type Name]], tbl_MTG_Set_Type[Set Type], tbl_MTG_Set_Type[Sell Window Month End], "(Set Type not found)", 0, 1)</f>
        <v/>
      </c>
      <c r="W842" s="3">
        <f>tbl_MTG_Set[[#This Row],[Released On]]+tbl_MTG_Set[[#This Row],[Sell Window Month End]]*365.25/12</f>
        <v/>
      </c>
      <c r="X842" s="3">
        <f>AND(NOW()&gt;=tbl_MTG_Set[[#This Row],[Sell Window Start]], NOW()&lt;=tbl_MTG_Set[[#This Row],[Sell Window End]])</f>
        <v/>
      </c>
      <c r="AG842" s="10" t="n"/>
      <c r="AH842" s="10" t="n"/>
      <c r="AM842" s="10">
        <f t="array" ref="AM8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2" s="10">
        <f t="array" ref="AN8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2" s="4">
        <f>_xlfn.XLOOKUP(tbl_MTG_Set[[#This Row],[Play Booster Box Product Id]], tbl_Product[Product Id], tbl_Product[Pack Size])</f>
        <v/>
      </c>
      <c r="AP842" s="10">
        <f>(tbl_MTG_Set[[#This Row],[Play Booster Box Cost]]+v_Item_Shipping_Cost_In)/tbl_MTG_Set[[#This Row],[Play Booster Box Size]]</f>
        <v/>
      </c>
      <c r="AQ842" s="10">
        <f t="array" ref="AQ8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2" s="10" t="n"/>
      <c r="AS842" s="10" t="n"/>
      <c r="AT842" s="17">
        <f>tbl_MTG_Set[[#This Row],[Play Booster CardMarket Profit]]/tbl_MTG_Set[[#This Row],[Play Booster Cost]]</f>
        <v/>
      </c>
      <c r="AU842" s="10">
        <f>_xlfn.XLOOKUP(tbl_MTG_Set[[#This Row],[Collector Booster Box Product Id]], tbl_Product[Product Id], tbl_Product[Min Cost])</f>
        <v/>
      </c>
      <c r="AV842" s="10">
        <f>_xlfn.XLOOKUP(tbl_MTG_Set[[#This Row],[Collector Booster Box Product Id]], tbl_Product[Product Id], tbl_Product[Best Source])</f>
        <v/>
      </c>
      <c r="AW842" s="4">
        <f>_xlfn.XLOOKUP(tbl_MTG_Set[[#This Row],[Collector Booster Box Product Id]], tbl_Product[Product Id], tbl_Product[Pack Size])</f>
        <v/>
      </c>
      <c r="AX842" s="10">
        <f>(tbl_MTG_Set[[#This Row],[Collector Booster Box Cost]] + v_Item_Shipping_Cost_In) / tbl_MTG_Set[[#This Row],[Collector Booster Box Size]]</f>
        <v/>
      </c>
      <c r="AY842" s="10">
        <f t="array" ref="AY8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2" s="10" t="n"/>
      <c r="BA8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2" s="17">
        <f>tbl_MTG_Set[[#This Row],[Collector Booster CardMarket Profit]]/tbl_MTG_Set[[#This Row],[Collector Booster Cost]]</f>
        <v/>
      </c>
      <c r="BC842" s="10" t="n"/>
      <c r="BF842" s="10">
        <f>tbl_MTG_Set[[#This Row],[Play Booster Sell Price CardMarket]]*tbl_MTG_Set[[#This Row],[Play Booster Expected Market Value]]/tbl_MTG_Set[[#This Row],[Play Boost Sealed Market Value]]</f>
        <v/>
      </c>
      <c r="BG8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2" s="10">
        <f>tbl_MTG_Set[[#This Row],[Play Singles CardMarket Profit]]/tbl_MTG_Set[[#This Row],[Play Booster Cost]]</f>
        <v/>
      </c>
      <c r="BI842" s="10">
        <f>tbl_MTG_Set[[#This Row],[Play Singles CardMarket Profit]]&gt;0</f>
        <v/>
      </c>
      <c r="BJ842" s="10" t="n"/>
      <c r="BK842" s="10" t="n"/>
      <c r="BL842" s="10">
        <f>tbl_MTG_Set[[#This Row],[Collector Booster Sell Price CardMarket]]*tbl_MTG_Set[[#This Row],[Collector Booster Expected Market Value]]/tbl_MTG_Set[[#This Row],[Collector Boost Sealed Market Value]]</f>
        <v/>
      </c>
      <c r="BM8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2" s="10">
        <f>tbl_MTG_Set[[#This Row],[Collector Singles CardMarket Profit]]/tbl_MTG_Set[[#This Row],[Collector Booster Cost]]</f>
        <v/>
      </c>
      <c r="BO842" s="10">
        <f>tbl_MTG_Set[[#This Row],[Collector Singles CardMarket Profit]]&gt;0</f>
        <v/>
      </c>
      <c r="BP8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3">
      <c r="A843" t="n">
        <v>841</v>
      </c>
      <c r="B843" t="inlineStr">
        <is>
          <t>Happy Holidays HHO</t>
        </is>
      </c>
      <c r="C843" t="n">
        <v>23</v>
      </c>
      <c r="D843" s="3" t="n">
        <v>39082</v>
      </c>
      <c r="F843" t="inlineStr">
        <is>
          <t>en es fr de it pt ja ko ru 汉语 漢語</t>
        </is>
      </c>
      <c r="G843" t="n">
        <v>1628</v>
      </c>
      <c r="H843">
        <f>MONTH(NOW())+12*YEAR(NOW())-MONTH(tbl_MTG_Set[[#This Row],[Released On]])-12*YEAR(tbl_MTG_Set[[#This Row],[Released On]])</f>
        <v/>
      </c>
      <c r="I843">
        <f>_xlfn.XLOOKUP(tbl_MTG_Set[[#This Row],[Type Name]], tbl_MTG_Set_Type[Set Type], tbl_MTG_Set_Type[Index], "(Set Type not found)")</f>
        <v/>
      </c>
      <c r="J843">
        <f>_xlfn.XLOOKUP(tbl_MTG_Set[[#This Row],[Type Name]], tbl_MTG_Set_Type[Set Type], tbl_MTG_Set_Type[Buy Window Month Start], "(Set Type not found)")</f>
        <v/>
      </c>
      <c r="K843" s="3">
        <f>tbl_MTG_Set[[#This Row],[Released On]]+tbl_MTG_Set[[#This Row],[Buy Window Month Start]]*365.25/12</f>
        <v/>
      </c>
      <c r="L843">
        <f>_xlfn.XLOOKUP(tbl_MTG_Set[[#This Row],[Type Name]], tbl_MTG_Set_Type[Set Type], tbl_MTG_Set_Type[Buy Window Month End], "(Set Type not found)", 0, 1)</f>
        <v/>
      </c>
      <c r="M843" s="3">
        <f>tbl_MTG_Set[[#This Row],[Released On]]+tbl_MTG_Set[[#This Row],[Buy Window Month End]]*365.25/12</f>
        <v/>
      </c>
      <c r="N843" s="3">
        <f>AND(NOW()&gt;=tbl_MTG_Set[[#This Row],[Buy Window Start]], NOW()&lt;=tbl_MTG_Set[[#This Row],[Buy Window End]])</f>
        <v/>
      </c>
      <c r="O843">
        <f>_xlfn.XLOOKUP(tbl_MTG_Set[[#This Row],[Type Name]], tbl_MTG_Set_Type[Set Type], tbl_MTG_Set_Type[Heavy Printing Window Month Start], "(Set Type not found)", 0, 1)</f>
        <v/>
      </c>
      <c r="P843" s="3">
        <f>tbl_MTG_Set[[#This Row],[Released On]]+tbl_MTG_Set[[#This Row],[Heavy Printing Window Month Start]]*365.25/12</f>
        <v/>
      </c>
      <c r="Q843">
        <f>_xlfn.XLOOKUP(tbl_MTG_Set[[#This Row],[Type Name]], tbl_MTG_Set_Type[Set Type], tbl_MTG_Set_Type[Heavy Printing Window Month End], "(Set Type not found)", 0, 1)</f>
        <v/>
      </c>
      <c r="R843" s="3">
        <f>tbl_MTG_Set[[#This Row],[Released On]]+tbl_MTG_Set[[#This Row],[Heavy Printing Window Month End]]*365.25/12</f>
        <v/>
      </c>
      <c r="S843" s="3">
        <f>AND(NOW()&gt;=tbl_MTG_Set[[#This Row],[Heavy Printing Window Start]], NOW()&lt;=tbl_MTG_Set[[#This Row],[Heavy Printing Window End]])</f>
        <v/>
      </c>
      <c r="T843">
        <f>_xlfn.XLOOKUP(tbl_MTG_Set[[#This Row],[Type Name]], tbl_MTG_Set_Type[Set Type], tbl_MTG_Set_Type[Sell Window Month Start], "(Set Type not found)", 0, 1)</f>
        <v/>
      </c>
      <c r="U843" s="3">
        <f>tbl_MTG_Set[[#This Row],[Released On]]+tbl_MTG_Set[[#This Row],[Sell Window Month Start]]*365.25/12</f>
        <v/>
      </c>
      <c r="V843">
        <f>_xlfn.XLOOKUP(tbl_MTG_Set[[#This Row],[Type Name]], tbl_MTG_Set_Type[Set Type], tbl_MTG_Set_Type[Sell Window Month End], "(Set Type not found)", 0, 1)</f>
        <v/>
      </c>
      <c r="W843" s="3">
        <f>tbl_MTG_Set[[#This Row],[Released On]]+tbl_MTG_Set[[#This Row],[Sell Window Month End]]*365.25/12</f>
        <v/>
      </c>
      <c r="X843" s="3">
        <f>AND(NOW()&gt;=tbl_MTG_Set[[#This Row],[Sell Window Start]], NOW()&lt;=tbl_MTG_Set[[#This Row],[Sell Window End]])</f>
        <v/>
      </c>
      <c r="AG843" s="10" t="n"/>
      <c r="AH843" s="10" t="n"/>
      <c r="AM843" s="10">
        <f t="array" ref="AM8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3" s="10">
        <f t="array" ref="AN8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3" s="4">
        <f>_xlfn.XLOOKUP(tbl_MTG_Set[[#This Row],[Play Booster Box Product Id]], tbl_Product[Product Id], tbl_Product[Pack Size])</f>
        <v/>
      </c>
      <c r="AP843" s="10">
        <f>(tbl_MTG_Set[[#This Row],[Play Booster Box Cost]]+v_Item_Shipping_Cost_In)/tbl_MTG_Set[[#This Row],[Play Booster Box Size]]</f>
        <v/>
      </c>
      <c r="AQ843" s="10">
        <f t="array" ref="AQ8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3" s="10" t="n"/>
      <c r="AS843" s="10" t="n"/>
      <c r="AT843" s="17">
        <f>tbl_MTG_Set[[#This Row],[Play Booster CardMarket Profit]]/tbl_MTG_Set[[#This Row],[Play Booster Cost]]</f>
        <v/>
      </c>
      <c r="AU843" s="10">
        <f>_xlfn.XLOOKUP(tbl_MTG_Set[[#This Row],[Collector Booster Box Product Id]], tbl_Product[Product Id], tbl_Product[Min Cost])</f>
        <v/>
      </c>
      <c r="AV843" s="10">
        <f>_xlfn.XLOOKUP(tbl_MTG_Set[[#This Row],[Collector Booster Box Product Id]], tbl_Product[Product Id], tbl_Product[Best Source])</f>
        <v/>
      </c>
      <c r="AW843" s="4">
        <f>_xlfn.XLOOKUP(tbl_MTG_Set[[#This Row],[Collector Booster Box Product Id]], tbl_Product[Product Id], tbl_Product[Pack Size])</f>
        <v/>
      </c>
      <c r="AX843" s="10">
        <f>(tbl_MTG_Set[[#This Row],[Collector Booster Box Cost]] + v_Item_Shipping_Cost_In) / tbl_MTG_Set[[#This Row],[Collector Booster Box Size]]</f>
        <v/>
      </c>
      <c r="AY843" s="10">
        <f t="array" ref="AY8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3" s="10" t="n"/>
      <c r="BA8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3" s="17">
        <f>tbl_MTG_Set[[#This Row],[Collector Booster CardMarket Profit]]/tbl_MTG_Set[[#This Row],[Collector Booster Cost]]</f>
        <v/>
      </c>
      <c r="BC843" s="10" t="n"/>
      <c r="BF843" s="10">
        <f>tbl_MTG_Set[[#This Row],[Play Booster Sell Price CardMarket]]*tbl_MTG_Set[[#This Row],[Play Booster Expected Market Value]]/tbl_MTG_Set[[#This Row],[Play Boost Sealed Market Value]]</f>
        <v/>
      </c>
      <c r="BG8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3" s="10">
        <f>tbl_MTG_Set[[#This Row],[Play Singles CardMarket Profit]]/tbl_MTG_Set[[#This Row],[Play Booster Cost]]</f>
        <v/>
      </c>
      <c r="BI843" s="10">
        <f>tbl_MTG_Set[[#This Row],[Play Singles CardMarket Profit]]&gt;0</f>
        <v/>
      </c>
      <c r="BJ843" s="10" t="n"/>
      <c r="BK843" s="10" t="n"/>
      <c r="BL843" s="10">
        <f>tbl_MTG_Set[[#This Row],[Collector Booster Sell Price CardMarket]]*tbl_MTG_Set[[#This Row],[Collector Booster Expected Market Value]]/tbl_MTG_Set[[#This Row],[Collector Boost Sealed Market Value]]</f>
        <v/>
      </c>
      <c r="BM8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3" s="10">
        <f>tbl_MTG_Set[[#This Row],[Collector Singles CardMarket Profit]]/tbl_MTG_Set[[#This Row],[Collector Booster Cost]]</f>
        <v/>
      </c>
      <c r="BO843" s="10">
        <f>tbl_MTG_Set[[#This Row],[Collector Singles CardMarket Profit]]&gt;0</f>
        <v/>
      </c>
      <c r="BP8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4">
      <c r="A844" t="n">
        <v>842</v>
      </c>
      <c r="B844" t="inlineStr">
        <is>
          <t>Time Spiral TSP</t>
        </is>
      </c>
      <c r="C844" t="n">
        <v>301</v>
      </c>
      <c r="D844" s="3" t="n">
        <v>38996</v>
      </c>
      <c r="E844" t="inlineStr">
        <is>
          <t>Remastered</t>
        </is>
      </c>
      <c r="F844" t="inlineStr">
        <is>
          <t>en es fr de it pt ja ko ru 汉语 漢語</t>
        </is>
      </c>
      <c r="G844" t="n">
        <v>1630</v>
      </c>
      <c r="H844">
        <f>MONTH(NOW())+12*YEAR(NOW())-MONTH(tbl_MTG_Set[[#This Row],[Released On]])-12*YEAR(tbl_MTG_Set[[#This Row],[Released On]])</f>
        <v/>
      </c>
      <c r="I844">
        <f>_xlfn.XLOOKUP(tbl_MTG_Set[[#This Row],[Type Name]], tbl_MTG_Set_Type[Set Type], tbl_MTG_Set_Type[Index], "(Set Type not found)")</f>
        <v/>
      </c>
      <c r="J844">
        <f>_xlfn.XLOOKUP(tbl_MTG_Set[[#This Row],[Type Name]], tbl_MTG_Set_Type[Set Type], tbl_MTG_Set_Type[Buy Window Month Start], "(Set Type not found)")</f>
        <v/>
      </c>
      <c r="K844" s="3">
        <f>tbl_MTG_Set[[#This Row],[Released On]]+tbl_MTG_Set[[#This Row],[Buy Window Month Start]]*365.25/12</f>
        <v/>
      </c>
      <c r="L844">
        <f>_xlfn.XLOOKUP(tbl_MTG_Set[[#This Row],[Type Name]], tbl_MTG_Set_Type[Set Type], tbl_MTG_Set_Type[Buy Window Month End], "(Set Type not found)", 0, 1)</f>
        <v/>
      </c>
      <c r="M844" s="3">
        <f>tbl_MTG_Set[[#This Row],[Released On]]+tbl_MTG_Set[[#This Row],[Buy Window Month End]]*365.25/12</f>
        <v/>
      </c>
      <c r="N844" s="3">
        <f>AND(NOW()&gt;=tbl_MTG_Set[[#This Row],[Buy Window Start]], NOW()&lt;=tbl_MTG_Set[[#This Row],[Buy Window End]])</f>
        <v/>
      </c>
      <c r="O844">
        <f>_xlfn.XLOOKUP(tbl_MTG_Set[[#This Row],[Type Name]], tbl_MTG_Set_Type[Set Type], tbl_MTG_Set_Type[Heavy Printing Window Month Start], "(Set Type not found)", 0, 1)</f>
        <v/>
      </c>
      <c r="P844" s="3">
        <f>tbl_MTG_Set[[#This Row],[Released On]]+tbl_MTG_Set[[#This Row],[Heavy Printing Window Month Start]]*365.25/12</f>
        <v/>
      </c>
      <c r="Q844">
        <f>_xlfn.XLOOKUP(tbl_MTG_Set[[#This Row],[Type Name]], tbl_MTG_Set_Type[Set Type], tbl_MTG_Set_Type[Heavy Printing Window Month End], "(Set Type not found)", 0, 1)</f>
        <v/>
      </c>
      <c r="R844" s="3">
        <f>tbl_MTG_Set[[#This Row],[Released On]]+tbl_MTG_Set[[#This Row],[Heavy Printing Window Month End]]*365.25/12</f>
        <v/>
      </c>
      <c r="S844" s="3">
        <f>AND(NOW()&gt;=tbl_MTG_Set[[#This Row],[Heavy Printing Window Start]], NOW()&lt;=tbl_MTG_Set[[#This Row],[Heavy Printing Window End]])</f>
        <v/>
      </c>
      <c r="T844">
        <f>_xlfn.XLOOKUP(tbl_MTG_Set[[#This Row],[Type Name]], tbl_MTG_Set_Type[Set Type], tbl_MTG_Set_Type[Sell Window Month Start], "(Set Type not found)", 0, 1)</f>
        <v/>
      </c>
      <c r="U844" s="3">
        <f>tbl_MTG_Set[[#This Row],[Released On]]+tbl_MTG_Set[[#This Row],[Sell Window Month Start]]*365.25/12</f>
        <v/>
      </c>
      <c r="V844">
        <f>_xlfn.XLOOKUP(tbl_MTG_Set[[#This Row],[Type Name]], tbl_MTG_Set_Type[Set Type], tbl_MTG_Set_Type[Sell Window Month End], "(Set Type not found)", 0, 1)</f>
        <v/>
      </c>
      <c r="W844" s="3">
        <f>tbl_MTG_Set[[#This Row],[Released On]]+tbl_MTG_Set[[#This Row],[Sell Window Month End]]*365.25/12</f>
        <v/>
      </c>
      <c r="X844" s="3">
        <f>AND(NOW()&gt;=tbl_MTG_Set[[#This Row],[Sell Window Start]], NOW()&lt;=tbl_MTG_Set[[#This Row],[Sell Window End]])</f>
        <v/>
      </c>
      <c r="AG844" s="10" t="n"/>
      <c r="AH844" s="10" t="n"/>
      <c r="AM844" s="10">
        <f t="array" ref="AM8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4" s="10">
        <f t="array" ref="AN8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4" s="4">
        <f>_xlfn.XLOOKUP(tbl_MTG_Set[[#This Row],[Play Booster Box Product Id]], tbl_Product[Product Id], tbl_Product[Pack Size])</f>
        <v/>
      </c>
      <c r="AP844" s="10">
        <f>(tbl_MTG_Set[[#This Row],[Play Booster Box Cost]]+v_Item_Shipping_Cost_In)/tbl_MTG_Set[[#This Row],[Play Booster Box Size]]</f>
        <v/>
      </c>
      <c r="AQ844" s="10">
        <f t="array" ref="AQ8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4" s="10" t="n"/>
      <c r="AS844" s="10" t="n"/>
      <c r="AT844" s="17">
        <f>tbl_MTG_Set[[#This Row],[Play Booster CardMarket Profit]]/tbl_MTG_Set[[#This Row],[Play Booster Cost]]</f>
        <v/>
      </c>
      <c r="AU844" s="10">
        <f>_xlfn.XLOOKUP(tbl_MTG_Set[[#This Row],[Collector Booster Box Product Id]], tbl_Product[Product Id], tbl_Product[Min Cost])</f>
        <v/>
      </c>
      <c r="AV844" s="10">
        <f>_xlfn.XLOOKUP(tbl_MTG_Set[[#This Row],[Collector Booster Box Product Id]], tbl_Product[Product Id], tbl_Product[Best Source])</f>
        <v/>
      </c>
      <c r="AW844" s="4">
        <f>_xlfn.XLOOKUP(tbl_MTG_Set[[#This Row],[Collector Booster Box Product Id]], tbl_Product[Product Id], tbl_Product[Pack Size])</f>
        <v/>
      </c>
      <c r="AX844" s="10">
        <f>(tbl_MTG_Set[[#This Row],[Collector Booster Box Cost]] + v_Item_Shipping_Cost_In) / tbl_MTG_Set[[#This Row],[Collector Booster Box Size]]</f>
        <v/>
      </c>
      <c r="AY844" s="10">
        <f t="array" ref="AY8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4" s="10" t="n"/>
      <c r="BA8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4" s="17">
        <f>tbl_MTG_Set[[#This Row],[Collector Booster CardMarket Profit]]/tbl_MTG_Set[[#This Row],[Collector Booster Cost]]</f>
        <v/>
      </c>
      <c r="BC844" s="10" t="n"/>
      <c r="BF844" s="10">
        <f>tbl_MTG_Set[[#This Row],[Play Booster Sell Price CardMarket]]*tbl_MTG_Set[[#This Row],[Play Booster Expected Market Value]]/tbl_MTG_Set[[#This Row],[Play Boost Sealed Market Value]]</f>
        <v/>
      </c>
      <c r="BG8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4" s="10">
        <f>tbl_MTG_Set[[#This Row],[Play Singles CardMarket Profit]]/tbl_MTG_Set[[#This Row],[Play Booster Cost]]</f>
        <v/>
      </c>
      <c r="BI844" s="10">
        <f>tbl_MTG_Set[[#This Row],[Play Singles CardMarket Profit]]&gt;0</f>
        <v/>
      </c>
      <c r="BJ844" s="10" t="n"/>
      <c r="BK844" s="10" t="n"/>
      <c r="BL844" s="10">
        <f>tbl_MTG_Set[[#This Row],[Collector Booster Sell Price CardMarket]]*tbl_MTG_Set[[#This Row],[Collector Booster Expected Market Value]]/tbl_MTG_Set[[#This Row],[Collector Boost Sealed Market Value]]</f>
        <v/>
      </c>
      <c r="BM8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4" s="10">
        <f>tbl_MTG_Set[[#This Row],[Collector Singles CardMarket Profit]]/tbl_MTG_Set[[#This Row],[Collector Booster Cost]]</f>
        <v/>
      </c>
      <c r="BO844" s="10">
        <f>tbl_MTG_Set[[#This Row],[Collector Singles CardMarket Profit]]&gt;0</f>
        <v/>
      </c>
      <c r="BP8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5">
      <c r="A845" t="n">
        <v>843</v>
      </c>
      <c r="B845" t="inlineStr">
        <is>
          <t>Time Spiral Promos PTSP</t>
        </is>
      </c>
      <c r="C845" t="n">
        <v>3</v>
      </c>
      <c r="D845" s="3" t="n">
        <v>38996</v>
      </c>
      <c r="E845" t="inlineStr">
        <is>
          <t>Remastered</t>
        </is>
      </c>
      <c r="F845" t="inlineStr">
        <is>
          <t>en es fr de it pt ja ko ru 汉语 漢語</t>
        </is>
      </c>
      <c r="G845" t="n">
        <v>1632</v>
      </c>
      <c r="H845">
        <f>MONTH(NOW())+12*YEAR(NOW())-MONTH(tbl_MTG_Set[[#This Row],[Released On]])-12*YEAR(tbl_MTG_Set[[#This Row],[Released On]])</f>
        <v/>
      </c>
      <c r="I845">
        <f>_xlfn.XLOOKUP(tbl_MTG_Set[[#This Row],[Type Name]], tbl_MTG_Set_Type[Set Type], tbl_MTG_Set_Type[Index], "(Set Type not found)")</f>
        <v/>
      </c>
      <c r="J845">
        <f>_xlfn.XLOOKUP(tbl_MTG_Set[[#This Row],[Type Name]], tbl_MTG_Set_Type[Set Type], tbl_MTG_Set_Type[Buy Window Month Start], "(Set Type not found)")</f>
        <v/>
      </c>
      <c r="K845" s="3">
        <f>tbl_MTG_Set[[#This Row],[Released On]]+tbl_MTG_Set[[#This Row],[Buy Window Month Start]]*365.25/12</f>
        <v/>
      </c>
      <c r="L845">
        <f>_xlfn.XLOOKUP(tbl_MTG_Set[[#This Row],[Type Name]], tbl_MTG_Set_Type[Set Type], tbl_MTG_Set_Type[Buy Window Month End], "(Set Type not found)", 0, 1)</f>
        <v/>
      </c>
      <c r="M845" s="3">
        <f>tbl_MTG_Set[[#This Row],[Released On]]+tbl_MTG_Set[[#This Row],[Buy Window Month End]]*365.25/12</f>
        <v/>
      </c>
      <c r="N845" s="3">
        <f>AND(NOW()&gt;=tbl_MTG_Set[[#This Row],[Buy Window Start]], NOW()&lt;=tbl_MTG_Set[[#This Row],[Buy Window End]])</f>
        <v/>
      </c>
      <c r="O845">
        <f>_xlfn.XLOOKUP(tbl_MTG_Set[[#This Row],[Type Name]], tbl_MTG_Set_Type[Set Type], tbl_MTG_Set_Type[Heavy Printing Window Month Start], "(Set Type not found)", 0, 1)</f>
        <v/>
      </c>
      <c r="P845" s="3">
        <f>tbl_MTG_Set[[#This Row],[Released On]]+tbl_MTG_Set[[#This Row],[Heavy Printing Window Month Start]]*365.25/12</f>
        <v/>
      </c>
      <c r="Q845">
        <f>_xlfn.XLOOKUP(tbl_MTG_Set[[#This Row],[Type Name]], tbl_MTG_Set_Type[Set Type], tbl_MTG_Set_Type[Heavy Printing Window Month End], "(Set Type not found)", 0, 1)</f>
        <v/>
      </c>
      <c r="R845" s="3">
        <f>tbl_MTG_Set[[#This Row],[Released On]]+tbl_MTG_Set[[#This Row],[Heavy Printing Window Month End]]*365.25/12</f>
        <v/>
      </c>
      <c r="S845" s="3">
        <f>AND(NOW()&gt;=tbl_MTG_Set[[#This Row],[Heavy Printing Window Start]], NOW()&lt;=tbl_MTG_Set[[#This Row],[Heavy Printing Window End]])</f>
        <v/>
      </c>
      <c r="T845">
        <f>_xlfn.XLOOKUP(tbl_MTG_Set[[#This Row],[Type Name]], tbl_MTG_Set_Type[Set Type], tbl_MTG_Set_Type[Sell Window Month Start], "(Set Type not found)", 0, 1)</f>
        <v/>
      </c>
      <c r="U845" s="3">
        <f>tbl_MTG_Set[[#This Row],[Released On]]+tbl_MTG_Set[[#This Row],[Sell Window Month Start]]*365.25/12</f>
        <v/>
      </c>
      <c r="V845">
        <f>_xlfn.XLOOKUP(tbl_MTG_Set[[#This Row],[Type Name]], tbl_MTG_Set_Type[Set Type], tbl_MTG_Set_Type[Sell Window Month End], "(Set Type not found)", 0, 1)</f>
        <v/>
      </c>
      <c r="W845" s="3">
        <f>tbl_MTG_Set[[#This Row],[Released On]]+tbl_MTG_Set[[#This Row],[Sell Window Month End]]*365.25/12</f>
        <v/>
      </c>
      <c r="X845" s="3">
        <f>AND(NOW()&gt;=tbl_MTG_Set[[#This Row],[Sell Window Start]], NOW()&lt;=tbl_MTG_Set[[#This Row],[Sell Window End]])</f>
        <v/>
      </c>
      <c r="AG845" s="10" t="n"/>
      <c r="AH845" s="10" t="n"/>
      <c r="AM845" s="10">
        <f t="array" ref="AM8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5" s="10">
        <f t="array" ref="AN8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5" s="4">
        <f>_xlfn.XLOOKUP(tbl_MTG_Set[[#This Row],[Play Booster Box Product Id]], tbl_Product[Product Id], tbl_Product[Pack Size])</f>
        <v/>
      </c>
      <c r="AP845" s="10">
        <f>(tbl_MTG_Set[[#This Row],[Play Booster Box Cost]]+v_Item_Shipping_Cost_In)/tbl_MTG_Set[[#This Row],[Play Booster Box Size]]</f>
        <v/>
      </c>
      <c r="AQ845" s="10">
        <f t="array" ref="AQ8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5" s="10" t="n"/>
      <c r="AS845" s="10" t="n"/>
      <c r="AT845" s="17">
        <f>tbl_MTG_Set[[#This Row],[Play Booster CardMarket Profit]]/tbl_MTG_Set[[#This Row],[Play Booster Cost]]</f>
        <v/>
      </c>
      <c r="AU845" s="10">
        <f>_xlfn.XLOOKUP(tbl_MTG_Set[[#This Row],[Collector Booster Box Product Id]], tbl_Product[Product Id], tbl_Product[Min Cost])</f>
        <v/>
      </c>
      <c r="AV845" s="10">
        <f>_xlfn.XLOOKUP(tbl_MTG_Set[[#This Row],[Collector Booster Box Product Id]], tbl_Product[Product Id], tbl_Product[Best Source])</f>
        <v/>
      </c>
      <c r="AW845" s="4">
        <f>_xlfn.XLOOKUP(tbl_MTG_Set[[#This Row],[Collector Booster Box Product Id]], tbl_Product[Product Id], tbl_Product[Pack Size])</f>
        <v/>
      </c>
      <c r="AX845" s="10">
        <f>(tbl_MTG_Set[[#This Row],[Collector Booster Box Cost]] + v_Item_Shipping_Cost_In) / tbl_MTG_Set[[#This Row],[Collector Booster Box Size]]</f>
        <v/>
      </c>
      <c r="AY845" s="10">
        <f t="array" ref="AY8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5" s="10" t="n"/>
      <c r="BA8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5" s="17">
        <f>tbl_MTG_Set[[#This Row],[Collector Booster CardMarket Profit]]/tbl_MTG_Set[[#This Row],[Collector Booster Cost]]</f>
        <v/>
      </c>
      <c r="BC845" s="10" t="n"/>
      <c r="BF845" s="10">
        <f>tbl_MTG_Set[[#This Row],[Play Booster Sell Price CardMarket]]*tbl_MTG_Set[[#This Row],[Play Booster Expected Market Value]]/tbl_MTG_Set[[#This Row],[Play Boost Sealed Market Value]]</f>
        <v/>
      </c>
      <c r="BG8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5" s="10">
        <f>tbl_MTG_Set[[#This Row],[Play Singles CardMarket Profit]]/tbl_MTG_Set[[#This Row],[Play Booster Cost]]</f>
        <v/>
      </c>
      <c r="BI845" s="10">
        <f>tbl_MTG_Set[[#This Row],[Play Singles CardMarket Profit]]&gt;0</f>
        <v/>
      </c>
      <c r="BJ845" s="10" t="n"/>
      <c r="BK845" s="10" t="n"/>
      <c r="BL845" s="10">
        <f>tbl_MTG_Set[[#This Row],[Collector Booster Sell Price CardMarket]]*tbl_MTG_Set[[#This Row],[Collector Booster Expected Market Value]]/tbl_MTG_Set[[#This Row],[Collector Boost Sealed Market Value]]</f>
        <v/>
      </c>
      <c r="BM8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5" s="10">
        <f>tbl_MTG_Set[[#This Row],[Collector Singles CardMarket Profit]]/tbl_MTG_Set[[#This Row],[Collector Booster Cost]]</f>
        <v/>
      </c>
      <c r="BO845" s="10">
        <f>tbl_MTG_Set[[#This Row],[Collector Singles CardMarket Profit]]&gt;0</f>
        <v/>
      </c>
      <c r="BP8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6">
      <c r="A846" t="n">
        <v>844</v>
      </c>
      <c r="B846" t="inlineStr">
        <is>
          <t>Time Spiral Timeshifted TSB</t>
        </is>
      </c>
      <c r="C846" t="n">
        <v>121</v>
      </c>
      <c r="D846" s="3" t="n">
        <v>38996</v>
      </c>
      <c r="E846" t="inlineStr">
        <is>
          <t>Remastered</t>
        </is>
      </c>
      <c r="F846" t="inlineStr">
        <is>
          <t>en es fr de it pt ja ko ru 汉语 漢語</t>
        </is>
      </c>
      <c r="G846" t="n">
        <v>1634</v>
      </c>
      <c r="H846">
        <f>MONTH(NOW())+12*YEAR(NOW())-MONTH(tbl_MTG_Set[[#This Row],[Released On]])-12*YEAR(tbl_MTG_Set[[#This Row],[Released On]])</f>
        <v/>
      </c>
      <c r="I846">
        <f>_xlfn.XLOOKUP(tbl_MTG_Set[[#This Row],[Type Name]], tbl_MTG_Set_Type[Set Type], tbl_MTG_Set_Type[Index], "(Set Type not found)")</f>
        <v/>
      </c>
      <c r="J846">
        <f>_xlfn.XLOOKUP(tbl_MTG_Set[[#This Row],[Type Name]], tbl_MTG_Set_Type[Set Type], tbl_MTG_Set_Type[Buy Window Month Start], "(Set Type not found)")</f>
        <v/>
      </c>
      <c r="K846" s="3">
        <f>tbl_MTG_Set[[#This Row],[Released On]]+tbl_MTG_Set[[#This Row],[Buy Window Month Start]]*365.25/12</f>
        <v/>
      </c>
      <c r="L846">
        <f>_xlfn.XLOOKUP(tbl_MTG_Set[[#This Row],[Type Name]], tbl_MTG_Set_Type[Set Type], tbl_MTG_Set_Type[Buy Window Month End], "(Set Type not found)", 0, 1)</f>
        <v/>
      </c>
      <c r="M846" s="3">
        <f>tbl_MTG_Set[[#This Row],[Released On]]+tbl_MTG_Set[[#This Row],[Buy Window Month End]]*365.25/12</f>
        <v/>
      </c>
      <c r="N846" s="3">
        <f>AND(NOW()&gt;=tbl_MTG_Set[[#This Row],[Buy Window Start]], NOW()&lt;=tbl_MTG_Set[[#This Row],[Buy Window End]])</f>
        <v/>
      </c>
      <c r="O846">
        <f>_xlfn.XLOOKUP(tbl_MTG_Set[[#This Row],[Type Name]], tbl_MTG_Set_Type[Set Type], tbl_MTG_Set_Type[Heavy Printing Window Month Start], "(Set Type not found)", 0, 1)</f>
        <v/>
      </c>
      <c r="P846" s="3">
        <f>tbl_MTG_Set[[#This Row],[Released On]]+tbl_MTG_Set[[#This Row],[Heavy Printing Window Month Start]]*365.25/12</f>
        <v/>
      </c>
      <c r="Q846">
        <f>_xlfn.XLOOKUP(tbl_MTG_Set[[#This Row],[Type Name]], tbl_MTG_Set_Type[Set Type], tbl_MTG_Set_Type[Heavy Printing Window Month End], "(Set Type not found)", 0, 1)</f>
        <v/>
      </c>
      <c r="R846" s="3">
        <f>tbl_MTG_Set[[#This Row],[Released On]]+tbl_MTG_Set[[#This Row],[Heavy Printing Window Month End]]*365.25/12</f>
        <v/>
      </c>
      <c r="S846" s="3">
        <f>AND(NOW()&gt;=tbl_MTG_Set[[#This Row],[Heavy Printing Window Start]], NOW()&lt;=tbl_MTG_Set[[#This Row],[Heavy Printing Window End]])</f>
        <v/>
      </c>
      <c r="T846">
        <f>_xlfn.XLOOKUP(tbl_MTG_Set[[#This Row],[Type Name]], tbl_MTG_Set_Type[Set Type], tbl_MTG_Set_Type[Sell Window Month Start], "(Set Type not found)", 0, 1)</f>
        <v/>
      </c>
      <c r="U846" s="3">
        <f>tbl_MTG_Set[[#This Row],[Released On]]+tbl_MTG_Set[[#This Row],[Sell Window Month Start]]*365.25/12</f>
        <v/>
      </c>
      <c r="V846">
        <f>_xlfn.XLOOKUP(tbl_MTG_Set[[#This Row],[Type Name]], tbl_MTG_Set_Type[Set Type], tbl_MTG_Set_Type[Sell Window Month End], "(Set Type not found)", 0, 1)</f>
        <v/>
      </c>
      <c r="W846" s="3">
        <f>tbl_MTG_Set[[#This Row],[Released On]]+tbl_MTG_Set[[#This Row],[Sell Window Month End]]*365.25/12</f>
        <v/>
      </c>
      <c r="X846" s="3">
        <f>AND(NOW()&gt;=tbl_MTG_Set[[#This Row],[Sell Window Start]], NOW()&lt;=tbl_MTG_Set[[#This Row],[Sell Window End]])</f>
        <v/>
      </c>
      <c r="AG846" s="10" t="n"/>
      <c r="AH846" s="10" t="n"/>
      <c r="AM846" s="10">
        <f t="array" ref="AM8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6" s="10">
        <f t="array" ref="AN8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6" s="4">
        <f>_xlfn.XLOOKUP(tbl_MTG_Set[[#This Row],[Play Booster Box Product Id]], tbl_Product[Product Id], tbl_Product[Pack Size])</f>
        <v/>
      </c>
      <c r="AP846" s="10">
        <f>(tbl_MTG_Set[[#This Row],[Play Booster Box Cost]]+v_Item_Shipping_Cost_In)/tbl_MTG_Set[[#This Row],[Play Booster Box Size]]</f>
        <v/>
      </c>
      <c r="AQ846" s="10">
        <f t="array" ref="AQ8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6" s="10" t="n"/>
      <c r="AS846" s="10" t="n"/>
      <c r="AT846" s="17">
        <f>tbl_MTG_Set[[#This Row],[Play Booster CardMarket Profit]]/tbl_MTG_Set[[#This Row],[Play Booster Cost]]</f>
        <v/>
      </c>
      <c r="AU846" s="10">
        <f>_xlfn.XLOOKUP(tbl_MTG_Set[[#This Row],[Collector Booster Box Product Id]], tbl_Product[Product Id], tbl_Product[Min Cost])</f>
        <v/>
      </c>
      <c r="AV846" s="10">
        <f>_xlfn.XLOOKUP(tbl_MTG_Set[[#This Row],[Collector Booster Box Product Id]], tbl_Product[Product Id], tbl_Product[Best Source])</f>
        <v/>
      </c>
      <c r="AW846" s="4">
        <f>_xlfn.XLOOKUP(tbl_MTG_Set[[#This Row],[Collector Booster Box Product Id]], tbl_Product[Product Id], tbl_Product[Pack Size])</f>
        <v/>
      </c>
      <c r="AX846" s="10">
        <f>(tbl_MTG_Set[[#This Row],[Collector Booster Box Cost]] + v_Item_Shipping_Cost_In) / tbl_MTG_Set[[#This Row],[Collector Booster Box Size]]</f>
        <v/>
      </c>
      <c r="AY846" s="10">
        <f t="array" ref="AY8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6" s="10" t="n"/>
      <c r="BA8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6" s="17">
        <f>tbl_MTG_Set[[#This Row],[Collector Booster CardMarket Profit]]/tbl_MTG_Set[[#This Row],[Collector Booster Cost]]</f>
        <v/>
      </c>
      <c r="BC846" s="10" t="n"/>
      <c r="BF846" s="10">
        <f>tbl_MTG_Set[[#This Row],[Play Booster Sell Price CardMarket]]*tbl_MTG_Set[[#This Row],[Play Booster Expected Market Value]]/tbl_MTG_Set[[#This Row],[Play Boost Sealed Market Value]]</f>
        <v/>
      </c>
      <c r="BG8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6" s="10">
        <f>tbl_MTG_Set[[#This Row],[Play Singles CardMarket Profit]]/tbl_MTG_Set[[#This Row],[Play Booster Cost]]</f>
        <v/>
      </c>
      <c r="BI846" s="10">
        <f>tbl_MTG_Set[[#This Row],[Play Singles CardMarket Profit]]&gt;0</f>
        <v/>
      </c>
      <c r="BJ846" s="10" t="n"/>
      <c r="BK846" s="10" t="n"/>
      <c r="BL846" s="10">
        <f>tbl_MTG_Set[[#This Row],[Collector Booster Sell Price CardMarket]]*tbl_MTG_Set[[#This Row],[Collector Booster Expected Market Value]]/tbl_MTG_Set[[#This Row],[Collector Boost Sealed Market Value]]</f>
        <v/>
      </c>
      <c r="BM8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6" s="10">
        <f>tbl_MTG_Set[[#This Row],[Collector Singles CardMarket Profit]]/tbl_MTG_Set[[#This Row],[Collector Booster Cost]]</f>
        <v/>
      </c>
      <c r="BO846" s="10">
        <f>tbl_MTG_Set[[#This Row],[Collector Singles CardMarket Profit]]&gt;0</f>
        <v/>
      </c>
      <c r="BP8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7">
      <c r="A847" t="n">
        <v>845</v>
      </c>
      <c r="B847" t="inlineStr">
        <is>
          <t>Coldsnap CSP</t>
        </is>
      </c>
      <c r="C847" t="n">
        <v>155</v>
      </c>
      <c r="D847" s="3" t="n">
        <v>38919</v>
      </c>
      <c r="F847" t="inlineStr">
        <is>
          <t>en es fr de it pt ja ko ru 汉语 漢語</t>
        </is>
      </c>
      <c r="G847" t="n">
        <v>1636</v>
      </c>
      <c r="H847">
        <f>MONTH(NOW())+12*YEAR(NOW())-MONTH(tbl_MTG_Set[[#This Row],[Released On]])-12*YEAR(tbl_MTG_Set[[#This Row],[Released On]])</f>
        <v/>
      </c>
      <c r="I847">
        <f>_xlfn.XLOOKUP(tbl_MTG_Set[[#This Row],[Type Name]], tbl_MTG_Set_Type[Set Type], tbl_MTG_Set_Type[Index], "(Set Type not found)")</f>
        <v/>
      </c>
      <c r="J847">
        <f>_xlfn.XLOOKUP(tbl_MTG_Set[[#This Row],[Type Name]], tbl_MTG_Set_Type[Set Type], tbl_MTG_Set_Type[Buy Window Month Start], "(Set Type not found)")</f>
        <v/>
      </c>
      <c r="K847" s="3">
        <f>tbl_MTG_Set[[#This Row],[Released On]]+tbl_MTG_Set[[#This Row],[Buy Window Month Start]]*365.25/12</f>
        <v/>
      </c>
      <c r="L847">
        <f>_xlfn.XLOOKUP(tbl_MTG_Set[[#This Row],[Type Name]], tbl_MTG_Set_Type[Set Type], tbl_MTG_Set_Type[Buy Window Month End], "(Set Type not found)", 0, 1)</f>
        <v/>
      </c>
      <c r="M847" s="3">
        <f>tbl_MTG_Set[[#This Row],[Released On]]+tbl_MTG_Set[[#This Row],[Buy Window Month End]]*365.25/12</f>
        <v/>
      </c>
      <c r="N847" s="3">
        <f>AND(NOW()&gt;=tbl_MTG_Set[[#This Row],[Buy Window Start]], NOW()&lt;=tbl_MTG_Set[[#This Row],[Buy Window End]])</f>
        <v/>
      </c>
      <c r="O847">
        <f>_xlfn.XLOOKUP(tbl_MTG_Set[[#This Row],[Type Name]], tbl_MTG_Set_Type[Set Type], tbl_MTG_Set_Type[Heavy Printing Window Month Start], "(Set Type not found)", 0, 1)</f>
        <v/>
      </c>
      <c r="P847" s="3">
        <f>tbl_MTG_Set[[#This Row],[Released On]]+tbl_MTG_Set[[#This Row],[Heavy Printing Window Month Start]]*365.25/12</f>
        <v/>
      </c>
      <c r="Q847">
        <f>_xlfn.XLOOKUP(tbl_MTG_Set[[#This Row],[Type Name]], tbl_MTG_Set_Type[Set Type], tbl_MTG_Set_Type[Heavy Printing Window Month End], "(Set Type not found)", 0, 1)</f>
        <v/>
      </c>
      <c r="R847" s="3">
        <f>tbl_MTG_Set[[#This Row],[Released On]]+tbl_MTG_Set[[#This Row],[Heavy Printing Window Month End]]*365.25/12</f>
        <v/>
      </c>
      <c r="S847" s="3">
        <f>AND(NOW()&gt;=tbl_MTG_Set[[#This Row],[Heavy Printing Window Start]], NOW()&lt;=tbl_MTG_Set[[#This Row],[Heavy Printing Window End]])</f>
        <v/>
      </c>
      <c r="T847">
        <f>_xlfn.XLOOKUP(tbl_MTG_Set[[#This Row],[Type Name]], tbl_MTG_Set_Type[Set Type], tbl_MTG_Set_Type[Sell Window Month Start], "(Set Type not found)", 0, 1)</f>
        <v/>
      </c>
      <c r="U847" s="3">
        <f>tbl_MTG_Set[[#This Row],[Released On]]+tbl_MTG_Set[[#This Row],[Sell Window Month Start]]*365.25/12</f>
        <v/>
      </c>
      <c r="V847">
        <f>_xlfn.XLOOKUP(tbl_MTG_Set[[#This Row],[Type Name]], tbl_MTG_Set_Type[Set Type], tbl_MTG_Set_Type[Sell Window Month End], "(Set Type not found)", 0, 1)</f>
        <v/>
      </c>
      <c r="W847" s="3">
        <f>tbl_MTG_Set[[#This Row],[Released On]]+tbl_MTG_Set[[#This Row],[Sell Window Month End]]*365.25/12</f>
        <v/>
      </c>
      <c r="X847" s="3">
        <f>AND(NOW()&gt;=tbl_MTG_Set[[#This Row],[Sell Window Start]], NOW()&lt;=tbl_MTG_Set[[#This Row],[Sell Window End]])</f>
        <v/>
      </c>
      <c r="AG847" s="10" t="n"/>
      <c r="AH847" s="10" t="n"/>
      <c r="AM847" s="10">
        <f t="array" ref="AM8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7" s="10">
        <f t="array" ref="AN8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7" s="4">
        <f>_xlfn.XLOOKUP(tbl_MTG_Set[[#This Row],[Play Booster Box Product Id]], tbl_Product[Product Id], tbl_Product[Pack Size])</f>
        <v/>
      </c>
      <c r="AP847" s="10">
        <f>(tbl_MTG_Set[[#This Row],[Play Booster Box Cost]]+v_Item_Shipping_Cost_In)/tbl_MTG_Set[[#This Row],[Play Booster Box Size]]</f>
        <v/>
      </c>
      <c r="AQ847" s="10">
        <f t="array" ref="AQ8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7" s="10" t="n"/>
      <c r="AS847" s="10" t="n"/>
      <c r="AT847" s="17">
        <f>tbl_MTG_Set[[#This Row],[Play Booster CardMarket Profit]]/tbl_MTG_Set[[#This Row],[Play Booster Cost]]</f>
        <v/>
      </c>
      <c r="AU847" s="10">
        <f>_xlfn.XLOOKUP(tbl_MTG_Set[[#This Row],[Collector Booster Box Product Id]], tbl_Product[Product Id], tbl_Product[Min Cost])</f>
        <v/>
      </c>
      <c r="AV847" s="10">
        <f>_xlfn.XLOOKUP(tbl_MTG_Set[[#This Row],[Collector Booster Box Product Id]], tbl_Product[Product Id], tbl_Product[Best Source])</f>
        <v/>
      </c>
      <c r="AW847" s="4">
        <f>_xlfn.XLOOKUP(tbl_MTG_Set[[#This Row],[Collector Booster Box Product Id]], tbl_Product[Product Id], tbl_Product[Pack Size])</f>
        <v/>
      </c>
      <c r="AX847" s="10">
        <f>(tbl_MTG_Set[[#This Row],[Collector Booster Box Cost]] + v_Item_Shipping_Cost_In) / tbl_MTG_Set[[#This Row],[Collector Booster Box Size]]</f>
        <v/>
      </c>
      <c r="AY847" s="10">
        <f t="array" ref="AY8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7" s="10" t="n"/>
      <c r="BA8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7" s="17">
        <f>tbl_MTG_Set[[#This Row],[Collector Booster CardMarket Profit]]/tbl_MTG_Set[[#This Row],[Collector Booster Cost]]</f>
        <v/>
      </c>
      <c r="BC847" s="10" t="n"/>
      <c r="BF847" s="10">
        <f>tbl_MTG_Set[[#This Row],[Play Booster Sell Price CardMarket]]*tbl_MTG_Set[[#This Row],[Play Booster Expected Market Value]]/tbl_MTG_Set[[#This Row],[Play Boost Sealed Market Value]]</f>
        <v/>
      </c>
      <c r="BG8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7" s="10">
        <f>tbl_MTG_Set[[#This Row],[Play Singles CardMarket Profit]]/tbl_MTG_Set[[#This Row],[Play Booster Cost]]</f>
        <v/>
      </c>
      <c r="BI847" s="10">
        <f>tbl_MTG_Set[[#This Row],[Play Singles CardMarket Profit]]&gt;0</f>
        <v/>
      </c>
      <c r="BJ847" s="10" t="n"/>
      <c r="BK847" s="10" t="n"/>
      <c r="BL847" s="10">
        <f>tbl_MTG_Set[[#This Row],[Collector Booster Sell Price CardMarket]]*tbl_MTG_Set[[#This Row],[Collector Booster Expected Market Value]]/tbl_MTG_Set[[#This Row],[Collector Boost Sealed Market Value]]</f>
        <v/>
      </c>
      <c r="BM8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7" s="10">
        <f>tbl_MTG_Set[[#This Row],[Collector Singles CardMarket Profit]]/tbl_MTG_Set[[#This Row],[Collector Booster Cost]]</f>
        <v/>
      </c>
      <c r="BO847" s="10">
        <f>tbl_MTG_Set[[#This Row],[Collector Singles CardMarket Profit]]&gt;0</f>
        <v/>
      </c>
      <c r="BP8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8">
      <c r="A848" t="n">
        <v>846</v>
      </c>
      <c r="B848" t="inlineStr">
        <is>
          <t>Coldsnap Promos PCSP</t>
        </is>
      </c>
      <c r="C848" t="n">
        <v>2</v>
      </c>
      <c r="D848" s="3" t="n">
        <v>38919</v>
      </c>
      <c r="F848" t="inlineStr">
        <is>
          <t>en es fr de it pt ja ko ru 汉语 漢語</t>
        </is>
      </c>
      <c r="G848" t="n">
        <v>1638</v>
      </c>
      <c r="H848">
        <f>MONTH(NOW())+12*YEAR(NOW())-MONTH(tbl_MTG_Set[[#This Row],[Released On]])-12*YEAR(tbl_MTG_Set[[#This Row],[Released On]])</f>
        <v/>
      </c>
      <c r="I848">
        <f>_xlfn.XLOOKUP(tbl_MTG_Set[[#This Row],[Type Name]], tbl_MTG_Set_Type[Set Type], tbl_MTG_Set_Type[Index], "(Set Type not found)")</f>
        <v/>
      </c>
      <c r="J848">
        <f>_xlfn.XLOOKUP(tbl_MTG_Set[[#This Row],[Type Name]], tbl_MTG_Set_Type[Set Type], tbl_MTG_Set_Type[Buy Window Month Start], "(Set Type not found)")</f>
        <v/>
      </c>
      <c r="K848" s="3">
        <f>tbl_MTG_Set[[#This Row],[Released On]]+tbl_MTG_Set[[#This Row],[Buy Window Month Start]]*365.25/12</f>
        <v/>
      </c>
      <c r="L848">
        <f>_xlfn.XLOOKUP(tbl_MTG_Set[[#This Row],[Type Name]], tbl_MTG_Set_Type[Set Type], tbl_MTG_Set_Type[Buy Window Month End], "(Set Type not found)", 0, 1)</f>
        <v/>
      </c>
      <c r="M848" s="3">
        <f>tbl_MTG_Set[[#This Row],[Released On]]+tbl_MTG_Set[[#This Row],[Buy Window Month End]]*365.25/12</f>
        <v/>
      </c>
      <c r="N848" s="3">
        <f>AND(NOW()&gt;=tbl_MTG_Set[[#This Row],[Buy Window Start]], NOW()&lt;=tbl_MTG_Set[[#This Row],[Buy Window End]])</f>
        <v/>
      </c>
      <c r="O848">
        <f>_xlfn.XLOOKUP(tbl_MTG_Set[[#This Row],[Type Name]], tbl_MTG_Set_Type[Set Type], tbl_MTG_Set_Type[Heavy Printing Window Month Start], "(Set Type not found)", 0, 1)</f>
        <v/>
      </c>
      <c r="P848" s="3">
        <f>tbl_MTG_Set[[#This Row],[Released On]]+tbl_MTG_Set[[#This Row],[Heavy Printing Window Month Start]]*365.25/12</f>
        <v/>
      </c>
      <c r="Q848">
        <f>_xlfn.XLOOKUP(tbl_MTG_Set[[#This Row],[Type Name]], tbl_MTG_Set_Type[Set Type], tbl_MTG_Set_Type[Heavy Printing Window Month End], "(Set Type not found)", 0, 1)</f>
        <v/>
      </c>
      <c r="R848" s="3">
        <f>tbl_MTG_Set[[#This Row],[Released On]]+tbl_MTG_Set[[#This Row],[Heavy Printing Window Month End]]*365.25/12</f>
        <v/>
      </c>
      <c r="S848" s="3">
        <f>AND(NOW()&gt;=tbl_MTG_Set[[#This Row],[Heavy Printing Window Start]], NOW()&lt;=tbl_MTG_Set[[#This Row],[Heavy Printing Window End]])</f>
        <v/>
      </c>
      <c r="T848">
        <f>_xlfn.XLOOKUP(tbl_MTG_Set[[#This Row],[Type Name]], tbl_MTG_Set_Type[Set Type], tbl_MTG_Set_Type[Sell Window Month Start], "(Set Type not found)", 0, 1)</f>
        <v/>
      </c>
      <c r="U848" s="3">
        <f>tbl_MTG_Set[[#This Row],[Released On]]+tbl_MTG_Set[[#This Row],[Sell Window Month Start]]*365.25/12</f>
        <v/>
      </c>
      <c r="V848">
        <f>_xlfn.XLOOKUP(tbl_MTG_Set[[#This Row],[Type Name]], tbl_MTG_Set_Type[Set Type], tbl_MTG_Set_Type[Sell Window Month End], "(Set Type not found)", 0, 1)</f>
        <v/>
      </c>
      <c r="W848" s="3">
        <f>tbl_MTG_Set[[#This Row],[Released On]]+tbl_MTG_Set[[#This Row],[Sell Window Month End]]*365.25/12</f>
        <v/>
      </c>
      <c r="X848" s="3">
        <f>AND(NOW()&gt;=tbl_MTG_Set[[#This Row],[Sell Window Start]], NOW()&lt;=tbl_MTG_Set[[#This Row],[Sell Window End]])</f>
        <v/>
      </c>
      <c r="AG848" s="10" t="n"/>
      <c r="AH848" s="10" t="n"/>
      <c r="AM848" s="10">
        <f t="array" ref="AM8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8" s="10">
        <f t="array" ref="AN8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8" s="4">
        <f>_xlfn.XLOOKUP(tbl_MTG_Set[[#This Row],[Play Booster Box Product Id]], tbl_Product[Product Id], tbl_Product[Pack Size])</f>
        <v/>
      </c>
      <c r="AP848" s="10">
        <f>(tbl_MTG_Set[[#This Row],[Play Booster Box Cost]]+v_Item_Shipping_Cost_In)/tbl_MTG_Set[[#This Row],[Play Booster Box Size]]</f>
        <v/>
      </c>
      <c r="AQ848" s="10">
        <f t="array" ref="AQ8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8" s="10" t="n"/>
      <c r="AS848" s="10" t="n"/>
      <c r="AT848" s="17">
        <f>tbl_MTG_Set[[#This Row],[Play Booster CardMarket Profit]]/tbl_MTG_Set[[#This Row],[Play Booster Cost]]</f>
        <v/>
      </c>
      <c r="AU848" s="10">
        <f>_xlfn.XLOOKUP(tbl_MTG_Set[[#This Row],[Collector Booster Box Product Id]], tbl_Product[Product Id], tbl_Product[Min Cost])</f>
        <v/>
      </c>
      <c r="AV848" s="10">
        <f>_xlfn.XLOOKUP(tbl_MTG_Set[[#This Row],[Collector Booster Box Product Id]], tbl_Product[Product Id], tbl_Product[Best Source])</f>
        <v/>
      </c>
      <c r="AW848" s="4">
        <f>_xlfn.XLOOKUP(tbl_MTG_Set[[#This Row],[Collector Booster Box Product Id]], tbl_Product[Product Id], tbl_Product[Pack Size])</f>
        <v/>
      </c>
      <c r="AX848" s="10">
        <f>(tbl_MTG_Set[[#This Row],[Collector Booster Box Cost]] + v_Item_Shipping_Cost_In) / tbl_MTG_Set[[#This Row],[Collector Booster Box Size]]</f>
        <v/>
      </c>
      <c r="AY848" s="10">
        <f t="array" ref="AY8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8" s="10" t="n"/>
      <c r="BA8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8" s="17">
        <f>tbl_MTG_Set[[#This Row],[Collector Booster CardMarket Profit]]/tbl_MTG_Set[[#This Row],[Collector Booster Cost]]</f>
        <v/>
      </c>
      <c r="BC848" s="10" t="n"/>
      <c r="BF848" s="10">
        <f>tbl_MTG_Set[[#This Row],[Play Booster Sell Price CardMarket]]*tbl_MTG_Set[[#This Row],[Play Booster Expected Market Value]]/tbl_MTG_Set[[#This Row],[Play Boost Sealed Market Value]]</f>
        <v/>
      </c>
      <c r="BG8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8" s="10">
        <f>tbl_MTG_Set[[#This Row],[Play Singles CardMarket Profit]]/tbl_MTG_Set[[#This Row],[Play Booster Cost]]</f>
        <v/>
      </c>
      <c r="BI848" s="10">
        <f>tbl_MTG_Set[[#This Row],[Play Singles CardMarket Profit]]&gt;0</f>
        <v/>
      </c>
      <c r="BJ848" s="10" t="n"/>
      <c r="BK848" s="10" t="n"/>
      <c r="BL848" s="10">
        <f>tbl_MTG_Set[[#This Row],[Collector Booster Sell Price CardMarket]]*tbl_MTG_Set[[#This Row],[Collector Booster Expected Market Value]]/tbl_MTG_Set[[#This Row],[Collector Boost Sealed Market Value]]</f>
        <v/>
      </c>
      <c r="BM8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8" s="10">
        <f>tbl_MTG_Set[[#This Row],[Collector Singles CardMarket Profit]]/tbl_MTG_Set[[#This Row],[Collector Booster Cost]]</f>
        <v/>
      </c>
      <c r="BO848" s="10">
        <f>tbl_MTG_Set[[#This Row],[Collector Singles CardMarket Profit]]&gt;0</f>
        <v/>
      </c>
      <c r="BP8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9">
      <c r="A849" t="n">
        <v>847</v>
      </c>
      <c r="B849" t="inlineStr">
        <is>
          <t>Coldsnap Theme Decks CST</t>
        </is>
      </c>
      <c r="C849" t="n">
        <v>62</v>
      </c>
      <c r="D849" s="3" t="n">
        <v>38919</v>
      </c>
      <c r="F849" t="inlineStr">
        <is>
          <t>en es fr de it pt ja ko ru 汉语 漢語</t>
        </is>
      </c>
      <c r="G849" t="n">
        <v>1640</v>
      </c>
      <c r="H849">
        <f>MONTH(NOW())+12*YEAR(NOW())-MONTH(tbl_MTG_Set[[#This Row],[Released On]])-12*YEAR(tbl_MTG_Set[[#This Row],[Released On]])</f>
        <v/>
      </c>
      <c r="I849">
        <f>_xlfn.XLOOKUP(tbl_MTG_Set[[#This Row],[Type Name]], tbl_MTG_Set_Type[Set Type], tbl_MTG_Set_Type[Index], "(Set Type not found)")</f>
        <v/>
      </c>
      <c r="J849">
        <f>_xlfn.XLOOKUP(tbl_MTG_Set[[#This Row],[Type Name]], tbl_MTG_Set_Type[Set Type], tbl_MTG_Set_Type[Buy Window Month Start], "(Set Type not found)")</f>
        <v/>
      </c>
      <c r="K849" s="3">
        <f>tbl_MTG_Set[[#This Row],[Released On]]+tbl_MTG_Set[[#This Row],[Buy Window Month Start]]*365.25/12</f>
        <v/>
      </c>
      <c r="L849">
        <f>_xlfn.XLOOKUP(tbl_MTG_Set[[#This Row],[Type Name]], tbl_MTG_Set_Type[Set Type], tbl_MTG_Set_Type[Buy Window Month End], "(Set Type not found)", 0, 1)</f>
        <v/>
      </c>
      <c r="M849" s="3">
        <f>tbl_MTG_Set[[#This Row],[Released On]]+tbl_MTG_Set[[#This Row],[Buy Window Month End]]*365.25/12</f>
        <v/>
      </c>
      <c r="N849" s="3">
        <f>AND(NOW()&gt;=tbl_MTG_Set[[#This Row],[Buy Window Start]], NOW()&lt;=tbl_MTG_Set[[#This Row],[Buy Window End]])</f>
        <v/>
      </c>
      <c r="O849">
        <f>_xlfn.XLOOKUP(tbl_MTG_Set[[#This Row],[Type Name]], tbl_MTG_Set_Type[Set Type], tbl_MTG_Set_Type[Heavy Printing Window Month Start], "(Set Type not found)", 0, 1)</f>
        <v/>
      </c>
      <c r="P849" s="3">
        <f>tbl_MTG_Set[[#This Row],[Released On]]+tbl_MTG_Set[[#This Row],[Heavy Printing Window Month Start]]*365.25/12</f>
        <v/>
      </c>
      <c r="Q849">
        <f>_xlfn.XLOOKUP(tbl_MTG_Set[[#This Row],[Type Name]], tbl_MTG_Set_Type[Set Type], tbl_MTG_Set_Type[Heavy Printing Window Month End], "(Set Type not found)", 0, 1)</f>
        <v/>
      </c>
      <c r="R849" s="3">
        <f>tbl_MTG_Set[[#This Row],[Released On]]+tbl_MTG_Set[[#This Row],[Heavy Printing Window Month End]]*365.25/12</f>
        <v/>
      </c>
      <c r="S849" s="3">
        <f>AND(NOW()&gt;=tbl_MTG_Set[[#This Row],[Heavy Printing Window Start]], NOW()&lt;=tbl_MTG_Set[[#This Row],[Heavy Printing Window End]])</f>
        <v/>
      </c>
      <c r="T849">
        <f>_xlfn.XLOOKUP(tbl_MTG_Set[[#This Row],[Type Name]], tbl_MTG_Set_Type[Set Type], tbl_MTG_Set_Type[Sell Window Month Start], "(Set Type not found)", 0, 1)</f>
        <v/>
      </c>
      <c r="U849" s="3">
        <f>tbl_MTG_Set[[#This Row],[Released On]]+tbl_MTG_Set[[#This Row],[Sell Window Month Start]]*365.25/12</f>
        <v/>
      </c>
      <c r="V849">
        <f>_xlfn.XLOOKUP(tbl_MTG_Set[[#This Row],[Type Name]], tbl_MTG_Set_Type[Set Type], tbl_MTG_Set_Type[Sell Window Month End], "(Set Type not found)", 0, 1)</f>
        <v/>
      </c>
      <c r="W849" s="3">
        <f>tbl_MTG_Set[[#This Row],[Released On]]+tbl_MTG_Set[[#This Row],[Sell Window Month End]]*365.25/12</f>
        <v/>
      </c>
      <c r="X849" s="3">
        <f>AND(NOW()&gt;=tbl_MTG_Set[[#This Row],[Sell Window Start]], NOW()&lt;=tbl_MTG_Set[[#This Row],[Sell Window End]])</f>
        <v/>
      </c>
      <c r="AG849" s="10" t="n"/>
      <c r="AH849" s="10" t="n"/>
      <c r="AM849" s="10">
        <f t="array" ref="AM8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9" s="10">
        <f t="array" ref="AN8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9" s="4">
        <f>_xlfn.XLOOKUP(tbl_MTG_Set[[#This Row],[Play Booster Box Product Id]], tbl_Product[Product Id], tbl_Product[Pack Size])</f>
        <v/>
      </c>
      <c r="AP849" s="10">
        <f>(tbl_MTG_Set[[#This Row],[Play Booster Box Cost]]+v_Item_Shipping_Cost_In)/tbl_MTG_Set[[#This Row],[Play Booster Box Size]]</f>
        <v/>
      </c>
      <c r="AQ849" s="10">
        <f t="array" ref="AQ8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49" s="10" t="n"/>
      <c r="AS849" s="10" t="n"/>
      <c r="AT849" s="17">
        <f>tbl_MTG_Set[[#This Row],[Play Booster CardMarket Profit]]/tbl_MTG_Set[[#This Row],[Play Booster Cost]]</f>
        <v/>
      </c>
      <c r="AU849" s="10">
        <f>_xlfn.XLOOKUP(tbl_MTG_Set[[#This Row],[Collector Booster Box Product Id]], tbl_Product[Product Id], tbl_Product[Min Cost])</f>
        <v/>
      </c>
      <c r="AV849" s="10">
        <f>_xlfn.XLOOKUP(tbl_MTG_Set[[#This Row],[Collector Booster Box Product Id]], tbl_Product[Product Id], tbl_Product[Best Source])</f>
        <v/>
      </c>
      <c r="AW849" s="4">
        <f>_xlfn.XLOOKUP(tbl_MTG_Set[[#This Row],[Collector Booster Box Product Id]], tbl_Product[Product Id], tbl_Product[Pack Size])</f>
        <v/>
      </c>
      <c r="AX849" s="10">
        <f>(tbl_MTG_Set[[#This Row],[Collector Booster Box Cost]] + v_Item_Shipping_Cost_In) / tbl_MTG_Set[[#This Row],[Collector Booster Box Size]]</f>
        <v/>
      </c>
      <c r="AY849" s="10">
        <f t="array" ref="AY8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49" s="10" t="n"/>
      <c r="BA8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9" s="17">
        <f>tbl_MTG_Set[[#This Row],[Collector Booster CardMarket Profit]]/tbl_MTG_Set[[#This Row],[Collector Booster Cost]]</f>
        <v/>
      </c>
      <c r="BC849" s="10" t="n"/>
      <c r="BF849" s="10">
        <f>tbl_MTG_Set[[#This Row],[Play Booster Sell Price CardMarket]]*tbl_MTG_Set[[#This Row],[Play Booster Expected Market Value]]/tbl_MTG_Set[[#This Row],[Play Boost Sealed Market Value]]</f>
        <v/>
      </c>
      <c r="BG8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9" s="10">
        <f>tbl_MTG_Set[[#This Row],[Play Singles CardMarket Profit]]/tbl_MTG_Set[[#This Row],[Play Booster Cost]]</f>
        <v/>
      </c>
      <c r="BI849" s="10">
        <f>tbl_MTG_Set[[#This Row],[Play Singles CardMarket Profit]]&gt;0</f>
        <v/>
      </c>
      <c r="BJ849" s="10" t="n"/>
      <c r="BK849" s="10" t="n"/>
      <c r="BL849" s="10">
        <f>tbl_MTG_Set[[#This Row],[Collector Booster Sell Price CardMarket]]*tbl_MTG_Set[[#This Row],[Collector Booster Expected Market Value]]/tbl_MTG_Set[[#This Row],[Collector Boost Sealed Market Value]]</f>
        <v/>
      </c>
      <c r="BM8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9" s="10">
        <f>tbl_MTG_Set[[#This Row],[Collector Singles CardMarket Profit]]/tbl_MTG_Set[[#This Row],[Collector Booster Cost]]</f>
        <v/>
      </c>
      <c r="BO849" s="10">
        <f>tbl_MTG_Set[[#This Row],[Collector Singles CardMarket Profit]]&gt;0</f>
        <v/>
      </c>
      <c r="BP8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0">
      <c r="A850" t="n">
        <v>848</v>
      </c>
      <c r="B850" t="inlineStr">
        <is>
          <t>Dissension DIS</t>
        </is>
      </c>
      <c r="C850" t="n">
        <v>180</v>
      </c>
      <c r="D850" s="3" t="n">
        <v>38842</v>
      </c>
      <c r="F850" t="inlineStr">
        <is>
          <t>en es fr de it pt ja ko ru 汉语 漢語</t>
        </is>
      </c>
      <c r="G850" t="n">
        <v>1642</v>
      </c>
      <c r="H850">
        <f>MONTH(NOW())+12*YEAR(NOW())-MONTH(tbl_MTG_Set[[#This Row],[Released On]])-12*YEAR(tbl_MTG_Set[[#This Row],[Released On]])</f>
        <v/>
      </c>
      <c r="I850">
        <f>_xlfn.XLOOKUP(tbl_MTG_Set[[#This Row],[Type Name]], tbl_MTG_Set_Type[Set Type], tbl_MTG_Set_Type[Index], "(Set Type not found)")</f>
        <v/>
      </c>
      <c r="J850">
        <f>_xlfn.XLOOKUP(tbl_MTG_Set[[#This Row],[Type Name]], tbl_MTG_Set_Type[Set Type], tbl_MTG_Set_Type[Buy Window Month Start], "(Set Type not found)")</f>
        <v/>
      </c>
      <c r="K850" s="3">
        <f>tbl_MTG_Set[[#This Row],[Released On]]+tbl_MTG_Set[[#This Row],[Buy Window Month Start]]*365.25/12</f>
        <v/>
      </c>
      <c r="L850">
        <f>_xlfn.XLOOKUP(tbl_MTG_Set[[#This Row],[Type Name]], tbl_MTG_Set_Type[Set Type], tbl_MTG_Set_Type[Buy Window Month End], "(Set Type not found)", 0, 1)</f>
        <v/>
      </c>
      <c r="M850" s="3">
        <f>tbl_MTG_Set[[#This Row],[Released On]]+tbl_MTG_Set[[#This Row],[Buy Window Month End]]*365.25/12</f>
        <v/>
      </c>
      <c r="N850" s="3">
        <f>AND(NOW()&gt;=tbl_MTG_Set[[#This Row],[Buy Window Start]], NOW()&lt;=tbl_MTG_Set[[#This Row],[Buy Window End]])</f>
        <v/>
      </c>
      <c r="O850">
        <f>_xlfn.XLOOKUP(tbl_MTG_Set[[#This Row],[Type Name]], tbl_MTG_Set_Type[Set Type], tbl_MTG_Set_Type[Heavy Printing Window Month Start], "(Set Type not found)", 0, 1)</f>
        <v/>
      </c>
      <c r="P850" s="3">
        <f>tbl_MTG_Set[[#This Row],[Released On]]+tbl_MTG_Set[[#This Row],[Heavy Printing Window Month Start]]*365.25/12</f>
        <v/>
      </c>
      <c r="Q850">
        <f>_xlfn.XLOOKUP(tbl_MTG_Set[[#This Row],[Type Name]], tbl_MTG_Set_Type[Set Type], tbl_MTG_Set_Type[Heavy Printing Window Month End], "(Set Type not found)", 0, 1)</f>
        <v/>
      </c>
      <c r="R850" s="3">
        <f>tbl_MTG_Set[[#This Row],[Released On]]+tbl_MTG_Set[[#This Row],[Heavy Printing Window Month End]]*365.25/12</f>
        <v/>
      </c>
      <c r="S850" s="3">
        <f>AND(NOW()&gt;=tbl_MTG_Set[[#This Row],[Heavy Printing Window Start]], NOW()&lt;=tbl_MTG_Set[[#This Row],[Heavy Printing Window End]])</f>
        <v/>
      </c>
      <c r="T850">
        <f>_xlfn.XLOOKUP(tbl_MTG_Set[[#This Row],[Type Name]], tbl_MTG_Set_Type[Set Type], tbl_MTG_Set_Type[Sell Window Month Start], "(Set Type not found)", 0, 1)</f>
        <v/>
      </c>
      <c r="U850" s="3">
        <f>tbl_MTG_Set[[#This Row],[Released On]]+tbl_MTG_Set[[#This Row],[Sell Window Month Start]]*365.25/12</f>
        <v/>
      </c>
      <c r="V850">
        <f>_xlfn.XLOOKUP(tbl_MTG_Set[[#This Row],[Type Name]], tbl_MTG_Set_Type[Set Type], tbl_MTG_Set_Type[Sell Window Month End], "(Set Type not found)", 0, 1)</f>
        <v/>
      </c>
      <c r="W850" s="3">
        <f>tbl_MTG_Set[[#This Row],[Released On]]+tbl_MTG_Set[[#This Row],[Sell Window Month End]]*365.25/12</f>
        <v/>
      </c>
      <c r="X850" s="3">
        <f>AND(NOW()&gt;=tbl_MTG_Set[[#This Row],[Sell Window Start]], NOW()&lt;=tbl_MTG_Set[[#This Row],[Sell Window End]])</f>
        <v/>
      </c>
      <c r="AG850" s="10" t="n"/>
      <c r="AH850" s="10" t="n"/>
      <c r="AM850" s="10">
        <f t="array" ref="AM8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0" s="10">
        <f t="array" ref="AN8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0" s="4">
        <f>_xlfn.XLOOKUP(tbl_MTG_Set[[#This Row],[Play Booster Box Product Id]], tbl_Product[Product Id], tbl_Product[Pack Size])</f>
        <v/>
      </c>
      <c r="AP850" s="10">
        <f>(tbl_MTG_Set[[#This Row],[Play Booster Box Cost]]+v_Item_Shipping_Cost_In)/tbl_MTG_Set[[#This Row],[Play Booster Box Size]]</f>
        <v/>
      </c>
      <c r="AQ850" s="10">
        <f t="array" ref="AQ8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0" s="10" t="n"/>
      <c r="AS850" s="10" t="n"/>
      <c r="AT850" s="17">
        <f>tbl_MTG_Set[[#This Row],[Play Booster CardMarket Profit]]/tbl_MTG_Set[[#This Row],[Play Booster Cost]]</f>
        <v/>
      </c>
      <c r="AU850" s="10">
        <f>_xlfn.XLOOKUP(tbl_MTG_Set[[#This Row],[Collector Booster Box Product Id]], tbl_Product[Product Id], tbl_Product[Min Cost])</f>
        <v/>
      </c>
      <c r="AV850" s="10">
        <f>_xlfn.XLOOKUP(tbl_MTG_Set[[#This Row],[Collector Booster Box Product Id]], tbl_Product[Product Id], tbl_Product[Best Source])</f>
        <v/>
      </c>
      <c r="AW850" s="4">
        <f>_xlfn.XLOOKUP(tbl_MTG_Set[[#This Row],[Collector Booster Box Product Id]], tbl_Product[Product Id], tbl_Product[Pack Size])</f>
        <v/>
      </c>
      <c r="AX850" s="10">
        <f>(tbl_MTG_Set[[#This Row],[Collector Booster Box Cost]] + v_Item_Shipping_Cost_In) / tbl_MTG_Set[[#This Row],[Collector Booster Box Size]]</f>
        <v/>
      </c>
      <c r="AY850" s="10">
        <f t="array" ref="AY8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0" s="10" t="n"/>
      <c r="BA8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0" s="17">
        <f>tbl_MTG_Set[[#This Row],[Collector Booster CardMarket Profit]]/tbl_MTG_Set[[#This Row],[Collector Booster Cost]]</f>
        <v/>
      </c>
      <c r="BC850" s="10" t="n"/>
      <c r="BF850" s="10">
        <f>tbl_MTG_Set[[#This Row],[Play Booster Sell Price CardMarket]]*tbl_MTG_Set[[#This Row],[Play Booster Expected Market Value]]/tbl_MTG_Set[[#This Row],[Play Boost Sealed Market Value]]</f>
        <v/>
      </c>
      <c r="BG8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0" s="10">
        <f>tbl_MTG_Set[[#This Row],[Play Singles CardMarket Profit]]/tbl_MTG_Set[[#This Row],[Play Booster Cost]]</f>
        <v/>
      </c>
      <c r="BI850" s="10">
        <f>tbl_MTG_Set[[#This Row],[Play Singles CardMarket Profit]]&gt;0</f>
        <v/>
      </c>
      <c r="BJ850" s="10" t="n"/>
      <c r="BK850" s="10" t="n"/>
      <c r="BL850" s="10">
        <f>tbl_MTG_Set[[#This Row],[Collector Booster Sell Price CardMarket]]*tbl_MTG_Set[[#This Row],[Collector Booster Expected Market Value]]/tbl_MTG_Set[[#This Row],[Collector Boost Sealed Market Value]]</f>
        <v/>
      </c>
      <c r="BM8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0" s="10">
        <f>tbl_MTG_Set[[#This Row],[Collector Singles CardMarket Profit]]/tbl_MTG_Set[[#This Row],[Collector Booster Cost]]</f>
        <v/>
      </c>
      <c r="BO850" s="10">
        <f>tbl_MTG_Set[[#This Row],[Collector Singles CardMarket Profit]]&gt;0</f>
        <v/>
      </c>
      <c r="BP8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1">
      <c r="A851" t="n">
        <v>849</v>
      </c>
      <c r="B851" t="inlineStr">
        <is>
          <t>Dissension Promos PDIS</t>
        </is>
      </c>
      <c r="C851" t="n">
        <v>2</v>
      </c>
      <c r="D851" s="3" t="n">
        <v>38842</v>
      </c>
      <c r="F851" t="inlineStr">
        <is>
          <t>en es fr de it pt ja ko ru 汉语 漢語</t>
        </is>
      </c>
      <c r="G851" t="n">
        <v>1644</v>
      </c>
      <c r="H851">
        <f>MONTH(NOW())+12*YEAR(NOW())-MONTH(tbl_MTG_Set[[#This Row],[Released On]])-12*YEAR(tbl_MTG_Set[[#This Row],[Released On]])</f>
        <v/>
      </c>
      <c r="I851">
        <f>_xlfn.XLOOKUP(tbl_MTG_Set[[#This Row],[Type Name]], tbl_MTG_Set_Type[Set Type], tbl_MTG_Set_Type[Index], "(Set Type not found)")</f>
        <v/>
      </c>
      <c r="J851">
        <f>_xlfn.XLOOKUP(tbl_MTG_Set[[#This Row],[Type Name]], tbl_MTG_Set_Type[Set Type], tbl_MTG_Set_Type[Buy Window Month Start], "(Set Type not found)")</f>
        <v/>
      </c>
      <c r="K851" s="3">
        <f>tbl_MTG_Set[[#This Row],[Released On]]+tbl_MTG_Set[[#This Row],[Buy Window Month Start]]*365.25/12</f>
        <v/>
      </c>
      <c r="L851">
        <f>_xlfn.XLOOKUP(tbl_MTG_Set[[#This Row],[Type Name]], tbl_MTG_Set_Type[Set Type], tbl_MTG_Set_Type[Buy Window Month End], "(Set Type not found)", 0, 1)</f>
        <v/>
      </c>
      <c r="M851" s="3">
        <f>tbl_MTG_Set[[#This Row],[Released On]]+tbl_MTG_Set[[#This Row],[Buy Window Month End]]*365.25/12</f>
        <v/>
      </c>
      <c r="N851" s="3">
        <f>AND(NOW()&gt;=tbl_MTG_Set[[#This Row],[Buy Window Start]], NOW()&lt;=tbl_MTG_Set[[#This Row],[Buy Window End]])</f>
        <v/>
      </c>
      <c r="O851">
        <f>_xlfn.XLOOKUP(tbl_MTG_Set[[#This Row],[Type Name]], tbl_MTG_Set_Type[Set Type], tbl_MTG_Set_Type[Heavy Printing Window Month Start], "(Set Type not found)", 0, 1)</f>
        <v/>
      </c>
      <c r="P851" s="3">
        <f>tbl_MTG_Set[[#This Row],[Released On]]+tbl_MTG_Set[[#This Row],[Heavy Printing Window Month Start]]*365.25/12</f>
        <v/>
      </c>
      <c r="Q851">
        <f>_xlfn.XLOOKUP(tbl_MTG_Set[[#This Row],[Type Name]], tbl_MTG_Set_Type[Set Type], tbl_MTG_Set_Type[Heavy Printing Window Month End], "(Set Type not found)", 0, 1)</f>
        <v/>
      </c>
      <c r="R851" s="3">
        <f>tbl_MTG_Set[[#This Row],[Released On]]+tbl_MTG_Set[[#This Row],[Heavy Printing Window Month End]]*365.25/12</f>
        <v/>
      </c>
      <c r="S851" s="3">
        <f>AND(NOW()&gt;=tbl_MTG_Set[[#This Row],[Heavy Printing Window Start]], NOW()&lt;=tbl_MTG_Set[[#This Row],[Heavy Printing Window End]])</f>
        <v/>
      </c>
      <c r="T851">
        <f>_xlfn.XLOOKUP(tbl_MTG_Set[[#This Row],[Type Name]], tbl_MTG_Set_Type[Set Type], tbl_MTG_Set_Type[Sell Window Month Start], "(Set Type not found)", 0, 1)</f>
        <v/>
      </c>
      <c r="U851" s="3">
        <f>tbl_MTG_Set[[#This Row],[Released On]]+tbl_MTG_Set[[#This Row],[Sell Window Month Start]]*365.25/12</f>
        <v/>
      </c>
      <c r="V851">
        <f>_xlfn.XLOOKUP(tbl_MTG_Set[[#This Row],[Type Name]], tbl_MTG_Set_Type[Set Type], tbl_MTG_Set_Type[Sell Window Month End], "(Set Type not found)", 0, 1)</f>
        <v/>
      </c>
      <c r="W851" s="3">
        <f>tbl_MTG_Set[[#This Row],[Released On]]+tbl_MTG_Set[[#This Row],[Sell Window Month End]]*365.25/12</f>
        <v/>
      </c>
      <c r="X851" s="3">
        <f>AND(NOW()&gt;=tbl_MTG_Set[[#This Row],[Sell Window Start]], NOW()&lt;=tbl_MTG_Set[[#This Row],[Sell Window End]])</f>
        <v/>
      </c>
      <c r="AG851" s="10" t="n"/>
      <c r="AH851" s="10" t="n"/>
      <c r="AM851" s="10">
        <f t="array" ref="AM8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1" s="10">
        <f t="array" ref="AN8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1" s="4">
        <f>_xlfn.XLOOKUP(tbl_MTG_Set[[#This Row],[Play Booster Box Product Id]], tbl_Product[Product Id], tbl_Product[Pack Size])</f>
        <v/>
      </c>
      <c r="AP851" s="10">
        <f>(tbl_MTG_Set[[#This Row],[Play Booster Box Cost]]+v_Item_Shipping_Cost_In)/tbl_MTG_Set[[#This Row],[Play Booster Box Size]]</f>
        <v/>
      </c>
      <c r="AQ851" s="10">
        <f t="array" ref="AQ8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1" s="10" t="n"/>
      <c r="AS851" s="10" t="n"/>
      <c r="AT851" s="17">
        <f>tbl_MTG_Set[[#This Row],[Play Booster CardMarket Profit]]/tbl_MTG_Set[[#This Row],[Play Booster Cost]]</f>
        <v/>
      </c>
      <c r="AU851" s="10">
        <f>_xlfn.XLOOKUP(tbl_MTG_Set[[#This Row],[Collector Booster Box Product Id]], tbl_Product[Product Id], tbl_Product[Min Cost])</f>
        <v/>
      </c>
      <c r="AV851" s="10">
        <f>_xlfn.XLOOKUP(tbl_MTG_Set[[#This Row],[Collector Booster Box Product Id]], tbl_Product[Product Id], tbl_Product[Best Source])</f>
        <v/>
      </c>
      <c r="AW851" s="4">
        <f>_xlfn.XLOOKUP(tbl_MTG_Set[[#This Row],[Collector Booster Box Product Id]], tbl_Product[Product Id], tbl_Product[Pack Size])</f>
        <v/>
      </c>
      <c r="AX851" s="10">
        <f>(tbl_MTG_Set[[#This Row],[Collector Booster Box Cost]] + v_Item_Shipping_Cost_In) / tbl_MTG_Set[[#This Row],[Collector Booster Box Size]]</f>
        <v/>
      </c>
      <c r="AY851" s="10">
        <f t="array" ref="AY8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1" s="10" t="n"/>
      <c r="BA8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1" s="17">
        <f>tbl_MTG_Set[[#This Row],[Collector Booster CardMarket Profit]]/tbl_MTG_Set[[#This Row],[Collector Booster Cost]]</f>
        <v/>
      </c>
      <c r="BC851" s="10" t="n"/>
      <c r="BF851" s="10">
        <f>tbl_MTG_Set[[#This Row],[Play Booster Sell Price CardMarket]]*tbl_MTG_Set[[#This Row],[Play Booster Expected Market Value]]/tbl_MTG_Set[[#This Row],[Play Boost Sealed Market Value]]</f>
        <v/>
      </c>
      <c r="BG8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1" s="10">
        <f>tbl_MTG_Set[[#This Row],[Play Singles CardMarket Profit]]/tbl_MTG_Set[[#This Row],[Play Booster Cost]]</f>
        <v/>
      </c>
      <c r="BI851" s="10">
        <f>tbl_MTG_Set[[#This Row],[Play Singles CardMarket Profit]]&gt;0</f>
        <v/>
      </c>
      <c r="BJ851" s="10" t="n"/>
      <c r="BK851" s="10" t="n"/>
      <c r="BL851" s="10">
        <f>tbl_MTG_Set[[#This Row],[Collector Booster Sell Price CardMarket]]*tbl_MTG_Set[[#This Row],[Collector Booster Expected Market Value]]/tbl_MTG_Set[[#This Row],[Collector Boost Sealed Market Value]]</f>
        <v/>
      </c>
      <c r="BM8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1" s="10">
        <f>tbl_MTG_Set[[#This Row],[Collector Singles CardMarket Profit]]/tbl_MTG_Set[[#This Row],[Collector Booster Cost]]</f>
        <v/>
      </c>
      <c r="BO851" s="10">
        <f>tbl_MTG_Set[[#This Row],[Collector Singles CardMarket Profit]]&gt;0</f>
        <v/>
      </c>
      <c r="BP8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2">
      <c r="A852" t="n">
        <v>850</v>
      </c>
      <c r="B852" t="inlineStr">
        <is>
          <t>Champs and States PCMP</t>
        </is>
      </c>
      <c r="C852" t="n">
        <v>12</v>
      </c>
      <c r="D852" s="3" t="n">
        <v>38794</v>
      </c>
      <c r="F852" t="inlineStr">
        <is>
          <t>en es fr de it pt ja ko ru 汉语 漢語</t>
        </is>
      </c>
      <c r="G852" t="n">
        <v>1646</v>
      </c>
      <c r="H852">
        <f>MONTH(NOW())+12*YEAR(NOW())-MONTH(tbl_MTG_Set[[#This Row],[Released On]])-12*YEAR(tbl_MTG_Set[[#This Row],[Released On]])</f>
        <v/>
      </c>
      <c r="I852">
        <f>_xlfn.XLOOKUP(tbl_MTG_Set[[#This Row],[Type Name]], tbl_MTG_Set_Type[Set Type], tbl_MTG_Set_Type[Index], "(Set Type not found)")</f>
        <v/>
      </c>
      <c r="J852">
        <f>_xlfn.XLOOKUP(tbl_MTG_Set[[#This Row],[Type Name]], tbl_MTG_Set_Type[Set Type], tbl_MTG_Set_Type[Buy Window Month Start], "(Set Type not found)")</f>
        <v/>
      </c>
      <c r="K852" s="3">
        <f>tbl_MTG_Set[[#This Row],[Released On]]+tbl_MTG_Set[[#This Row],[Buy Window Month Start]]*365.25/12</f>
        <v/>
      </c>
      <c r="L852">
        <f>_xlfn.XLOOKUP(tbl_MTG_Set[[#This Row],[Type Name]], tbl_MTG_Set_Type[Set Type], tbl_MTG_Set_Type[Buy Window Month End], "(Set Type not found)", 0, 1)</f>
        <v/>
      </c>
      <c r="M852" s="3">
        <f>tbl_MTG_Set[[#This Row],[Released On]]+tbl_MTG_Set[[#This Row],[Buy Window Month End]]*365.25/12</f>
        <v/>
      </c>
      <c r="N852" s="3">
        <f>AND(NOW()&gt;=tbl_MTG_Set[[#This Row],[Buy Window Start]], NOW()&lt;=tbl_MTG_Set[[#This Row],[Buy Window End]])</f>
        <v/>
      </c>
      <c r="O852">
        <f>_xlfn.XLOOKUP(tbl_MTG_Set[[#This Row],[Type Name]], tbl_MTG_Set_Type[Set Type], tbl_MTG_Set_Type[Heavy Printing Window Month Start], "(Set Type not found)", 0, 1)</f>
        <v/>
      </c>
      <c r="P852" s="3">
        <f>tbl_MTG_Set[[#This Row],[Released On]]+tbl_MTG_Set[[#This Row],[Heavy Printing Window Month Start]]*365.25/12</f>
        <v/>
      </c>
      <c r="Q852">
        <f>_xlfn.XLOOKUP(tbl_MTG_Set[[#This Row],[Type Name]], tbl_MTG_Set_Type[Set Type], tbl_MTG_Set_Type[Heavy Printing Window Month End], "(Set Type not found)", 0, 1)</f>
        <v/>
      </c>
      <c r="R852" s="3">
        <f>tbl_MTG_Set[[#This Row],[Released On]]+tbl_MTG_Set[[#This Row],[Heavy Printing Window Month End]]*365.25/12</f>
        <v/>
      </c>
      <c r="S852" s="3">
        <f>AND(NOW()&gt;=tbl_MTG_Set[[#This Row],[Heavy Printing Window Start]], NOW()&lt;=tbl_MTG_Set[[#This Row],[Heavy Printing Window End]])</f>
        <v/>
      </c>
      <c r="T852">
        <f>_xlfn.XLOOKUP(tbl_MTG_Set[[#This Row],[Type Name]], tbl_MTG_Set_Type[Set Type], tbl_MTG_Set_Type[Sell Window Month Start], "(Set Type not found)", 0, 1)</f>
        <v/>
      </c>
      <c r="U852" s="3">
        <f>tbl_MTG_Set[[#This Row],[Released On]]+tbl_MTG_Set[[#This Row],[Sell Window Month Start]]*365.25/12</f>
        <v/>
      </c>
      <c r="V852">
        <f>_xlfn.XLOOKUP(tbl_MTG_Set[[#This Row],[Type Name]], tbl_MTG_Set_Type[Set Type], tbl_MTG_Set_Type[Sell Window Month End], "(Set Type not found)", 0, 1)</f>
        <v/>
      </c>
      <c r="W852" s="3">
        <f>tbl_MTG_Set[[#This Row],[Released On]]+tbl_MTG_Set[[#This Row],[Sell Window Month End]]*365.25/12</f>
        <v/>
      </c>
      <c r="X852" s="3">
        <f>AND(NOW()&gt;=tbl_MTG_Set[[#This Row],[Sell Window Start]], NOW()&lt;=tbl_MTG_Set[[#This Row],[Sell Window End]])</f>
        <v/>
      </c>
      <c r="AG852" s="10" t="n"/>
      <c r="AH852" s="10" t="n"/>
      <c r="AM852" s="10">
        <f t="array" ref="AM8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2" s="10">
        <f t="array" ref="AN8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2" s="4">
        <f>_xlfn.XLOOKUP(tbl_MTG_Set[[#This Row],[Play Booster Box Product Id]], tbl_Product[Product Id], tbl_Product[Pack Size])</f>
        <v/>
      </c>
      <c r="AP852" s="10">
        <f>(tbl_MTG_Set[[#This Row],[Play Booster Box Cost]]+v_Item_Shipping_Cost_In)/tbl_MTG_Set[[#This Row],[Play Booster Box Size]]</f>
        <v/>
      </c>
      <c r="AQ852" s="10">
        <f t="array" ref="AQ8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2" s="10" t="n"/>
      <c r="AS852" s="10" t="n"/>
      <c r="AT852" s="17">
        <f>tbl_MTG_Set[[#This Row],[Play Booster CardMarket Profit]]/tbl_MTG_Set[[#This Row],[Play Booster Cost]]</f>
        <v/>
      </c>
      <c r="AU852" s="10">
        <f>_xlfn.XLOOKUP(tbl_MTG_Set[[#This Row],[Collector Booster Box Product Id]], tbl_Product[Product Id], tbl_Product[Min Cost])</f>
        <v/>
      </c>
      <c r="AV852" s="10">
        <f>_xlfn.XLOOKUP(tbl_MTG_Set[[#This Row],[Collector Booster Box Product Id]], tbl_Product[Product Id], tbl_Product[Best Source])</f>
        <v/>
      </c>
      <c r="AW852" s="4">
        <f>_xlfn.XLOOKUP(tbl_MTG_Set[[#This Row],[Collector Booster Box Product Id]], tbl_Product[Product Id], tbl_Product[Pack Size])</f>
        <v/>
      </c>
      <c r="AX852" s="10">
        <f>(tbl_MTG_Set[[#This Row],[Collector Booster Box Cost]] + v_Item_Shipping_Cost_In) / tbl_MTG_Set[[#This Row],[Collector Booster Box Size]]</f>
        <v/>
      </c>
      <c r="AY852" s="10">
        <f t="array" ref="AY8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2" s="10" t="n"/>
      <c r="BA8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2" s="17">
        <f>tbl_MTG_Set[[#This Row],[Collector Booster CardMarket Profit]]/tbl_MTG_Set[[#This Row],[Collector Booster Cost]]</f>
        <v/>
      </c>
      <c r="BC852" s="10" t="n"/>
      <c r="BF852" s="10">
        <f>tbl_MTG_Set[[#This Row],[Play Booster Sell Price CardMarket]]*tbl_MTG_Set[[#This Row],[Play Booster Expected Market Value]]/tbl_MTG_Set[[#This Row],[Play Boost Sealed Market Value]]</f>
        <v/>
      </c>
      <c r="BG8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2" s="10">
        <f>tbl_MTG_Set[[#This Row],[Play Singles CardMarket Profit]]/tbl_MTG_Set[[#This Row],[Play Booster Cost]]</f>
        <v/>
      </c>
      <c r="BI852" s="10">
        <f>tbl_MTG_Set[[#This Row],[Play Singles CardMarket Profit]]&gt;0</f>
        <v/>
      </c>
      <c r="BJ852" s="10" t="n"/>
      <c r="BK852" s="10" t="n"/>
      <c r="BL852" s="10">
        <f>tbl_MTG_Set[[#This Row],[Collector Booster Sell Price CardMarket]]*tbl_MTG_Set[[#This Row],[Collector Booster Expected Market Value]]/tbl_MTG_Set[[#This Row],[Collector Boost Sealed Market Value]]</f>
        <v/>
      </c>
      <c r="BM8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2" s="10">
        <f>tbl_MTG_Set[[#This Row],[Collector Singles CardMarket Profit]]/tbl_MTG_Set[[#This Row],[Collector Booster Cost]]</f>
        <v/>
      </c>
      <c r="BO852" s="10">
        <f>tbl_MTG_Set[[#This Row],[Collector Singles CardMarket Profit]]&gt;0</f>
        <v/>
      </c>
      <c r="BP8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3">
      <c r="A853" t="n">
        <v>851</v>
      </c>
      <c r="B853" t="inlineStr">
        <is>
          <t>Guildpact GPT</t>
        </is>
      </c>
      <c r="C853" t="n">
        <v>167</v>
      </c>
      <c r="D853" s="3" t="n">
        <v>38751</v>
      </c>
      <c r="F853" t="inlineStr">
        <is>
          <t>en es fr de it pt ja ko ru 汉语 漢語</t>
        </is>
      </c>
      <c r="G853" t="n">
        <v>1648</v>
      </c>
      <c r="H853">
        <f>MONTH(NOW())+12*YEAR(NOW())-MONTH(tbl_MTG_Set[[#This Row],[Released On]])-12*YEAR(tbl_MTG_Set[[#This Row],[Released On]])</f>
        <v/>
      </c>
      <c r="I853">
        <f>_xlfn.XLOOKUP(tbl_MTG_Set[[#This Row],[Type Name]], tbl_MTG_Set_Type[Set Type], tbl_MTG_Set_Type[Index], "(Set Type not found)")</f>
        <v/>
      </c>
      <c r="J853">
        <f>_xlfn.XLOOKUP(tbl_MTG_Set[[#This Row],[Type Name]], tbl_MTG_Set_Type[Set Type], tbl_MTG_Set_Type[Buy Window Month Start], "(Set Type not found)")</f>
        <v/>
      </c>
      <c r="K853" s="3">
        <f>tbl_MTG_Set[[#This Row],[Released On]]+tbl_MTG_Set[[#This Row],[Buy Window Month Start]]*365.25/12</f>
        <v/>
      </c>
      <c r="L853">
        <f>_xlfn.XLOOKUP(tbl_MTG_Set[[#This Row],[Type Name]], tbl_MTG_Set_Type[Set Type], tbl_MTG_Set_Type[Buy Window Month End], "(Set Type not found)", 0, 1)</f>
        <v/>
      </c>
      <c r="M853" s="3">
        <f>tbl_MTG_Set[[#This Row],[Released On]]+tbl_MTG_Set[[#This Row],[Buy Window Month End]]*365.25/12</f>
        <v/>
      </c>
      <c r="N853" s="3">
        <f>AND(NOW()&gt;=tbl_MTG_Set[[#This Row],[Buy Window Start]], NOW()&lt;=tbl_MTG_Set[[#This Row],[Buy Window End]])</f>
        <v/>
      </c>
      <c r="O853">
        <f>_xlfn.XLOOKUP(tbl_MTG_Set[[#This Row],[Type Name]], tbl_MTG_Set_Type[Set Type], tbl_MTG_Set_Type[Heavy Printing Window Month Start], "(Set Type not found)", 0, 1)</f>
        <v/>
      </c>
      <c r="P853" s="3">
        <f>tbl_MTG_Set[[#This Row],[Released On]]+tbl_MTG_Set[[#This Row],[Heavy Printing Window Month Start]]*365.25/12</f>
        <v/>
      </c>
      <c r="Q853">
        <f>_xlfn.XLOOKUP(tbl_MTG_Set[[#This Row],[Type Name]], tbl_MTG_Set_Type[Set Type], tbl_MTG_Set_Type[Heavy Printing Window Month End], "(Set Type not found)", 0, 1)</f>
        <v/>
      </c>
      <c r="R853" s="3">
        <f>tbl_MTG_Set[[#This Row],[Released On]]+tbl_MTG_Set[[#This Row],[Heavy Printing Window Month End]]*365.25/12</f>
        <v/>
      </c>
      <c r="S853" s="3">
        <f>AND(NOW()&gt;=tbl_MTG_Set[[#This Row],[Heavy Printing Window Start]], NOW()&lt;=tbl_MTG_Set[[#This Row],[Heavy Printing Window End]])</f>
        <v/>
      </c>
      <c r="T853">
        <f>_xlfn.XLOOKUP(tbl_MTG_Set[[#This Row],[Type Name]], tbl_MTG_Set_Type[Set Type], tbl_MTG_Set_Type[Sell Window Month Start], "(Set Type not found)", 0, 1)</f>
        <v/>
      </c>
      <c r="U853" s="3">
        <f>tbl_MTG_Set[[#This Row],[Released On]]+tbl_MTG_Set[[#This Row],[Sell Window Month Start]]*365.25/12</f>
        <v/>
      </c>
      <c r="V853">
        <f>_xlfn.XLOOKUP(tbl_MTG_Set[[#This Row],[Type Name]], tbl_MTG_Set_Type[Set Type], tbl_MTG_Set_Type[Sell Window Month End], "(Set Type not found)", 0, 1)</f>
        <v/>
      </c>
      <c r="W853" s="3">
        <f>tbl_MTG_Set[[#This Row],[Released On]]+tbl_MTG_Set[[#This Row],[Sell Window Month End]]*365.25/12</f>
        <v/>
      </c>
      <c r="X853" s="3">
        <f>AND(NOW()&gt;=tbl_MTG_Set[[#This Row],[Sell Window Start]], NOW()&lt;=tbl_MTG_Set[[#This Row],[Sell Window End]])</f>
        <v/>
      </c>
      <c r="AG853" s="10" t="n"/>
      <c r="AH853" s="10" t="n"/>
      <c r="AM853" s="10">
        <f t="array" ref="AM8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3" s="10">
        <f t="array" ref="AN8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3" s="4">
        <f>_xlfn.XLOOKUP(tbl_MTG_Set[[#This Row],[Play Booster Box Product Id]], tbl_Product[Product Id], tbl_Product[Pack Size])</f>
        <v/>
      </c>
      <c r="AP853" s="10">
        <f>(tbl_MTG_Set[[#This Row],[Play Booster Box Cost]]+v_Item_Shipping_Cost_In)/tbl_MTG_Set[[#This Row],[Play Booster Box Size]]</f>
        <v/>
      </c>
      <c r="AQ853" s="10">
        <f t="array" ref="AQ8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3" s="10" t="n"/>
      <c r="AS853" s="10" t="n"/>
      <c r="AT853" s="17">
        <f>tbl_MTG_Set[[#This Row],[Play Booster CardMarket Profit]]/tbl_MTG_Set[[#This Row],[Play Booster Cost]]</f>
        <v/>
      </c>
      <c r="AU853" s="10">
        <f>_xlfn.XLOOKUP(tbl_MTG_Set[[#This Row],[Collector Booster Box Product Id]], tbl_Product[Product Id], tbl_Product[Min Cost])</f>
        <v/>
      </c>
      <c r="AV853" s="10">
        <f>_xlfn.XLOOKUP(tbl_MTG_Set[[#This Row],[Collector Booster Box Product Id]], tbl_Product[Product Id], tbl_Product[Best Source])</f>
        <v/>
      </c>
      <c r="AW853" s="4">
        <f>_xlfn.XLOOKUP(tbl_MTG_Set[[#This Row],[Collector Booster Box Product Id]], tbl_Product[Product Id], tbl_Product[Pack Size])</f>
        <v/>
      </c>
      <c r="AX853" s="10">
        <f>(tbl_MTG_Set[[#This Row],[Collector Booster Box Cost]] + v_Item_Shipping_Cost_In) / tbl_MTG_Set[[#This Row],[Collector Booster Box Size]]</f>
        <v/>
      </c>
      <c r="AY853" s="10">
        <f t="array" ref="AY8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3" s="10" t="n"/>
      <c r="BA8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3" s="17">
        <f>tbl_MTG_Set[[#This Row],[Collector Booster CardMarket Profit]]/tbl_MTG_Set[[#This Row],[Collector Booster Cost]]</f>
        <v/>
      </c>
      <c r="BC853" s="10" t="n"/>
      <c r="BF853" s="10">
        <f>tbl_MTG_Set[[#This Row],[Play Booster Sell Price CardMarket]]*tbl_MTG_Set[[#This Row],[Play Booster Expected Market Value]]/tbl_MTG_Set[[#This Row],[Play Boost Sealed Market Value]]</f>
        <v/>
      </c>
      <c r="BG8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3" s="10">
        <f>tbl_MTG_Set[[#This Row],[Play Singles CardMarket Profit]]/tbl_MTG_Set[[#This Row],[Play Booster Cost]]</f>
        <v/>
      </c>
      <c r="BI853" s="10">
        <f>tbl_MTG_Set[[#This Row],[Play Singles CardMarket Profit]]&gt;0</f>
        <v/>
      </c>
      <c r="BJ853" s="10" t="n"/>
      <c r="BK853" s="10" t="n"/>
      <c r="BL853" s="10">
        <f>tbl_MTG_Set[[#This Row],[Collector Booster Sell Price CardMarket]]*tbl_MTG_Set[[#This Row],[Collector Booster Expected Market Value]]/tbl_MTG_Set[[#This Row],[Collector Boost Sealed Market Value]]</f>
        <v/>
      </c>
      <c r="BM8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3" s="10">
        <f>tbl_MTG_Set[[#This Row],[Collector Singles CardMarket Profit]]/tbl_MTG_Set[[#This Row],[Collector Booster Cost]]</f>
        <v/>
      </c>
      <c r="BO853" s="10">
        <f>tbl_MTG_Set[[#This Row],[Collector Singles CardMarket Profit]]&gt;0</f>
        <v/>
      </c>
      <c r="BP8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4">
      <c r="A854" t="n">
        <v>852</v>
      </c>
      <c r="B854" t="inlineStr">
        <is>
          <t>Guildpact Promos PGPT</t>
        </is>
      </c>
      <c r="C854" t="n">
        <v>2</v>
      </c>
      <c r="D854" s="3" t="n">
        <v>38751</v>
      </c>
      <c r="F854" t="inlineStr">
        <is>
          <t>en es fr de it pt ja ko ru 汉语 漢語</t>
        </is>
      </c>
      <c r="G854" t="n">
        <v>1650</v>
      </c>
      <c r="H854">
        <f>MONTH(NOW())+12*YEAR(NOW())-MONTH(tbl_MTG_Set[[#This Row],[Released On]])-12*YEAR(tbl_MTG_Set[[#This Row],[Released On]])</f>
        <v/>
      </c>
      <c r="I854">
        <f>_xlfn.XLOOKUP(tbl_MTG_Set[[#This Row],[Type Name]], tbl_MTG_Set_Type[Set Type], tbl_MTG_Set_Type[Index], "(Set Type not found)")</f>
        <v/>
      </c>
      <c r="J854">
        <f>_xlfn.XLOOKUP(tbl_MTG_Set[[#This Row],[Type Name]], tbl_MTG_Set_Type[Set Type], tbl_MTG_Set_Type[Buy Window Month Start], "(Set Type not found)")</f>
        <v/>
      </c>
      <c r="K854" s="3">
        <f>tbl_MTG_Set[[#This Row],[Released On]]+tbl_MTG_Set[[#This Row],[Buy Window Month Start]]*365.25/12</f>
        <v/>
      </c>
      <c r="L854">
        <f>_xlfn.XLOOKUP(tbl_MTG_Set[[#This Row],[Type Name]], tbl_MTG_Set_Type[Set Type], tbl_MTG_Set_Type[Buy Window Month End], "(Set Type not found)", 0, 1)</f>
        <v/>
      </c>
      <c r="M854" s="3">
        <f>tbl_MTG_Set[[#This Row],[Released On]]+tbl_MTG_Set[[#This Row],[Buy Window Month End]]*365.25/12</f>
        <v/>
      </c>
      <c r="N854" s="3">
        <f>AND(NOW()&gt;=tbl_MTG_Set[[#This Row],[Buy Window Start]], NOW()&lt;=tbl_MTG_Set[[#This Row],[Buy Window End]])</f>
        <v/>
      </c>
      <c r="O854">
        <f>_xlfn.XLOOKUP(tbl_MTG_Set[[#This Row],[Type Name]], tbl_MTG_Set_Type[Set Type], tbl_MTG_Set_Type[Heavy Printing Window Month Start], "(Set Type not found)", 0, 1)</f>
        <v/>
      </c>
      <c r="P854" s="3">
        <f>tbl_MTG_Set[[#This Row],[Released On]]+tbl_MTG_Set[[#This Row],[Heavy Printing Window Month Start]]*365.25/12</f>
        <v/>
      </c>
      <c r="Q854">
        <f>_xlfn.XLOOKUP(tbl_MTG_Set[[#This Row],[Type Name]], tbl_MTG_Set_Type[Set Type], tbl_MTG_Set_Type[Heavy Printing Window Month End], "(Set Type not found)", 0, 1)</f>
        <v/>
      </c>
      <c r="R854" s="3">
        <f>tbl_MTG_Set[[#This Row],[Released On]]+tbl_MTG_Set[[#This Row],[Heavy Printing Window Month End]]*365.25/12</f>
        <v/>
      </c>
      <c r="S854" s="3">
        <f>AND(NOW()&gt;=tbl_MTG_Set[[#This Row],[Heavy Printing Window Start]], NOW()&lt;=tbl_MTG_Set[[#This Row],[Heavy Printing Window End]])</f>
        <v/>
      </c>
      <c r="T854">
        <f>_xlfn.XLOOKUP(tbl_MTG_Set[[#This Row],[Type Name]], tbl_MTG_Set_Type[Set Type], tbl_MTG_Set_Type[Sell Window Month Start], "(Set Type not found)", 0, 1)</f>
        <v/>
      </c>
      <c r="U854" s="3">
        <f>tbl_MTG_Set[[#This Row],[Released On]]+tbl_MTG_Set[[#This Row],[Sell Window Month Start]]*365.25/12</f>
        <v/>
      </c>
      <c r="V854">
        <f>_xlfn.XLOOKUP(tbl_MTG_Set[[#This Row],[Type Name]], tbl_MTG_Set_Type[Set Type], tbl_MTG_Set_Type[Sell Window Month End], "(Set Type not found)", 0, 1)</f>
        <v/>
      </c>
      <c r="W854" s="3">
        <f>tbl_MTG_Set[[#This Row],[Released On]]+tbl_MTG_Set[[#This Row],[Sell Window Month End]]*365.25/12</f>
        <v/>
      </c>
      <c r="X854" s="3">
        <f>AND(NOW()&gt;=tbl_MTG_Set[[#This Row],[Sell Window Start]], NOW()&lt;=tbl_MTG_Set[[#This Row],[Sell Window End]])</f>
        <v/>
      </c>
      <c r="AG854" s="10" t="n"/>
      <c r="AH854" s="10" t="n"/>
      <c r="AM854" s="10">
        <f t="array" ref="AM8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4" s="10">
        <f t="array" ref="AN8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4" s="4">
        <f>_xlfn.XLOOKUP(tbl_MTG_Set[[#This Row],[Play Booster Box Product Id]], tbl_Product[Product Id], tbl_Product[Pack Size])</f>
        <v/>
      </c>
      <c r="AP854" s="10">
        <f>(tbl_MTG_Set[[#This Row],[Play Booster Box Cost]]+v_Item_Shipping_Cost_In)/tbl_MTG_Set[[#This Row],[Play Booster Box Size]]</f>
        <v/>
      </c>
      <c r="AQ854" s="10">
        <f t="array" ref="AQ8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4" s="10" t="n"/>
      <c r="AS854" s="10" t="n"/>
      <c r="AT854" s="17">
        <f>tbl_MTG_Set[[#This Row],[Play Booster CardMarket Profit]]/tbl_MTG_Set[[#This Row],[Play Booster Cost]]</f>
        <v/>
      </c>
      <c r="AU854" s="10">
        <f>_xlfn.XLOOKUP(tbl_MTG_Set[[#This Row],[Collector Booster Box Product Id]], tbl_Product[Product Id], tbl_Product[Min Cost])</f>
        <v/>
      </c>
      <c r="AV854" s="10">
        <f>_xlfn.XLOOKUP(tbl_MTG_Set[[#This Row],[Collector Booster Box Product Id]], tbl_Product[Product Id], tbl_Product[Best Source])</f>
        <v/>
      </c>
      <c r="AW854" s="4">
        <f>_xlfn.XLOOKUP(tbl_MTG_Set[[#This Row],[Collector Booster Box Product Id]], tbl_Product[Product Id], tbl_Product[Pack Size])</f>
        <v/>
      </c>
      <c r="AX854" s="10">
        <f>(tbl_MTG_Set[[#This Row],[Collector Booster Box Cost]] + v_Item_Shipping_Cost_In) / tbl_MTG_Set[[#This Row],[Collector Booster Box Size]]</f>
        <v/>
      </c>
      <c r="AY854" s="10">
        <f t="array" ref="AY8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4" s="10" t="n"/>
      <c r="BA8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4" s="17">
        <f>tbl_MTG_Set[[#This Row],[Collector Booster CardMarket Profit]]/tbl_MTG_Set[[#This Row],[Collector Booster Cost]]</f>
        <v/>
      </c>
      <c r="BC854" s="10" t="n"/>
      <c r="BF854" s="10">
        <f>tbl_MTG_Set[[#This Row],[Play Booster Sell Price CardMarket]]*tbl_MTG_Set[[#This Row],[Play Booster Expected Market Value]]/tbl_MTG_Set[[#This Row],[Play Boost Sealed Market Value]]</f>
        <v/>
      </c>
      <c r="BG8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4" s="10">
        <f>tbl_MTG_Set[[#This Row],[Play Singles CardMarket Profit]]/tbl_MTG_Set[[#This Row],[Play Booster Cost]]</f>
        <v/>
      </c>
      <c r="BI854" s="10">
        <f>tbl_MTG_Set[[#This Row],[Play Singles CardMarket Profit]]&gt;0</f>
        <v/>
      </c>
      <c r="BJ854" s="10" t="n"/>
      <c r="BK854" s="10" t="n"/>
      <c r="BL854" s="10">
        <f>tbl_MTG_Set[[#This Row],[Collector Booster Sell Price CardMarket]]*tbl_MTG_Set[[#This Row],[Collector Booster Expected Market Value]]/tbl_MTG_Set[[#This Row],[Collector Boost Sealed Market Value]]</f>
        <v/>
      </c>
      <c r="BM8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4" s="10">
        <f>tbl_MTG_Set[[#This Row],[Collector Singles CardMarket Profit]]/tbl_MTG_Set[[#This Row],[Collector Booster Cost]]</f>
        <v/>
      </c>
      <c r="BO854" s="10">
        <f>tbl_MTG_Set[[#This Row],[Collector Singles CardMarket Profit]]&gt;0</f>
        <v/>
      </c>
      <c r="BP8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5">
      <c r="A855" t="n">
        <v>853</v>
      </c>
      <c r="B855" t="inlineStr">
        <is>
          <t>Magic Premiere Shop 2006 PMPS06</t>
        </is>
      </c>
      <c r="C855" t="n">
        <v>5</v>
      </c>
      <c r="D855" s="3" t="n">
        <v>38718</v>
      </c>
      <c r="F855" t="inlineStr">
        <is>
          <t>en es fr de it pt ja ko ru 汉语 漢語</t>
        </is>
      </c>
      <c r="G855" t="n">
        <v>1652</v>
      </c>
      <c r="H855">
        <f>MONTH(NOW())+12*YEAR(NOW())-MONTH(tbl_MTG_Set[[#This Row],[Released On]])-12*YEAR(tbl_MTG_Set[[#This Row],[Released On]])</f>
        <v/>
      </c>
      <c r="I855">
        <f>_xlfn.XLOOKUP(tbl_MTG_Set[[#This Row],[Type Name]], tbl_MTG_Set_Type[Set Type], tbl_MTG_Set_Type[Index], "(Set Type not found)")</f>
        <v/>
      </c>
      <c r="J855">
        <f>_xlfn.XLOOKUP(tbl_MTG_Set[[#This Row],[Type Name]], tbl_MTG_Set_Type[Set Type], tbl_MTG_Set_Type[Buy Window Month Start], "(Set Type not found)")</f>
        <v/>
      </c>
      <c r="K855" s="3">
        <f>tbl_MTG_Set[[#This Row],[Released On]]+tbl_MTG_Set[[#This Row],[Buy Window Month Start]]*365.25/12</f>
        <v/>
      </c>
      <c r="L855">
        <f>_xlfn.XLOOKUP(tbl_MTG_Set[[#This Row],[Type Name]], tbl_MTG_Set_Type[Set Type], tbl_MTG_Set_Type[Buy Window Month End], "(Set Type not found)", 0, 1)</f>
        <v/>
      </c>
      <c r="M855" s="3">
        <f>tbl_MTG_Set[[#This Row],[Released On]]+tbl_MTG_Set[[#This Row],[Buy Window Month End]]*365.25/12</f>
        <v/>
      </c>
      <c r="N855" s="3">
        <f>AND(NOW()&gt;=tbl_MTG_Set[[#This Row],[Buy Window Start]], NOW()&lt;=tbl_MTG_Set[[#This Row],[Buy Window End]])</f>
        <v/>
      </c>
      <c r="O855">
        <f>_xlfn.XLOOKUP(tbl_MTG_Set[[#This Row],[Type Name]], tbl_MTG_Set_Type[Set Type], tbl_MTG_Set_Type[Heavy Printing Window Month Start], "(Set Type not found)", 0, 1)</f>
        <v/>
      </c>
      <c r="P855" s="3">
        <f>tbl_MTG_Set[[#This Row],[Released On]]+tbl_MTG_Set[[#This Row],[Heavy Printing Window Month Start]]*365.25/12</f>
        <v/>
      </c>
      <c r="Q855">
        <f>_xlfn.XLOOKUP(tbl_MTG_Set[[#This Row],[Type Name]], tbl_MTG_Set_Type[Set Type], tbl_MTG_Set_Type[Heavy Printing Window Month End], "(Set Type not found)", 0, 1)</f>
        <v/>
      </c>
      <c r="R855" s="3">
        <f>tbl_MTG_Set[[#This Row],[Released On]]+tbl_MTG_Set[[#This Row],[Heavy Printing Window Month End]]*365.25/12</f>
        <v/>
      </c>
      <c r="S855" s="3">
        <f>AND(NOW()&gt;=tbl_MTG_Set[[#This Row],[Heavy Printing Window Start]], NOW()&lt;=tbl_MTG_Set[[#This Row],[Heavy Printing Window End]])</f>
        <v/>
      </c>
      <c r="T855">
        <f>_xlfn.XLOOKUP(tbl_MTG_Set[[#This Row],[Type Name]], tbl_MTG_Set_Type[Set Type], tbl_MTG_Set_Type[Sell Window Month Start], "(Set Type not found)", 0, 1)</f>
        <v/>
      </c>
      <c r="U855" s="3">
        <f>tbl_MTG_Set[[#This Row],[Released On]]+tbl_MTG_Set[[#This Row],[Sell Window Month Start]]*365.25/12</f>
        <v/>
      </c>
      <c r="V855">
        <f>_xlfn.XLOOKUP(tbl_MTG_Set[[#This Row],[Type Name]], tbl_MTG_Set_Type[Set Type], tbl_MTG_Set_Type[Sell Window Month End], "(Set Type not found)", 0, 1)</f>
        <v/>
      </c>
      <c r="W855" s="3">
        <f>tbl_MTG_Set[[#This Row],[Released On]]+tbl_MTG_Set[[#This Row],[Sell Window Month End]]*365.25/12</f>
        <v/>
      </c>
      <c r="X855" s="3">
        <f>AND(NOW()&gt;=tbl_MTG_Set[[#This Row],[Sell Window Start]], NOW()&lt;=tbl_MTG_Set[[#This Row],[Sell Window End]])</f>
        <v/>
      </c>
      <c r="AG855" s="10" t="n"/>
      <c r="AH855" s="10" t="n"/>
      <c r="AM855" s="10">
        <f t="array" ref="AM8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5" s="10">
        <f t="array" ref="AN8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5" s="4">
        <f>_xlfn.XLOOKUP(tbl_MTG_Set[[#This Row],[Play Booster Box Product Id]], tbl_Product[Product Id], tbl_Product[Pack Size])</f>
        <v/>
      </c>
      <c r="AP855" s="10">
        <f>(tbl_MTG_Set[[#This Row],[Play Booster Box Cost]]+v_Item_Shipping_Cost_In)/tbl_MTG_Set[[#This Row],[Play Booster Box Size]]</f>
        <v/>
      </c>
      <c r="AQ855" s="10">
        <f t="array" ref="AQ8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5" s="10" t="n"/>
      <c r="AS855" s="10" t="n"/>
      <c r="AT855" s="17">
        <f>tbl_MTG_Set[[#This Row],[Play Booster CardMarket Profit]]/tbl_MTG_Set[[#This Row],[Play Booster Cost]]</f>
        <v/>
      </c>
      <c r="AU855" s="10">
        <f>_xlfn.XLOOKUP(tbl_MTG_Set[[#This Row],[Collector Booster Box Product Id]], tbl_Product[Product Id], tbl_Product[Min Cost])</f>
        <v/>
      </c>
      <c r="AV855" s="10">
        <f>_xlfn.XLOOKUP(tbl_MTG_Set[[#This Row],[Collector Booster Box Product Id]], tbl_Product[Product Id], tbl_Product[Best Source])</f>
        <v/>
      </c>
      <c r="AW855" s="4">
        <f>_xlfn.XLOOKUP(tbl_MTG_Set[[#This Row],[Collector Booster Box Product Id]], tbl_Product[Product Id], tbl_Product[Pack Size])</f>
        <v/>
      </c>
      <c r="AX855" s="10">
        <f>(tbl_MTG_Set[[#This Row],[Collector Booster Box Cost]] + v_Item_Shipping_Cost_In) / tbl_MTG_Set[[#This Row],[Collector Booster Box Size]]</f>
        <v/>
      </c>
      <c r="AY855" s="10">
        <f t="array" ref="AY8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5" s="10" t="n"/>
      <c r="BA8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5" s="17">
        <f>tbl_MTG_Set[[#This Row],[Collector Booster CardMarket Profit]]/tbl_MTG_Set[[#This Row],[Collector Booster Cost]]</f>
        <v/>
      </c>
      <c r="BC855" s="10" t="n"/>
      <c r="BF855" s="10">
        <f>tbl_MTG_Set[[#This Row],[Play Booster Sell Price CardMarket]]*tbl_MTG_Set[[#This Row],[Play Booster Expected Market Value]]/tbl_MTG_Set[[#This Row],[Play Boost Sealed Market Value]]</f>
        <v/>
      </c>
      <c r="BG8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5" s="10">
        <f>tbl_MTG_Set[[#This Row],[Play Singles CardMarket Profit]]/tbl_MTG_Set[[#This Row],[Play Booster Cost]]</f>
        <v/>
      </c>
      <c r="BI855" s="10">
        <f>tbl_MTG_Set[[#This Row],[Play Singles CardMarket Profit]]&gt;0</f>
        <v/>
      </c>
      <c r="BJ855" s="10" t="n"/>
      <c r="BK855" s="10" t="n"/>
      <c r="BL855" s="10">
        <f>tbl_MTG_Set[[#This Row],[Collector Booster Sell Price CardMarket]]*tbl_MTG_Set[[#This Row],[Collector Booster Expected Market Value]]/tbl_MTG_Set[[#This Row],[Collector Boost Sealed Market Value]]</f>
        <v/>
      </c>
      <c r="BM8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5" s="10">
        <f>tbl_MTG_Set[[#This Row],[Collector Singles CardMarket Profit]]/tbl_MTG_Set[[#This Row],[Collector Booster Cost]]</f>
        <v/>
      </c>
      <c r="BO855" s="10">
        <f>tbl_MTG_Set[[#This Row],[Collector Singles CardMarket Profit]]&gt;0</f>
        <v/>
      </c>
      <c r="BP8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6">
      <c r="A856" t="n">
        <v>854</v>
      </c>
      <c r="B856" t="inlineStr">
        <is>
          <t>Arena League 2006 PAL06</t>
        </is>
      </c>
      <c r="C856" t="n">
        <v>9</v>
      </c>
      <c r="D856" s="3" t="n">
        <v>38718</v>
      </c>
      <c r="F856" t="inlineStr">
        <is>
          <t>en es fr de it pt ja ko ru 汉语 漢語</t>
        </is>
      </c>
      <c r="G856" t="n">
        <v>1654</v>
      </c>
      <c r="H856">
        <f>MONTH(NOW())+12*YEAR(NOW())-MONTH(tbl_MTG_Set[[#This Row],[Released On]])-12*YEAR(tbl_MTG_Set[[#This Row],[Released On]])</f>
        <v/>
      </c>
      <c r="I856">
        <f>_xlfn.XLOOKUP(tbl_MTG_Set[[#This Row],[Type Name]], tbl_MTG_Set_Type[Set Type], tbl_MTG_Set_Type[Index], "(Set Type not found)")</f>
        <v/>
      </c>
      <c r="J856">
        <f>_xlfn.XLOOKUP(tbl_MTG_Set[[#This Row],[Type Name]], tbl_MTG_Set_Type[Set Type], tbl_MTG_Set_Type[Buy Window Month Start], "(Set Type not found)")</f>
        <v/>
      </c>
      <c r="K856" s="3">
        <f>tbl_MTG_Set[[#This Row],[Released On]]+tbl_MTG_Set[[#This Row],[Buy Window Month Start]]*365.25/12</f>
        <v/>
      </c>
      <c r="L856">
        <f>_xlfn.XLOOKUP(tbl_MTG_Set[[#This Row],[Type Name]], tbl_MTG_Set_Type[Set Type], tbl_MTG_Set_Type[Buy Window Month End], "(Set Type not found)", 0, 1)</f>
        <v/>
      </c>
      <c r="M856" s="3">
        <f>tbl_MTG_Set[[#This Row],[Released On]]+tbl_MTG_Set[[#This Row],[Buy Window Month End]]*365.25/12</f>
        <v/>
      </c>
      <c r="N856" s="3">
        <f>AND(NOW()&gt;=tbl_MTG_Set[[#This Row],[Buy Window Start]], NOW()&lt;=tbl_MTG_Set[[#This Row],[Buy Window End]])</f>
        <v/>
      </c>
      <c r="O856">
        <f>_xlfn.XLOOKUP(tbl_MTG_Set[[#This Row],[Type Name]], tbl_MTG_Set_Type[Set Type], tbl_MTG_Set_Type[Heavy Printing Window Month Start], "(Set Type not found)", 0, 1)</f>
        <v/>
      </c>
      <c r="P856" s="3">
        <f>tbl_MTG_Set[[#This Row],[Released On]]+tbl_MTG_Set[[#This Row],[Heavy Printing Window Month Start]]*365.25/12</f>
        <v/>
      </c>
      <c r="Q856">
        <f>_xlfn.XLOOKUP(tbl_MTG_Set[[#This Row],[Type Name]], tbl_MTG_Set_Type[Set Type], tbl_MTG_Set_Type[Heavy Printing Window Month End], "(Set Type not found)", 0, 1)</f>
        <v/>
      </c>
      <c r="R856" s="3">
        <f>tbl_MTG_Set[[#This Row],[Released On]]+tbl_MTG_Set[[#This Row],[Heavy Printing Window Month End]]*365.25/12</f>
        <v/>
      </c>
      <c r="S856" s="3">
        <f>AND(NOW()&gt;=tbl_MTG_Set[[#This Row],[Heavy Printing Window Start]], NOW()&lt;=tbl_MTG_Set[[#This Row],[Heavy Printing Window End]])</f>
        <v/>
      </c>
      <c r="T856">
        <f>_xlfn.XLOOKUP(tbl_MTG_Set[[#This Row],[Type Name]], tbl_MTG_Set_Type[Set Type], tbl_MTG_Set_Type[Sell Window Month Start], "(Set Type not found)", 0, 1)</f>
        <v/>
      </c>
      <c r="U856" s="3">
        <f>tbl_MTG_Set[[#This Row],[Released On]]+tbl_MTG_Set[[#This Row],[Sell Window Month Start]]*365.25/12</f>
        <v/>
      </c>
      <c r="V856">
        <f>_xlfn.XLOOKUP(tbl_MTG_Set[[#This Row],[Type Name]], tbl_MTG_Set_Type[Set Type], tbl_MTG_Set_Type[Sell Window Month End], "(Set Type not found)", 0, 1)</f>
        <v/>
      </c>
      <c r="W856" s="3">
        <f>tbl_MTG_Set[[#This Row],[Released On]]+tbl_MTG_Set[[#This Row],[Sell Window Month End]]*365.25/12</f>
        <v/>
      </c>
      <c r="X856" s="3">
        <f>AND(NOW()&gt;=tbl_MTG_Set[[#This Row],[Sell Window Start]], NOW()&lt;=tbl_MTG_Set[[#This Row],[Sell Window End]])</f>
        <v/>
      </c>
      <c r="AG856" s="10" t="n"/>
      <c r="AH856" s="10" t="n"/>
      <c r="AM856" s="10">
        <f t="array" ref="AM8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6" s="10">
        <f t="array" ref="AN8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6" s="4">
        <f>_xlfn.XLOOKUP(tbl_MTG_Set[[#This Row],[Play Booster Box Product Id]], tbl_Product[Product Id], tbl_Product[Pack Size])</f>
        <v/>
      </c>
      <c r="AP856" s="10">
        <f>(tbl_MTG_Set[[#This Row],[Play Booster Box Cost]]+v_Item_Shipping_Cost_In)/tbl_MTG_Set[[#This Row],[Play Booster Box Size]]</f>
        <v/>
      </c>
      <c r="AQ856" s="10">
        <f t="array" ref="AQ8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6" s="10" t="n"/>
      <c r="AS856" s="10" t="n"/>
      <c r="AT856" s="17">
        <f>tbl_MTG_Set[[#This Row],[Play Booster CardMarket Profit]]/tbl_MTG_Set[[#This Row],[Play Booster Cost]]</f>
        <v/>
      </c>
      <c r="AU856" s="10">
        <f>_xlfn.XLOOKUP(tbl_MTG_Set[[#This Row],[Collector Booster Box Product Id]], tbl_Product[Product Id], tbl_Product[Min Cost])</f>
        <v/>
      </c>
      <c r="AV856" s="10">
        <f>_xlfn.XLOOKUP(tbl_MTG_Set[[#This Row],[Collector Booster Box Product Id]], tbl_Product[Product Id], tbl_Product[Best Source])</f>
        <v/>
      </c>
      <c r="AW856" s="4">
        <f>_xlfn.XLOOKUP(tbl_MTG_Set[[#This Row],[Collector Booster Box Product Id]], tbl_Product[Product Id], tbl_Product[Pack Size])</f>
        <v/>
      </c>
      <c r="AX856" s="10">
        <f>(tbl_MTG_Set[[#This Row],[Collector Booster Box Cost]] + v_Item_Shipping_Cost_In) / tbl_MTG_Set[[#This Row],[Collector Booster Box Size]]</f>
        <v/>
      </c>
      <c r="AY856" s="10">
        <f t="array" ref="AY8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6" s="10" t="n"/>
      <c r="BA8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6" s="17">
        <f>tbl_MTG_Set[[#This Row],[Collector Booster CardMarket Profit]]/tbl_MTG_Set[[#This Row],[Collector Booster Cost]]</f>
        <v/>
      </c>
      <c r="BC856" s="10" t="n"/>
      <c r="BF856" s="10">
        <f>tbl_MTG_Set[[#This Row],[Play Booster Sell Price CardMarket]]*tbl_MTG_Set[[#This Row],[Play Booster Expected Market Value]]/tbl_MTG_Set[[#This Row],[Play Boost Sealed Market Value]]</f>
        <v/>
      </c>
      <c r="BG8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6" s="10">
        <f>tbl_MTG_Set[[#This Row],[Play Singles CardMarket Profit]]/tbl_MTG_Set[[#This Row],[Play Booster Cost]]</f>
        <v/>
      </c>
      <c r="BI856" s="10">
        <f>tbl_MTG_Set[[#This Row],[Play Singles CardMarket Profit]]&gt;0</f>
        <v/>
      </c>
      <c r="BJ856" s="10" t="n"/>
      <c r="BK856" s="10" t="n"/>
      <c r="BL856" s="10">
        <f>tbl_MTG_Set[[#This Row],[Collector Booster Sell Price CardMarket]]*tbl_MTG_Set[[#This Row],[Collector Booster Expected Market Value]]/tbl_MTG_Set[[#This Row],[Collector Boost Sealed Market Value]]</f>
        <v/>
      </c>
      <c r="BM8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6" s="10">
        <f>tbl_MTG_Set[[#This Row],[Collector Singles CardMarket Profit]]/tbl_MTG_Set[[#This Row],[Collector Booster Cost]]</f>
        <v/>
      </c>
      <c r="BO856" s="10">
        <f>tbl_MTG_Set[[#This Row],[Collector Singles CardMarket Profit]]&gt;0</f>
        <v/>
      </c>
      <c r="BP8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7">
      <c r="A857" t="n">
        <v>855</v>
      </c>
      <c r="B857" t="inlineStr">
        <is>
          <t>Junior APAC Series PJAS</t>
        </is>
      </c>
      <c r="C857" t="n">
        <v>6</v>
      </c>
      <c r="D857" s="3" t="n">
        <v>38718</v>
      </c>
      <c r="F857" t="inlineStr">
        <is>
          <t>en es fr de it pt ja ko ru 汉语 漢語</t>
        </is>
      </c>
      <c r="G857" t="n">
        <v>1656</v>
      </c>
      <c r="H857">
        <f>MONTH(NOW())+12*YEAR(NOW())-MONTH(tbl_MTG_Set[[#This Row],[Released On]])-12*YEAR(tbl_MTG_Set[[#This Row],[Released On]])</f>
        <v/>
      </c>
      <c r="I857">
        <f>_xlfn.XLOOKUP(tbl_MTG_Set[[#This Row],[Type Name]], tbl_MTG_Set_Type[Set Type], tbl_MTG_Set_Type[Index], "(Set Type not found)")</f>
        <v/>
      </c>
      <c r="J857">
        <f>_xlfn.XLOOKUP(tbl_MTG_Set[[#This Row],[Type Name]], tbl_MTG_Set_Type[Set Type], tbl_MTG_Set_Type[Buy Window Month Start], "(Set Type not found)")</f>
        <v/>
      </c>
      <c r="K857" s="3">
        <f>tbl_MTG_Set[[#This Row],[Released On]]+tbl_MTG_Set[[#This Row],[Buy Window Month Start]]*365.25/12</f>
        <v/>
      </c>
      <c r="L857">
        <f>_xlfn.XLOOKUP(tbl_MTG_Set[[#This Row],[Type Name]], tbl_MTG_Set_Type[Set Type], tbl_MTG_Set_Type[Buy Window Month End], "(Set Type not found)", 0, 1)</f>
        <v/>
      </c>
      <c r="M857" s="3">
        <f>tbl_MTG_Set[[#This Row],[Released On]]+tbl_MTG_Set[[#This Row],[Buy Window Month End]]*365.25/12</f>
        <v/>
      </c>
      <c r="N857" s="3">
        <f>AND(NOW()&gt;=tbl_MTG_Set[[#This Row],[Buy Window Start]], NOW()&lt;=tbl_MTG_Set[[#This Row],[Buy Window End]])</f>
        <v/>
      </c>
      <c r="O857">
        <f>_xlfn.XLOOKUP(tbl_MTG_Set[[#This Row],[Type Name]], tbl_MTG_Set_Type[Set Type], tbl_MTG_Set_Type[Heavy Printing Window Month Start], "(Set Type not found)", 0, 1)</f>
        <v/>
      </c>
      <c r="P857" s="3">
        <f>tbl_MTG_Set[[#This Row],[Released On]]+tbl_MTG_Set[[#This Row],[Heavy Printing Window Month Start]]*365.25/12</f>
        <v/>
      </c>
      <c r="Q857">
        <f>_xlfn.XLOOKUP(tbl_MTG_Set[[#This Row],[Type Name]], tbl_MTG_Set_Type[Set Type], tbl_MTG_Set_Type[Heavy Printing Window Month End], "(Set Type not found)", 0, 1)</f>
        <v/>
      </c>
      <c r="R857" s="3">
        <f>tbl_MTG_Set[[#This Row],[Released On]]+tbl_MTG_Set[[#This Row],[Heavy Printing Window Month End]]*365.25/12</f>
        <v/>
      </c>
      <c r="S857" s="3">
        <f>AND(NOW()&gt;=tbl_MTG_Set[[#This Row],[Heavy Printing Window Start]], NOW()&lt;=tbl_MTG_Set[[#This Row],[Heavy Printing Window End]])</f>
        <v/>
      </c>
      <c r="T857">
        <f>_xlfn.XLOOKUP(tbl_MTG_Set[[#This Row],[Type Name]], tbl_MTG_Set_Type[Set Type], tbl_MTG_Set_Type[Sell Window Month Start], "(Set Type not found)", 0, 1)</f>
        <v/>
      </c>
      <c r="U857" s="3">
        <f>tbl_MTG_Set[[#This Row],[Released On]]+tbl_MTG_Set[[#This Row],[Sell Window Month Start]]*365.25/12</f>
        <v/>
      </c>
      <c r="V857">
        <f>_xlfn.XLOOKUP(tbl_MTG_Set[[#This Row],[Type Name]], tbl_MTG_Set_Type[Set Type], tbl_MTG_Set_Type[Sell Window Month End], "(Set Type not found)", 0, 1)</f>
        <v/>
      </c>
      <c r="W857" s="3">
        <f>tbl_MTG_Set[[#This Row],[Released On]]+tbl_MTG_Set[[#This Row],[Sell Window Month End]]*365.25/12</f>
        <v/>
      </c>
      <c r="X857" s="3">
        <f>AND(NOW()&gt;=tbl_MTG_Set[[#This Row],[Sell Window Start]], NOW()&lt;=tbl_MTG_Set[[#This Row],[Sell Window End]])</f>
        <v/>
      </c>
      <c r="AG857" s="10" t="n"/>
      <c r="AH857" s="10" t="n"/>
      <c r="AM857" s="10">
        <f t="array" ref="AM8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7" s="10">
        <f t="array" ref="AN8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7" s="4">
        <f>_xlfn.XLOOKUP(tbl_MTG_Set[[#This Row],[Play Booster Box Product Id]], tbl_Product[Product Id], tbl_Product[Pack Size])</f>
        <v/>
      </c>
      <c r="AP857" s="10">
        <f>(tbl_MTG_Set[[#This Row],[Play Booster Box Cost]]+v_Item_Shipping_Cost_In)/tbl_MTG_Set[[#This Row],[Play Booster Box Size]]</f>
        <v/>
      </c>
      <c r="AQ857" s="10">
        <f t="array" ref="AQ8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7" s="10" t="n"/>
      <c r="AS857" s="10" t="n"/>
      <c r="AT857" s="17">
        <f>tbl_MTG_Set[[#This Row],[Play Booster CardMarket Profit]]/tbl_MTG_Set[[#This Row],[Play Booster Cost]]</f>
        <v/>
      </c>
      <c r="AU857" s="10">
        <f>_xlfn.XLOOKUP(tbl_MTG_Set[[#This Row],[Collector Booster Box Product Id]], tbl_Product[Product Id], tbl_Product[Min Cost])</f>
        <v/>
      </c>
      <c r="AV857" s="10">
        <f>_xlfn.XLOOKUP(tbl_MTG_Set[[#This Row],[Collector Booster Box Product Id]], tbl_Product[Product Id], tbl_Product[Best Source])</f>
        <v/>
      </c>
      <c r="AW857" s="4">
        <f>_xlfn.XLOOKUP(tbl_MTG_Set[[#This Row],[Collector Booster Box Product Id]], tbl_Product[Product Id], tbl_Product[Pack Size])</f>
        <v/>
      </c>
      <c r="AX857" s="10">
        <f>(tbl_MTG_Set[[#This Row],[Collector Booster Box Cost]] + v_Item_Shipping_Cost_In) / tbl_MTG_Set[[#This Row],[Collector Booster Box Size]]</f>
        <v/>
      </c>
      <c r="AY857" s="10">
        <f t="array" ref="AY8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7" s="10" t="n"/>
      <c r="BA8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7" s="17">
        <f>tbl_MTG_Set[[#This Row],[Collector Booster CardMarket Profit]]/tbl_MTG_Set[[#This Row],[Collector Booster Cost]]</f>
        <v/>
      </c>
      <c r="BC857" s="10" t="n"/>
      <c r="BF857" s="10">
        <f>tbl_MTG_Set[[#This Row],[Play Booster Sell Price CardMarket]]*tbl_MTG_Set[[#This Row],[Play Booster Expected Market Value]]/tbl_MTG_Set[[#This Row],[Play Boost Sealed Market Value]]</f>
        <v/>
      </c>
      <c r="BG8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7" s="10">
        <f>tbl_MTG_Set[[#This Row],[Play Singles CardMarket Profit]]/tbl_MTG_Set[[#This Row],[Play Booster Cost]]</f>
        <v/>
      </c>
      <c r="BI857" s="10">
        <f>tbl_MTG_Set[[#This Row],[Play Singles CardMarket Profit]]&gt;0</f>
        <v/>
      </c>
      <c r="BJ857" s="10" t="n"/>
      <c r="BK857" s="10" t="n"/>
      <c r="BL857" s="10">
        <f>tbl_MTG_Set[[#This Row],[Collector Booster Sell Price CardMarket]]*tbl_MTG_Set[[#This Row],[Collector Booster Expected Market Value]]/tbl_MTG_Set[[#This Row],[Collector Boost Sealed Market Value]]</f>
        <v/>
      </c>
      <c r="BM8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7" s="10">
        <f>tbl_MTG_Set[[#This Row],[Collector Singles CardMarket Profit]]/tbl_MTG_Set[[#This Row],[Collector Booster Cost]]</f>
        <v/>
      </c>
      <c r="BO857" s="10">
        <f>tbl_MTG_Set[[#This Row],[Collector Singles CardMarket Profit]]&gt;0</f>
        <v/>
      </c>
      <c r="BP8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8">
      <c r="A858" t="n">
        <v>856</v>
      </c>
      <c r="B858" t="inlineStr">
        <is>
          <t>Friday Night Magic 2006 F06</t>
        </is>
      </c>
      <c r="C858" t="n">
        <v>12</v>
      </c>
      <c r="D858" s="3" t="n">
        <v>38718</v>
      </c>
      <c r="F858" t="inlineStr">
        <is>
          <t>en es fr de it pt ja ko ru 汉语 漢語</t>
        </is>
      </c>
      <c r="G858" t="n">
        <v>1658</v>
      </c>
      <c r="H858">
        <f>MONTH(NOW())+12*YEAR(NOW())-MONTH(tbl_MTG_Set[[#This Row],[Released On]])-12*YEAR(tbl_MTG_Set[[#This Row],[Released On]])</f>
        <v/>
      </c>
      <c r="I858">
        <f>_xlfn.XLOOKUP(tbl_MTG_Set[[#This Row],[Type Name]], tbl_MTG_Set_Type[Set Type], tbl_MTG_Set_Type[Index], "(Set Type not found)")</f>
        <v/>
      </c>
      <c r="J858">
        <f>_xlfn.XLOOKUP(tbl_MTG_Set[[#This Row],[Type Name]], tbl_MTG_Set_Type[Set Type], tbl_MTG_Set_Type[Buy Window Month Start], "(Set Type not found)")</f>
        <v/>
      </c>
      <c r="K858" s="3">
        <f>tbl_MTG_Set[[#This Row],[Released On]]+tbl_MTG_Set[[#This Row],[Buy Window Month Start]]*365.25/12</f>
        <v/>
      </c>
      <c r="L858">
        <f>_xlfn.XLOOKUP(tbl_MTG_Set[[#This Row],[Type Name]], tbl_MTG_Set_Type[Set Type], tbl_MTG_Set_Type[Buy Window Month End], "(Set Type not found)", 0, 1)</f>
        <v/>
      </c>
      <c r="M858" s="3">
        <f>tbl_MTG_Set[[#This Row],[Released On]]+tbl_MTG_Set[[#This Row],[Buy Window Month End]]*365.25/12</f>
        <v/>
      </c>
      <c r="N858" s="3">
        <f>AND(NOW()&gt;=tbl_MTG_Set[[#This Row],[Buy Window Start]], NOW()&lt;=tbl_MTG_Set[[#This Row],[Buy Window End]])</f>
        <v/>
      </c>
      <c r="O858">
        <f>_xlfn.XLOOKUP(tbl_MTG_Set[[#This Row],[Type Name]], tbl_MTG_Set_Type[Set Type], tbl_MTG_Set_Type[Heavy Printing Window Month Start], "(Set Type not found)", 0, 1)</f>
        <v/>
      </c>
      <c r="P858" s="3">
        <f>tbl_MTG_Set[[#This Row],[Released On]]+tbl_MTG_Set[[#This Row],[Heavy Printing Window Month Start]]*365.25/12</f>
        <v/>
      </c>
      <c r="Q858">
        <f>_xlfn.XLOOKUP(tbl_MTG_Set[[#This Row],[Type Name]], tbl_MTG_Set_Type[Set Type], tbl_MTG_Set_Type[Heavy Printing Window Month End], "(Set Type not found)", 0, 1)</f>
        <v/>
      </c>
      <c r="R858" s="3">
        <f>tbl_MTG_Set[[#This Row],[Released On]]+tbl_MTG_Set[[#This Row],[Heavy Printing Window Month End]]*365.25/12</f>
        <v/>
      </c>
      <c r="S858" s="3">
        <f>AND(NOW()&gt;=tbl_MTG_Set[[#This Row],[Heavy Printing Window Start]], NOW()&lt;=tbl_MTG_Set[[#This Row],[Heavy Printing Window End]])</f>
        <v/>
      </c>
      <c r="T858">
        <f>_xlfn.XLOOKUP(tbl_MTG_Set[[#This Row],[Type Name]], tbl_MTG_Set_Type[Set Type], tbl_MTG_Set_Type[Sell Window Month Start], "(Set Type not found)", 0, 1)</f>
        <v/>
      </c>
      <c r="U858" s="3">
        <f>tbl_MTG_Set[[#This Row],[Released On]]+tbl_MTG_Set[[#This Row],[Sell Window Month Start]]*365.25/12</f>
        <v/>
      </c>
      <c r="V858">
        <f>_xlfn.XLOOKUP(tbl_MTG_Set[[#This Row],[Type Name]], tbl_MTG_Set_Type[Set Type], tbl_MTG_Set_Type[Sell Window Month End], "(Set Type not found)", 0, 1)</f>
        <v/>
      </c>
      <c r="W858" s="3">
        <f>tbl_MTG_Set[[#This Row],[Released On]]+tbl_MTG_Set[[#This Row],[Sell Window Month End]]*365.25/12</f>
        <v/>
      </c>
      <c r="X858" s="3">
        <f>AND(NOW()&gt;=tbl_MTG_Set[[#This Row],[Sell Window Start]], NOW()&lt;=tbl_MTG_Set[[#This Row],[Sell Window End]])</f>
        <v/>
      </c>
      <c r="AG858" s="10" t="n"/>
      <c r="AH858" s="10" t="n"/>
      <c r="AM858" s="10">
        <f t="array" ref="AM8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8" s="10">
        <f t="array" ref="AN8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8" s="4">
        <f>_xlfn.XLOOKUP(tbl_MTG_Set[[#This Row],[Play Booster Box Product Id]], tbl_Product[Product Id], tbl_Product[Pack Size])</f>
        <v/>
      </c>
      <c r="AP858" s="10">
        <f>(tbl_MTG_Set[[#This Row],[Play Booster Box Cost]]+v_Item_Shipping_Cost_In)/tbl_MTG_Set[[#This Row],[Play Booster Box Size]]</f>
        <v/>
      </c>
      <c r="AQ858" s="10">
        <f t="array" ref="AQ8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8" s="10" t="n"/>
      <c r="AS858" s="10" t="n"/>
      <c r="AT858" s="17">
        <f>tbl_MTG_Set[[#This Row],[Play Booster CardMarket Profit]]/tbl_MTG_Set[[#This Row],[Play Booster Cost]]</f>
        <v/>
      </c>
      <c r="AU858" s="10">
        <f>_xlfn.XLOOKUP(tbl_MTG_Set[[#This Row],[Collector Booster Box Product Id]], tbl_Product[Product Id], tbl_Product[Min Cost])</f>
        <v/>
      </c>
      <c r="AV858" s="10">
        <f>_xlfn.XLOOKUP(tbl_MTG_Set[[#This Row],[Collector Booster Box Product Id]], tbl_Product[Product Id], tbl_Product[Best Source])</f>
        <v/>
      </c>
      <c r="AW858" s="4">
        <f>_xlfn.XLOOKUP(tbl_MTG_Set[[#This Row],[Collector Booster Box Product Id]], tbl_Product[Product Id], tbl_Product[Pack Size])</f>
        <v/>
      </c>
      <c r="AX858" s="10">
        <f>(tbl_MTG_Set[[#This Row],[Collector Booster Box Cost]] + v_Item_Shipping_Cost_In) / tbl_MTG_Set[[#This Row],[Collector Booster Box Size]]</f>
        <v/>
      </c>
      <c r="AY858" s="10">
        <f t="array" ref="AY8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8" s="10" t="n"/>
      <c r="BA8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8" s="17">
        <f>tbl_MTG_Set[[#This Row],[Collector Booster CardMarket Profit]]/tbl_MTG_Set[[#This Row],[Collector Booster Cost]]</f>
        <v/>
      </c>
      <c r="BC858" s="10" t="n"/>
      <c r="BF858" s="10">
        <f>tbl_MTG_Set[[#This Row],[Play Booster Sell Price CardMarket]]*tbl_MTG_Set[[#This Row],[Play Booster Expected Market Value]]/tbl_MTG_Set[[#This Row],[Play Boost Sealed Market Value]]</f>
        <v/>
      </c>
      <c r="BG8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8" s="10">
        <f>tbl_MTG_Set[[#This Row],[Play Singles CardMarket Profit]]/tbl_MTG_Set[[#This Row],[Play Booster Cost]]</f>
        <v/>
      </c>
      <c r="BI858" s="10">
        <f>tbl_MTG_Set[[#This Row],[Play Singles CardMarket Profit]]&gt;0</f>
        <v/>
      </c>
      <c r="BJ858" s="10" t="n"/>
      <c r="BK858" s="10" t="n"/>
      <c r="BL858" s="10">
        <f>tbl_MTG_Set[[#This Row],[Collector Booster Sell Price CardMarket]]*tbl_MTG_Set[[#This Row],[Collector Booster Expected Market Value]]/tbl_MTG_Set[[#This Row],[Collector Boost Sealed Market Value]]</f>
        <v/>
      </c>
      <c r="BM8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8" s="10">
        <f>tbl_MTG_Set[[#This Row],[Collector Singles CardMarket Profit]]/tbl_MTG_Set[[#This Row],[Collector Booster Cost]]</f>
        <v/>
      </c>
      <c r="BO858" s="10">
        <f>tbl_MTG_Set[[#This Row],[Collector Singles CardMarket Profit]]&gt;0</f>
        <v/>
      </c>
      <c r="BP8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9">
      <c r="A859" t="n">
        <v>857</v>
      </c>
      <c r="B859" t="inlineStr">
        <is>
          <t>Hachette UK PHUK</t>
        </is>
      </c>
      <c r="C859" t="n">
        <v>60</v>
      </c>
      <c r="D859" s="3" t="n">
        <v>38718</v>
      </c>
      <c r="F859" t="inlineStr">
        <is>
          <t>en es fr de it pt ja ko ru 汉语 漢語</t>
        </is>
      </c>
      <c r="G859" t="n">
        <v>1660</v>
      </c>
      <c r="H859">
        <f>MONTH(NOW())+12*YEAR(NOW())-MONTH(tbl_MTG_Set[[#This Row],[Released On]])-12*YEAR(tbl_MTG_Set[[#This Row],[Released On]])</f>
        <v/>
      </c>
      <c r="I859">
        <f>_xlfn.XLOOKUP(tbl_MTG_Set[[#This Row],[Type Name]], tbl_MTG_Set_Type[Set Type], tbl_MTG_Set_Type[Index], "(Set Type not found)")</f>
        <v/>
      </c>
      <c r="J859">
        <f>_xlfn.XLOOKUP(tbl_MTG_Set[[#This Row],[Type Name]], tbl_MTG_Set_Type[Set Type], tbl_MTG_Set_Type[Buy Window Month Start], "(Set Type not found)")</f>
        <v/>
      </c>
      <c r="K859" s="3">
        <f>tbl_MTG_Set[[#This Row],[Released On]]+tbl_MTG_Set[[#This Row],[Buy Window Month Start]]*365.25/12</f>
        <v/>
      </c>
      <c r="L859">
        <f>_xlfn.XLOOKUP(tbl_MTG_Set[[#This Row],[Type Name]], tbl_MTG_Set_Type[Set Type], tbl_MTG_Set_Type[Buy Window Month End], "(Set Type not found)", 0, 1)</f>
        <v/>
      </c>
      <c r="M859" s="3">
        <f>tbl_MTG_Set[[#This Row],[Released On]]+tbl_MTG_Set[[#This Row],[Buy Window Month End]]*365.25/12</f>
        <v/>
      </c>
      <c r="N859" s="3">
        <f>AND(NOW()&gt;=tbl_MTG_Set[[#This Row],[Buy Window Start]], NOW()&lt;=tbl_MTG_Set[[#This Row],[Buy Window End]])</f>
        <v/>
      </c>
      <c r="O859">
        <f>_xlfn.XLOOKUP(tbl_MTG_Set[[#This Row],[Type Name]], tbl_MTG_Set_Type[Set Type], tbl_MTG_Set_Type[Heavy Printing Window Month Start], "(Set Type not found)", 0, 1)</f>
        <v/>
      </c>
      <c r="P859" s="3">
        <f>tbl_MTG_Set[[#This Row],[Released On]]+tbl_MTG_Set[[#This Row],[Heavy Printing Window Month Start]]*365.25/12</f>
        <v/>
      </c>
      <c r="Q859">
        <f>_xlfn.XLOOKUP(tbl_MTG_Set[[#This Row],[Type Name]], tbl_MTG_Set_Type[Set Type], tbl_MTG_Set_Type[Heavy Printing Window Month End], "(Set Type not found)", 0, 1)</f>
        <v/>
      </c>
      <c r="R859" s="3">
        <f>tbl_MTG_Set[[#This Row],[Released On]]+tbl_MTG_Set[[#This Row],[Heavy Printing Window Month End]]*365.25/12</f>
        <v/>
      </c>
      <c r="S859" s="3">
        <f>AND(NOW()&gt;=tbl_MTG_Set[[#This Row],[Heavy Printing Window Start]], NOW()&lt;=tbl_MTG_Set[[#This Row],[Heavy Printing Window End]])</f>
        <v/>
      </c>
      <c r="T859">
        <f>_xlfn.XLOOKUP(tbl_MTG_Set[[#This Row],[Type Name]], tbl_MTG_Set_Type[Set Type], tbl_MTG_Set_Type[Sell Window Month Start], "(Set Type not found)", 0, 1)</f>
        <v/>
      </c>
      <c r="U859" s="3">
        <f>tbl_MTG_Set[[#This Row],[Released On]]+tbl_MTG_Set[[#This Row],[Sell Window Month Start]]*365.25/12</f>
        <v/>
      </c>
      <c r="V859">
        <f>_xlfn.XLOOKUP(tbl_MTG_Set[[#This Row],[Type Name]], tbl_MTG_Set_Type[Set Type], tbl_MTG_Set_Type[Sell Window Month End], "(Set Type not found)", 0, 1)</f>
        <v/>
      </c>
      <c r="W859" s="3">
        <f>tbl_MTG_Set[[#This Row],[Released On]]+tbl_MTG_Set[[#This Row],[Sell Window Month End]]*365.25/12</f>
        <v/>
      </c>
      <c r="X859" s="3">
        <f>AND(NOW()&gt;=tbl_MTG_Set[[#This Row],[Sell Window Start]], NOW()&lt;=tbl_MTG_Set[[#This Row],[Sell Window End]])</f>
        <v/>
      </c>
      <c r="AG859" s="10" t="n"/>
      <c r="AH859" s="10" t="n"/>
      <c r="AM859" s="10">
        <f t="array" ref="AM8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9" s="10">
        <f t="array" ref="AN8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9" s="4">
        <f>_xlfn.XLOOKUP(tbl_MTG_Set[[#This Row],[Play Booster Box Product Id]], tbl_Product[Product Id], tbl_Product[Pack Size])</f>
        <v/>
      </c>
      <c r="AP859" s="10">
        <f>(tbl_MTG_Set[[#This Row],[Play Booster Box Cost]]+v_Item_Shipping_Cost_In)/tbl_MTG_Set[[#This Row],[Play Booster Box Size]]</f>
        <v/>
      </c>
      <c r="AQ859" s="10">
        <f t="array" ref="AQ8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59" s="10" t="n"/>
      <c r="AS859" s="10" t="n"/>
      <c r="AT859" s="17">
        <f>tbl_MTG_Set[[#This Row],[Play Booster CardMarket Profit]]/tbl_MTG_Set[[#This Row],[Play Booster Cost]]</f>
        <v/>
      </c>
      <c r="AU859" s="10">
        <f>_xlfn.XLOOKUP(tbl_MTG_Set[[#This Row],[Collector Booster Box Product Id]], tbl_Product[Product Id], tbl_Product[Min Cost])</f>
        <v/>
      </c>
      <c r="AV859" s="10">
        <f>_xlfn.XLOOKUP(tbl_MTG_Set[[#This Row],[Collector Booster Box Product Id]], tbl_Product[Product Id], tbl_Product[Best Source])</f>
        <v/>
      </c>
      <c r="AW859" s="4">
        <f>_xlfn.XLOOKUP(tbl_MTG_Set[[#This Row],[Collector Booster Box Product Id]], tbl_Product[Product Id], tbl_Product[Pack Size])</f>
        <v/>
      </c>
      <c r="AX859" s="10">
        <f>(tbl_MTG_Set[[#This Row],[Collector Booster Box Cost]] + v_Item_Shipping_Cost_In) / tbl_MTG_Set[[#This Row],[Collector Booster Box Size]]</f>
        <v/>
      </c>
      <c r="AY859" s="10">
        <f t="array" ref="AY8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59" s="10" t="n"/>
      <c r="BA8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9" s="17">
        <f>tbl_MTG_Set[[#This Row],[Collector Booster CardMarket Profit]]/tbl_MTG_Set[[#This Row],[Collector Booster Cost]]</f>
        <v/>
      </c>
      <c r="BC859" s="10" t="n"/>
      <c r="BF859" s="10">
        <f>tbl_MTG_Set[[#This Row],[Play Booster Sell Price CardMarket]]*tbl_MTG_Set[[#This Row],[Play Booster Expected Market Value]]/tbl_MTG_Set[[#This Row],[Play Boost Sealed Market Value]]</f>
        <v/>
      </c>
      <c r="BG8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9" s="10">
        <f>tbl_MTG_Set[[#This Row],[Play Singles CardMarket Profit]]/tbl_MTG_Set[[#This Row],[Play Booster Cost]]</f>
        <v/>
      </c>
      <c r="BI859" s="10">
        <f>tbl_MTG_Set[[#This Row],[Play Singles CardMarket Profit]]&gt;0</f>
        <v/>
      </c>
      <c r="BJ859" s="10" t="n"/>
      <c r="BK859" s="10" t="n"/>
      <c r="BL859" s="10">
        <f>tbl_MTG_Set[[#This Row],[Collector Booster Sell Price CardMarket]]*tbl_MTG_Set[[#This Row],[Collector Booster Expected Market Value]]/tbl_MTG_Set[[#This Row],[Collector Boost Sealed Market Value]]</f>
        <v/>
      </c>
      <c r="BM8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9" s="10">
        <f>tbl_MTG_Set[[#This Row],[Collector Singles CardMarket Profit]]/tbl_MTG_Set[[#This Row],[Collector Booster Cost]]</f>
        <v/>
      </c>
      <c r="BO859" s="10">
        <f>tbl_MTG_Set[[#This Row],[Collector Singles CardMarket Profit]]&gt;0</f>
        <v/>
      </c>
      <c r="BP8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0">
      <c r="A860" t="n">
        <v>858</v>
      </c>
      <c r="B860" t="inlineStr">
        <is>
          <t>Judge Gift Cards 2006 G06</t>
        </is>
      </c>
      <c r="C860" t="n">
        <v>4</v>
      </c>
      <c r="D860" s="3" t="n">
        <v>38718</v>
      </c>
      <c r="F860" t="inlineStr">
        <is>
          <t>en es fr de it pt ja ko ru 汉语 漢語</t>
        </is>
      </c>
      <c r="G860" t="n">
        <v>1662</v>
      </c>
      <c r="H860">
        <f>MONTH(NOW())+12*YEAR(NOW())-MONTH(tbl_MTG_Set[[#This Row],[Released On]])-12*YEAR(tbl_MTG_Set[[#This Row],[Released On]])</f>
        <v/>
      </c>
      <c r="I860">
        <f>_xlfn.XLOOKUP(tbl_MTG_Set[[#This Row],[Type Name]], tbl_MTG_Set_Type[Set Type], tbl_MTG_Set_Type[Index], "(Set Type not found)")</f>
        <v/>
      </c>
      <c r="J860">
        <f>_xlfn.XLOOKUP(tbl_MTG_Set[[#This Row],[Type Name]], tbl_MTG_Set_Type[Set Type], tbl_MTG_Set_Type[Buy Window Month Start], "(Set Type not found)")</f>
        <v/>
      </c>
      <c r="K860" s="3">
        <f>tbl_MTG_Set[[#This Row],[Released On]]+tbl_MTG_Set[[#This Row],[Buy Window Month Start]]*365.25/12</f>
        <v/>
      </c>
      <c r="L860">
        <f>_xlfn.XLOOKUP(tbl_MTG_Set[[#This Row],[Type Name]], tbl_MTG_Set_Type[Set Type], tbl_MTG_Set_Type[Buy Window Month End], "(Set Type not found)", 0, 1)</f>
        <v/>
      </c>
      <c r="M860" s="3">
        <f>tbl_MTG_Set[[#This Row],[Released On]]+tbl_MTG_Set[[#This Row],[Buy Window Month End]]*365.25/12</f>
        <v/>
      </c>
      <c r="N860" s="3">
        <f>AND(NOW()&gt;=tbl_MTG_Set[[#This Row],[Buy Window Start]], NOW()&lt;=tbl_MTG_Set[[#This Row],[Buy Window End]])</f>
        <v/>
      </c>
      <c r="O860">
        <f>_xlfn.XLOOKUP(tbl_MTG_Set[[#This Row],[Type Name]], tbl_MTG_Set_Type[Set Type], tbl_MTG_Set_Type[Heavy Printing Window Month Start], "(Set Type not found)", 0, 1)</f>
        <v/>
      </c>
      <c r="P860" s="3">
        <f>tbl_MTG_Set[[#This Row],[Released On]]+tbl_MTG_Set[[#This Row],[Heavy Printing Window Month Start]]*365.25/12</f>
        <v/>
      </c>
      <c r="Q860">
        <f>_xlfn.XLOOKUP(tbl_MTG_Set[[#This Row],[Type Name]], tbl_MTG_Set_Type[Set Type], tbl_MTG_Set_Type[Heavy Printing Window Month End], "(Set Type not found)", 0, 1)</f>
        <v/>
      </c>
      <c r="R860" s="3">
        <f>tbl_MTG_Set[[#This Row],[Released On]]+tbl_MTG_Set[[#This Row],[Heavy Printing Window Month End]]*365.25/12</f>
        <v/>
      </c>
      <c r="S860" s="3">
        <f>AND(NOW()&gt;=tbl_MTG_Set[[#This Row],[Heavy Printing Window Start]], NOW()&lt;=tbl_MTG_Set[[#This Row],[Heavy Printing Window End]])</f>
        <v/>
      </c>
      <c r="T860">
        <f>_xlfn.XLOOKUP(tbl_MTG_Set[[#This Row],[Type Name]], tbl_MTG_Set_Type[Set Type], tbl_MTG_Set_Type[Sell Window Month Start], "(Set Type not found)", 0, 1)</f>
        <v/>
      </c>
      <c r="U860" s="3">
        <f>tbl_MTG_Set[[#This Row],[Released On]]+tbl_MTG_Set[[#This Row],[Sell Window Month Start]]*365.25/12</f>
        <v/>
      </c>
      <c r="V860">
        <f>_xlfn.XLOOKUP(tbl_MTG_Set[[#This Row],[Type Name]], tbl_MTG_Set_Type[Set Type], tbl_MTG_Set_Type[Sell Window Month End], "(Set Type not found)", 0, 1)</f>
        <v/>
      </c>
      <c r="W860" s="3">
        <f>tbl_MTG_Set[[#This Row],[Released On]]+tbl_MTG_Set[[#This Row],[Sell Window Month End]]*365.25/12</f>
        <v/>
      </c>
      <c r="X860" s="3">
        <f>AND(NOW()&gt;=tbl_MTG_Set[[#This Row],[Sell Window Start]], NOW()&lt;=tbl_MTG_Set[[#This Row],[Sell Window End]])</f>
        <v/>
      </c>
      <c r="AG860" s="10" t="n"/>
      <c r="AH860" s="10" t="n"/>
      <c r="AM860" s="10">
        <f t="array" ref="AM8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0" s="10">
        <f t="array" ref="AN8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0" s="4">
        <f>_xlfn.XLOOKUP(tbl_MTG_Set[[#This Row],[Play Booster Box Product Id]], tbl_Product[Product Id], tbl_Product[Pack Size])</f>
        <v/>
      </c>
      <c r="AP860" s="10">
        <f>(tbl_MTG_Set[[#This Row],[Play Booster Box Cost]]+v_Item_Shipping_Cost_In)/tbl_MTG_Set[[#This Row],[Play Booster Box Size]]</f>
        <v/>
      </c>
      <c r="AQ860" s="10">
        <f t="array" ref="AQ8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0" s="10" t="n"/>
      <c r="AS860" s="10" t="n"/>
      <c r="AT860" s="17">
        <f>tbl_MTG_Set[[#This Row],[Play Booster CardMarket Profit]]/tbl_MTG_Set[[#This Row],[Play Booster Cost]]</f>
        <v/>
      </c>
      <c r="AU860" s="10">
        <f>_xlfn.XLOOKUP(tbl_MTG_Set[[#This Row],[Collector Booster Box Product Id]], tbl_Product[Product Id], tbl_Product[Min Cost])</f>
        <v/>
      </c>
      <c r="AV860" s="10">
        <f>_xlfn.XLOOKUP(tbl_MTG_Set[[#This Row],[Collector Booster Box Product Id]], tbl_Product[Product Id], tbl_Product[Best Source])</f>
        <v/>
      </c>
      <c r="AW860" s="4">
        <f>_xlfn.XLOOKUP(tbl_MTG_Set[[#This Row],[Collector Booster Box Product Id]], tbl_Product[Product Id], tbl_Product[Pack Size])</f>
        <v/>
      </c>
      <c r="AX860" s="10">
        <f>(tbl_MTG_Set[[#This Row],[Collector Booster Box Cost]] + v_Item_Shipping_Cost_In) / tbl_MTG_Set[[#This Row],[Collector Booster Box Size]]</f>
        <v/>
      </c>
      <c r="AY860" s="10">
        <f t="array" ref="AY8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0" s="10" t="n"/>
      <c r="BA8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0" s="17">
        <f>tbl_MTG_Set[[#This Row],[Collector Booster CardMarket Profit]]/tbl_MTG_Set[[#This Row],[Collector Booster Cost]]</f>
        <v/>
      </c>
      <c r="BC860" s="10" t="n"/>
      <c r="BF860" s="10">
        <f>tbl_MTG_Set[[#This Row],[Play Booster Sell Price CardMarket]]*tbl_MTG_Set[[#This Row],[Play Booster Expected Market Value]]/tbl_MTG_Set[[#This Row],[Play Boost Sealed Market Value]]</f>
        <v/>
      </c>
      <c r="BG8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0" s="10">
        <f>tbl_MTG_Set[[#This Row],[Play Singles CardMarket Profit]]/tbl_MTG_Set[[#This Row],[Play Booster Cost]]</f>
        <v/>
      </c>
      <c r="BI860" s="10">
        <f>tbl_MTG_Set[[#This Row],[Play Singles CardMarket Profit]]&gt;0</f>
        <v/>
      </c>
      <c r="BJ860" s="10" t="n"/>
      <c r="BK860" s="10" t="n"/>
      <c r="BL860" s="10">
        <f>tbl_MTG_Set[[#This Row],[Collector Booster Sell Price CardMarket]]*tbl_MTG_Set[[#This Row],[Collector Booster Expected Market Value]]/tbl_MTG_Set[[#This Row],[Collector Boost Sealed Market Value]]</f>
        <v/>
      </c>
      <c r="BM8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0" s="10">
        <f>tbl_MTG_Set[[#This Row],[Collector Singles CardMarket Profit]]/tbl_MTG_Set[[#This Row],[Collector Booster Cost]]</f>
        <v/>
      </c>
      <c r="BO860" s="10">
        <f>tbl_MTG_Set[[#This Row],[Collector Singles CardMarket Profit]]&gt;0</f>
        <v/>
      </c>
      <c r="BP8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1">
      <c r="A861" t="n">
        <v>859</v>
      </c>
      <c r="B861" t="inlineStr">
        <is>
          <t>DCI Promos DCI</t>
        </is>
      </c>
      <c r="C861" t="n">
        <v>80</v>
      </c>
      <c r="D861" s="3" t="n">
        <v>38718</v>
      </c>
      <c r="F861" t="inlineStr">
        <is>
          <t>en es fr de it pt ja ko ru 汉语 漢語</t>
        </is>
      </c>
      <c r="G861" t="n">
        <v>1664</v>
      </c>
      <c r="H861">
        <f>MONTH(NOW())+12*YEAR(NOW())-MONTH(tbl_MTG_Set[[#This Row],[Released On]])-12*YEAR(tbl_MTG_Set[[#This Row],[Released On]])</f>
        <v/>
      </c>
      <c r="I861">
        <f>_xlfn.XLOOKUP(tbl_MTG_Set[[#This Row],[Type Name]], tbl_MTG_Set_Type[Set Type], tbl_MTG_Set_Type[Index], "(Set Type not found)")</f>
        <v/>
      </c>
      <c r="J861">
        <f>_xlfn.XLOOKUP(tbl_MTG_Set[[#This Row],[Type Name]], tbl_MTG_Set_Type[Set Type], tbl_MTG_Set_Type[Buy Window Month Start], "(Set Type not found)")</f>
        <v/>
      </c>
      <c r="K861" s="3">
        <f>tbl_MTG_Set[[#This Row],[Released On]]+tbl_MTG_Set[[#This Row],[Buy Window Month Start]]*365.25/12</f>
        <v/>
      </c>
      <c r="L861">
        <f>_xlfn.XLOOKUP(tbl_MTG_Set[[#This Row],[Type Name]], tbl_MTG_Set_Type[Set Type], tbl_MTG_Set_Type[Buy Window Month End], "(Set Type not found)", 0, 1)</f>
        <v/>
      </c>
      <c r="M861" s="3">
        <f>tbl_MTG_Set[[#This Row],[Released On]]+tbl_MTG_Set[[#This Row],[Buy Window Month End]]*365.25/12</f>
        <v/>
      </c>
      <c r="N861" s="3">
        <f>AND(NOW()&gt;=tbl_MTG_Set[[#This Row],[Buy Window Start]], NOW()&lt;=tbl_MTG_Set[[#This Row],[Buy Window End]])</f>
        <v/>
      </c>
      <c r="O861">
        <f>_xlfn.XLOOKUP(tbl_MTG_Set[[#This Row],[Type Name]], tbl_MTG_Set_Type[Set Type], tbl_MTG_Set_Type[Heavy Printing Window Month Start], "(Set Type not found)", 0, 1)</f>
        <v/>
      </c>
      <c r="P861" s="3">
        <f>tbl_MTG_Set[[#This Row],[Released On]]+tbl_MTG_Set[[#This Row],[Heavy Printing Window Month Start]]*365.25/12</f>
        <v/>
      </c>
      <c r="Q861">
        <f>_xlfn.XLOOKUP(tbl_MTG_Set[[#This Row],[Type Name]], tbl_MTG_Set_Type[Set Type], tbl_MTG_Set_Type[Heavy Printing Window Month End], "(Set Type not found)", 0, 1)</f>
        <v/>
      </c>
      <c r="R861" s="3">
        <f>tbl_MTG_Set[[#This Row],[Released On]]+tbl_MTG_Set[[#This Row],[Heavy Printing Window Month End]]*365.25/12</f>
        <v/>
      </c>
      <c r="S861" s="3">
        <f>AND(NOW()&gt;=tbl_MTG_Set[[#This Row],[Heavy Printing Window Start]], NOW()&lt;=tbl_MTG_Set[[#This Row],[Heavy Printing Window End]])</f>
        <v/>
      </c>
      <c r="T861">
        <f>_xlfn.XLOOKUP(tbl_MTG_Set[[#This Row],[Type Name]], tbl_MTG_Set_Type[Set Type], tbl_MTG_Set_Type[Sell Window Month Start], "(Set Type not found)", 0, 1)</f>
        <v/>
      </c>
      <c r="U861" s="3">
        <f>tbl_MTG_Set[[#This Row],[Released On]]+tbl_MTG_Set[[#This Row],[Sell Window Month Start]]*365.25/12</f>
        <v/>
      </c>
      <c r="V861">
        <f>_xlfn.XLOOKUP(tbl_MTG_Set[[#This Row],[Type Name]], tbl_MTG_Set_Type[Set Type], tbl_MTG_Set_Type[Sell Window Month End], "(Set Type not found)", 0, 1)</f>
        <v/>
      </c>
      <c r="W861" s="3">
        <f>tbl_MTG_Set[[#This Row],[Released On]]+tbl_MTG_Set[[#This Row],[Sell Window Month End]]*365.25/12</f>
        <v/>
      </c>
      <c r="X861" s="3">
        <f>AND(NOW()&gt;=tbl_MTG_Set[[#This Row],[Sell Window Start]], NOW()&lt;=tbl_MTG_Set[[#This Row],[Sell Window End]])</f>
        <v/>
      </c>
      <c r="AG861" s="10" t="n"/>
      <c r="AH861" s="10" t="n"/>
      <c r="AM861" s="10">
        <f t="array" ref="AM8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1" s="10">
        <f t="array" ref="AN8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1" s="4">
        <f>_xlfn.XLOOKUP(tbl_MTG_Set[[#This Row],[Play Booster Box Product Id]], tbl_Product[Product Id], tbl_Product[Pack Size])</f>
        <v/>
      </c>
      <c r="AP861" s="10">
        <f>(tbl_MTG_Set[[#This Row],[Play Booster Box Cost]]+v_Item_Shipping_Cost_In)/tbl_MTG_Set[[#This Row],[Play Booster Box Size]]</f>
        <v/>
      </c>
      <c r="AQ861" s="10">
        <f t="array" ref="AQ8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1" s="10" t="n"/>
      <c r="AS861" s="10" t="n"/>
      <c r="AT861" s="17">
        <f>tbl_MTG_Set[[#This Row],[Play Booster CardMarket Profit]]/tbl_MTG_Set[[#This Row],[Play Booster Cost]]</f>
        <v/>
      </c>
      <c r="AU861" s="10">
        <f>_xlfn.XLOOKUP(tbl_MTG_Set[[#This Row],[Collector Booster Box Product Id]], tbl_Product[Product Id], tbl_Product[Min Cost])</f>
        <v/>
      </c>
      <c r="AV861" s="10">
        <f>_xlfn.XLOOKUP(tbl_MTG_Set[[#This Row],[Collector Booster Box Product Id]], tbl_Product[Product Id], tbl_Product[Best Source])</f>
        <v/>
      </c>
      <c r="AW861" s="4">
        <f>_xlfn.XLOOKUP(tbl_MTG_Set[[#This Row],[Collector Booster Box Product Id]], tbl_Product[Product Id], tbl_Product[Pack Size])</f>
        <v/>
      </c>
      <c r="AX861" s="10">
        <f>(tbl_MTG_Set[[#This Row],[Collector Booster Box Cost]] + v_Item_Shipping_Cost_In) / tbl_MTG_Set[[#This Row],[Collector Booster Box Size]]</f>
        <v/>
      </c>
      <c r="AY861" s="10">
        <f t="array" ref="AY8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1" s="10" t="n"/>
      <c r="BA8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1" s="17">
        <f>tbl_MTG_Set[[#This Row],[Collector Booster CardMarket Profit]]/tbl_MTG_Set[[#This Row],[Collector Booster Cost]]</f>
        <v/>
      </c>
      <c r="BC861" s="10" t="n"/>
      <c r="BF861" s="10">
        <f>tbl_MTG_Set[[#This Row],[Play Booster Sell Price CardMarket]]*tbl_MTG_Set[[#This Row],[Play Booster Expected Market Value]]/tbl_MTG_Set[[#This Row],[Play Boost Sealed Market Value]]</f>
        <v/>
      </c>
      <c r="BG8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1" s="10">
        <f>tbl_MTG_Set[[#This Row],[Play Singles CardMarket Profit]]/tbl_MTG_Set[[#This Row],[Play Booster Cost]]</f>
        <v/>
      </c>
      <c r="BI861" s="10">
        <f>tbl_MTG_Set[[#This Row],[Play Singles CardMarket Profit]]&gt;0</f>
        <v/>
      </c>
      <c r="BJ861" s="10" t="n"/>
      <c r="BK861" s="10" t="n"/>
      <c r="BL861" s="10">
        <f>tbl_MTG_Set[[#This Row],[Collector Booster Sell Price CardMarket]]*tbl_MTG_Set[[#This Row],[Collector Booster Expected Market Value]]/tbl_MTG_Set[[#This Row],[Collector Boost Sealed Market Value]]</f>
        <v/>
      </c>
      <c r="BM8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1" s="10">
        <f>tbl_MTG_Set[[#This Row],[Collector Singles CardMarket Profit]]/tbl_MTG_Set[[#This Row],[Collector Booster Cost]]</f>
        <v/>
      </c>
      <c r="BO861" s="10">
        <f>tbl_MTG_Set[[#This Row],[Collector Singles CardMarket Profit]]&gt;0</f>
        <v/>
      </c>
      <c r="BP8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2">
      <c r="A862" t="n">
        <v>860</v>
      </c>
      <c r="B862" t="inlineStr">
        <is>
          <t>Magic Player Rewards 2006 P06</t>
        </is>
      </c>
      <c r="C862" t="n">
        <v>7</v>
      </c>
      <c r="D862" s="3" t="n">
        <v>38718</v>
      </c>
      <c r="F862" t="inlineStr">
        <is>
          <t>en es fr de it pt ja ko ru 汉语 漢語</t>
        </is>
      </c>
      <c r="G862" t="n">
        <v>1666</v>
      </c>
      <c r="H862">
        <f>MONTH(NOW())+12*YEAR(NOW())-MONTH(tbl_MTG_Set[[#This Row],[Released On]])-12*YEAR(tbl_MTG_Set[[#This Row],[Released On]])</f>
        <v/>
      </c>
      <c r="I862">
        <f>_xlfn.XLOOKUP(tbl_MTG_Set[[#This Row],[Type Name]], tbl_MTG_Set_Type[Set Type], tbl_MTG_Set_Type[Index], "(Set Type not found)")</f>
        <v/>
      </c>
      <c r="J862">
        <f>_xlfn.XLOOKUP(tbl_MTG_Set[[#This Row],[Type Name]], tbl_MTG_Set_Type[Set Type], tbl_MTG_Set_Type[Buy Window Month Start], "(Set Type not found)")</f>
        <v/>
      </c>
      <c r="K862" s="3">
        <f>tbl_MTG_Set[[#This Row],[Released On]]+tbl_MTG_Set[[#This Row],[Buy Window Month Start]]*365.25/12</f>
        <v/>
      </c>
      <c r="L862">
        <f>_xlfn.XLOOKUP(tbl_MTG_Set[[#This Row],[Type Name]], tbl_MTG_Set_Type[Set Type], tbl_MTG_Set_Type[Buy Window Month End], "(Set Type not found)", 0, 1)</f>
        <v/>
      </c>
      <c r="M862" s="3">
        <f>tbl_MTG_Set[[#This Row],[Released On]]+tbl_MTG_Set[[#This Row],[Buy Window Month End]]*365.25/12</f>
        <v/>
      </c>
      <c r="N862" s="3">
        <f>AND(NOW()&gt;=tbl_MTG_Set[[#This Row],[Buy Window Start]], NOW()&lt;=tbl_MTG_Set[[#This Row],[Buy Window End]])</f>
        <v/>
      </c>
      <c r="O862">
        <f>_xlfn.XLOOKUP(tbl_MTG_Set[[#This Row],[Type Name]], tbl_MTG_Set_Type[Set Type], tbl_MTG_Set_Type[Heavy Printing Window Month Start], "(Set Type not found)", 0, 1)</f>
        <v/>
      </c>
      <c r="P862" s="3">
        <f>tbl_MTG_Set[[#This Row],[Released On]]+tbl_MTG_Set[[#This Row],[Heavy Printing Window Month Start]]*365.25/12</f>
        <v/>
      </c>
      <c r="Q862">
        <f>_xlfn.XLOOKUP(tbl_MTG_Set[[#This Row],[Type Name]], tbl_MTG_Set_Type[Set Type], tbl_MTG_Set_Type[Heavy Printing Window Month End], "(Set Type not found)", 0, 1)</f>
        <v/>
      </c>
      <c r="R862" s="3">
        <f>tbl_MTG_Set[[#This Row],[Released On]]+tbl_MTG_Set[[#This Row],[Heavy Printing Window Month End]]*365.25/12</f>
        <v/>
      </c>
      <c r="S862" s="3">
        <f>AND(NOW()&gt;=tbl_MTG_Set[[#This Row],[Heavy Printing Window Start]], NOW()&lt;=tbl_MTG_Set[[#This Row],[Heavy Printing Window End]])</f>
        <v/>
      </c>
      <c r="T862">
        <f>_xlfn.XLOOKUP(tbl_MTG_Set[[#This Row],[Type Name]], tbl_MTG_Set_Type[Set Type], tbl_MTG_Set_Type[Sell Window Month Start], "(Set Type not found)", 0, 1)</f>
        <v/>
      </c>
      <c r="U862" s="3">
        <f>tbl_MTG_Set[[#This Row],[Released On]]+tbl_MTG_Set[[#This Row],[Sell Window Month Start]]*365.25/12</f>
        <v/>
      </c>
      <c r="V862">
        <f>_xlfn.XLOOKUP(tbl_MTG_Set[[#This Row],[Type Name]], tbl_MTG_Set_Type[Set Type], tbl_MTG_Set_Type[Sell Window Month End], "(Set Type not found)", 0, 1)</f>
        <v/>
      </c>
      <c r="W862" s="3">
        <f>tbl_MTG_Set[[#This Row],[Released On]]+tbl_MTG_Set[[#This Row],[Sell Window Month End]]*365.25/12</f>
        <v/>
      </c>
      <c r="X862" s="3">
        <f>AND(NOW()&gt;=tbl_MTG_Set[[#This Row],[Sell Window Start]], NOW()&lt;=tbl_MTG_Set[[#This Row],[Sell Window End]])</f>
        <v/>
      </c>
      <c r="AG862" s="10" t="n"/>
      <c r="AH862" s="10" t="n"/>
      <c r="AM862" s="10">
        <f t="array" ref="AM8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2" s="10">
        <f t="array" ref="AN8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2" s="4">
        <f>_xlfn.XLOOKUP(tbl_MTG_Set[[#This Row],[Play Booster Box Product Id]], tbl_Product[Product Id], tbl_Product[Pack Size])</f>
        <v/>
      </c>
      <c r="AP862" s="10">
        <f>(tbl_MTG_Set[[#This Row],[Play Booster Box Cost]]+v_Item_Shipping_Cost_In)/tbl_MTG_Set[[#This Row],[Play Booster Box Size]]</f>
        <v/>
      </c>
      <c r="AQ862" s="10">
        <f t="array" ref="AQ8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2" s="10" t="n"/>
      <c r="AS862" s="10" t="n"/>
      <c r="AT862" s="17">
        <f>tbl_MTG_Set[[#This Row],[Play Booster CardMarket Profit]]/tbl_MTG_Set[[#This Row],[Play Booster Cost]]</f>
        <v/>
      </c>
      <c r="AU862" s="10">
        <f>_xlfn.XLOOKUP(tbl_MTG_Set[[#This Row],[Collector Booster Box Product Id]], tbl_Product[Product Id], tbl_Product[Min Cost])</f>
        <v/>
      </c>
      <c r="AV862" s="10">
        <f>_xlfn.XLOOKUP(tbl_MTG_Set[[#This Row],[Collector Booster Box Product Id]], tbl_Product[Product Id], tbl_Product[Best Source])</f>
        <v/>
      </c>
      <c r="AW862" s="4">
        <f>_xlfn.XLOOKUP(tbl_MTG_Set[[#This Row],[Collector Booster Box Product Id]], tbl_Product[Product Id], tbl_Product[Pack Size])</f>
        <v/>
      </c>
      <c r="AX862" s="10">
        <f>(tbl_MTG_Set[[#This Row],[Collector Booster Box Cost]] + v_Item_Shipping_Cost_In) / tbl_MTG_Set[[#This Row],[Collector Booster Box Size]]</f>
        <v/>
      </c>
      <c r="AY862" s="10">
        <f t="array" ref="AY8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2" s="10" t="n"/>
      <c r="BA8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2" s="17">
        <f>tbl_MTG_Set[[#This Row],[Collector Booster CardMarket Profit]]/tbl_MTG_Set[[#This Row],[Collector Booster Cost]]</f>
        <v/>
      </c>
      <c r="BC862" s="10" t="n"/>
      <c r="BF862" s="10">
        <f>tbl_MTG_Set[[#This Row],[Play Booster Sell Price CardMarket]]*tbl_MTG_Set[[#This Row],[Play Booster Expected Market Value]]/tbl_MTG_Set[[#This Row],[Play Boost Sealed Market Value]]</f>
        <v/>
      </c>
      <c r="BG8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2" s="10">
        <f>tbl_MTG_Set[[#This Row],[Play Singles CardMarket Profit]]/tbl_MTG_Set[[#This Row],[Play Booster Cost]]</f>
        <v/>
      </c>
      <c r="BI862" s="10">
        <f>tbl_MTG_Set[[#This Row],[Play Singles CardMarket Profit]]&gt;0</f>
        <v/>
      </c>
      <c r="BJ862" s="10" t="n"/>
      <c r="BK862" s="10" t="n"/>
      <c r="BL862" s="10">
        <f>tbl_MTG_Set[[#This Row],[Collector Booster Sell Price CardMarket]]*tbl_MTG_Set[[#This Row],[Collector Booster Expected Market Value]]/tbl_MTG_Set[[#This Row],[Collector Boost Sealed Market Value]]</f>
        <v/>
      </c>
      <c r="BM8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2" s="10">
        <f>tbl_MTG_Set[[#This Row],[Collector Singles CardMarket Profit]]/tbl_MTG_Set[[#This Row],[Collector Booster Cost]]</f>
        <v/>
      </c>
      <c r="BO862" s="10">
        <f>tbl_MTG_Set[[#This Row],[Collector Singles CardMarket Profit]]&gt;0</f>
        <v/>
      </c>
      <c r="BP8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3">
      <c r="A863" t="n">
        <v>861</v>
      </c>
      <c r="B863" t="inlineStr">
        <is>
          <t>Two-Headed Giant Tournament P2HG</t>
        </is>
      </c>
      <c r="C863" t="n">
        <v>1</v>
      </c>
      <c r="D863" s="3" t="n">
        <v>38695</v>
      </c>
      <c r="F863" t="inlineStr">
        <is>
          <t>en es fr de it pt ja ko ru 汉语 漢語</t>
        </is>
      </c>
      <c r="G863" t="n">
        <v>1668</v>
      </c>
      <c r="H863">
        <f>MONTH(NOW())+12*YEAR(NOW())-MONTH(tbl_MTG_Set[[#This Row],[Released On]])-12*YEAR(tbl_MTG_Set[[#This Row],[Released On]])</f>
        <v/>
      </c>
      <c r="I863">
        <f>_xlfn.XLOOKUP(tbl_MTG_Set[[#This Row],[Type Name]], tbl_MTG_Set_Type[Set Type], tbl_MTG_Set_Type[Index], "(Set Type not found)")</f>
        <v/>
      </c>
      <c r="J863">
        <f>_xlfn.XLOOKUP(tbl_MTG_Set[[#This Row],[Type Name]], tbl_MTG_Set_Type[Set Type], tbl_MTG_Set_Type[Buy Window Month Start], "(Set Type not found)")</f>
        <v/>
      </c>
      <c r="K863" s="3">
        <f>tbl_MTG_Set[[#This Row],[Released On]]+tbl_MTG_Set[[#This Row],[Buy Window Month Start]]*365.25/12</f>
        <v/>
      </c>
      <c r="L863">
        <f>_xlfn.XLOOKUP(tbl_MTG_Set[[#This Row],[Type Name]], tbl_MTG_Set_Type[Set Type], tbl_MTG_Set_Type[Buy Window Month End], "(Set Type not found)", 0, 1)</f>
        <v/>
      </c>
      <c r="M863" s="3">
        <f>tbl_MTG_Set[[#This Row],[Released On]]+tbl_MTG_Set[[#This Row],[Buy Window Month End]]*365.25/12</f>
        <v/>
      </c>
      <c r="N863" s="3">
        <f>AND(NOW()&gt;=tbl_MTG_Set[[#This Row],[Buy Window Start]], NOW()&lt;=tbl_MTG_Set[[#This Row],[Buy Window End]])</f>
        <v/>
      </c>
      <c r="O863">
        <f>_xlfn.XLOOKUP(tbl_MTG_Set[[#This Row],[Type Name]], tbl_MTG_Set_Type[Set Type], tbl_MTG_Set_Type[Heavy Printing Window Month Start], "(Set Type not found)", 0, 1)</f>
        <v/>
      </c>
      <c r="P863" s="3">
        <f>tbl_MTG_Set[[#This Row],[Released On]]+tbl_MTG_Set[[#This Row],[Heavy Printing Window Month Start]]*365.25/12</f>
        <v/>
      </c>
      <c r="Q863">
        <f>_xlfn.XLOOKUP(tbl_MTG_Set[[#This Row],[Type Name]], tbl_MTG_Set_Type[Set Type], tbl_MTG_Set_Type[Heavy Printing Window Month End], "(Set Type not found)", 0, 1)</f>
        <v/>
      </c>
      <c r="R863" s="3">
        <f>tbl_MTG_Set[[#This Row],[Released On]]+tbl_MTG_Set[[#This Row],[Heavy Printing Window Month End]]*365.25/12</f>
        <v/>
      </c>
      <c r="S863" s="3">
        <f>AND(NOW()&gt;=tbl_MTG_Set[[#This Row],[Heavy Printing Window Start]], NOW()&lt;=tbl_MTG_Set[[#This Row],[Heavy Printing Window End]])</f>
        <v/>
      </c>
      <c r="T863">
        <f>_xlfn.XLOOKUP(tbl_MTG_Set[[#This Row],[Type Name]], tbl_MTG_Set_Type[Set Type], tbl_MTG_Set_Type[Sell Window Month Start], "(Set Type not found)", 0, 1)</f>
        <v/>
      </c>
      <c r="U863" s="3">
        <f>tbl_MTG_Set[[#This Row],[Released On]]+tbl_MTG_Set[[#This Row],[Sell Window Month Start]]*365.25/12</f>
        <v/>
      </c>
      <c r="V863">
        <f>_xlfn.XLOOKUP(tbl_MTG_Set[[#This Row],[Type Name]], tbl_MTG_Set_Type[Set Type], tbl_MTG_Set_Type[Sell Window Month End], "(Set Type not found)", 0, 1)</f>
        <v/>
      </c>
      <c r="W863" s="3">
        <f>tbl_MTG_Set[[#This Row],[Released On]]+tbl_MTG_Set[[#This Row],[Sell Window Month End]]*365.25/12</f>
        <v/>
      </c>
      <c r="X863" s="3">
        <f>AND(NOW()&gt;=tbl_MTG_Set[[#This Row],[Sell Window Start]], NOW()&lt;=tbl_MTG_Set[[#This Row],[Sell Window End]])</f>
        <v/>
      </c>
      <c r="AG863" s="10" t="n"/>
      <c r="AH863" s="10" t="n"/>
      <c r="AM863" s="10">
        <f t="array" ref="AM8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3" s="10">
        <f t="array" ref="AN8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3" s="4">
        <f>_xlfn.XLOOKUP(tbl_MTG_Set[[#This Row],[Play Booster Box Product Id]], tbl_Product[Product Id], tbl_Product[Pack Size])</f>
        <v/>
      </c>
      <c r="AP863" s="10">
        <f>(tbl_MTG_Set[[#This Row],[Play Booster Box Cost]]+v_Item_Shipping_Cost_In)/tbl_MTG_Set[[#This Row],[Play Booster Box Size]]</f>
        <v/>
      </c>
      <c r="AQ863" s="10">
        <f t="array" ref="AQ8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3" s="10" t="n"/>
      <c r="AS863" s="10" t="n"/>
      <c r="AT863" s="17">
        <f>tbl_MTG_Set[[#This Row],[Play Booster CardMarket Profit]]/tbl_MTG_Set[[#This Row],[Play Booster Cost]]</f>
        <v/>
      </c>
      <c r="AU863" s="10">
        <f>_xlfn.XLOOKUP(tbl_MTG_Set[[#This Row],[Collector Booster Box Product Id]], tbl_Product[Product Id], tbl_Product[Min Cost])</f>
        <v/>
      </c>
      <c r="AV863" s="10">
        <f>_xlfn.XLOOKUP(tbl_MTG_Set[[#This Row],[Collector Booster Box Product Id]], tbl_Product[Product Id], tbl_Product[Best Source])</f>
        <v/>
      </c>
      <c r="AW863" s="4">
        <f>_xlfn.XLOOKUP(tbl_MTG_Set[[#This Row],[Collector Booster Box Product Id]], tbl_Product[Product Id], tbl_Product[Pack Size])</f>
        <v/>
      </c>
      <c r="AX863" s="10">
        <f>(tbl_MTG_Set[[#This Row],[Collector Booster Box Cost]] + v_Item_Shipping_Cost_In) / tbl_MTG_Set[[#This Row],[Collector Booster Box Size]]</f>
        <v/>
      </c>
      <c r="AY863" s="10">
        <f t="array" ref="AY8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3" s="10" t="n"/>
      <c r="BA8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3" s="17">
        <f>tbl_MTG_Set[[#This Row],[Collector Booster CardMarket Profit]]/tbl_MTG_Set[[#This Row],[Collector Booster Cost]]</f>
        <v/>
      </c>
      <c r="BC863" s="10" t="n"/>
      <c r="BF863" s="10">
        <f>tbl_MTG_Set[[#This Row],[Play Booster Sell Price CardMarket]]*tbl_MTG_Set[[#This Row],[Play Booster Expected Market Value]]/tbl_MTG_Set[[#This Row],[Play Boost Sealed Market Value]]</f>
        <v/>
      </c>
      <c r="BG8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3" s="10">
        <f>tbl_MTG_Set[[#This Row],[Play Singles CardMarket Profit]]/tbl_MTG_Set[[#This Row],[Play Booster Cost]]</f>
        <v/>
      </c>
      <c r="BI863" s="10">
        <f>tbl_MTG_Set[[#This Row],[Play Singles CardMarket Profit]]&gt;0</f>
        <v/>
      </c>
      <c r="BJ863" s="10" t="n"/>
      <c r="BK863" s="10" t="n"/>
      <c r="BL863" s="10">
        <f>tbl_MTG_Set[[#This Row],[Collector Booster Sell Price CardMarket]]*tbl_MTG_Set[[#This Row],[Collector Booster Expected Market Value]]/tbl_MTG_Set[[#This Row],[Collector Boost Sealed Market Value]]</f>
        <v/>
      </c>
      <c r="BM8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3" s="10">
        <f>tbl_MTG_Set[[#This Row],[Collector Singles CardMarket Profit]]/tbl_MTG_Set[[#This Row],[Collector Booster Cost]]</f>
        <v/>
      </c>
      <c r="BO863" s="10">
        <f>tbl_MTG_Set[[#This Row],[Collector Singles CardMarket Profit]]&gt;0</f>
        <v/>
      </c>
      <c r="BP8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4">
      <c r="A864" t="n">
        <v>862</v>
      </c>
      <c r="B864" t="inlineStr">
        <is>
          <t>Magic Premiere Shop 2005 PMPS</t>
        </is>
      </c>
      <c r="C864" t="n">
        <v>20</v>
      </c>
      <c r="D864" s="3" t="n">
        <v>38632</v>
      </c>
      <c r="F864" t="inlineStr">
        <is>
          <t>en es fr de it pt ja ko ru 汉语 漢語</t>
        </is>
      </c>
      <c r="G864" t="n">
        <v>1670</v>
      </c>
      <c r="H864">
        <f>MONTH(NOW())+12*YEAR(NOW())-MONTH(tbl_MTG_Set[[#This Row],[Released On]])-12*YEAR(tbl_MTG_Set[[#This Row],[Released On]])</f>
        <v/>
      </c>
      <c r="I864">
        <f>_xlfn.XLOOKUP(tbl_MTG_Set[[#This Row],[Type Name]], tbl_MTG_Set_Type[Set Type], tbl_MTG_Set_Type[Index], "(Set Type not found)")</f>
        <v/>
      </c>
      <c r="J864">
        <f>_xlfn.XLOOKUP(tbl_MTG_Set[[#This Row],[Type Name]], tbl_MTG_Set_Type[Set Type], tbl_MTG_Set_Type[Buy Window Month Start], "(Set Type not found)")</f>
        <v/>
      </c>
      <c r="K864" s="3">
        <f>tbl_MTG_Set[[#This Row],[Released On]]+tbl_MTG_Set[[#This Row],[Buy Window Month Start]]*365.25/12</f>
        <v/>
      </c>
      <c r="L864">
        <f>_xlfn.XLOOKUP(tbl_MTG_Set[[#This Row],[Type Name]], tbl_MTG_Set_Type[Set Type], tbl_MTG_Set_Type[Buy Window Month End], "(Set Type not found)", 0, 1)</f>
        <v/>
      </c>
      <c r="M864" s="3">
        <f>tbl_MTG_Set[[#This Row],[Released On]]+tbl_MTG_Set[[#This Row],[Buy Window Month End]]*365.25/12</f>
        <v/>
      </c>
      <c r="N864" s="3">
        <f>AND(NOW()&gt;=tbl_MTG_Set[[#This Row],[Buy Window Start]], NOW()&lt;=tbl_MTG_Set[[#This Row],[Buy Window End]])</f>
        <v/>
      </c>
      <c r="O864">
        <f>_xlfn.XLOOKUP(tbl_MTG_Set[[#This Row],[Type Name]], tbl_MTG_Set_Type[Set Type], tbl_MTG_Set_Type[Heavy Printing Window Month Start], "(Set Type not found)", 0, 1)</f>
        <v/>
      </c>
      <c r="P864" s="3">
        <f>tbl_MTG_Set[[#This Row],[Released On]]+tbl_MTG_Set[[#This Row],[Heavy Printing Window Month Start]]*365.25/12</f>
        <v/>
      </c>
      <c r="Q864">
        <f>_xlfn.XLOOKUP(tbl_MTG_Set[[#This Row],[Type Name]], tbl_MTG_Set_Type[Set Type], tbl_MTG_Set_Type[Heavy Printing Window Month End], "(Set Type not found)", 0, 1)</f>
        <v/>
      </c>
      <c r="R864" s="3">
        <f>tbl_MTG_Set[[#This Row],[Released On]]+tbl_MTG_Set[[#This Row],[Heavy Printing Window Month End]]*365.25/12</f>
        <v/>
      </c>
      <c r="S864" s="3">
        <f>AND(NOW()&gt;=tbl_MTG_Set[[#This Row],[Heavy Printing Window Start]], NOW()&lt;=tbl_MTG_Set[[#This Row],[Heavy Printing Window End]])</f>
        <v/>
      </c>
      <c r="T864">
        <f>_xlfn.XLOOKUP(tbl_MTG_Set[[#This Row],[Type Name]], tbl_MTG_Set_Type[Set Type], tbl_MTG_Set_Type[Sell Window Month Start], "(Set Type not found)", 0, 1)</f>
        <v/>
      </c>
      <c r="U864" s="3">
        <f>tbl_MTG_Set[[#This Row],[Released On]]+tbl_MTG_Set[[#This Row],[Sell Window Month Start]]*365.25/12</f>
        <v/>
      </c>
      <c r="V864">
        <f>_xlfn.XLOOKUP(tbl_MTG_Set[[#This Row],[Type Name]], tbl_MTG_Set_Type[Set Type], tbl_MTG_Set_Type[Sell Window Month End], "(Set Type not found)", 0, 1)</f>
        <v/>
      </c>
      <c r="W864" s="3">
        <f>tbl_MTG_Set[[#This Row],[Released On]]+tbl_MTG_Set[[#This Row],[Sell Window Month End]]*365.25/12</f>
        <v/>
      </c>
      <c r="X864" s="3">
        <f>AND(NOW()&gt;=tbl_MTG_Set[[#This Row],[Sell Window Start]], NOW()&lt;=tbl_MTG_Set[[#This Row],[Sell Window End]])</f>
        <v/>
      </c>
      <c r="AG864" s="10" t="n"/>
      <c r="AH864" s="10" t="n"/>
      <c r="AM864" s="10">
        <f t="array" ref="AM8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4" s="10">
        <f t="array" ref="AN8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4" s="4">
        <f>_xlfn.XLOOKUP(tbl_MTG_Set[[#This Row],[Play Booster Box Product Id]], tbl_Product[Product Id], tbl_Product[Pack Size])</f>
        <v/>
      </c>
      <c r="AP864" s="10">
        <f>(tbl_MTG_Set[[#This Row],[Play Booster Box Cost]]+v_Item_Shipping_Cost_In)/tbl_MTG_Set[[#This Row],[Play Booster Box Size]]</f>
        <v/>
      </c>
      <c r="AQ864" s="10">
        <f t="array" ref="AQ8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4" s="10" t="n"/>
      <c r="AS864" s="10" t="n"/>
      <c r="AT864" s="17">
        <f>tbl_MTG_Set[[#This Row],[Play Booster CardMarket Profit]]/tbl_MTG_Set[[#This Row],[Play Booster Cost]]</f>
        <v/>
      </c>
      <c r="AU864" s="10">
        <f>_xlfn.XLOOKUP(tbl_MTG_Set[[#This Row],[Collector Booster Box Product Id]], tbl_Product[Product Id], tbl_Product[Min Cost])</f>
        <v/>
      </c>
      <c r="AV864" s="10">
        <f>_xlfn.XLOOKUP(tbl_MTG_Set[[#This Row],[Collector Booster Box Product Id]], tbl_Product[Product Id], tbl_Product[Best Source])</f>
        <v/>
      </c>
      <c r="AW864" s="4">
        <f>_xlfn.XLOOKUP(tbl_MTG_Set[[#This Row],[Collector Booster Box Product Id]], tbl_Product[Product Id], tbl_Product[Pack Size])</f>
        <v/>
      </c>
      <c r="AX864" s="10">
        <f>(tbl_MTG_Set[[#This Row],[Collector Booster Box Cost]] + v_Item_Shipping_Cost_In) / tbl_MTG_Set[[#This Row],[Collector Booster Box Size]]</f>
        <v/>
      </c>
      <c r="AY864" s="10">
        <f t="array" ref="AY8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4" s="10" t="n"/>
      <c r="BA8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4" s="17">
        <f>tbl_MTG_Set[[#This Row],[Collector Booster CardMarket Profit]]/tbl_MTG_Set[[#This Row],[Collector Booster Cost]]</f>
        <v/>
      </c>
      <c r="BC864" s="10" t="n"/>
      <c r="BF864" s="10">
        <f>tbl_MTG_Set[[#This Row],[Play Booster Sell Price CardMarket]]*tbl_MTG_Set[[#This Row],[Play Booster Expected Market Value]]/tbl_MTG_Set[[#This Row],[Play Boost Sealed Market Value]]</f>
        <v/>
      </c>
      <c r="BG8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4" s="10">
        <f>tbl_MTG_Set[[#This Row],[Play Singles CardMarket Profit]]/tbl_MTG_Set[[#This Row],[Play Booster Cost]]</f>
        <v/>
      </c>
      <c r="BI864" s="10">
        <f>tbl_MTG_Set[[#This Row],[Play Singles CardMarket Profit]]&gt;0</f>
        <v/>
      </c>
      <c r="BJ864" s="10" t="n"/>
      <c r="BK864" s="10" t="n"/>
      <c r="BL864" s="10">
        <f>tbl_MTG_Set[[#This Row],[Collector Booster Sell Price CardMarket]]*tbl_MTG_Set[[#This Row],[Collector Booster Expected Market Value]]/tbl_MTG_Set[[#This Row],[Collector Boost Sealed Market Value]]</f>
        <v/>
      </c>
      <c r="BM8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4" s="10">
        <f>tbl_MTG_Set[[#This Row],[Collector Singles CardMarket Profit]]/tbl_MTG_Set[[#This Row],[Collector Booster Cost]]</f>
        <v/>
      </c>
      <c r="BO864" s="10">
        <f>tbl_MTG_Set[[#This Row],[Collector Singles CardMarket Profit]]&gt;0</f>
        <v/>
      </c>
      <c r="BP8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5">
      <c r="A865" t="n">
        <v>863</v>
      </c>
      <c r="B865" t="inlineStr">
        <is>
          <t>Ravnica: City of Guilds RAV</t>
        </is>
      </c>
      <c r="C865" t="n">
        <v>306</v>
      </c>
      <c r="D865" s="3" t="n">
        <v>38632</v>
      </c>
      <c r="F865" t="inlineStr">
        <is>
          <t>en es fr de it pt ja ko ru 汉语 漢語</t>
        </is>
      </c>
      <c r="G865" t="n">
        <v>1672</v>
      </c>
      <c r="H865">
        <f>MONTH(NOW())+12*YEAR(NOW())-MONTH(tbl_MTG_Set[[#This Row],[Released On]])-12*YEAR(tbl_MTG_Set[[#This Row],[Released On]])</f>
        <v/>
      </c>
      <c r="I865">
        <f>_xlfn.XLOOKUP(tbl_MTG_Set[[#This Row],[Type Name]], tbl_MTG_Set_Type[Set Type], tbl_MTG_Set_Type[Index], "(Set Type not found)")</f>
        <v/>
      </c>
      <c r="J865">
        <f>_xlfn.XLOOKUP(tbl_MTG_Set[[#This Row],[Type Name]], tbl_MTG_Set_Type[Set Type], tbl_MTG_Set_Type[Buy Window Month Start], "(Set Type not found)")</f>
        <v/>
      </c>
      <c r="K865" s="3">
        <f>tbl_MTG_Set[[#This Row],[Released On]]+tbl_MTG_Set[[#This Row],[Buy Window Month Start]]*365.25/12</f>
        <v/>
      </c>
      <c r="L865">
        <f>_xlfn.XLOOKUP(tbl_MTG_Set[[#This Row],[Type Name]], tbl_MTG_Set_Type[Set Type], tbl_MTG_Set_Type[Buy Window Month End], "(Set Type not found)", 0, 1)</f>
        <v/>
      </c>
      <c r="M865" s="3">
        <f>tbl_MTG_Set[[#This Row],[Released On]]+tbl_MTG_Set[[#This Row],[Buy Window Month End]]*365.25/12</f>
        <v/>
      </c>
      <c r="N865" s="3">
        <f>AND(NOW()&gt;=tbl_MTG_Set[[#This Row],[Buy Window Start]], NOW()&lt;=tbl_MTG_Set[[#This Row],[Buy Window End]])</f>
        <v/>
      </c>
      <c r="O865">
        <f>_xlfn.XLOOKUP(tbl_MTG_Set[[#This Row],[Type Name]], tbl_MTG_Set_Type[Set Type], tbl_MTG_Set_Type[Heavy Printing Window Month Start], "(Set Type not found)", 0, 1)</f>
        <v/>
      </c>
      <c r="P865" s="3">
        <f>tbl_MTG_Set[[#This Row],[Released On]]+tbl_MTG_Set[[#This Row],[Heavy Printing Window Month Start]]*365.25/12</f>
        <v/>
      </c>
      <c r="Q865">
        <f>_xlfn.XLOOKUP(tbl_MTG_Set[[#This Row],[Type Name]], tbl_MTG_Set_Type[Set Type], tbl_MTG_Set_Type[Heavy Printing Window Month End], "(Set Type not found)", 0, 1)</f>
        <v/>
      </c>
      <c r="R865" s="3">
        <f>tbl_MTG_Set[[#This Row],[Released On]]+tbl_MTG_Set[[#This Row],[Heavy Printing Window Month End]]*365.25/12</f>
        <v/>
      </c>
      <c r="S865" s="3">
        <f>AND(NOW()&gt;=tbl_MTG_Set[[#This Row],[Heavy Printing Window Start]], NOW()&lt;=tbl_MTG_Set[[#This Row],[Heavy Printing Window End]])</f>
        <v/>
      </c>
      <c r="T865">
        <f>_xlfn.XLOOKUP(tbl_MTG_Set[[#This Row],[Type Name]], tbl_MTG_Set_Type[Set Type], tbl_MTG_Set_Type[Sell Window Month Start], "(Set Type not found)", 0, 1)</f>
        <v/>
      </c>
      <c r="U865" s="3">
        <f>tbl_MTG_Set[[#This Row],[Released On]]+tbl_MTG_Set[[#This Row],[Sell Window Month Start]]*365.25/12</f>
        <v/>
      </c>
      <c r="V865">
        <f>_xlfn.XLOOKUP(tbl_MTG_Set[[#This Row],[Type Name]], tbl_MTG_Set_Type[Set Type], tbl_MTG_Set_Type[Sell Window Month End], "(Set Type not found)", 0, 1)</f>
        <v/>
      </c>
      <c r="W865" s="3">
        <f>tbl_MTG_Set[[#This Row],[Released On]]+tbl_MTG_Set[[#This Row],[Sell Window Month End]]*365.25/12</f>
        <v/>
      </c>
      <c r="X865" s="3">
        <f>AND(NOW()&gt;=tbl_MTG_Set[[#This Row],[Sell Window Start]], NOW()&lt;=tbl_MTG_Set[[#This Row],[Sell Window End]])</f>
        <v/>
      </c>
      <c r="AG865" s="10" t="n"/>
      <c r="AH865" s="10" t="n"/>
      <c r="AM865" s="10">
        <f t="array" ref="AM8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5" s="10">
        <f t="array" ref="AN8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5" s="4">
        <f>_xlfn.XLOOKUP(tbl_MTG_Set[[#This Row],[Play Booster Box Product Id]], tbl_Product[Product Id], tbl_Product[Pack Size])</f>
        <v/>
      </c>
      <c r="AP865" s="10">
        <f>(tbl_MTG_Set[[#This Row],[Play Booster Box Cost]]+v_Item_Shipping_Cost_In)/tbl_MTG_Set[[#This Row],[Play Booster Box Size]]</f>
        <v/>
      </c>
      <c r="AQ865" s="10">
        <f t="array" ref="AQ8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5" s="10" t="n"/>
      <c r="AS865" s="10" t="n"/>
      <c r="AT865" s="17">
        <f>tbl_MTG_Set[[#This Row],[Play Booster CardMarket Profit]]/tbl_MTG_Set[[#This Row],[Play Booster Cost]]</f>
        <v/>
      </c>
      <c r="AU865" s="10">
        <f>_xlfn.XLOOKUP(tbl_MTG_Set[[#This Row],[Collector Booster Box Product Id]], tbl_Product[Product Id], tbl_Product[Min Cost])</f>
        <v/>
      </c>
      <c r="AV865" s="10">
        <f>_xlfn.XLOOKUP(tbl_MTG_Set[[#This Row],[Collector Booster Box Product Id]], tbl_Product[Product Id], tbl_Product[Best Source])</f>
        <v/>
      </c>
      <c r="AW865" s="4">
        <f>_xlfn.XLOOKUP(tbl_MTG_Set[[#This Row],[Collector Booster Box Product Id]], tbl_Product[Product Id], tbl_Product[Pack Size])</f>
        <v/>
      </c>
      <c r="AX865" s="10">
        <f>(tbl_MTG_Set[[#This Row],[Collector Booster Box Cost]] + v_Item_Shipping_Cost_In) / tbl_MTG_Set[[#This Row],[Collector Booster Box Size]]</f>
        <v/>
      </c>
      <c r="AY865" s="10">
        <f t="array" ref="AY8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5" s="10" t="n"/>
      <c r="BA8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5" s="17">
        <f>tbl_MTG_Set[[#This Row],[Collector Booster CardMarket Profit]]/tbl_MTG_Set[[#This Row],[Collector Booster Cost]]</f>
        <v/>
      </c>
      <c r="BC865" s="10" t="n"/>
      <c r="BF865" s="10">
        <f>tbl_MTG_Set[[#This Row],[Play Booster Sell Price CardMarket]]*tbl_MTG_Set[[#This Row],[Play Booster Expected Market Value]]/tbl_MTG_Set[[#This Row],[Play Boost Sealed Market Value]]</f>
        <v/>
      </c>
      <c r="BG8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5" s="10">
        <f>tbl_MTG_Set[[#This Row],[Play Singles CardMarket Profit]]/tbl_MTG_Set[[#This Row],[Play Booster Cost]]</f>
        <v/>
      </c>
      <c r="BI865" s="10">
        <f>tbl_MTG_Set[[#This Row],[Play Singles CardMarket Profit]]&gt;0</f>
        <v/>
      </c>
      <c r="BJ865" s="10" t="n"/>
      <c r="BK865" s="10" t="n"/>
      <c r="BL865" s="10">
        <f>tbl_MTG_Set[[#This Row],[Collector Booster Sell Price CardMarket]]*tbl_MTG_Set[[#This Row],[Collector Booster Expected Market Value]]/tbl_MTG_Set[[#This Row],[Collector Boost Sealed Market Value]]</f>
        <v/>
      </c>
      <c r="BM8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5" s="10">
        <f>tbl_MTG_Set[[#This Row],[Collector Singles CardMarket Profit]]/tbl_MTG_Set[[#This Row],[Collector Booster Cost]]</f>
        <v/>
      </c>
      <c r="BO865" s="10">
        <f>tbl_MTG_Set[[#This Row],[Collector Singles CardMarket Profit]]&gt;0</f>
        <v/>
      </c>
      <c r="BP8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6">
      <c r="A866" t="n">
        <v>864</v>
      </c>
      <c r="B866" t="inlineStr">
        <is>
          <t>Ravnica: City of Guilds Promos PRAV</t>
        </is>
      </c>
      <c r="C866" t="n">
        <v>2</v>
      </c>
      <c r="D866" s="3" t="n">
        <v>38632</v>
      </c>
      <c r="F866" t="inlineStr">
        <is>
          <t>en es fr de it pt ja ko ru 汉语 漢語</t>
        </is>
      </c>
      <c r="G866" t="n">
        <v>1674</v>
      </c>
      <c r="H866">
        <f>MONTH(NOW())+12*YEAR(NOW())-MONTH(tbl_MTG_Set[[#This Row],[Released On]])-12*YEAR(tbl_MTG_Set[[#This Row],[Released On]])</f>
        <v/>
      </c>
      <c r="I866">
        <f>_xlfn.XLOOKUP(tbl_MTG_Set[[#This Row],[Type Name]], tbl_MTG_Set_Type[Set Type], tbl_MTG_Set_Type[Index], "(Set Type not found)")</f>
        <v/>
      </c>
      <c r="J866">
        <f>_xlfn.XLOOKUP(tbl_MTG_Set[[#This Row],[Type Name]], tbl_MTG_Set_Type[Set Type], tbl_MTG_Set_Type[Buy Window Month Start], "(Set Type not found)")</f>
        <v/>
      </c>
      <c r="K866" s="3">
        <f>tbl_MTG_Set[[#This Row],[Released On]]+tbl_MTG_Set[[#This Row],[Buy Window Month Start]]*365.25/12</f>
        <v/>
      </c>
      <c r="L866">
        <f>_xlfn.XLOOKUP(tbl_MTG_Set[[#This Row],[Type Name]], tbl_MTG_Set_Type[Set Type], tbl_MTG_Set_Type[Buy Window Month End], "(Set Type not found)", 0, 1)</f>
        <v/>
      </c>
      <c r="M866" s="3">
        <f>tbl_MTG_Set[[#This Row],[Released On]]+tbl_MTG_Set[[#This Row],[Buy Window Month End]]*365.25/12</f>
        <v/>
      </c>
      <c r="N866" s="3">
        <f>AND(NOW()&gt;=tbl_MTG_Set[[#This Row],[Buy Window Start]], NOW()&lt;=tbl_MTG_Set[[#This Row],[Buy Window End]])</f>
        <v/>
      </c>
      <c r="O866">
        <f>_xlfn.XLOOKUP(tbl_MTG_Set[[#This Row],[Type Name]], tbl_MTG_Set_Type[Set Type], tbl_MTG_Set_Type[Heavy Printing Window Month Start], "(Set Type not found)", 0, 1)</f>
        <v/>
      </c>
      <c r="P866" s="3">
        <f>tbl_MTG_Set[[#This Row],[Released On]]+tbl_MTG_Set[[#This Row],[Heavy Printing Window Month Start]]*365.25/12</f>
        <v/>
      </c>
      <c r="Q866">
        <f>_xlfn.XLOOKUP(tbl_MTG_Set[[#This Row],[Type Name]], tbl_MTG_Set_Type[Set Type], tbl_MTG_Set_Type[Heavy Printing Window Month End], "(Set Type not found)", 0, 1)</f>
        <v/>
      </c>
      <c r="R866" s="3">
        <f>tbl_MTG_Set[[#This Row],[Released On]]+tbl_MTG_Set[[#This Row],[Heavy Printing Window Month End]]*365.25/12</f>
        <v/>
      </c>
      <c r="S866" s="3">
        <f>AND(NOW()&gt;=tbl_MTG_Set[[#This Row],[Heavy Printing Window Start]], NOW()&lt;=tbl_MTG_Set[[#This Row],[Heavy Printing Window End]])</f>
        <v/>
      </c>
      <c r="T866">
        <f>_xlfn.XLOOKUP(tbl_MTG_Set[[#This Row],[Type Name]], tbl_MTG_Set_Type[Set Type], tbl_MTG_Set_Type[Sell Window Month Start], "(Set Type not found)", 0, 1)</f>
        <v/>
      </c>
      <c r="U866" s="3">
        <f>tbl_MTG_Set[[#This Row],[Released On]]+tbl_MTG_Set[[#This Row],[Sell Window Month Start]]*365.25/12</f>
        <v/>
      </c>
      <c r="V866">
        <f>_xlfn.XLOOKUP(tbl_MTG_Set[[#This Row],[Type Name]], tbl_MTG_Set_Type[Set Type], tbl_MTG_Set_Type[Sell Window Month End], "(Set Type not found)", 0, 1)</f>
        <v/>
      </c>
      <c r="W866" s="3">
        <f>tbl_MTG_Set[[#This Row],[Released On]]+tbl_MTG_Set[[#This Row],[Sell Window Month End]]*365.25/12</f>
        <v/>
      </c>
      <c r="X866" s="3">
        <f>AND(NOW()&gt;=tbl_MTG_Set[[#This Row],[Sell Window Start]], NOW()&lt;=tbl_MTG_Set[[#This Row],[Sell Window End]])</f>
        <v/>
      </c>
      <c r="AG866" s="10" t="n"/>
      <c r="AH866" s="10" t="n"/>
      <c r="AM866" s="10">
        <f t="array" ref="AM8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6" s="10">
        <f t="array" ref="AN8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6" s="4">
        <f>_xlfn.XLOOKUP(tbl_MTG_Set[[#This Row],[Play Booster Box Product Id]], tbl_Product[Product Id], tbl_Product[Pack Size])</f>
        <v/>
      </c>
      <c r="AP866" s="10">
        <f>(tbl_MTG_Set[[#This Row],[Play Booster Box Cost]]+v_Item_Shipping_Cost_In)/tbl_MTG_Set[[#This Row],[Play Booster Box Size]]</f>
        <v/>
      </c>
      <c r="AQ866" s="10">
        <f t="array" ref="AQ8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6" s="10" t="n"/>
      <c r="AS866" s="10" t="n"/>
      <c r="AT866" s="17">
        <f>tbl_MTG_Set[[#This Row],[Play Booster CardMarket Profit]]/tbl_MTG_Set[[#This Row],[Play Booster Cost]]</f>
        <v/>
      </c>
      <c r="AU866" s="10">
        <f>_xlfn.XLOOKUP(tbl_MTG_Set[[#This Row],[Collector Booster Box Product Id]], tbl_Product[Product Id], tbl_Product[Min Cost])</f>
        <v/>
      </c>
      <c r="AV866" s="10">
        <f>_xlfn.XLOOKUP(tbl_MTG_Set[[#This Row],[Collector Booster Box Product Id]], tbl_Product[Product Id], tbl_Product[Best Source])</f>
        <v/>
      </c>
      <c r="AW866" s="4">
        <f>_xlfn.XLOOKUP(tbl_MTG_Set[[#This Row],[Collector Booster Box Product Id]], tbl_Product[Product Id], tbl_Product[Pack Size])</f>
        <v/>
      </c>
      <c r="AX866" s="10">
        <f>(tbl_MTG_Set[[#This Row],[Collector Booster Box Cost]] + v_Item_Shipping_Cost_In) / tbl_MTG_Set[[#This Row],[Collector Booster Box Size]]</f>
        <v/>
      </c>
      <c r="AY866" s="10">
        <f t="array" ref="AY8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6" s="10" t="n"/>
      <c r="BA8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6" s="17">
        <f>tbl_MTG_Set[[#This Row],[Collector Booster CardMarket Profit]]/tbl_MTG_Set[[#This Row],[Collector Booster Cost]]</f>
        <v/>
      </c>
      <c r="BC866" s="10" t="n"/>
      <c r="BF866" s="10">
        <f>tbl_MTG_Set[[#This Row],[Play Booster Sell Price CardMarket]]*tbl_MTG_Set[[#This Row],[Play Booster Expected Market Value]]/tbl_MTG_Set[[#This Row],[Play Boost Sealed Market Value]]</f>
        <v/>
      </c>
      <c r="BG8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6" s="10">
        <f>tbl_MTG_Set[[#This Row],[Play Singles CardMarket Profit]]/tbl_MTG_Set[[#This Row],[Play Booster Cost]]</f>
        <v/>
      </c>
      <c r="BI866" s="10">
        <f>tbl_MTG_Set[[#This Row],[Play Singles CardMarket Profit]]&gt;0</f>
        <v/>
      </c>
      <c r="BJ866" s="10" t="n"/>
      <c r="BK866" s="10" t="n"/>
      <c r="BL866" s="10">
        <f>tbl_MTG_Set[[#This Row],[Collector Booster Sell Price CardMarket]]*tbl_MTG_Set[[#This Row],[Collector Booster Expected Market Value]]/tbl_MTG_Set[[#This Row],[Collector Boost Sealed Market Value]]</f>
        <v/>
      </c>
      <c r="BM8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6" s="10">
        <f>tbl_MTG_Set[[#This Row],[Collector Singles CardMarket Profit]]/tbl_MTG_Set[[#This Row],[Collector Booster Cost]]</f>
        <v/>
      </c>
      <c r="BO866" s="10">
        <f>tbl_MTG_Set[[#This Row],[Collector Singles CardMarket Profit]]&gt;0</f>
        <v/>
      </c>
      <c r="BP8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7">
      <c r="A867" t="n">
        <v>865</v>
      </c>
      <c r="B867" t="inlineStr">
        <is>
          <t>Salvat 2005 PSAL</t>
        </is>
      </c>
      <c r="C867" t="n">
        <v>720</v>
      </c>
      <c r="D867" s="3" t="n">
        <v>38586</v>
      </c>
      <c r="F867" t="inlineStr">
        <is>
          <t>en es fr de it pt ja ko ru 汉语 漢語</t>
        </is>
      </c>
      <c r="G867" t="n">
        <v>1676</v>
      </c>
      <c r="H867">
        <f>MONTH(NOW())+12*YEAR(NOW())-MONTH(tbl_MTG_Set[[#This Row],[Released On]])-12*YEAR(tbl_MTG_Set[[#This Row],[Released On]])</f>
        <v/>
      </c>
      <c r="I867">
        <f>_xlfn.XLOOKUP(tbl_MTG_Set[[#This Row],[Type Name]], tbl_MTG_Set_Type[Set Type], tbl_MTG_Set_Type[Index], "(Set Type not found)")</f>
        <v/>
      </c>
      <c r="J867">
        <f>_xlfn.XLOOKUP(tbl_MTG_Set[[#This Row],[Type Name]], tbl_MTG_Set_Type[Set Type], tbl_MTG_Set_Type[Buy Window Month Start], "(Set Type not found)")</f>
        <v/>
      </c>
      <c r="K867" s="3">
        <f>tbl_MTG_Set[[#This Row],[Released On]]+tbl_MTG_Set[[#This Row],[Buy Window Month Start]]*365.25/12</f>
        <v/>
      </c>
      <c r="L867">
        <f>_xlfn.XLOOKUP(tbl_MTG_Set[[#This Row],[Type Name]], tbl_MTG_Set_Type[Set Type], tbl_MTG_Set_Type[Buy Window Month End], "(Set Type not found)", 0, 1)</f>
        <v/>
      </c>
      <c r="M867" s="3">
        <f>tbl_MTG_Set[[#This Row],[Released On]]+tbl_MTG_Set[[#This Row],[Buy Window Month End]]*365.25/12</f>
        <v/>
      </c>
      <c r="N867" s="3">
        <f>AND(NOW()&gt;=tbl_MTG_Set[[#This Row],[Buy Window Start]], NOW()&lt;=tbl_MTG_Set[[#This Row],[Buy Window End]])</f>
        <v/>
      </c>
      <c r="O867">
        <f>_xlfn.XLOOKUP(tbl_MTG_Set[[#This Row],[Type Name]], tbl_MTG_Set_Type[Set Type], tbl_MTG_Set_Type[Heavy Printing Window Month Start], "(Set Type not found)", 0, 1)</f>
        <v/>
      </c>
      <c r="P867" s="3">
        <f>tbl_MTG_Set[[#This Row],[Released On]]+tbl_MTG_Set[[#This Row],[Heavy Printing Window Month Start]]*365.25/12</f>
        <v/>
      </c>
      <c r="Q867">
        <f>_xlfn.XLOOKUP(tbl_MTG_Set[[#This Row],[Type Name]], tbl_MTG_Set_Type[Set Type], tbl_MTG_Set_Type[Heavy Printing Window Month End], "(Set Type not found)", 0, 1)</f>
        <v/>
      </c>
      <c r="R867" s="3">
        <f>tbl_MTG_Set[[#This Row],[Released On]]+tbl_MTG_Set[[#This Row],[Heavy Printing Window Month End]]*365.25/12</f>
        <v/>
      </c>
      <c r="S867" s="3">
        <f>AND(NOW()&gt;=tbl_MTG_Set[[#This Row],[Heavy Printing Window Start]], NOW()&lt;=tbl_MTG_Set[[#This Row],[Heavy Printing Window End]])</f>
        <v/>
      </c>
      <c r="T867">
        <f>_xlfn.XLOOKUP(tbl_MTG_Set[[#This Row],[Type Name]], tbl_MTG_Set_Type[Set Type], tbl_MTG_Set_Type[Sell Window Month Start], "(Set Type not found)", 0, 1)</f>
        <v/>
      </c>
      <c r="U867" s="3">
        <f>tbl_MTG_Set[[#This Row],[Released On]]+tbl_MTG_Set[[#This Row],[Sell Window Month Start]]*365.25/12</f>
        <v/>
      </c>
      <c r="V867">
        <f>_xlfn.XLOOKUP(tbl_MTG_Set[[#This Row],[Type Name]], tbl_MTG_Set_Type[Set Type], tbl_MTG_Set_Type[Sell Window Month End], "(Set Type not found)", 0, 1)</f>
        <v/>
      </c>
      <c r="W867" s="3">
        <f>tbl_MTG_Set[[#This Row],[Released On]]+tbl_MTG_Set[[#This Row],[Sell Window Month End]]*365.25/12</f>
        <v/>
      </c>
      <c r="X867" s="3">
        <f>AND(NOW()&gt;=tbl_MTG_Set[[#This Row],[Sell Window Start]], NOW()&lt;=tbl_MTG_Set[[#This Row],[Sell Window End]])</f>
        <v/>
      </c>
      <c r="AG867" s="10" t="n"/>
      <c r="AH867" s="10" t="n"/>
      <c r="AM867" s="10">
        <f t="array" ref="AM8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7" s="10">
        <f t="array" ref="AN8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7" s="4">
        <f>_xlfn.XLOOKUP(tbl_MTG_Set[[#This Row],[Play Booster Box Product Id]], tbl_Product[Product Id], tbl_Product[Pack Size])</f>
        <v/>
      </c>
      <c r="AP867" s="10">
        <f>(tbl_MTG_Set[[#This Row],[Play Booster Box Cost]]+v_Item_Shipping_Cost_In)/tbl_MTG_Set[[#This Row],[Play Booster Box Size]]</f>
        <v/>
      </c>
      <c r="AQ867" s="10">
        <f t="array" ref="AQ8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7" s="10" t="n"/>
      <c r="AS867" s="10" t="n"/>
      <c r="AT867" s="17">
        <f>tbl_MTG_Set[[#This Row],[Play Booster CardMarket Profit]]/tbl_MTG_Set[[#This Row],[Play Booster Cost]]</f>
        <v/>
      </c>
      <c r="AU867" s="10">
        <f>_xlfn.XLOOKUP(tbl_MTG_Set[[#This Row],[Collector Booster Box Product Id]], tbl_Product[Product Id], tbl_Product[Min Cost])</f>
        <v/>
      </c>
      <c r="AV867" s="10">
        <f>_xlfn.XLOOKUP(tbl_MTG_Set[[#This Row],[Collector Booster Box Product Id]], tbl_Product[Product Id], tbl_Product[Best Source])</f>
        <v/>
      </c>
      <c r="AW867" s="4">
        <f>_xlfn.XLOOKUP(tbl_MTG_Set[[#This Row],[Collector Booster Box Product Id]], tbl_Product[Product Id], tbl_Product[Pack Size])</f>
        <v/>
      </c>
      <c r="AX867" s="10">
        <f>(tbl_MTG_Set[[#This Row],[Collector Booster Box Cost]] + v_Item_Shipping_Cost_In) / tbl_MTG_Set[[#This Row],[Collector Booster Box Size]]</f>
        <v/>
      </c>
      <c r="AY867" s="10">
        <f t="array" ref="AY8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7" s="10" t="n"/>
      <c r="BA8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7" s="17">
        <f>tbl_MTG_Set[[#This Row],[Collector Booster CardMarket Profit]]/tbl_MTG_Set[[#This Row],[Collector Booster Cost]]</f>
        <v/>
      </c>
      <c r="BC867" s="10" t="n"/>
      <c r="BF867" s="10">
        <f>tbl_MTG_Set[[#This Row],[Play Booster Sell Price CardMarket]]*tbl_MTG_Set[[#This Row],[Play Booster Expected Market Value]]/tbl_MTG_Set[[#This Row],[Play Boost Sealed Market Value]]</f>
        <v/>
      </c>
      <c r="BG8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7" s="10">
        <f>tbl_MTG_Set[[#This Row],[Play Singles CardMarket Profit]]/tbl_MTG_Set[[#This Row],[Play Booster Cost]]</f>
        <v/>
      </c>
      <c r="BI867" s="10">
        <f>tbl_MTG_Set[[#This Row],[Play Singles CardMarket Profit]]&gt;0</f>
        <v/>
      </c>
      <c r="BJ867" s="10" t="n"/>
      <c r="BK867" s="10" t="n"/>
      <c r="BL867" s="10">
        <f>tbl_MTG_Set[[#This Row],[Collector Booster Sell Price CardMarket]]*tbl_MTG_Set[[#This Row],[Collector Booster Expected Market Value]]/tbl_MTG_Set[[#This Row],[Collector Boost Sealed Market Value]]</f>
        <v/>
      </c>
      <c r="BM8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7" s="10">
        <f>tbl_MTG_Set[[#This Row],[Collector Singles CardMarket Profit]]/tbl_MTG_Set[[#This Row],[Collector Booster Cost]]</f>
        <v/>
      </c>
      <c r="BO867" s="10">
        <f>tbl_MTG_Set[[#This Row],[Collector Singles CardMarket Profit]]&gt;0</f>
        <v/>
      </c>
      <c r="BP8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8">
      <c r="A868" t="n">
        <v>866</v>
      </c>
      <c r="B868" t="inlineStr">
        <is>
          <t>Ninth Edition 9ED</t>
        </is>
      </c>
      <c r="C868" t="n">
        <v>710</v>
      </c>
      <c r="D868" s="3" t="n">
        <v>38562</v>
      </c>
      <c r="F868" t="inlineStr">
        <is>
          <t>en es fr de it pt ja ko ru 汉语 漢語</t>
        </is>
      </c>
      <c r="G868" t="n">
        <v>1678</v>
      </c>
      <c r="H868">
        <f>MONTH(NOW())+12*YEAR(NOW())-MONTH(tbl_MTG_Set[[#This Row],[Released On]])-12*YEAR(tbl_MTG_Set[[#This Row],[Released On]])</f>
        <v/>
      </c>
      <c r="I868">
        <f>_xlfn.XLOOKUP(tbl_MTG_Set[[#This Row],[Type Name]], tbl_MTG_Set_Type[Set Type], tbl_MTG_Set_Type[Index], "(Set Type not found)")</f>
        <v/>
      </c>
      <c r="J868">
        <f>_xlfn.XLOOKUP(tbl_MTG_Set[[#This Row],[Type Name]], tbl_MTG_Set_Type[Set Type], tbl_MTG_Set_Type[Buy Window Month Start], "(Set Type not found)")</f>
        <v/>
      </c>
      <c r="K868" s="3">
        <f>tbl_MTG_Set[[#This Row],[Released On]]+tbl_MTG_Set[[#This Row],[Buy Window Month Start]]*365.25/12</f>
        <v/>
      </c>
      <c r="L868">
        <f>_xlfn.XLOOKUP(tbl_MTG_Set[[#This Row],[Type Name]], tbl_MTG_Set_Type[Set Type], tbl_MTG_Set_Type[Buy Window Month End], "(Set Type not found)", 0, 1)</f>
        <v/>
      </c>
      <c r="M868" s="3">
        <f>tbl_MTG_Set[[#This Row],[Released On]]+tbl_MTG_Set[[#This Row],[Buy Window Month End]]*365.25/12</f>
        <v/>
      </c>
      <c r="N868" s="3">
        <f>AND(NOW()&gt;=tbl_MTG_Set[[#This Row],[Buy Window Start]], NOW()&lt;=tbl_MTG_Set[[#This Row],[Buy Window End]])</f>
        <v/>
      </c>
      <c r="O868">
        <f>_xlfn.XLOOKUP(tbl_MTG_Set[[#This Row],[Type Name]], tbl_MTG_Set_Type[Set Type], tbl_MTG_Set_Type[Heavy Printing Window Month Start], "(Set Type not found)", 0, 1)</f>
        <v/>
      </c>
      <c r="P868" s="3">
        <f>tbl_MTG_Set[[#This Row],[Released On]]+tbl_MTG_Set[[#This Row],[Heavy Printing Window Month Start]]*365.25/12</f>
        <v/>
      </c>
      <c r="Q868">
        <f>_xlfn.XLOOKUP(tbl_MTG_Set[[#This Row],[Type Name]], tbl_MTG_Set_Type[Set Type], tbl_MTG_Set_Type[Heavy Printing Window Month End], "(Set Type not found)", 0, 1)</f>
        <v/>
      </c>
      <c r="R868" s="3">
        <f>tbl_MTG_Set[[#This Row],[Released On]]+tbl_MTG_Set[[#This Row],[Heavy Printing Window Month End]]*365.25/12</f>
        <v/>
      </c>
      <c r="S868" s="3">
        <f>AND(NOW()&gt;=tbl_MTG_Set[[#This Row],[Heavy Printing Window Start]], NOW()&lt;=tbl_MTG_Set[[#This Row],[Heavy Printing Window End]])</f>
        <v/>
      </c>
      <c r="T868">
        <f>_xlfn.XLOOKUP(tbl_MTG_Set[[#This Row],[Type Name]], tbl_MTG_Set_Type[Set Type], tbl_MTG_Set_Type[Sell Window Month Start], "(Set Type not found)", 0, 1)</f>
        <v/>
      </c>
      <c r="U868" s="3">
        <f>tbl_MTG_Set[[#This Row],[Released On]]+tbl_MTG_Set[[#This Row],[Sell Window Month Start]]*365.25/12</f>
        <v/>
      </c>
      <c r="V868">
        <f>_xlfn.XLOOKUP(tbl_MTG_Set[[#This Row],[Type Name]], tbl_MTG_Set_Type[Set Type], tbl_MTG_Set_Type[Sell Window Month End], "(Set Type not found)", 0, 1)</f>
        <v/>
      </c>
      <c r="W868" s="3">
        <f>tbl_MTG_Set[[#This Row],[Released On]]+tbl_MTG_Set[[#This Row],[Sell Window Month End]]*365.25/12</f>
        <v/>
      </c>
      <c r="X868" s="3">
        <f>AND(NOW()&gt;=tbl_MTG_Set[[#This Row],[Sell Window Start]], NOW()&lt;=tbl_MTG_Set[[#This Row],[Sell Window End]])</f>
        <v/>
      </c>
      <c r="AG868" s="10" t="n"/>
      <c r="AH868" s="10" t="n"/>
      <c r="AM868" s="10">
        <f t="array" ref="AM8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8" s="10">
        <f t="array" ref="AN8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8" s="4">
        <f>_xlfn.XLOOKUP(tbl_MTG_Set[[#This Row],[Play Booster Box Product Id]], tbl_Product[Product Id], tbl_Product[Pack Size])</f>
        <v/>
      </c>
      <c r="AP868" s="10">
        <f>(tbl_MTG_Set[[#This Row],[Play Booster Box Cost]]+v_Item_Shipping_Cost_In)/tbl_MTG_Set[[#This Row],[Play Booster Box Size]]</f>
        <v/>
      </c>
      <c r="AQ868" s="10">
        <f t="array" ref="AQ8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8" s="10" t="n"/>
      <c r="AS868" s="10" t="n"/>
      <c r="AT868" s="17">
        <f>tbl_MTG_Set[[#This Row],[Play Booster CardMarket Profit]]/tbl_MTG_Set[[#This Row],[Play Booster Cost]]</f>
        <v/>
      </c>
      <c r="AU868" s="10">
        <f>_xlfn.XLOOKUP(tbl_MTG_Set[[#This Row],[Collector Booster Box Product Id]], tbl_Product[Product Id], tbl_Product[Min Cost])</f>
        <v/>
      </c>
      <c r="AV868" s="10">
        <f>_xlfn.XLOOKUP(tbl_MTG_Set[[#This Row],[Collector Booster Box Product Id]], tbl_Product[Product Id], tbl_Product[Best Source])</f>
        <v/>
      </c>
      <c r="AW868" s="4">
        <f>_xlfn.XLOOKUP(tbl_MTG_Set[[#This Row],[Collector Booster Box Product Id]], tbl_Product[Product Id], tbl_Product[Pack Size])</f>
        <v/>
      </c>
      <c r="AX868" s="10">
        <f>(tbl_MTG_Set[[#This Row],[Collector Booster Box Cost]] + v_Item_Shipping_Cost_In) / tbl_MTG_Set[[#This Row],[Collector Booster Box Size]]</f>
        <v/>
      </c>
      <c r="AY868" s="10">
        <f t="array" ref="AY8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8" s="10" t="n"/>
      <c r="BA8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8" s="17">
        <f>tbl_MTG_Set[[#This Row],[Collector Booster CardMarket Profit]]/tbl_MTG_Set[[#This Row],[Collector Booster Cost]]</f>
        <v/>
      </c>
      <c r="BC868" s="10" t="n"/>
      <c r="BF868" s="10">
        <f>tbl_MTG_Set[[#This Row],[Play Booster Sell Price CardMarket]]*tbl_MTG_Set[[#This Row],[Play Booster Expected Market Value]]/tbl_MTG_Set[[#This Row],[Play Boost Sealed Market Value]]</f>
        <v/>
      </c>
      <c r="BG8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8" s="10">
        <f>tbl_MTG_Set[[#This Row],[Play Singles CardMarket Profit]]/tbl_MTG_Set[[#This Row],[Play Booster Cost]]</f>
        <v/>
      </c>
      <c r="BI868" s="10">
        <f>tbl_MTG_Set[[#This Row],[Play Singles CardMarket Profit]]&gt;0</f>
        <v/>
      </c>
      <c r="BJ868" s="10" t="n"/>
      <c r="BK868" s="10" t="n"/>
      <c r="BL868" s="10">
        <f>tbl_MTG_Set[[#This Row],[Collector Booster Sell Price CardMarket]]*tbl_MTG_Set[[#This Row],[Collector Booster Expected Market Value]]/tbl_MTG_Set[[#This Row],[Collector Boost Sealed Market Value]]</f>
        <v/>
      </c>
      <c r="BM8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8" s="10">
        <f>tbl_MTG_Set[[#This Row],[Collector Singles CardMarket Profit]]/tbl_MTG_Set[[#This Row],[Collector Booster Cost]]</f>
        <v/>
      </c>
      <c r="BO868" s="10">
        <f>tbl_MTG_Set[[#This Row],[Collector Singles CardMarket Profit]]&gt;0</f>
        <v/>
      </c>
      <c r="BP8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9">
      <c r="A869" t="n">
        <v>867</v>
      </c>
      <c r="B869" t="inlineStr">
        <is>
          <t>Ninth Edition Promos P9ED</t>
        </is>
      </c>
      <c r="C869" t="n">
        <v>2</v>
      </c>
      <c r="D869" s="3" t="n">
        <v>38562</v>
      </c>
      <c r="F869" t="inlineStr">
        <is>
          <t>en es fr de it pt ja ko ru 汉语 漢語</t>
        </is>
      </c>
      <c r="G869" t="n">
        <v>1680</v>
      </c>
      <c r="H869">
        <f>MONTH(NOW())+12*YEAR(NOW())-MONTH(tbl_MTG_Set[[#This Row],[Released On]])-12*YEAR(tbl_MTG_Set[[#This Row],[Released On]])</f>
        <v/>
      </c>
      <c r="I869">
        <f>_xlfn.XLOOKUP(tbl_MTG_Set[[#This Row],[Type Name]], tbl_MTG_Set_Type[Set Type], tbl_MTG_Set_Type[Index], "(Set Type not found)")</f>
        <v/>
      </c>
      <c r="J869">
        <f>_xlfn.XLOOKUP(tbl_MTG_Set[[#This Row],[Type Name]], tbl_MTG_Set_Type[Set Type], tbl_MTG_Set_Type[Buy Window Month Start], "(Set Type not found)")</f>
        <v/>
      </c>
      <c r="K869" s="3">
        <f>tbl_MTG_Set[[#This Row],[Released On]]+tbl_MTG_Set[[#This Row],[Buy Window Month Start]]*365.25/12</f>
        <v/>
      </c>
      <c r="L869">
        <f>_xlfn.XLOOKUP(tbl_MTG_Set[[#This Row],[Type Name]], tbl_MTG_Set_Type[Set Type], tbl_MTG_Set_Type[Buy Window Month End], "(Set Type not found)", 0, 1)</f>
        <v/>
      </c>
      <c r="M869" s="3">
        <f>tbl_MTG_Set[[#This Row],[Released On]]+tbl_MTG_Set[[#This Row],[Buy Window Month End]]*365.25/12</f>
        <v/>
      </c>
      <c r="N869" s="3">
        <f>AND(NOW()&gt;=tbl_MTG_Set[[#This Row],[Buy Window Start]], NOW()&lt;=tbl_MTG_Set[[#This Row],[Buy Window End]])</f>
        <v/>
      </c>
      <c r="O869">
        <f>_xlfn.XLOOKUP(tbl_MTG_Set[[#This Row],[Type Name]], tbl_MTG_Set_Type[Set Type], tbl_MTG_Set_Type[Heavy Printing Window Month Start], "(Set Type not found)", 0, 1)</f>
        <v/>
      </c>
      <c r="P869" s="3">
        <f>tbl_MTG_Set[[#This Row],[Released On]]+tbl_MTG_Set[[#This Row],[Heavy Printing Window Month Start]]*365.25/12</f>
        <v/>
      </c>
      <c r="Q869">
        <f>_xlfn.XLOOKUP(tbl_MTG_Set[[#This Row],[Type Name]], tbl_MTG_Set_Type[Set Type], tbl_MTG_Set_Type[Heavy Printing Window Month End], "(Set Type not found)", 0, 1)</f>
        <v/>
      </c>
      <c r="R869" s="3">
        <f>tbl_MTG_Set[[#This Row],[Released On]]+tbl_MTG_Set[[#This Row],[Heavy Printing Window Month End]]*365.25/12</f>
        <v/>
      </c>
      <c r="S869" s="3">
        <f>AND(NOW()&gt;=tbl_MTG_Set[[#This Row],[Heavy Printing Window Start]], NOW()&lt;=tbl_MTG_Set[[#This Row],[Heavy Printing Window End]])</f>
        <v/>
      </c>
      <c r="T869">
        <f>_xlfn.XLOOKUP(tbl_MTG_Set[[#This Row],[Type Name]], tbl_MTG_Set_Type[Set Type], tbl_MTG_Set_Type[Sell Window Month Start], "(Set Type not found)", 0, 1)</f>
        <v/>
      </c>
      <c r="U869" s="3">
        <f>tbl_MTG_Set[[#This Row],[Released On]]+tbl_MTG_Set[[#This Row],[Sell Window Month Start]]*365.25/12</f>
        <v/>
      </c>
      <c r="V869">
        <f>_xlfn.XLOOKUP(tbl_MTG_Set[[#This Row],[Type Name]], tbl_MTG_Set_Type[Set Type], tbl_MTG_Set_Type[Sell Window Month End], "(Set Type not found)", 0, 1)</f>
        <v/>
      </c>
      <c r="W869" s="3">
        <f>tbl_MTG_Set[[#This Row],[Released On]]+tbl_MTG_Set[[#This Row],[Sell Window Month End]]*365.25/12</f>
        <v/>
      </c>
      <c r="X869" s="3">
        <f>AND(NOW()&gt;=tbl_MTG_Set[[#This Row],[Sell Window Start]], NOW()&lt;=tbl_MTG_Set[[#This Row],[Sell Window End]])</f>
        <v/>
      </c>
      <c r="AG869" s="10" t="n"/>
      <c r="AH869" s="10" t="n"/>
      <c r="AM869" s="10">
        <f t="array" ref="AM8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9" s="10">
        <f t="array" ref="AN8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9" s="4">
        <f>_xlfn.XLOOKUP(tbl_MTG_Set[[#This Row],[Play Booster Box Product Id]], tbl_Product[Product Id], tbl_Product[Pack Size])</f>
        <v/>
      </c>
      <c r="AP869" s="10">
        <f>(tbl_MTG_Set[[#This Row],[Play Booster Box Cost]]+v_Item_Shipping_Cost_In)/tbl_MTG_Set[[#This Row],[Play Booster Box Size]]</f>
        <v/>
      </c>
      <c r="AQ869" s="10">
        <f t="array" ref="AQ8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69" s="10" t="n"/>
      <c r="AS869" s="10" t="n"/>
      <c r="AT869" s="17">
        <f>tbl_MTG_Set[[#This Row],[Play Booster CardMarket Profit]]/tbl_MTG_Set[[#This Row],[Play Booster Cost]]</f>
        <v/>
      </c>
      <c r="AU869" s="10">
        <f>_xlfn.XLOOKUP(tbl_MTG_Set[[#This Row],[Collector Booster Box Product Id]], tbl_Product[Product Id], tbl_Product[Min Cost])</f>
        <v/>
      </c>
      <c r="AV869" s="10">
        <f>_xlfn.XLOOKUP(tbl_MTG_Set[[#This Row],[Collector Booster Box Product Id]], tbl_Product[Product Id], tbl_Product[Best Source])</f>
        <v/>
      </c>
      <c r="AW869" s="4">
        <f>_xlfn.XLOOKUP(tbl_MTG_Set[[#This Row],[Collector Booster Box Product Id]], tbl_Product[Product Id], tbl_Product[Pack Size])</f>
        <v/>
      </c>
      <c r="AX869" s="10">
        <f>(tbl_MTG_Set[[#This Row],[Collector Booster Box Cost]] + v_Item_Shipping_Cost_In) / tbl_MTG_Set[[#This Row],[Collector Booster Box Size]]</f>
        <v/>
      </c>
      <c r="AY869" s="10">
        <f t="array" ref="AY8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69" s="10" t="n"/>
      <c r="BA8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9" s="17">
        <f>tbl_MTG_Set[[#This Row],[Collector Booster CardMarket Profit]]/tbl_MTG_Set[[#This Row],[Collector Booster Cost]]</f>
        <v/>
      </c>
      <c r="BC869" s="10" t="n"/>
      <c r="BF869" s="10">
        <f>tbl_MTG_Set[[#This Row],[Play Booster Sell Price CardMarket]]*tbl_MTG_Set[[#This Row],[Play Booster Expected Market Value]]/tbl_MTG_Set[[#This Row],[Play Boost Sealed Market Value]]</f>
        <v/>
      </c>
      <c r="BG8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9" s="10">
        <f>tbl_MTG_Set[[#This Row],[Play Singles CardMarket Profit]]/tbl_MTG_Set[[#This Row],[Play Booster Cost]]</f>
        <v/>
      </c>
      <c r="BI869" s="10">
        <f>tbl_MTG_Set[[#This Row],[Play Singles CardMarket Profit]]&gt;0</f>
        <v/>
      </c>
      <c r="BJ869" s="10" t="n"/>
      <c r="BK869" s="10" t="n"/>
      <c r="BL869" s="10">
        <f>tbl_MTG_Set[[#This Row],[Collector Booster Sell Price CardMarket]]*tbl_MTG_Set[[#This Row],[Collector Booster Expected Market Value]]/tbl_MTG_Set[[#This Row],[Collector Boost Sealed Market Value]]</f>
        <v/>
      </c>
      <c r="BM8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9" s="10">
        <f>tbl_MTG_Set[[#This Row],[Collector Singles CardMarket Profit]]/tbl_MTG_Set[[#This Row],[Collector Booster Cost]]</f>
        <v/>
      </c>
      <c r="BO869" s="10">
        <f>tbl_MTG_Set[[#This Row],[Collector Singles CardMarket Profit]]&gt;0</f>
        <v/>
      </c>
      <c r="BP8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0">
      <c r="A870" t="n">
        <v>868</v>
      </c>
      <c r="B870" t="inlineStr">
        <is>
          <t>Saviors of Kamigawa SOK</t>
        </is>
      </c>
      <c r="C870" t="n">
        <v>165</v>
      </c>
      <c r="D870" s="3" t="n">
        <v>38506</v>
      </c>
      <c r="F870" t="inlineStr">
        <is>
          <t>en es fr de it pt ja ko ru 汉语 漢語</t>
        </is>
      </c>
      <c r="G870" t="n">
        <v>1682</v>
      </c>
      <c r="H870">
        <f>MONTH(NOW())+12*YEAR(NOW())-MONTH(tbl_MTG_Set[[#This Row],[Released On]])-12*YEAR(tbl_MTG_Set[[#This Row],[Released On]])</f>
        <v/>
      </c>
      <c r="I870">
        <f>_xlfn.XLOOKUP(tbl_MTG_Set[[#This Row],[Type Name]], tbl_MTG_Set_Type[Set Type], tbl_MTG_Set_Type[Index], "(Set Type not found)")</f>
        <v/>
      </c>
      <c r="J870">
        <f>_xlfn.XLOOKUP(tbl_MTG_Set[[#This Row],[Type Name]], tbl_MTG_Set_Type[Set Type], tbl_MTG_Set_Type[Buy Window Month Start], "(Set Type not found)")</f>
        <v/>
      </c>
      <c r="K870" s="3">
        <f>tbl_MTG_Set[[#This Row],[Released On]]+tbl_MTG_Set[[#This Row],[Buy Window Month Start]]*365.25/12</f>
        <v/>
      </c>
      <c r="L870">
        <f>_xlfn.XLOOKUP(tbl_MTG_Set[[#This Row],[Type Name]], tbl_MTG_Set_Type[Set Type], tbl_MTG_Set_Type[Buy Window Month End], "(Set Type not found)", 0, 1)</f>
        <v/>
      </c>
      <c r="M870" s="3">
        <f>tbl_MTG_Set[[#This Row],[Released On]]+tbl_MTG_Set[[#This Row],[Buy Window Month End]]*365.25/12</f>
        <v/>
      </c>
      <c r="N870" s="3">
        <f>AND(NOW()&gt;=tbl_MTG_Set[[#This Row],[Buy Window Start]], NOW()&lt;=tbl_MTG_Set[[#This Row],[Buy Window End]])</f>
        <v/>
      </c>
      <c r="O870">
        <f>_xlfn.XLOOKUP(tbl_MTG_Set[[#This Row],[Type Name]], tbl_MTG_Set_Type[Set Type], tbl_MTG_Set_Type[Heavy Printing Window Month Start], "(Set Type not found)", 0, 1)</f>
        <v/>
      </c>
      <c r="P870" s="3">
        <f>tbl_MTG_Set[[#This Row],[Released On]]+tbl_MTG_Set[[#This Row],[Heavy Printing Window Month Start]]*365.25/12</f>
        <v/>
      </c>
      <c r="Q870">
        <f>_xlfn.XLOOKUP(tbl_MTG_Set[[#This Row],[Type Name]], tbl_MTG_Set_Type[Set Type], tbl_MTG_Set_Type[Heavy Printing Window Month End], "(Set Type not found)", 0, 1)</f>
        <v/>
      </c>
      <c r="R870" s="3">
        <f>tbl_MTG_Set[[#This Row],[Released On]]+tbl_MTG_Set[[#This Row],[Heavy Printing Window Month End]]*365.25/12</f>
        <v/>
      </c>
      <c r="S870" s="3">
        <f>AND(NOW()&gt;=tbl_MTG_Set[[#This Row],[Heavy Printing Window Start]], NOW()&lt;=tbl_MTG_Set[[#This Row],[Heavy Printing Window End]])</f>
        <v/>
      </c>
      <c r="T870">
        <f>_xlfn.XLOOKUP(tbl_MTG_Set[[#This Row],[Type Name]], tbl_MTG_Set_Type[Set Type], tbl_MTG_Set_Type[Sell Window Month Start], "(Set Type not found)", 0, 1)</f>
        <v/>
      </c>
      <c r="U870" s="3">
        <f>tbl_MTG_Set[[#This Row],[Released On]]+tbl_MTG_Set[[#This Row],[Sell Window Month Start]]*365.25/12</f>
        <v/>
      </c>
      <c r="V870">
        <f>_xlfn.XLOOKUP(tbl_MTG_Set[[#This Row],[Type Name]], tbl_MTG_Set_Type[Set Type], tbl_MTG_Set_Type[Sell Window Month End], "(Set Type not found)", 0, 1)</f>
        <v/>
      </c>
      <c r="W870" s="3">
        <f>tbl_MTG_Set[[#This Row],[Released On]]+tbl_MTG_Set[[#This Row],[Sell Window Month End]]*365.25/12</f>
        <v/>
      </c>
      <c r="X870" s="3">
        <f>AND(NOW()&gt;=tbl_MTG_Set[[#This Row],[Sell Window Start]], NOW()&lt;=tbl_MTG_Set[[#This Row],[Sell Window End]])</f>
        <v/>
      </c>
      <c r="AG870" s="10" t="n"/>
      <c r="AH870" s="10" t="n"/>
      <c r="AM870" s="10">
        <f t="array" ref="AM8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0" s="10">
        <f t="array" ref="AN8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0" s="4">
        <f>_xlfn.XLOOKUP(tbl_MTG_Set[[#This Row],[Play Booster Box Product Id]], tbl_Product[Product Id], tbl_Product[Pack Size])</f>
        <v/>
      </c>
      <c r="AP870" s="10">
        <f>(tbl_MTG_Set[[#This Row],[Play Booster Box Cost]]+v_Item_Shipping_Cost_In)/tbl_MTG_Set[[#This Row],[Play Booster Box Size]]</f>
        <v/>
      </c>
      <c r="AQ870" s="10">
        <f t="array" ref="AQ8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0" s="10" t="n"/>
      <c r="AS870" s="10" t="n"/>
      <c r="AT870" s="17">
        <f>tbl_MTG_Set[[#This Row],[Play Booster CardMarket Profit]]/tbl_MTG_Set[[#This Row],[Play Booster Cost]]</f>
        <v/>
      </c>
      <c r="AU870" s="10">
        <f>_xlfn.XLOOKUP(tbl_MTG_Set[[#This Row],[Collector Booster Box Product Id]], tbl_Product[Product Id], tbl_Product[Min Cost])</f>
        <v/>
      </c>
      <c r="AV870" s="10">
        <f>_xlfn.XLOOKUP(tbl_MTG_Set[[#This Row],[Collector Booster Box Product Id]], tbl_Product[Product Id], tbl_Product[Best Source])</f>
        <v/>
      </c>
      <c r="AW870" s="4">
        <f>_xlfn.XLOOKUP(tbl_MTG_Set[[#This Row],[Collector Booster Box Product Id]], tbl_Product[Product Id], tbl_Product[Pack Size])</f>
        <v/>
      </c>
      <c r="AX870" s="10">
        <f>(tbl_MTG_Set[[#This Row],[Collector Booster Box Cost]] + v_Item_Shipping_Cost_In) / tbl_MTG_Set[[#This Row],[Collector Booster Box Size]]</f>
        <v/>
      </c>
      <c r="AY870" s="10">
        <f t="array" ref="AY8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0" s="10" t="n"/>
      <c r="BA8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0" s="17">
        <f>tbl_MTG_Set[[#This Row],[Collector Booster CardMarket Profit]]/tbl_MTG_Set[[#This Row],[Collector Booster Cost]]</f>
        <v/>
      </c>
      <c r="BC870" s="10" t="n"/>
      <c r="BF870" s="10">
        <f>tbl_MTG_Set[[#This Row],[Play Booster Sell Price CardMarket]]*tbl_MTG_Set[[#This Row],[Play Booster Expected Market Value]]/tbl_MTG_Set[[#This Row],[Play Boost Sealed Market Value]]</f>
        <v/>
      </c>
      <c r="BG8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0" s="10">
        <f>tbl_MTG_Set[[#This Row],[Play Singles CardMarket Profit]]/tbl_MTG_Set[[#This Row],[Play Booster Cost]]</f>
        <v/>
      </c>
      <c r="BI870" s="10">
        <f>tbl_MTG_Set[[#This Row],[Play Singles CardMarket Profit]]&gt;0</f>
        <v/>
      </c>
      <c r="BJ870" s="10" t="n"/>
      <c r="BK870" s="10" t="n"/>
      <c r="BL870" s="10">
        <f>tbl_MTG_Set[[#This Row],[Collector Booster Sell Price CardMarket]]*tbl_MTG_Set[[#This Row],[Collector Booster Expected Market Value]]/tbl_MTG_Set[[#This Row],[Collector Boost Sealed Market Value]]</f>
        <v/>
      </c>
      <c r="BM8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0" s="10">
        <f>tbl_MTG_Set[[#This Row],[Collector Singles CardMarket Profit]]/tbl_MTG_Set[[#This Row],[Collector Booster Cost]]</f>
        <v/>
      </c>
      <c r="BO870" s="10">
        <f>tbl_MTG_Set[[#This Row],[Collector Singles CardMarket Profit]]&gt;0</f>
        <v/>
      </c>
      <c r="BP8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1">
      <c r="A871" t="n">
        <v>869</v>
      </c>
      <c r="B871" t="inlineStr">
        <is>
          <t>Saviors of Kamigawa Promos PSOK</t>
        </is>
      </c>
      <c r="C871" t="n">
        <v>2</v>
      </c>
      <c r="D871" s="3" t="n">
        <v>38506</v>
      </c>
      <c r="F871" t="inlineStr">
        <is>
          <t>en es fr de it pt ja ko ru 汉语 漢語</t>
        </is>
      </c>
      <c r="G871" t="n">
        <v>1684</v>
      </c>
      <c r="H871">
        <f>MONTH(NOW())+12*YEAR(NOW())-MONTH(tbl_MTG_Set[[#This Row],[Released On]])-12*YEAR(tbl_MTG_Set[[#This Row],[Released On]])</f>
        <v/>
      </c>
      <c r="I871">
        <f>_xlfn.XLOOKUP(tbl_MTG_Set[[#This Row],[Type Name]], tbl_MTG_Set_Type[Set Type], tbl_MTG_Set_Type[Index], "(Set Type not found)")</f>
        <v/>
      </c>
      <c r="J871">
        <f>_xlfn.XLOOKUP(tbl_MTG_Set[[#This Row],[Type Name]], tbl_MTG_Set_Type[Set Type], tbl_MTG_Set_Type[Buy Window Month Start], "(Set Type not found)")</f>
        <v/>
      </c>
      <c r="K871" s="3">
        <f>tbl_MTG_Set[[#This Row],[Released On]]+tbl_MTG_Set[[#This Row],[Buy Window Month Start]]*365.25/12</f>
        <v/>
      </c>
      <c r="L871">
        <f>_xlfn.XLOOKUP(tbl_MTG_Set[[#This Row],[Type Name]], tbl_MTG_Set_Type[Set Type], tbl_MTG_Set_Type[Buy Window Month End], "(Set Type not found)", 0, 1)</f>
        <v/>
      </c>
      <c r="M871" s="3">
        <f>tbl_MTG_Set[[#This Row],[Released On]]+tbl_MTG_Set[[#This Row],[Buy Window Month End]]*365.25/12</f>
        <v/>
      </c>
      <c r="N871" s="3">
        <f>AND(NOW()&gt;=tbl_MTG_Set[[#This Row],[Buy Window Start]], NOW()&lt;=tbl_MTG_Set[[#This Row],[Buy Window End]])</f>
        <v/>
      </c>
      <c r="O871">
        <f>_xlfn.XLOOKUP(tbl_MTG_Set[[#This Row],[Type Name]], tbl_MTG_Set_Type[Set Type], tbl_MTG_Set_Type[Heavy Printing Window Month Start], "(Set Type not found)", 0, 1)</f>
        <v/>
      </c>
      <c r="P871" s="3">
        <f>tbl_MTG_Set[[#This Row],[Released On]]+tbl_MTG_Set[[#This Row],[Heavy Printing Window Month Start]]*365.25/12</f>
        <v/>
      </c>
      <c r="Q871">
        <f>_xlfn.XLOOKUP(tbl_MTG_Set[[#This Row],[Type Name]], tbl_MTG_Set_Type[Set Type], tbl_MTG_Set_Type[Heavy Printing Window Month End], "(Set Type not found)", 0, 1)</f>
        <v/>
      </c>
      <c r="R871" s="3">
        <f>tbl_MTG_Set[[#This Row],[Released On]]+tbl_MTG_Set[[#This Row],[Heavy Printing Window Month End]]*365.25/12</f>
        <v/>
      </c>
      <c r="S871" s="3">
        <f>AND(NOW()&gt;=tbl_MTG_Set[[#This Row],[Heavy Printing Window Start]], NOW()&lt;=tbl_MTG_Set[[#This Row],[Heavy Printing Window End]])</f>
        <v/>
      </c>
      <c r="T871">
        <f>_xlfn.XLOOKUP(tbl_MTG_Set[[#This Row],[Type Name]], tbl_MTG_Set_Type[Set Type], tbl_MTG_Set_Type[Sell Window Month Start], "(Set Type not found)", 0, 1)</f>
        <v/>
      </c>
      <c r="U871" s="3">
        <f>tbl_MTG_Set[[#This Row],[Released On]]+tbl_MTG_Set[[#This Row],[Sell Window Month Start]]*365.25/12</f>
        <v/>
      </c>
      <c r="V871">
        <f>_xlfn.XLOOKUP(tbl_MTG_Set[[#This Row],[Type Name]], tbl_MTG_Set_Type[Set Type], tbl_MTG_Set_Type[Sell Window Month End], "(Set Type not found)", 0, 1)</f>
        <v/>
      </c>
      <c r="W871" s="3">
        <f>tbl_MTG_Set[[#This Row],[Released On]]+tbl_MTG_Set[[#This Row],[Sell Window Month End]]*365.25/12</f>
        <v/>
      </c>
      <c r="X871" s="3">
        <f>AND(NOW()&gt;=tbl_MTG_Set[[#This Row],[Sell Window Start]], NOW()&lt;=tbl_MTG_Set[[#This Row],[Sell Window End]])</f>
        <v/>
      </c>
      <c r="AG871" s="10" t="n"/>
      <c r="AH871" s="10" t="n"/>
      <c r="AM871" s="10">
        <f t="array" ref="AM8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1" s="10">
        <f t="array" ref="AN8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1" s="4">
        <f>_xlfn.XLOOKUP(tbl_MTG_Set[[#This Row],[Play Booster Box Product Id]], tbl_Product[Product Id], tbl_Product[Pack Size])</f>
        <v/>
      </c>
      <c r="AP871" s="10">
        <f>(tbl_MTG_Set[[#This Row],[Play Booster Box Cost]]+v_Item_Shipping_Cost_In)/tbl_MTG_Set[[#This Row],[Play Booster Box Size]]</f>
        <v/>
      </c>
      <c r="AQ871" s="10">
        <f t="array" ref="AQ8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1" s="10" t="n"/>
      <c r="AS871" s="10" t="n"/>
      <c r="AT871" s="17">
        <f>tbl_MTG_Set[[#This Row],[Play Booster CardMarket Profit]]/tbl_MTG_Set[[#This Row],[Play Booster Cost]]</f>
        <v/>
      </c>
      <c r="AU871" s="10">
        <f>_xlfn.XLOOKUP(tbl_MTG_Set[[#This Row],[Collector Booster Box Product Id]], tbl_Product[Product Id], tbl_Product[Min Cost])</f>
        <v/>
      </c>
      <c r="AV871" s="10">
        <f>_xlfn.XLOOKUP(tbl_MTG_Set[[#This Row],[Collector Booster Box Product Id]], tbl_Product[Product Id], tbl_Product[Best Source])</f>
        <v/>
      </c>
      <c r="AW871" s="4">
        <f>_xlfn.XLOOKUP(tbl_MTG_Set[[#This Row],[Collector Booster Box Product Id]], tbl_Product[Product Id], tbl_Product[Pack Size])</f>
        <v/>
      </c>
      <c r="AX871" s="10">
        <f>(tbl_MTG_Set[[#This Row],[Collector Booster Box Cost]] + v_Item_Shipping_Cost_In) / tbl_MTG_Set[[#This Row],[Collector Booster Box Size]]</f>
        <v/>
      </c>
      <c r="AY871" s="10">
        <f t="array" ref="AY8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1" s="10" t="n"/>
      <c r="BA8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1" s="17">
        <f>tbl_MTG_Set[[#This Row],[Collector Booster CardMarket Profit]]/tbl_MTG_Set[[#This Row],[Collector Booster Cost]]</f>
        <v/>
      </c>
      <c r="BC871" s="10" t="n"/>
      <c r="BF871" s="10">
        <f>tbl_MTG_Set[[#This Row],[Play Booster Sell Price CardMarket]]*tbl_MTG_Set[[#This Row],[Play Booster Expected Market Value]]/tbl_MTG_Set[[#This Row],[Play Boost Sealed Market Value]]</f>
        <v/>
      </c>
      <c r="BG8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1" s="10">
        <f>tbl_MTG_Set[[#This Row],[Play Singles CardMarket Profit]]/tbl_MTG_Set[[#This Row],[Play Booster Cost]]</f>
        <v/>
      </c>
      <c r="BI871" s="10">
        <f>tbl_MTG_Set[[#This Row],[Play Singles CardMarket Profit]]&gt;0</f>
        <v/>
      </c>
      <c r="BJ871" s="10" t="n"/>
      <c r="BK871" s="10" t="n"/>
      <c r="BL871" s="10">
        <f>tbl_MTG_Set[[#This Row],[Collector Booster Sell Price CardMarket]]*tbl_MTG_Set[[#This Row],[Collector Booster Expected Market Value]]/tbl_MTG_Set[[#This Row],[Collector Boost Sealed Market Value]]</f>
        <v/>
      </c>
      <c r="BM8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1" s="10">
        <f>tbl_MTG_Set[[#This Row],[Collector Singles CardMarket Profit]]/tbl_MTG_Set[[#This Row],[Collector Booster Cost]]</f>
        <v/>
      </c>
      <c r="BO871" s="10">
        <f>tbl_MTG_Set[[#This Row],[Collector Singles CardMarket Profit]]&gt;0</f>
        <v/>
      </c>
      <c r="BP8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2">
      <c r="A872" t="n">
        <v>870</v>
      </c>
      <c r="B872" t="inlineStr">
        <is>
          <t>Betrayers of Kamigawa BOK</t>
        </is>
      </c>
      <c r="C872" t="n">
        <v>165</v>
      </c>
      <c r="D872" s="3" t="n">
        <v>38387</v>
      </c>
      <c r="F872" t="inlineStr">
        <is>
          <t>en es fr de it pt ja ko ru 汉语 漢語</t>
        </is>
      </c>
      <c r="G872" t="n">
        <v>1686</v>
      </c>
      <c r="H872">
        <f>MONTH(NOW())+12*YEAR(NOW())-MONTH(tbl_MTG_Set[[#This Row],[Released On]])-12*YEAR(tbl_MTG_Set[[#This Row],[Released On]])</f>
        <v/>
      </c>
      <c r="I872">
        <f>_xlfn.XLOOKUP(tbl_MTG_Set[[#This Row],[Type Name]], tbl_MTG_Set_Type[Set Type], tbl_MTG_Set_Type[Index], "(Set Type not found)")</f>
        <v/>
      </c>
      <c r="J872">
        <f>_xlfn.XLOOKUP(tbl_MTG_Set[[#This Row],[Type Name]], tbl_MTG_Set_Type[Set Type], tbl_MTG_Set_Type[Buy Window Month Start], "(Set Type not found)")</f>
        <v/>
      </c>
      <c r="K872" s="3">
        <f>tbl_MTG_Set[[#This Row],[Released On]]+tbl_MTG_Set[[#This Row],[Buy Window Month Start]]*365.25/12</f>
        <v/>
      </c>
      <c r="L872">
        <f>_xlfn.XLOOKUP(tbl_MTG_Set[[#This Row],[Type Name]], tbl_MTG_Set_Type[Set Type], tbl_MTG_Set_Type[Buy Window Month End], "(Set Type not found)", 0, 1)</f>
        <v/>
      </c>
      <c r="M872" s="3">
        <f>tbl_MTG_Set[[#This Row],[Released On]]+tbl_MTG_Set[[#This Row],[Buy Window Month End]]*365.25/12</f>
        <v/>
      </c>
      <c r="N872" s="3">
        <f>AND(NOW()&gt;=tbl_MTG_Set[[#This Row],[Buy Window Start]], NOW()&lt;=tbl_MTG_Set[[#This Row],[Buy Window End]])</f>
        <v/>
      </c>
      <c r="O872">
        <f>_xlfn.XLOOKUP(tbl_MTG_Set[[#This Row],[Type Name]], tbl_MTG_Set_Type[Set Type], tbl_MTG_Set_Type[Heavy Printing Window Month Start], "(Set Type not found)", 0, 1)</f>
        <v/>
      </c>
      <c r="P872" s="3">
        <f>tbl_MTG_Set[[#This Row],[Released On]]+tbl_MTG_Set[[#This Row],[Heavy Printing Window Month Start]]*365.25/12</f>
        <v/>
      </c>
      <c r="Q872">
        <f>_xlfn.XLOOKUP(tbl_MTG_Set[[#This Row],[Type Name]], tbl_MTG_Set_Type[Set Type], tbl_MTG_Set_Type[Heavy Printing Window Month End], "(Set Type not found)", 0, 1)</f>
        <v/>
      </c>
      <c r="R872" s="3">
        <f>tbl_MTG_Set[[#This Row],[Released On]]+tbl_MTG_Set[[#This Row],[Heavy Printing Window Month End]]*365.25/12</f>
        <v/>
      </c>
      <c r="S872" s="3">
        <f>AND(NOW()&gt;=tbl_MTG_Set[[#This Row],[Heavy Printing Window Start]], NOW()&lt;=tbl_MTG_Set[[#This Row],[Heavy Printing Window End]])</f>
        <v/>
      </c>
      <c r="T872">
        <f>_xlfn.XLOOKUP(tbl_MTG_Set[[#This Row],[Type Name]], tbl_MTG_Set_Type[Set Type], tbl_MTG_Set_Type[Sell Window Month Start], "(Set Type not found)", 0, 1)</f>
        <v/>
      </c>
      <c r="U872" s="3">
        <f>tbl_MTG_Set[[#This Row],[Released On]]+tbl_MTG_Set[[#This Row],[Sell Window Month Start]]*365.25/12</f>
        <v/>
      </c>
      <c r="V872">
        <f>_xlfn.XLOOKUP(tbl_MTG_Set[[#This Row],[Type Name]], tbl_MTG_Set_Type[Set Type], tbl_MTG_Set_Type[Sell Window Month End], "(Set Type not found)", 0, 1)</f>
        <v/>
      </c>
      <c r="W872" s="3">
        <f>tbl_MTG_Set[[#This Row],[Released On]]+tbl_MTG_Set[[#This Row],[Sell Window Month End]]*365.25/12</f>
        <v/>
      </c>
      <c r="X872" s="3">
        <f>AND(NOW()&gt;=tbl_MTG_Set[[#This Row],[Sell Window Start]], NOW()&lt;=tbl_MTG_Set[[#This Row],[Sell Window End]])</f>
        <v/>
      </c>
      <c r="AG872" s="10" t="n"/>
      <c r="AH872" s="10" t="n"/>
      <c r="AM872" s="10">
        <f t="array" ref="AM8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2" s="10">
        <f t="array" ref="AN8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2" s="4">
        <f>_xlfn.XLOOKUP(tbl_MTG_Set[[#This Row],[Play Booster Box Product Id]], tbl_Product[Product Id], tbl_Product[Pack Size])</f>
        <v/>
      </c>
      <c r="AP872" s="10">
        <f>(tbl_MTG_Set[[#This Row],[Play Booster Box Cost]]+v_Item_Shipping_Cost_In)/tbl_MTG_Set[[#This Row],[Play Booster Box Size]]</f>
        <v/>
      </c>
      <c r="AQ872" s="10">
        <f t="array" ref="AQ8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2" s="10" t="n"/>
      <c r="AS872" s="10" t="n"/>
      <c r="AT872" s="17">
        <f>tbl_MTG_Set[[#This Row],[Play Booster CardMarket Profit]]/tbl_MTG_Set[[#This Row],[Play Booster Cost]]</f>
        <v/>
      </c>
      <c r="AU872" s="10">
        <f>_xlfn.XLOOKUP(tbl_MTG_Set[[#This Row],[Collector Booster Box Product Id]], tbl_Product[Product Id], tbl_Product[Min Cost])</f>
        <v/>
      </c>
      <c r="AV872" s="10">
        <f>_xlfn.XLOOKUP(tbl_MTG_Set[[#This Row],[Collector Booster Box Product Id]], tbl_Product[Product Id], tbl_Product[Best Source])</f>
        <v/>
      </c>
      <c r="AW872" s="4">
        <f>_xlfn.XLOOKUP(tbl_MTG_Set[[#This Row],[Collector Booster Box Product Id]], tbl_Product[Product Id], tbl_Product[Pack Size])</f>
        <v/>
      </c>
      <c r="AX872" s="10">
        <f>(tbl_MTG_Set[[#This Row],[Collector Booster Box Cost]] + v_Item_Shipping_Cost_In) / tbl_MTG_Set[[#This Row],[Collector Booster Box Size]]</f>
        <v/>
      </c>
      <c r="AY872" s="10">
        <f t="array" ref="AY8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2" s="10" t="n"/>
      <c r="BA8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2" s="17">
        <f>tbl_MTG_Set[[#This Row],[Collector Booster CardMarket Profit]]/tbl_MTG_Set[[#This Row],[Collector Booster Cost]]</f>
        <v/>
      </c>
      <c r="BC872" s="10" t="n"/>
      <c r="BF872" s="10">
        <f>tbl_MTG_Set[[#This Row],[Play Booster Sell Price CardMarket]]*tbl_MTG_Set[[#This Row],[Play Booster Expected Market Value]]/tbl_MTG_Set[[#This Row],[Play Boost Sealed Market Value]]</f>
        <v/>
      </c>
      <c r="BG8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2" s="10">
        <f>tbl_MTG_Set[[#This Row],[Play Singles CardMarket Profit]]/tbl_MTG_Set[[#This Row],[Play Booster Cost]]</f>
        <v/>
      </c>
      <c r="BI872" s="10">
        <f>tbl_MTG_Set[[#This Row],[Play Singles CardMarket Profit]]&gt;0</f>
        <v/>
      </c>
      <c r="BJ872" s="10" t="n"/>
      <c r="BK872" s="10" t="n"/>
      <c r="BL872" s="10">
        <f>tbl_MTG_Set[[#This Row],[Collector Booster Sell Price CardMarket]]*tbl_MTG_Set[[#This Row],[Collector Booster Expected Market Value]]/tbl_MTG_Set[[#This Row],[Collector Boost Sealed Market Value]]</f>
        <v/>
      </c>
      <c r="BM8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2" s="10">
        <f>tbl_MTG_Set[[#This Row],[Collector Singles CardMarket Profit]]/tbl_MTG_Set[[#This Row],[Collector Booster Cost]]</f>
        <v/>
      </c>
      <c r="BO872" s="10">
        <f>tbl_MTG_Set[[#This Row],[Collector Singles CardMarket Profit]]&gt;0</f>
        <v/>
      </c>
      <c r="BP8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3">
      <c r="A873" t="n">
        <v>871</v>
      </c>
      <c r="B873" t="inlineStr">
        <is>
          <t>Betrayers of Kamigawa Promos PBOK</t>
        </is>
      </c>
      <c r="C873" t="n">
        <v>2</v>
      </c>
      <c r="D873" s="3" t="n">
        <v>38387</v>
      </c>
      <c r="F873" t="inlineStr">
        <is>
          <t>en es fr de it pt ja ko ru 汉语 漢語</t>
        </is>
      </c>
      <c r="G873" t="n">
        <v>1688</v>
      </c>
      <c r="H873">
        <f>MONTH(NOW())+12*YEAR(NOW())-MONTH(tbl_MTG_Set[[#This Row],[Released On]])-12*YEAR(tbl_MTG_Set[[#This Row],[Released On]])</f>
        <v/>
      </c>
      <c r="I873">
        <f>_xlfn.XLOOKUP(tbl_MTG_Set[[#This Row],[Type Name]], tbl_MTG_Set_Type[Set Type], tbl_MTG_Set_Type[Index], "(Set Type not found)")</f>
        <v/>
      </c>
      <c r="J873">
        <f>_xlfn.XLOOKUP(tbl_MTG_Set[[#This Row],[Type Name]], tbl_MTG_Set_Type[Set Type], tbl_MTG_Set_Type[Buy Window Month Start], "(Set Type not found)")</f>
        <v/>
      </c>
      <c r="K873" s="3">
        <f>tbl_MTG_Set[[#This Row],[Released On]]+tbl_MTG_Set[[#This Row],[Buy Window Month Start]]*365.25/12</f>
        <v/>
      </c>
      <c r="L873">
        <f>_xlfn.XLOOKUP(tbl_MTG_Set[[#This Row],[Type Name]], tbl_MTG_Set_Type[Set Type], tbl_MTG_Set_Type[Buy Window Month End], "(Set Type not found)", 0, 1)</f>
        <v/>
      </c>
      <c r="M873" s="3">
        <f>tbl_MTG_Set[[#This Row],[Released On]]+tbl_MTG_Set[[#This Row],[Buy Window Month End]]*365.25/12</f>
        <v/>
      </c>
      <c r="N873" s="3">
        <f>AND(NOW()&gt;=tbl_MTG_Set[[#This Row],[Buy Window Start]], NOW()&lt;=tbl_MTG_Set[[#This Row],[Buy Window End]])</f>
        <v/>
      </c>
      <c r="O873">
        <f>_xlfn.XLOOKUP(tbl_MTG_Set[[#This Row],[Type Name]], tbl_MTG_Set_Type[Set Type], tbl_MTG_Set_Type[Heavy Printing Window Month Start], "(Set Type not found)", 0, 1)</f>
        <v/>
      </c>
      <c r="P873" s="3">
        <f>tbl_MTG_Set[[#This Row],[Released On]]+tbl_MTG_Set[[#This Row],[Heavy Printing Window Month Start]]*365.25/12</f>
        <v/>
      </c>
      <c r="Q873">
        <f>_xlfn.XLOOKUP(tbl_MTG_Set[[#This Row],[Type Name]], tbl_MTG_Set_Type[Set Type], tbl_MTG_Set_Type[Heavy Printing Window Month End], "(Set Type not found)", 0, 1)</f>
        <v/>
      </c>
      <c r="R873" s="3">
        <f>tbl_MTG_Set[[#This Row],[Released On]]+tbl_MTG_Set[[#This Row],[Heavy Printing Window Month End]]*365.25/12</f>
        <v/>
      </c>
      <c r="S873" s="3">
        <f>AND(NOW()&gt;=tbl_MTG_Set[[#This Row],[Heavy Printing Window Start]], NOW()&lt;=tbl_MTG_Set[[#This Row],[Heavy Printing Window End]])</f>
        <v/>
      </c>
      <c r="T873">
        <f>_xlfn.XLOOKUP(tbl_MTG_Set[[#This Row],[Type Name]], tbl_MTG_Set_Type[Set Type], tbl_MTG_Set_Type[Sell Window Month Start], "(Set Type not found)", 0, 1)</f>
        <v/>
      </c>
      <c r="U873" s="3">
        <f>tbl_MTG_Set[[#This Row],[Released On]]+tbl_MTG_Set[[#This Row],[Sell Window Month Start]]*365.25/12</f>
        <v/>
      </c>
      <c r="V873">
        <f>_xlfn.XLOOKUP(tbl_MTG_Set[[#This Row],[Type Name]], tbl_MTG_Set_Type[Set Type], tbl_MTG_Set_Type[Sell Window Month End], "(Set Type not found)", 0, 1)</f>
        <v/>
      </c>
      <c r="W873" s="3">
        <f>tbl_MTG_Set[[#This Row],[Released On]]+tbl_MTG_Set[[#This Row],[Sell Window Month End]]*365.25/12</f>
        <v/>
      </c>
      <c r="X873" s="3">
        <f>AND(NOW()&gt;=tbl_MTG_Set[[#This Row],[Sell Window Start]], NOW()&lt;=tbl_MTG_Set[[#This Row],[Sell Window End]])</f>
        <v/>
      </c>
      <c r="AG873" s="10" t="n"/>
      <c r="AH873" s="10" t="n"/>
      <c r="AM873" s="10">
        <f t="array" ref="AM8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3" s="10">
        <f t="array" ref="AN8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3" s="4">
        <f>_xlfn.XLOOKUP(tbl_MTG_Set[[#This Row],[Play Booster Box Product Id]], tbl_Product[Product Id], tbl_Product[Pack Size])</f>
        <v/>
      </c>
      <c r="AP873" s="10">
        <f>(tbl_MTG_Set[[#This Row],[Play Booster Box Cost]]+v_Item_Shipping_Cost_In)/tbl_MTG_Set[[#This Row],[Play Booster Box Size]]</f>
        <v/>
      </c>
      <c r="AQ873" s="10">
        <f t="array" ref="AQ8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3" s="10" t="n"/>
      <c r="AS873" s="10" t="n"/>
      <c r="AT873" s="17">
        <f>tbl_MTG_Set[[#This Row],[Play Booster CardMarket Profit]]/tbl_MTG_Set[[#This Row],[Play Booster Cost]]</f>
        <v/>
      </c>
      <c r="AU873" s="10">
        <f>_xlfn.XLOOKUP(tbl_MTG_Set[[#This Row],[Collector Booster Box Product Id]], tbl_Product[Product Id], tbl_Product[Min Cost])</f>
        <v/>
      </c>
      <c r="AV873" s="10">
        <f>_xlfn.XLOOKUP(tbl_MTG_Set[[#This Row],[Collector Booster Box Product Id]], tbl_Product[Product Id], tbl_Product[Best Source])</f>
        <v/>
      </c>
      <c r="AW873" s="4">
        <f>_xlfn.XLOOKUP(tbl_MTG_Set[[#This Row],[Collector Booster Box Product Id]], tbl_Product[Product Id], tbl_Product[Pack Size])</f>
        <v/>
      </c>
      <c r="AX873" s="10">
        <f>(tbl_MTG_Set[[#This Row],[Collector Booster Box Cost]] + v_Item_Shipping_Cost_In) / tbl_MTG_Set[[#This Row],[Collector Booster Box Size]]</f>
        <v/>
      </c>
      <c r="AY873" s="10">
        <f t="array" ref="AY8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3" s="10" t="n"/>
      <c r="BA8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3" s="17">
        <f>tbl_MTG_Set[[#This Row],[Collector Booster CardMarket Profit]]/tbl_MTG_Set[[#This Row],[Collector Booster Cost]]</f>
        <v/>
      </c>
      <c r="BC873" s="10" t="n"/>
      <c r="BF873" s="10">
        <f>tbl_MTG_Set[[#This Row],[Play Booster Sell Price CardMarket]]*tbl_MTG_Set[[#This Row],[Play Booster Expected Market Value]]/tbl_MTG_Set[[#This Row],[Play Boost Sealed Market Value]]</f>
        <v/>
      </c>
      <c r="BG8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3" s="10">
        <f>tbl_MTG_Set[[#This Row],[Play Singles CardMarket Profit]]/tbl_MTG_Set[[#This Row],[Play Booster Cost]]</f>
        <v/>
      </c>
      <c r="BI873" s="10">
        <f>tbl_MTG_Set[[#This Row],[Play Singles CardMarket Profit]]&gt;0</f>
        <v/>
      </c>
      <c r="BJ873" s="10" t="n"/>
      <c r="BK873" s="10" t="n"/>
      <c r="BL873" s="10">
        <f>tbl_MTG_Set[[#This Row],[Collector Booster Sell Price CardMarket]]*tbl_MTG_Set[[#This Row],[Collector Booster Expected Market Value]]/tbl_MTG_Set[[#This Row],[Collector Boost Sealed Market Value]]</f>
        <v/>
      </c>
      <c r="BM8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3" s="10">
        <f>tbl_MTG_Set[[#This Row],[Collector Singles CardMarket Profit]]/tbl_MTG_Set[[#This Row],[Collector Booster Cost]]</f>
        <v/>
      </c>
      <c r="BO873" s="10">
        <f>tbl_MTG_Set[[#This Row],[Collector Singles CardMarket Profit]]&gt;0</f>
        <v/>
      </c>
      <c r="BP8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4">
      <c r="A874" t="n">
        <v>872</v>
      </c>
      <c r="B874" t="inlineStr">
        <is>
          <t>Arena League 2005 PAL05</t>
        </is>
      </c>
      <c r="C874" t="n">
        <v>8</v>
      </c>
      <c r="D874" s="3" t="n">
        <v>38353</v>
      </c>
      <c r="F874" t="inlineStr">
        <is>
          <t>en es fr de it pt ja ko ru 汉语 漢語</t>
        </is>
      </c>
      <c r="G874" t="n">
        <v>1690</v>
      </c>
      <c r="H874">
        <f>MONTH(NOW())+12*YEAR(NOW())-MONTH(tbl_MTG_Set[[#This Row],[Released On]])-12*YEAR(tbl_MTG_Set[[#This Row],[Released On]])</f>
        <v/>
      </c>
      <c r="I874">
        <f>_xlfn.XLOOKUP(tbl_MTG_Set[[#This Row],[Type Name]], tbl_MTG_Set_Type[Set Type], tbl_MTG_Set_Type[Index], "(Set Type not found)")</f>
        <v/>
      </c>
      <c r="J874">
        <f>_xlfn.XLOOKUP(tbl_MTG_Set[[#This Row],[Type Name]], tbl_MTG_Set_Type[Set Type], tbl_MTG_Set_Type[Buy Window Month Start], "(Set Type not found)")</f>
        <v/>
      </c>
      <c r="K874" s="3">
        <f>tbl_MTG_Set[[#This Row],[Released On]]+tbl_MTG_Set[[#This Row],[Buy Window Month Start]]*365.25/12</f>
        <v/>
      </c>
      <c r="L874">
        <f>_xlfn.XLOOKUP(tbl_MTG_Set[[#This Row],[Type Name]], tbl_MTG_Set_Type[Set Type], tbl_MTG_Set_Type[Buy Window Month End], "(Set Type not found)", 0, 1)</f>
        <v/>
      </c>
      <c r="M874" s="3">
        <f>tbl_MTG_Set[[#This Row],[Released On]]+tbl_MTG_Set[[#This Row],[Buy Window Month End]]*365.25/12</f>
        <v/>
      </c>
      <c r="N874" s="3">
        <f>AND(NOW()&gt;=tbl_MTG_Set[[#This Row],[Buy Window Start]], NOW()&lt;=tbl_MTG_Set[[#This Row],[Buy Window End]])</f>
        <v/>
      </c>
      <c r="O874">
        <f>_xlfn.XLOOKUP(tbl_MTG_Set[[#This Row],[Type Name]], tbl_MTG_Set_Type[Set Type], tbl_MTG_Set_Type[Heavy Printing Window Month Start], "(Set Type not found)", 0, 1)</f>
        <v/>
      </c>
      <c r="P874" s="3">
        <f>tbl_MTG_Set[[#This Row],[Released On]]+tbl_MTG_Set[[#This Row],[Heavy Printing Window Month Start]]*365.25/12</f>
        <v/>
      </c>
      <c r="Q874">
        <f>_xlfn.XLOOKUP(tbl_MTG_Set[[#This Row],[Type Name]], tbl_MTG_Set_Type[Set Type], tbl_MTG_Set_Type[Heavy Printing Window Month End], "(Set Type not found)", 0, 1)</f>
        <v/>
      </c>
      <c r="R874" s="3">
        <f>tbl_MTG_Set[[#This Row],[Released On]]+tbl_MTG_Set[[#This Row],[Heavy Printing Window Month End]]*365.25/12</f>
        <v/>
      </c>
      <c r="S874" s="3">
        <f>AND(NOW()&gt;=tbl_MTG_Set[[#This Row],[Heavy Printing Window Start]], NOW()&lt;=tbl_MTG_Set[[#This Row],[Heavy Printing Window End]])</f>
        <v/>
      </c>
      <c r="T874">
        <f>_xlfn.XLOOKUP(tbl_MTG_Set[[#This Row],[Type Name]], tbl_MTG_Set_Type[Set Type], tbl_MTG_Set_Type[Sell Window Month Start], "(Set Type not found)", 0, 1)</f>
        <v/>
      </c>
      <c r="U874" s="3">
        <f>tbl_MTG_Set[[#This Row],[Released On]]+tbl_MTG_Set[[#This Row],[Sell Window Month Start]]*365.25/12</f>
        <v/>
      </c>
      <c r="V874">
        <f>_xlfn.XLOOKUP(tbl_MTG_Set[[#This Row],[Type Name]], tbl_MTG_Set_Type[Set Type], tbl_MTG_Set_Type[Sell Window Month End], "(Set Type not found)", 0, 1)</f>
        <v/>
      </c>
      <c r="W874" s="3">
        <f>tbl_MTG_Set[[#This Row],[Released On]]+tbl_MTG_Set[[#This Row],[Sell Window Month End]]*365.25/12</f>
        <v/>
      </c>
      <c r="X874" s="3">
        <f>AND(NOW()&gt;=tbl_MTG_Set[[#This Row],[Sell Window Start]], NOW()&lt;=tbl_MTG_Set[[#This Row],[Sell Window End]])</f>
        <v/>
      </c>
      <c r="AG874" s="10" t="n"/>
      <c r="AH874" s="10" t="n"/>
      <c r="AM874" s="10">
        <f t="array" ref="AM8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4" s="10">
        <f t="array" ref="AN8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4" s="4">
        <f>_xlfn.XLOOKUP(tbl_MTG_Set[[#This Row],[Play Booster Box Product Id]], tbl_Product[Product Id], tbl_Product[Pack Size])</f>
        <v/>
      </c>
      <c r="AP874" s="10">
        <f>(tbl_MTG_Set[[#This Row],[Play Booster Box Cost]]+v_Item_Shipping_Cost_In)/tbl_MTG_Set[[#This Row],[Play Booster Box Size]]</f>
        <v/>
      </c>
      <c r="AQ874" s="10">
        <f t="array" ref="AQ8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4" s="10" t="n"/>
      <c r="AS874" s="10" t="n"/>
      <c r="AT874" s="17">
        <f>tbl_MTG_Set[[#This Row],[Play Booster CardMarket Profit]]/tbl_MTG_Set[[#This Row],[Play Booster Cost]]</f>
        <v/>
      </c>
      <c r="AU874" s="10">
        <f>_xlfn.XLOOKUP(tbl_MTG_Set[[#This Row],[Collector Booster Box Product Id]], tbl_Product[Product Id], tbl_Product[Min Cost])</f>
        <v/>
      </c>
      <c r="AV874" s="10">
        <f>_xlfn.XLOOKUP(tbl_MTG_Set[[#This Row],[Collector Booster Box Product Id]], tbl_Product[Product Id], tbl_Product[Best Source])</f>
        <v/>
      </c>
      <c r="AW874" s="4">
        <f>_xlfn.XLOOKUP(tbl_MTG_Set[[#This Row],[Collector Booster Box Product Id]], tbl_Product[Product Id], tbl_Product[Pack Size])</f>
        <v/>
      </c>
      <c r="AX874" s="10">
        <f>(tbl_MTG_Set[[#This Row],[Collector Booster Box Cost]] + v_Item_Shipping_Cost_In) / tbl_MTG_Set[[#This Row],[Collector Booster Box Size]]</f>
        <v/>
      </c>
      <c r="AY874" s="10">
        <f t="array" ref="AY8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4" s="10" t="n"/>
      <c r="BA8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4" s="17">
        <f>tbl_MTG_Set[[#This Row],[Collector Booster CardMarket Profit]]/tbl_MTG_Set[[#This Row],[Collector Booster Cost]]</f>
        <v/>
      </c>
      <c r="BC874" s="10" t="n"/>
      <c r="BF874" s="10">
        <f>tbl_MTG_Set[[#This Row],[Play Booster Sell Price CardMarket]]*tbl_MTG_Set[[#This Row],[Play Booster Expected Market Value]]/tbl_MTG_Set[[#This Row],[Play Boost Sealed Market Value]]</f>
        <v/>
      </c>
      <c r="BG8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4" s="10">
        <f>tbl_MTG_Set[[#This Row],[Play Singles CardMarket Profit]]/tbl_MTG_Set[[#This Row],[Play Booster Cost]]</f>
        <v/>
      </c>
      <c r="BI874" s="10">
        <f>tbl_MTG_Set[[#This Row],[Play Singles CardMarket Profit]]&gt;0</f>
        <v/>
      </c>
      <c r="BJ874" s="10" t="n"/>
      <c r="BK874" s="10" t="n"/>
      <c r="BL874" s="10">
        <f>tbl_MTG_Set[[#This Row],[Collector Booster Sell Price CardMarket]]*tbl_MTG_Set[[#This Row],[Collector Booster Expected Market Value]]/tbl_MTG_Set[[#This Row],[Collector Boost Sealed Market Value]]</f>
        <v/>
      </c>
      <c r="BM8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4" s="10">
        <f>tbl_MTG_Set[[#This Row],[Collector Singles CardMarket Profit]]/tbl_MTG_Set[[#This Row],[Collector Booster Cost]]</f>
        <v/>
      </c>
      <c r="BO874" s="10">
        <f>tbl_MTG_Set[[#This Row],[Collector Singles CardMarket Profit]]&gt;0</f>
        <v/>
      </c>
      <c r="BP8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5">
      <c r="A875" t="n">
        <v>873</v>
      </c>
      <c r="B875" t="inlineStr">
        <is>
          <t>Junior Series Europe PJSE</t>
        </is>
      </c>
      <c r="C875" t="n">
        <v>8</v>
      </c>
      <c r="D875" s="3" t="n">
        <v>38353</v>
      </c>
      <c r="F875" t="inlineStr">
        <is>
          <t>en es fr de it pt ja ko ru 汉语 漢語</t>
        </is>
      </c>
      <c r="G875" t="n">
        <v>1692</v>
      </c>
      <c r="H875">
        <f>MONTH(NOW())+12*YEAR(NOW())-MONTH(tbl_MTG_Set[[#This Row],[Released On]])-12*YEAR(tbl_MTG_Set[[#This Row],[Released On]])</f>
        <v/>
      </c>
      <c r="I875">
        <f>_xlfn.XLOOKUP(tbl_MTG_Set[[#This Row],[Type Name]], tbl_MTG_Set_Type[Set Type], tbl_MTG_Set_Type[Index], "(Set Type not found)")</f>
        <v/>
      </c>
      <c r="J875">
        <f>_xlfn.XLOOKUP(tbl_MTG_Set[[#This Row],[Type Name]], tbl_MTG_Set_Type[Set Type], tbl_MTG_Set_Type[Buy Window Month Start], "(Set Type not found)")</f>
        <v/>
      </c>
      <c r="K875" s="3">
        <f>tbl_MTG_Set[[#This Row],[Released On]]+tbl_MTG_Set[[#This Row],[Buy Window Month Start]]*365.25/12</f>
        <v/>
      </c>
      <c r="L875">
        <f>_xlfn.XLOOKUP(tbl_MTG_Set[[#This Row],[Type Name]], tbl_MTG_Set_Type[Set Type], tbl_MTG_Set_Type[Buy Window Month End], "(Set Type not found)", 0, 1)</f>
        <v/>
      </c>
      <c r="M875" s="3">
        <f>tbl_MTG_Set[[#This Row],[Released On]]+tbl_MTG_Set[[#This Row],[Buy Window Month End]]*365.25/12</f>
        <v/>
      </c>
      <c r="N875" s="3">
        <f>AND(NOW()&gt;=tbl_MTG_Set[[#This Row],[Buy Window Start]], NOW()&lt;=tbl_MTG_Set[[#This Row],[Buy Window End]])</f>
        <v/>
      </c>
      <c r="O875">
        <f>_xlfn.XLOOKUP(tbl_MTG_Set[[#This Row],[Type Name]], tbl_MTG_Set_Type[Set Type], tbl_MTG_Set_Type[Heavy Printing Window Month Start], "(Set Type not found)", 0, 1)</f>
        <v/>
      </c>
      <c r="P875" s="3">
        <f>tbl_MTG_Set[[#This Row],[Released On]]+tbl_MTG_Set[[#This Row],[Heavy Printing Window Month Start]]*365.25/12</f>
        <v/>
      </c>
      <c r="Q875">
        <f>_xlfn.XLOOKUP(tbl_MTG_Set[[#This Row],[Type Name]], tbl_MTG_Set_Type[Set Type], tbl_MTG_Set_Type[Heavy Printing Window Month End], "(Set Type not found)", 0, 1)</f>
        <v/>
      </c>
      <c r="R875" s="3">
        <f>tbl_MTG_Set[[#This Row],[Released On]]+tbl_MTG_Set[[#This Row],[Heavy Printing Window Month End]]*365.25/12</f>
        <v/>
      </c>
      <c r="S875" s="3">
        <f>AND(NOW()&gt;=tbl_MTG_Set[[#This Row],[Heavy Printing Window Start]], NOW()&lt;=tbl_MTG_Set[[#This Row],[Heavy Printing Window End]])</f>
        <v/>
      </c>
      <c r="T875">
        <f>_xlfn.XLOOKUP(tbl_MTG_Set[[#This Row],[Type Name]], tbl_MTG_Set_Type[Set Type], tbl_MTG_Set_Type[Sell Window Month Start], "(Set Type not found)", 0, 1)</f>
        <v/>
      </c>
      <c r="U875" s="3">
        <f>tbl_MTG_Set[[#This Row],[Released On]]+tbl_MTG_Set[[#This Row],[Sell Window Month Start]]*365.25/12</f>
        <v/>
      </c>
      <c r="V875">
        <f>_xlfn.XLOOKUP(tbl_MTG_Set[[#This Row],[Type Name]], tbl_MTG_Set_Type[Set Type], tbl_MTG_Set_Type[Sell Window Month End], "(Set Type not found)", 0, 1)</f>
        <v/>
      </c>
      <c r="W875" s="3">
        <f>tbl_MTG_Set[[#This Row],[Released On]]+tbl_MTG_Set[[#This Row],[Sell Window Month End]]*365.25/12</f>
        <v/>
      </c>
      <c r="X875" s="3">
        <f>AND(NOW()&gt;=tbl_MTG_Set[[#This Row],[Sell Window Start]], NOW()&lt;=tbl_MTG_Set[[#This Row],[Sell Window End]])</f>
        <v/>
      </c>
      <c r="AG875" s="10" t="n"/>
      <c r="AH875" s="10" t="n"/>
      <c r="AM875" s="10">
        <f t="array" ref="AM8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5" s="10">
        <f t="array" ref="AN8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5" s="4">
        <f>_xlfn.XLOOKUP(tbl_MTG_Set[[#This Row],[Play Booster Box Product Id]], tbl_Product[Product Id], tbl_Product[Pack Size])</f>
        <v/>
      </c>
      <c r="AP875" s="10">
        <f>(tbl_MTG_Set[[#This Row],[Play Booster Box Cost]]+v_Item_Shipping_Cost_In)/tbl_MTG_Set[[#This Row],[Play Booster Box Size]]</f>
        <v/>
      </c>
      <c r="AQ875" s="10">
        <f t="array" ref="AQ8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5" s="10" t="n"/>
      <c r="AS875" s="10" t="n"/>
      <c r="AT875" s="17">
        <f>tbl_MTG_Set[[#This Row],[Play Booster CardMarket Profit]]/tbl_MTG_Set[[#This Row],[Play Booster Cost]]</f>
        <v/>
      </c>
      <c r="AU875" s="10">
        <f>_xlfn.XLOOKUP(tbl_MTG_Set[[#This Row],[Collector Booster Box Product Id]], tbl_Product[Product Id], tbl_Product[Min Cost])</f>
        <v/>
      </c>
      <c r="AV875" s="10">
        <f>_xlfn.XLOOKUP(tbl_MTG_Set[[#This Row],[Collector Booster Box Product Id]], tbl_Product[Product Id], tbl_Product[Best Source])</f>
        <v/>
      </c>
      <c r="AW875" s="4">
        <f>_xlfn.XLOOKUP(tbl_MTG_Set[[#This Row],[Collector Booster Box Product Id]], tbl_Product[Product Id], tbl_Product[Pack Size])</f>
        <v/>
      </c>
      <c r="AX875" s="10">
        <f>(tbl_MTG_Set[[#This Row],[Collector Booster Box Cost]] + v_Item_Shipping_Cost_In) / tbl_MTG_Set[[#This Row],[Collector Booster Box Size]]</f>
        <v/>
      </c>
      <c r="AY875" s="10">
        <f t="array" ref="AY8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5" s="10" t="n"/>
      <c r="BA8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5" s="17">
        <f>tbl_MTG_Set[[#This Row],[Collector Booster CardMarket Profit]]/tbl_MTG_Set[[#This Row],[Collector Booster Cost]]</f>
        <v/>
      </c>
      <c r="BC875" s="10" t="n"/>
      <c r="BF875" s="10">
        <f>tbl_MTG_Set[[#This Row],[Play Booster Sell Price CardMarket]]*tbl_MTG_Set[[#This Row],[Play Booster Expected Market Value]]/tbl_MTG_Set[[#This Row],[Play Boost Sealed Market Value]]</f>
        <v/>
      </c>
      <c r="BG8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5" s="10">
        <f>tbl_MTG_Set[[#This Row],[Play Singles CardMarket Profit]]/tbl_MTG_Set[[#This Row],[Play Booster Cost]]</f>
        <v/>
      </c>
      <c r="BI875" s="10">
        <f>tbl_MTG_Set[[#This Row],[Play Singles CardMarket Profit]]&gt;0</f>
        <v/>
      </c>
      <c r="BJ875" s="10" t="n"/>
      <c r="BK875" s="10" t="n"/>
      <c r="BL875" s="10">
        <f>tbl_MTG_Set[[#This Row],[Collector Booster Sell Price CardMarket]]*tbl_MTG_Set[[#This Row],[Collector Booster Expected Market Value]]/tbl_MTG_Set[[#This Row],[Collector Boost Sealed Market Value]]</f>
        <v/>
      </c>
      <c r="BM8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5" s="10">
        <f>tbl_MTG_Set[[#This Row],[Collector Singles CardMarket Profit]]/tbl_MTG_Set[[#This Row],[Collector Booster Cost]]</f>
        <v/>
      </c>
      <c r="BO875" s="10">
        <f>tbl_MTG_Set[[#This Row],[Collector Singles CardMarket Profit]]&gt;0</f>
        <v/>
      </c>
      <c r="BP8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6">
      <c r="A876" t="n">
        <v>874</v>
      </c>
      <c r="B876" t="inlineStr">
        <is>
          <t>Friday Night Magic 2005 F05</t>
        </is>
      </c>
      <c r="C876" t="n">
        <v>12</v>
      </c>
      <c r="D876" s="3" t="n">
        <v>38353</v>
      </c>
      <c r="F876" t="inlineStr">
        <is>
          <t>en es fr de it pt ja ko ru 汉语 漢語</t>
        </is>
      </c>
      <c r="G876" t="n">
        <v>1694</v>
      </c>
      <c r="H876">
        <f>MONTH(NOW())+12*YEAR(NOW())-MONTH(tbl_MTG_Set[[#This Row],[Released On]])-12*YEAR(tbl_MTG_Set[[#This Row],[Released On]])</f>
        <v/>
      </c>
      <c r="I876">
        <f>_xlfn.XLOOKUP(tbl_MTG_Set[[#This Row],[Type Name]], tbl_MTG_Set_Type[Set Type], tbl_MTG_Set_Type[Index], "(Set Type not found)")</f>
        <v/>
      </c>
      <c r="J876">
        <f>_xlfn.XLOOKUP(tbl_MTG_Set[[#This Row],[Type Name]], tbl_MTG_Set_Type[Set Type], tbl_MTG_Set_Type[Buy Window Month Start], "(Set Type not found)")</f>
        <v/>
      </c>
      <c r="K876" s="3">
        <f>tbl_MTG_Set[[#This Row],[Released On]]+tbl_MTG_Set[[#This Row],[Buy Window Month Start]]*365.25/12</f>
        <v/>
      </c>
      <c r="L876">
        <f>_xlfn.XLOOKUP(tbl_MTG_Set[[#This Row],[Type Name]], tbl_MTG_Set_Type[Set Type], tbl_MTG_Set_Type[Buy Window Month End], "(Set Type not found)", 0, 1)</f>
        <v/>
      </c>
      <c r="M876" s="3">
        <f>tbl_MTG_Set[[#This Row],[Released On]]+tbl_MTG_Set[[#This Row],[Buy Window Month End]]*365.25/12</f>
        <v/>
      </c>
      <c r="N876" s="3">
        <f>AND(NOW()&gt;=tbl_MTG_Set[[#This Row],[Buy Window Start]], NOW()&lt;=tbl_MTG_Set[[#This Row],[Buy Window End]])</f>
        <v/>
      </c>
      <c r="O876">
        <f>_xlfn.XLOOKUP(tbl_MTG_Set[[#This Row],[Type Name]], tbl_MTG_Set_Type[Set Type], tbl_MTG_Set_Type[Heavy Printing Window Month Start], "(Set Type not found)", 0, 1)</f>
        <v/>
      </c>
      <c r="P876" s="3">
        <f>tbl_MTG_Set[[#This Row],[Released On]]+tbl_MTG_Set[[#This Row],[Heavy Printing Window Month Start]]*365.25/12</f>
        <v/>
      </c>
      <c r="Q876">
        <f>_xlfn.XLOOKUP(tbl_MTG_Set[[#This Row],[Type Name]], tbl_MTG_Set_Type[Set Type], tbl_MTG_Set_Type[Heavy Printing Window Month End], "(Set Type not found)", 0, 1)</f>
        <v/>
      </c>
      <c r="R876" s="3">
        <f>tbl_MTG_Set[[#This Row],[Released On]]+tbl_MTG_Set[[#This Row],[Heavy Printing Window Month End]]*365.25/12</f>
        <v/>
      </c>
      <c r="S876" s="3">
        <f>AND(NOW()&gt;=tbl_MTG_Set[[#This Row],[Heavy Printing Window Start]], NOW()&lt;=tbl_MTG_Set[[#This Row],[Heavy Printing Window End]])</f>
        <v/>
      </c>
      <c r="T876">
        <f>_xlfn.XLOOKUP(tbl_MTG_Set[[#This Row],[Type Name]], tbl_MTG_Set_Type[Set Type], tbl_MTG_Set_Type[Sell Window Month Start], "(Set Type not found)", 0, 1)</f>
        <v/>
      </c>
      <c r="U876" s="3">
        <f>tbl_MTG_Set[[#This Row],[Released On]]+tbl_MTG_Set[[#This Row],[Sell Window Month Start]]*365.25/12</f>
        <v/>
      </c>
      <c r="V876">
        <f>_xlfn.XLOOKUP(tbl_MTG_Set[[#This Row],[Type Name]], tbl_MTG_Set_Type[Set Type], tbl_MTG_Set_Type[Sell Window Month End], "(Set Type not found)", 0, 1)</f>
        <v/>
      </c>
      <c r="W876" s="3">
        <f>tbl_MTG_Set[[#This Row],[Released On]]+tbl_MTG_Set[[#This Row],[Sell Window Month End]]*365.25/12</f>
        <v/>
      </c>
      <c r="X876" s="3">
        <f>AND(NOW()&gt;=tbl_MTG_Set[[#This Row],[Sell Window Start]], NOW()&lt;=tbl_MTG_Set[[#This Row],[Sell Window End]])</f>
        <v/>
      </c>
      <c r="AG876" s="10" t="n"/>
      <c r="AH876" s="10" t="n"/>
      <c r="AM876" s="10">
        <f t="array" ref="AM8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6" s="10">
        <f t="array" ref="AN8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6" s="4">
        <f>_xlfn.XLOOKUP(tbl_MTG_Set[[#This Row],[Play Booster Box Product Id]], tbl_Product[Product Id], tbl_Product[Pack Size])</f>
        <v/>
      </c>
      <c r="AP876" s="10">
        <f>(tbl_MTG_Set[[#This Row],[Play Booster Box Cost]]+v_Item_Shipping_Cost_In)/tbl_MTG_Set[[#This Row],[Play Booster Box Size]]</f>
        <v/>
      </c>
      <c r="AQ876" s="10">
        <f t="array" ref="AQ8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6" s="10" t="n"/>
      <c r="AS876" s="10" t="n"/>
      <c r="AT876" s="17">
        <f>tbl_MTG_Set[[#This Row],[Play Booster CardMarket Profit]]/tbl_MTG_Set[[#This Row],[Play Booster Cost]]</f>
        <v/>
      </c>
      <c r="AU876" s="10">
        <f>_xlfn.XLOOKUP(tbl_MTG_Set[[#This Row],[Collector Booster Box Product Id]], tbl_Product[Product Id], tbl_Product[Min Cost])</f>
        <v/>
      </c>
      <c r="AV876" s="10">
        <f>_xlfn.XLOOKUP(tbl_MTG_Set[[#This Row],[Collector Booster Box Product Id]], tbl_Product[Product Id], tbl_Product[Best Source])</f>
        <v/>
      </c>
      <c r="AW876" s="4">
        <f>_xlfn.XLOOKUP(tbl_MTG_Set[[#This Row],[Collector Booster Box Product Id]], tbl_Product[Product Id], tbl_Product[Pack Size])</f>
        <v/>
      </c>
      <c r="AX876" s="10">
        <f>(tbl_MTG_Set[[#This Row],[Collector Booster Box Cost]] + v_Item_Shipping_Cost_In) / tbl_MTG_Set[[#This Row],[Collector Booster Box Size]]</f>
        <v/>
      </c>
      <c r="AY876" s="10">
        <f t="array" ref="AY8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6" s="10" t="n"/>
      <c r="BA8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6" s="17">
        <f>tbl_MTG_Set[[#This Row],[Collector Booster CardMarket Profit]]/tbl_MTG_Set[[#This Row],[Collector Booster Cost]]</f>
        <v/>
      </c>
      <c r="BC876" s="10" t="n"/>
      <c r="BF876" s="10">
        <f>tbl_MTG_Set[[#This Row],[Play Booster Sell Price CardMarket]]*tbl_MTG_Set[[#This Row],[Play Booster Expected Market Value]]/tbl_MTG_Set[[#This Row],[Play Boost Sealed Market Value]]</f>
        <v/>
      </c>
      <c r="BG8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6" s="10">
        <f>tbl_MTG_Set[[#This Row],[Play Singles CardMarket Profit]]/tbl_MTG_Set[[#This Row],[Play Booster Cost]]</f>
        <v/>
      </c>
      <c r="BI876" s="10">
        <f>tbl_MTG_Set[[#This Row],[Play Singles CardMarket Profit]]&gt;0</f>
        <v/>
      </c>
      <c r="BJ876" s="10" t="n"/>
      <c r="BK876" s="10" t="n"/>
      <c r="BL876" s="10">
        <f>tbl_MTG_Set[[#This Row],[Collector Booster Sell Price CardMarket]]*tbl_MTG_Set[[#This Row],[Collector Booster Expected Market Value]]/tbl_MTG_Set[[#This Row],[Collector Boost Sealed Market Value]]</f>
        <v/>
      </c>
      <c r="BM8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6" s="10">
        <f>tbl_MTG_Set[[#This Row],[Collector Singles CardMarket Profit]]/tbl_MTG_Set[[#This Row],[Collector Booster Cost]]</f>
        <v/>
      </c>
      <c r="BO876" s="10">
        <f>tbl_MTG_Set[[#This Row],[Collector Singles CardMarket Profit]]&gt;0</f>
        <v/>
      </c>
      <c r="BP8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7">
      <c r="A877" t="n">
        <v>875</v>
      </c>
      <c r="B877" t="inlineStr">
        <is>
          <t>Magic Player Rewards 2005 P05</t>
        </is>
      </c>
      <c r="C877" t="n">
        <v>6</v>
      </c>
      <c r="D877" s="3" t="n">
        <v>38353</v>
      </c>
      <c r="F877" t="inlineStr">
        <is>
          <t>en es fr de it pt ja ko ru 汉语 漢語</t>
        </is>
      </c>
      <c r="G877" t="n">
        <v>1696</v>
      </c>
      <c r="H877">
        <f>MONTH(NOW())+12*YEAR(NOW())-MONTH(tbl_MTG_Set[[#This Row],[Released On]])-12*YEAR(tbl_MTG_Set[[#This Row],[Released On]])</f>
        <v/>
      </c>
      <c r="I877">
        <f>_xlfn.XLOOKUP(tbl_MTG_Set[[#This Row],[Type Name]], tbl_MTG_Set_Type[Set Type], tbl_MTG_Set_Type[Index], "(Set Type not found)")</f>
        <v/>
      </c>
      <c r="J877">
        <f>_xlfn.XLOOKUP(tbl_MTG_Set[[#This Row],[Type Name]], tbl_MTG_Set_Type[Set Type], tbl_MTG_Set_Type[Buy Window Month Start], "(Set Type not found)")</f>
        <v/>
      </c>
      <c r="K877" s="3">
        <f>tbl_MTG_Set[[#This Row],[Released On]]+tbl_MTG_Set[[#This Row],[Buy Window Month Start]]*365.25/12</f>
        <v/>
      </c>
      <c r="L877">
        <f>_xlfn.XLOOKUP(tbl_MTG_Set[[#This Row],[Type Name]], tbl_MTG_Set_Type[Set Type], tbl_MTG_Set_Type[Buy Window Month End], "(Set Type not found)", 0, 1)</f>
        <v/>
      </c>
      <c r="M877" s="3">
        <f>tbl_MTG_Set[[#This Row],[Released On]]+tbl_MTG_Set[[#This Row],[Buy Window Month End]]*365.25/12</f>
        <v/>
      </c>
      <c r="N877" s="3">
        <f>AND(NOW()&gt;=tbl_MTG_Set[[#This Row],[Buy Window Start]], NOW()&lt;=tbl_MTG_Set[[#This Row],[Buy Window End]])</f>
        <v/>
      </c>
      <c r="O877">
        <f>_xlfn.XLOOKUP(tbl_MTG_Set[[#This Row],[Type Name]], tbl_MTG_Set_Type[Set Type], tbl_MTG_Set_Type[Heavy Printing Window Month Start], "(Set Type not found)", 0, 1)</f>
        <v/>
      </c>
      <c r="P877" s="3">
        <f>tbl_MTG_Set[[#This Row],[Released On]]+tbl_MTG_Set[[#This Row],[Heavy Printing Window Month Start]]*365.25/12</f>
        <v/>
      </c>
      <c r="Q877">
        <f>_xlfn.XLOOKUP(tbl_MTG_Set[[#This Row],[Type Name]], tbl_MTG_Set_Type[Set Type], tbl_MTG_Set_Type[Heavy Printing Window Month End], "(Set Type not found)", 0, 1)</f>
        <v/>
      </c>
      <c r="R877" s="3">
        <f>tbl_MTG_Set[[#This Row],[Released On]]+tbl_MTG_Set[[#This Row],[Heavy Printing Window Month End]]*365.25/12</f>
        <v/>
      </c>
      <c r="S877" s="3">
        <f>AND(NOW()&gt;=tbl_MTG_Set[[#This Row],[Heavy Printing Window Start]], NOW()&lt;=tbl_MTG_Set[[#This Row],[Heavy Printing Window End]])</f>
        <v/>
      </c>
      <c r="T877">
        <f>_xlfn.XLOOKUP(tbl_MTG_Set[[#This Row],[Type Name]], tbl_MTG_Set_Type[Set Type], tbl_MTG_Set_Type[Sell Window Month Start], "(Set Type not found)", 0, 1)</f>
        <v/>
      </c>
      <c r="U877" s="3">
        <f>tbl_MTG_Set[[#This Row],[Released On]]+tbl_MTG_Set[[#This Row],[Sell Window Month Start]]*365.25/12</f>
        <v/>
      </c>
      <c r="V877">
        <f>_xlfn.XLOOKUP(tbl_MTG_Set[[#This Row],[Type Name]], tbl_MTG_Set_Type[Set Type], tbl_MTG_Set_Type[Sell Window Month End], "(Set Type not found)", 0, 1)</f>
        <v/>
      </c>
      <c r="W877" s="3">
        <f>tbl_MTG_Set[[#This Row],[Released On]]+tbl_MTG_Set[[#This Row],[Sell Window Month End]]*365.25/12</f>
        <v/>
      </c>
      <c r="X877" s="3">
        <f>AND(NOW()&gt;=tbl_MTG_Set[[#This Row],[Sell Window Start]], NOW()&lt;=tbl_MTG_Set[[#This Row],[Sell Window End]])</f>
        <v/>
      </c>
      <c r="AG877" s="10" t="n"/>
      <c r="AH877" s="10" t="n"/>
      <c r="AM877" s="10">
        <f t="array" ref="AM8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7" s="10">
        <f t="array" ref="AN8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7" s="4">
        <f>_xlfn.XLOOKUP(tbl_MTG_Set[[#This Row],[Play Booster Box Product Id]], tbl_Product[Product Id], tbl_Product[Pack Size])</f>
        <v/>
      </c>
      <c r="AP877" s="10">
        <f>(tbl_MTG_Set[[#This Row],[Play Booster Box Cost]]+v_Item_Shipping_Cost_In)/tbl_MTG_Set[[#This Row],[Play Booster Box Size]]</f>
        <v/>
      </c>
      <c r="AQ877" s="10">
        <f t="array" ref="AQ8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7" s="10" t="n"/>
      <c r="AS877" s="10" t="n"/>
      <c r="AT877" s="17">
        <f>tbl_MTG_Set[[#This Row],[Play Booster CardMarket Profit]]/tbl_MTG_Set[[#This Row],[Play Booster Cost]]</f>
        <v/>
      </c>
      <c r="AU877" s="10">
        <f>_xlfn.XLOOKUP(tbl_MTG_Set[[#This Row],[Collector Booster Box Product Id]], tbl_Product[Product Id], tbl_Product[Min Cost])</f>
        <v/>
      </c>
      <c r="AV877" s="10">
        <f>_xlfn.XLOOKUP(tbl_MTG_Set[[#This Row],[Collector Booster Box Product Id]], tbl_Product[Product Id], tbl_Product[Best Source])</f>
        <v/>
      </c>
      <c r="AW877" s="4">
        <f>_xlfn.XLOOKUP(tbl_MTG_Set[[#This Row],[Collector Booster Box Product Id]], tbl_Product[Product Id], tbl_Product[Pack Size])</f>
        <v/>
      </c>
      <c r="AX877" s="10">
        <f>(tbl_MTG_Set[[#This Row],[Collector Booster Box Cost]] + v_Item_Shipping_Cost_In) / tbl_MTG_Set[[#This Row],[Collector Booster Box Size]]</f>
        <v/>
      </c>
      <c r="AY877" s="10">
        <f t="array" ref="AY8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7" s="10" t="n"/>
      <c r="BA8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7" s="17">
        <f>tbl_MTG_Set[[#This Row],[Collector Booster CardMarket Profit]]/tbl_MTG_Set[[#This Row],[Collector Booster Cost]]</f>
        <v/>
      </c>
      <c r="BC877" s="10" t="n"/>
      <c r="BF877" s="10">
        <f>tbl_MTG_Set[[#This Row],[Play Booster Sell Price CardMarket]]*tbl_MTG_Set[[#This Row],[Play Booster Expected Market Value]]/tbl_MTG_Set[[#This Row],[Play Boost Sealed Market Value]]</f>
        <v/>
      </c>
      <c r="BG8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7" s="10">
        <f>tbl_MTG_Set[[#This Row],[Play Singles CardMarket Profit]]/tbl_MTG_Set[[#This Row],[Play Booster Cost]]</f>
        <v/>
      </c>
      <c r="BI877" s="10">
        <f>tbl_MTG_Set[[#This Row],[Play Singles CardMarket Profit]]&gt;0</f>
        <v/>
      </c>
      <c r="BJ877" s="10" t="n"/>
      <c r="BK877" s="10" t="n"/>
      <c r="BL877" s="10">
        <f>tbl_MTG_Set[[#This Row],[Collector Booster Sell Price CardMarket]]*tbl_MTG_Set[[#This Row],[Collector Booster Expected Market Value]]/tbl_MTG_Set[[#This Row],[Collector Boost Sealed Market Value]]</f>
        <v/>
      </c>
      <c r="BM8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7" s="10">
        <f>tbl_MTG_Set[[#This Row],[Collector Singles CardMarket Profit]]/tbl_MTG_Set[[#This Row],[Collector Booster Cost]]</f>
        <v/>
      </c>
      <c r="BO877" s="10">
        <f>tbl_MTG_Set[[#This Row],[Collector Singles CardMarket Profit]]&gt;0</f>
        <v/>
      </c>
      <c r="BP8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8">
      <c r="A878" t="n">
        <v>876</v>
      </c>
      <c r="B878" t="inlineStr">
        <is>
          <t>Judge Gift Cards 2005 G05</t>
        </is>
      </c>
      <c r="C878" t="n">
        <v>4</v>
      </c>
      <c r="D878" s="3" t="n">
        <v>38353</v>
      </c>
      <c r="F878" t="inlineStr">
        <is>
          <t>en es fr de it pt ja ko ru 汉语 漢語</t>
        </is>
      </c>
      <c r="G878" t="n">
        <v>1698</v>
      </c>
      <c r="H878">
        <f>MONTH(NOW())+12*YEAR(NOW())-MONTH(tbl_MTG_Set[[#This Row],[Released On]])-12*YEAR(tbl_MTG_Set[[#This Row],[Released On]])</f>
        <v/>
      </c>
      <c r="I878">
        <f>_xlfn.XLOOKUP(tbl_MTG_Set[[#This Row],[Type Name]], tbl_MTG_Set_Type[Set Type], tbl_MTG_Set_Type[Index], "(Set Type not found)")</f>
        <v/>
      </c>
      <c r="J878">
        <f>_xlfn.XLOOKUP(tbl_MTG_Set[[#This Row],[Type Name]], tbl_MTG_Set_Type[Set Type], tbl_MTG_Set_Type[Buy Window Month Start], "(Set Type not found)")</f>
        <v/>
      </c>
      <c r="K878" s="3">
        <f>tbl_MTG_Set[[#This Row],[Released On]]+tbl_MTG_Set[[#This Row],[Buy Window Month Start]]*365.25/12</f>
        <v/>
      </c>
      <c r="L878">
        <f>_xlfn.XLOOKUP(tbl_MTG_Set[[#This Row],[Type Name]], tbl_MTG_Set_Type[Set Type], tbl_MTG_Set_Type[Buy Window Month End], "(Set Type not found)", 0, 1)</f>
        <v/>
      </c>
      <c r="M878" s="3">
        <f>tbl_MTG_Set[[#This Row],[Released On]]+tbl_MTG_Set[[#This Row],[Buy Window Month End]]*365.25/12</f>
        <v/>
      </c>
      <c r="N878" s="3">
        <f>AND(NOW()&gt;=tbl_MTG_Set[[#This Row],[Buy Window Start]], NOW()&lt;=tbl_MTG_Set[[#This Row],[Buy Window End]])</f>
        <v/>
      </c>
      <c r="O878">
        <f>_xlfn.XLOOKUP(tbl_MTG_Set[[#This Row],[Type Name]], tbl_MTG_Set_Type[Set Type], tbl_MTG_Set_Type[Heavy Printing Window Month Start], "(Set Type not found)", 0, 1)</f>
        <v/>
      </c>
      <c r="P878" s="3">
        <f>tbl_MTG_Set[[#This Row],[Released On]]+tbl_MTG_Set[[#This Row],[Heavy Printing Window Month Start]]*365.25/12</f>
        <v/>
      </c>
      <c r="Q878">
        <f>_xlfn.XLOOKUP(tbl_MTG_Set[[#This Row],[Type Name]], tbl_MTG_Set_Type[Set Type], tbl_MTG_Set_Type[Heavy Printing Window Month End], "(Set Type not found)", 0, 1)</f>
        <v/>
      </c>
      <c r="R878" s="3">
        <f>tbl_MTG_Set[[#This Row],[Released On]]+tbl_MTG_Set[[#This Row],[Heavy Printing Window Month End]]*365.25/12</f>
        <v/>
      </c>
      <c r="S878" s="3">
        <f>AND(NOW()&gt;=tbl_MTG_Set[[#This Row],[Heavy Printing Window Start]], NOW()&lt;=tbl_MTG_Set[[#This Row],[Heavy Printing Window End]])</f>
        <v/>
      </c>
      <c r="T878">
        <f>_xlfn.XLOOKUP(tbl_MTG_Set[[#This Row],[Type Name]], tbl_MTG_Set_Type[Set Type], tbl_MTG_Set_Type[Sell Window Month Start], "(Set Type not found)", 0, 1)</f>
        <v/>
      </c>
      <c r="U878" s="3">
        <f>tbl_MTG_Set[[#This Row],[Released On]]+tbl_MTG_Set[[#This Row],[Sell Window Month Start]]*365.25/12</f>
        <v/>
      </c>
      <c r="V878">
        <f>_xlfn.XLOOKUP(tbl_MTG_Set[[#This Row],[Type Name]], tbl_MTG_Set_Type[Set Type], tbl_MTG_Set_Type[Sell Window Month End], "(Set Type not found)", 0, 1)</f>
        <v/>
      </c>
      <c r="W878" s="3">
        <f>tbl_MTG_Set[[#This Row],[Released On]]+tbl_MTG_Set[[#This Row],[Sell Window Month End]]*365.25/12</f>
        <v/>
      </c>
      <c r="X878" s="3">
        <f>AND(NOW()&gt;=tbl_MTG_Set[[#This Row],[Sell Window Start]], NOW()&lt;=tbl_MTG_Set[[#This Row],[Sell Window End]])</f>
        <v/>
      </c>
      <c r="AG878" s="10" t="n"/>
      <c r="AH878" s="10" t="n"/>
      <c r="AM878" s="10">
        <f t="array" ref="AM8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8" s="10">
        <f t="array" ref="AN8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8" s="4">
        <f>_xlfn.XLOOKUP(tbl_MTG_Set[[#This Row],[Play Booster Box Product Id]], tbl_Product[Product Id], tbl_Product[Pack Size])</f>
        <v/>
      </c>
      <c r="AP878" s="10">
        <f>(tbl_MTG_Set[[#This Row],[Play Booster Box Cost]]+v_Item_Shipping_Cost_In)/tbl_MTG_Set[[#This Row],[Play Booster Box Size]]</f>
        <v/>
      </c>
      <c r="AQ878" s="10">
        <f t="array" ref="AQ8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8" s="10" t="n"/>
      <c r="AS878" s="10" t="n"/>
      <c r="AT878" s="17">
        <f>tbl_MTG_Set[[#This Row],[Play Booster CardMarket Profit]]/tbl_MTG_Set[[#This Row],[Play Booster Cost]]</f>
        <v/>
      </c>
      <c r="AU878" s="10">
        <f>_xlfn.XLOOKUP(tbl_MTG_Set[[#This Row],[Collector Booster Box Product Id]], tbl_Product[Product Id], tbl_Product[Min Cost])</f>
        <v/>
      </c>
      <c r="AV878" s="10">
        <f>_xlfn.XLOOKUP(tbl_MTG_Set[[#This Row],[Collector Booster Box Product Id]], tbl_Product[Product Id], tbl_Product[Best Source])</f>
        <v/>
      </c>
      <c r="AW878" s="4">
        <f>_xlfn.XLOOKUP(tbl_MTG_Set[[#This Row],[Collector Booster Box Product Id]], tbl_Product[Product Id], tbl_Product[Pack Size])</f>
        <v/>
      </c>
      <c r="AX878" s="10">
        <f>(tbl_MTG_Set[[#This Row],[Collector Booster Box Cost]] + v_Item_Shipping_Cost_In) / tbl_MTG_Set[[#This Row],[Collector Booster Box Size]]</f>
        <v/>
      </c>
      <c r="AY878" s="10">
        <f t="array" ref="AY8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8" s="10" t="n"/>
      <c r="BA8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8" s="17">
        <f>tbl_MTG_Set[[#This Row],[Collector Booster CardMarket Profit]]/tbl_MTG_Set[[#This Row],[Collector Booster Cost]]</f>
        <v/>
      </c>
      <c r="BC878" s="10" t="n"/>
      <c r="BF878" s="10">
        <f>tbl_MTG_Set[[#This Row],[Play Booster Sell Price CardMarket]]*tbl_MTG_Set[[#This Row],[Play Booster Expected Market Value]]/tbl_MTG_Set[[#This Row],[Play Boost Sealed Market Value]]</f>
        <v/>
      </c>
      <c r="BG8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8" s="10">
        <f>tbl_MTG_Set[[#This Row],[Play Singles CardMarket Profit]]/tbl_MTG_Set[[#This Row],[Play Booster Cost]]</f>
        <v/>
      </c>
      <c r="BI878" s="10">
        <f>tbl_MTG_Set[[#This Row],[Play Singles CardMarket Profit]]&gt;0</f>
        <v/>
      </c>
      <c r="BJ878" s="10" t="n"/>
      <c r="BK878" s="10" t="n"/>
      <c r="BL878" s="10">
        <f>tbl_MTG_Set[[#This Row],[Collector Booster Sell Price CardMarket]]*tbl_MTG_Set[[#This Row],[Collector Booster Expected Market Value]]/tbl_MTG_Set[[#This Row],[Collector Boost Sealed Market Value]]</f>
        <v/>
      </c>
      <c r="BM8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8" s="10">
        <f>tbl_MTG_Set[[#This Row],[Collector Singles CardMarket Profit]]/tbl_MTG_Set[[#This Row],[Collector Booster Cost]]</f>
        <v/>
      </c>
      <c r="BO878" s="10">
        <f>tbl_MTG_Set[[#This Row],[Collector Singles CardMarket Profit]]&gt;0</f>
        <v/>
      </c>
      <c r="BP8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9">
      <c r="A879" t="n">
        <v>877</v>
      </c>
      <c r="B879" t="inlineStr">
        <is>
          <t>Unhinged UNH</t>
        </is>
      </c>
      <c r="C879" t="n">
        <v>168</v>
      </c>
      <c r="D879" s="3" t="n">
        <v>38310</v>
      </c>
      <c r="F879" t="inlineStr">
        <is>
          <t>en es fr de it pt ja ko ru 汉语 漢語</t>
        </is>
      </c>
      <c r="G879" t="n">
        <v>1700</v>
      </c>
      <c r="H879">
        <f>MONTH(NOW())+12*YEAR(NOW())-MONTH(tbl_MTG_Set[[#This Row],[Released On]])-12*YEAR(tbl_MTG_Set[[#This Row],[Released On]])</f>
        <v/>
      </c>
      <c r="I879">
        <f>_xlfn.XLOOKUP(tbl_MTG_Set[[#This Row],[Type Name]], tbl_MTG_Set_Type[Set Type], tbl_MTG_Set_Type[Index], "(Set Type not found)")</f>
        <v/>
      </c>
      <c r="J879">
        <f>_xlfn.XLOOKUP(tbl_MTG_Set[[#This Row],[Type Name]], tbl_MTG_Set_Type[Set Type], tbl_MTG_Set_Type[Buy Window Month Start], "(Set Type not found)")</f>
        <v/>
      </c>
      <c r="K879" s="3">
        <f>tbl_MTG_Set[[#This Row],[Released On]]+tbl_MTG_Set[[#This Row],[Buy Window Month Start]]*365.25/12</f>
        <v/>
      </c>
      <c r="L879">
        <f>_xlfn.XLOOKUP(tbl_MTG_Set[[#This Row],[Type Name]], tbl_MTG_Set_Type[Set Type], tbl_MTG_Set_Type[Buy Window Month End], "(Set Type not found)", 0, 1)</f>
        <v/>
      </c>
      <c r="M879" s="3">
        <f>tbl_MTG_Set[[#This Row],[Released On]]+tbl_MTG_Set[[#This Row],[Buy Window Month End]]*365.25/12</f>
        <v/>
      </c>
      <c r="N879" s="3">
        <f>AND(NOW()&gt;=tbl_MTG_Set[[#This Row],[Buy Window Start]], NOW()&lt;=tbl_MTG_Set[[#This Row],[Buy Window End]])</f>
        <v/>
      </c>
      <c r="O879">
        <f>_xlfn.XLOOKUP(tbl_MTG_Set[[#This Row],[Type Name]], tbl_MTG_Set_Type[Set Type], tbl_MTG_Set_Type[Heavy Printing Window Month Start], "(Set Type not found)", 0, 1)</f>
        <v/>
      </c>
      <c r="P879" s="3">
        <f>tbl_MTG_Set[[#This Row],[Released On]]+tbl_MTG_Set[[#This Row],[Heavy Printing Window Month Start]]*365.25/12</f>
        <v/>
      </c>
      <c r="Q879">
        <f>_xlfn.XLOOKUP(tbl_MTG_Set[[#This Row],[Type Name]], tbl_MTG_Set_Type[Set Type], tbl_MTG_Set_Type[Heavy Printing Window Month End], "(Set Type not found)", 0, 1)</f>
        <v/>
      </c>
      <c r="R879" s="3">
        <f>tbl_MTG_Set[[#This Row],[Released On]]+tbl_MTG_Set[[#This Row],[Heavy Printing Window Month End]]*365.25/12</f>
        <v/>
      </c>
      <c r="S879" s="3">
        <f>AND(NOW()&gt;=tbl_MTG_Set[[#This Row],[Heavy Printing Window Start]], NOW()&lt;=tbl_MTG_Set[[#This Row],[Heavy Printing Window End]])</f>
        <v/>
      </c>
      <c r="T879">
        <f>_xlfn.XLOOKUP(tbl_MTG_Set[[#This Row],[Type Name]], tbl_MTG_Set_Type[Set Type], tbl_MTG_Set_Type[Sell Window Month Start], "(Set Type not found)", 0, 1)</f>
        <v/>
      </c>
      <c r="U879" s="3">
        <f>tbl_MTG_Set[[#This Row],[Released On]]+tbl_MTG_Set[[#This Row],[Sell Window Month Start]]*365.25/12</f>
        <v/>
      </c>
      <c r="V879">
        <f>_xlfn.XLOOKUP(tbl_MTG_Set[[#This Row],[Type Name]], tbl_MTG_Set_Type[Set Type], tbl_MTG_Set_Type[Sell Window Month End], "(Set Type not found)", 0, 1)</f>
        <v/>
      </c>
      <c r="W879" s="3">
        <f>tbl_MTG_Set[[#This Row],[Released On]]+tbl_MTG_Set[[#This Row],[Sell Window Month End]]*365.25/12</f>
        <v/>
      </c>
      <c r="X879" s="3">
        <f>AND(NOW()&gt;=tbl_MTG_Set[[#This Row],[Sell Window Start]], NOW()&lt;=tbl_MTG_Set[[#This Row],[Sell Window End]])</f>
        <v/>
      </c>
      <c r="AG879" s="10" t="n"/>
      <c r="AH879" s="10" t="n"/>
      <c r="AM879" s="10">
        <f t="array" ref="AM8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9" s="10">
        <f t="array" ref="AN8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9" s="4">
        <f>_xlfn.XLOOKUP(tbl_MTG_Set[[#This Row],[Play Booster Box Product Id]], tbl_Product[Product Id], tbl_Product[Pack Size])</f>
        <v/>
      </c>
      <c r="AP879" s="10">
        <f>(tbl_MTG_Set[[#This Row],[Play Booster Box Cost]]+v_Item_Shipping_Cost_In)/tbl_MTG_Set[[#This Row],[Play Booster Box Size]]</f>
        <v/>
      </c>
      <c r="AQ879" s="10">
        <f t="array" ref="AQ8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79" s="10" t="n"/>
      <c r="AS879" s="10" t="n"/>
      <c r="AT879" s="17">
        <f>tbl_MTG_Set[[#This Row],[Play Booster CardMarket Profit]]/tbl_MTG_Set[[#This Row],[Play Booster Cost]]</f>
        <v/>
      </c>
      <c r="AU879" s="10">
        <f>_xlfn.XLOOKUP(tbl_MTG_Set[[#This Row],[Collector Booster Box Product Id]], tbl_Product[Product Id], tbl_Product[Min Cost])</f>
        <v/>
      </c>
      <c r="AV879" s="10">
        <f>_xlfn.XLOOKUP(tbl_MTG_Set[[#This Row],[Collector Booster Box Product Id]], tbl_Product[Product Id], tbl_Product[Best Source])</f>
        <v/>
      </c>
      <c r="AW879" s="4">
        <f>_xlfn.XLOOKUP(tbl_MTG_Set[[#This Row],[Collector Booster Box Product Id]], tbl_Product[Product Id], tbl_Product[Pack Size])</f>
        <v/>
      </c>
      <c r="AX879" s="10">
        <f>(tbl_MTG_Set[[#This Row],[Collector Booster Box Cost]] + v_Item_Shipping_Cost_In) / tbl_MTG_Set[[#This Row],[Collector Booster Box Size]]</f>
        <v/>
      </c>
      <c r="AY879" s="10">
        <f t="array" ref="AY8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79" s="10" t="n"/>
      <c r="BA8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9" s="17">
        <f>tbl_MTG_Set[[#This Row],[Collector Booster CardMarket Profit]]/tbl_MTG_Set[[#This Row],[Collector Booster Cost]]</f>
        <v/>
      </c>
      <c r="BC879" s="10" t="n"/>
      <c r="BF879" s="10">
        <f>tbl_MTG_Set[[#This Row],[Play Booster Sell Price CardMarket]]*tbl_MTG_Set[[#This Row],[Play Booster Expected Market Value]]/tbl_MTG_Set[[#This Row],[Play Boost Sealed Market Value]]</f>
        <v/>
      </c>
      <c r="BG8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9" s="10">
        <f>tbl_MTG_Set[[#This Row],[Play Singles CardMarket Profit]]/tbl_MTG_Set[[#This Row],[Play Booster Cost]]</f>
        <v/>
      </c>
      <c r="BI879" s="10">
        <f>tbl_MTG_Set[[#This Row],[Play Singles CardMarket Profit]]&gt;0</f>
        <v/>
      </c>
      <c r="BJ879" s="10" t="n"/>
      <c r="BK879" s="10" t="n"/>
      <c r="BL879" s="10">
        <f>tbl_MTG_Set[[#This Row],[Collector Booster Sell Price CardMarket]]*tbl_MTG_Set[[#This Row],[Collector Booster Expected Market Value]]/tbl_MTG_Set[[#This Row],[Collector Boost Sealed Market Value]]</f>
        <v/>
      </c>
      <c r="BM8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9" s="10">
        <f>tbl_MTG_Set[[#This Row],[Collector Singles CardMarket Profit]]/tbl_MTG_Set[[#This Row],[Collector Booster Cost]]</f>
        <v/>
      </c>
      <c r="BO879" s="10">
        <f>tbl_MTG_Set[[#This Row],[Collector Singles CardMarket Profit]]&gt;0</f>
        <v/>
      </c>
      <c r="BP8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0">
      <c r="A880" t="n">
        <v>878</v>
      </c>
      <c r="B880" t="inlineStr">
        <is>
          <t>Unhinged Promos PUNH</t>
        </is>
      </c>
      <c r="C880" t="n">
        <v>1</v>
      </c>
      <c r="D880" s="3" t="n">
        <v>38310</v>
      </c>
      <c r="F880" t="inlineStr">
        <is>
          <t>en es fr de it pt ja ko ru 汉语 漢語</t>
        </is>
      </c>
      <c r="G880" t="n">
        <v>1702</v>
      </c>
      <c r="H880">
        <f>MONTH(NOW())+12*YEAR(NOW())-MONTH(tbl_MTG_Set[[#This Row],[Released On]])-12*YEAR(tbl_MTG_Set[[#This Row],[Released On]])</f>
        <v/>
      </c>
      <c r="I880">
        <f>_xlfn.XLOOKUP(tbl_MTG_Set[[#This Row],[Type Name]], tbl_MTG_Set_Type[Set Type], tbl_MTG_Set_Type[Index], "(Set Type not found)")</f>
        <v/>
      </c>
      <c r="J880">
        <f>_xlfn.XLOOKUP(tbl_MTG_Set[[#This Row],[Type Name]], tbl_MTG_Set_Type[Set Type], tbl_MTG_Set_Type[Buy Window Month Start], "(Set Type not found)")</f>
        <v/>
      </c>
      <c r="K880" s="3">
        <f>tbl_MTG_Set[[#This Row],[Released On]]+tbl_MTG_Set[[#This Row],[Buy Window Month Start]]*365.25/12</f>
        <v/>
      </c>
      <c r="L880">
        <f>_xlfn.XLOOKUP(tbl_MTG_Set[[#This Row],[Type Name]], tbl_MTG_Set_Type[Set Type], tbl_MTG_Set_Type[Buy Window Month End], "(Set Type not found)", 0, 1)</f>
        <v/>
      </c>
      <c r="M880" s="3">
        <f>tbl_MTG_Set[[#This Row],[Released On]]+tbl_MTG_Set[[#This Row],[Buy Window Month End]]*365.25/12</f>
        <v/>
      </c>
      <c r="N880" s="3">
        <f>AND(NOW()&gt;=tbl_MTG_Set[[#This Row],[Buy Window Start]], NOW()&lt;=tbl_MTG_Set[[#This Row],[Buy Window End]])</f>
        <v/>
      </c>
      <c r="O880">
        <f>_xlfn.XLOOKUP(tbl_MTG_Set[[#This Row],[Type Name]], tbl_MTG_Set_Type[Set Type], tbl_MTG_Set_Type[Heavy Printing Window Month Start], "(Set Type not found)", 0, 1)</f>
        <v/>
      </c>
      <c r="P880" s="3">
        <f>tbl_MTG_Set[[#This Row],[Released On]]+tbl_MTG_Set[[#This Row],[Heavy Printing Window Month Start]]*365.25/12</f>
        <v/>
      </c>
      <c r="Q880">
        <f>_xlfn.XLOOKUP(tbl_MTG_Set[[#This Row],[Type Name]], tbl_MTG_Set_Type[Set Type], tbl_MTG_Set_Type[Heavy Printing Window Month End], "(Set Type not found)", 0, 1)</f>
        <v/>
      </c>
      <c r="R880" s="3">
        <f>tbl_MTG_Set[[#This Row],[Released On]]+tbl_MTG_Set[[#This Row],[Heavy Printing Window Month End]]*365.25/12</f>
        <v/>
      </c>
      <c r="S880" s="3">
        <f>AND(NOW()&gt;=tbl_MTG_Set[[#This Row],[Heavy Printing Window Start]], NOW()&lt;=tbl_MTG_Set[[#This Row],[Heavy Printing Window End]])</f>
        <v/>
      </c>
      <c r="T880">
        <f>_xlfn.XLOOKUP(tbl_MTG_Set[[#This Row],[Type Name]], tbl_MTG_Set_Type[Set Type], tbl_MTG_Set_Type[Sell Window Month Start], "(Set Type not found)", 0, 1)</f>
        <v/>
      </c>
      <c r="U880" s="3">
        <f>tbl_MTG_Set[[#This Row],[Released On]]+tbl_MTG_Set[[#This Row],[Sell Window Month Start]]*365.25/12</f>
        <v/>
      </c>
      <c r="V880">
        <f>_xlfn.XLOOKUP(tbl_MTG_Set[[#This Row],[Type Name]], tbl_MTG_Set_Type[Set Type], tbl_MTG_Set_Type[Sell Window Month End], "(Set Type not found)", 0, 1)</f>
        <v/>
      </c>
      <c r="W880" s="3">
        <f>tbl_MTG_Set[[#This Row],[Released On]]+tbl_MTG_Set[[#This Row],[Sell Window Month End]]*365.25/12</f>
        <v/>
      </c>
      <c r="X880" s="3">
        <f>AND(NOW()&gt;=tbl_MTG_Set[[#This Row],[Sell Window Start]], NOW()&lt;=tbl_MTG_Set[[#This Row],[Sell Window End]])</f>
        <v/>
      </c>
      <c r="AG880" s="10" t="n"/>
      <c r="AH880" s="10" t="n"/>
      <c r="AM880" s="10">
        <f t="array" ref="AM8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0" s="10">
        <f t="array" ref="AN8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0" s="4">
        <f>_xlfn.XLOOKUP(tbl_MTG_Set[[#This Row],[Play Booster Box Product Id]], tbl_Product[Product Id], tbl_Product[Pack Size])</f>
        <v/>
      </c>
      <c r="AP880" s="10">
        <f>(tbl_MTG_Set[[#This Row],[Play Booster Box Cost]]+v_Item_Shipping_Cost_In)/tbl_MTG_Set[[#This Row],[Play Booster Box Size]]</f>
        <v/>
      </c>
      <c r="AQ880" s="10">
        <f t="array" ref="AQ8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0" s="10" t="n"/>
      <c r="AS880" s="10" t="n"/>
      <c r="AT880" s="17">
        <f>tbl_MTG_Set[[#This Row],[Play Booster CardMarket Profit]]/tbl_MTG_Set[[#This Row],[Play Booster Cost]]</f>
        <v/>
      </c>
      <c r="AU880" s="10">
        <f>_xlfn.XLOOKUP(tbl_MTG_Set[[#This Row],[Collector Booster Box Product Id]], tbl_Product[Product Id], tbl_Product[Min Cost])</f>
        <v/>
      </c>
      <c r="AV880" s="10">
        <f>_xlfn.XLOOKUP(tbl_MTG_Set[[#This Row],[Collector Booster Box Product Id]], tbl_Product[Product Id], tbl_Product[Best Source])</f>
        <v/>
      </c>
      <c r="AW880" s="4">
        <f>_xlfn.XLOOKUP(tbl_MTG_Set[[#This Row],[Collector Booster Box Product Id]], tbl_Product[Product Id], tbl_Product[Pack Size])</f>
        <v/>
      </c>
      <c r="AX880" s="10">
        <f>(tbl_MTG_Set[[#This Row],[Collector Booster Box Cost]] + v_Item_Shipping_Cost_In) / tbl_MTG_Set[[#This Row],[Collector Booster Box Size]]</f>
        <v/>
      </c>
      <c r="AY880" s="10">
        <f t="array" ref="AY8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0" s="10" t="n"/>
      <c r="BA8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0" s="17">
        <f>tbl_MTG_Set[[#This Row],[Collector Booster CardMarket Profit]]/tbl_MTG_Set[[#This Row],[Collector Booster Cost]]</f>
        <v/>
      </c>
      <c r="BC880" s="10" t="n"/>
      <c r="BF880" s="10">
        <f>tbl_MTG_Set[[#This Row],[Play Booster Sell Price CardMarket]]*tbl_MTG_Set[[#This Row],[Play Booster Expected Market Value]]/tbl_MTG_Set[[#This Row],[Play Boost Sealed Market Value]]</f>
        <v/>
      </c>
      <c r="BG8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0" s="10">
        <f>tbl_MTG_Set[[#This Row],[Play Singles CardMarket Profit]]/tbl_MTG_Set[[#This Row],[Play Booster Cost]]</f>
        <v/>
      </c>
      <c r="BI880" s="10">
        <f>tbl_MTG_Set[[#This Row],[Play Singles CardMarket Profit]]&gt;0</f>
        <v/>
      </c>
      <c r="BJ880" s="10" t="n"/>
      <c r="BK880" s="10" t="n"/>
      <c r="BL880" s="10">
        <f>tbl_MTG_Set[[#This Row],[Collector Booster Sell Price CardMarket]]*tbl_MTG_Set[[#This Row],[Collector Booster Expected Market Value]]/tbl_MTG_Set[[#This Row],[Collector Boost Sealed Market Value]]</f>
        <v/>
      </c>
      <c r="BM8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0" s="10">
        <f>tbl_MTG_Set[[#This Row],[Collector Singles CardMarket Profit]]/tbl_MTG_Set[[#This Row],[Collector Booster Cost]]</f>
        <v/>
      </c>
      <c r="BO880" s="10">
        <f>tbl_MTG_Set[[#This Row],[Collector Singles CardMarket Profit]]&gt;0</f>
        <v/>
      </c>
      <c r="BP8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1">
      <c r="A881" t="n">
        <v>879</v>
      </c>
      <c r="B881" t="inlineStr">
        <is>
          <t>Champions of Kamigawa CHK</t>
        </is>
      </c>
      <c r="C881" t="n">
        <v>307</v>
      </c>
      <c r="D881" s="3" t="n">
        <v>38261</v>
      </c>
      <c r="F881" t="inlineStr">
        <is>
          <t>en es fr de it pt ja ko ru 汉语 漢語</t>
        </is>
      </c>
      <c r="G881" t="n">
        <v>1704</v>
      </c>
      <c r="H881">
        <f>MONTH(NOW())+12*YEAR(NOW())-MONTH(tbl_MTG_Set[[#This Row],[Released On]])-12*YEAR(tbl_MTG_Set[[#This Row],[Released On]])</f>
        <v/>
      </c>
      <c r="I881">
        <f>_xlfn.XLOOKUP(tbl_MTG_Set[[#This Row],[Type Name]], tbl_MTG_Set_Type[Set Type], tbl_MTG_Set_Type[Index], "(Set Type not found)")</f>
        <v/>
      </c>
      <c r="J881">
        <f>_xlfn.XLOOKUP(tbl_MTG_Set[[#This Row],[Type Name]], tbl_MTG_Set_Type[Set Type], tbl_MTG_Set_Type[Buy Window Month Start], "(Set Type not found)")</f>
        <v/>
      </c>
      <c r="K881" s="3">
        <f>tbl_MTG_Set[[#This Row],[Released On]]+tbl_MTG_Set[[#This Row],[Buy Window Month Start]]*365.25/12</f>
        <v/>
      </c>
      <c r="L881">
        <f>_xlfn.XLOOKUP(tbl_MTG_Set[[#This Row],[Type Name]], tbl_MTG_Set_Type[Set Type], tbl_MTG_Set_Type[Buy Window Month End], "(Set Type not found)", 0, 1)</f>
        <v/>
      </c>
      <c r="M881" s="3">
        <f>tbl_MTG_Set[[#This Row],[Released On]]+tbl_MTG_Set[[#This Row],[Buy Window Month End]]*365.25/12</f>
        <v/>
      </c>
      <c r="N881" s="3">
        <f>AND(NOW()&gt;=tbl_MTG_Set[[#This Row],[Buy Window Start]], NOW()&lt;=tbl_MTG_Set[[#This Row],[Buy Window End]])</f>
        <v/>
      </c>
      <c r="O881">
        <f>_xlfn.XLOOKUP(tbl_MTG_Set[[#This Row],[Type Name]], tbl_MTG_Set_Type[Set Type], tbl_MTG_Set_Type[Heavy Printing Window Month Start], "(Set Type not found)", 0, 1)</f>
        <v/>
      </c>
      <c r="P881" s="3">
        <f>tbl_MTG_Set[[#This Row],[Released On]]+tbl_MTG_Set[[#This Row],[Heavy Printing Window Month Start]]*365.25/12</f>
        <v/>
      </c>
      <c r="Q881">
        <f>_xlfn.XLOOKUP(tbl_MTG_Set[[#This Row],[Type Name]], tbl_MTG_Set_Type[Set Type], tbl_MTG_Set_Type[Heavy Printing Window Month End], "(Set Type not found)", 0, 1)</f>
        <v/>
      </c>
      <c r="R881" s="3">
        <f>tbl_MTG_Set[[#This Row],[Released On]]+tbl_MTG_Set[[#This Row],[Heavy Printing Window Month End]]*365.25/12</f>
        <v/>
      </c>
      <c r="S881" s="3">
        <f>AND(NOW()&gt;=tbl_MTG_Set[[#This Row],[Heavy Printing Window Start]], NOW()&lt;=tbl_MTG_Set[[#This Row],[Heavy Printing Window End]])</f>
        <v/>
      </c>
      <c r="T881">
        <f>_xlfn.XLOOKUP(tbl_MTG_Set[[#This Row],[Type Name]], tbl_MTG_Set_Type[Set Type], tbl_MTG_Set_Type[Sell Window Month Start], "(Set Type not found)", 0, 1)</f>
        <v/>
      </c>
      <c r="U881" s="3">
        <f>tbl_MTG_Set[[#This Row],[Released On]]+tbl_MTG_Set[[#This Row],[Sell Window Month Start]]*365.25/12</f>
        <v/>
      </c>
      <c r="V881">
        <f>_xlfn.XLOOKUP(tbl_MTG_Set[[#This Row],[Type Name]], tbl_MTG_Set_Type[Set Type], tbl_MTG_Set_Type[Sell Window Month End], "(Set Type not found)", 0, 1)</f>
        <v/>
      </c>
      <c r="W881" s="3">
        <f>tbl_MTG_Set[[#This Row],[Released On]]+tbl_MTG_Set[[#This Row],[Sell Window Month End]]*365.25/12</f>
        <v/>
      </c>
      <c r="X881" s="3">
        <f>AND(NOW()&gt;=tbl_MTG_Set[[#This Row],[Sell Window Start]], NOW()&lt;=tbl_MTG_Set[[#This Row],[Sell Window End]])</f>
        <v/>
      </c>
      <c r="AG881" s="10" t="n"/>
      <c r="AH881" s="10" t="n"/>
      <c r="AM881" s="10">
        <f t="array" ref="AM8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1" s="10">
        <f t="array" ref="AN8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1" s="4">
        <f>_xlfn.XLOOKUP(tbl_MTG_Set[[#This Row],[Play Booster Box Product Id]], tbl_Product[Product Id], tbl_Product[Pack Size])</f>
        <v/>
      </c>
      <c r="AP881" s="10">
        <f>(tbl_MTG_Set[[#This Row],[Play Booster Box Cost]]+v_Item_Shipping_Cost_In)/tbl_MTG_Set[[#This Row],[Play Booster Box Size]]</f>
        <v/>
      </c>
      <c r="AQ881" s="10">
        <f t="array" ref="AQ8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1" s="10" t="n"/>
      <c r="AS881" s="10" t="n"/>
      <c r="AT881" s="17">
        <f>tbl_MTG_Set[[#This Row],[Play Booster CardMarket Profit]]/tbl_MTG_Set[[#This Row],[Play Booster Cost]]</f>
        <v/>
      </c>
      <c r="AU881" s="10">
        <f>_xlfn.XLOOKUP(tbl_MTG_Set[[#This Row],[Collector Booster Box Product Id]], tbl_Product[Product Id], tbl_Product[Min Cost])</f>
        <v/>
      </c>
      <c r="AV881" s="10">
        <f>_xlfn.XLOOKUP(tbl_MTG_Set[[#This Row],[Collector Booster Box Product Id]], tbl_Product[Product Id], tbl_Product[Best Source])</f>
        <v/>
      </c>
      <c r="AW881" s="4">
        <f>_xlfn.XLOOKUP(tbl_MTG_Set[[#This Row],[Collector Booster Box Product Id]], tbl_Product[Product Id], tbl_Product[Pack Size])</f>
        <v/>
      </c>
      <c r="AX881" s="10">
        <f>(tbl_MTG_Set[[#This Row],[Collector Booster Box Cost]] + v_Item_Shipping_Cost_In) / tbl_MTG_Set[[#This Row],[Collector Booster Box Size]]</f>
        <v/>
      </c>
      <c r="AY881" s="10">
        <f t="array" ref="AY8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1" s="10" t="n"/>
      <c r="BA8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1" s="17">
        <f>tbl_MTG_Set[[#This Row],[Collector Booster CardMarket Profit]]/tbl_MTG_Set[[#This Row],[Collector Booster Cost]]</f>
        <v/>
      </c>
      <c r="BC881" s="10" t="n"/>
      <c r="BF881" s="10">
        <f>tbl_MTG_Set[[#This Row],[Play Booster Sell Price CardMarket]]*tbl_MTG_Set[[#This Row],[Play Booster Expected Market Value]]/tbl_MTG_Set[[#This Row],[Play Boost Sealed Market Value]]</f>
        <v/>
      </c>
      <c r="BG8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1" s="10">
        <f>tbl_MTG_Set[[#This Row],[Play Singles CardMarket Profit]]/tbl_MTG_Set[[#This Row],[Play Booster Cost]]</f>
        <v/>
      </c>
      <c r="BI881" s="10">
        <f>tbl_MTG_Set[[#This Row],[Play Singles CardMarket Profit]]&gt;0</f>
        <v/>
      </c>
      <c r="BJ881" s="10" t="n"/>
      <c r="BK881" s="10" t="n"/>
      <c r="BL881" s="10">
        <f>tbl_MTG_Set[[#This Row],[Collector Booster Sell Price CardMarket]]*tbl_MTG_Set[[#This Row],[Collector Booster Expected Market Value]]/tbl_MTG_Set[[#This Row],[Collector Boost Sealed Market Value]]</f>
        <v/>
      </c>
      <c r="BM8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1" s="10">
        <f>tbl_MTG_Set[[#This Row],[Collector Singles CardMarket Profit]]/tbl_MTG_Set[[#This Row],[Collector Booster Cost]]</f>
        <v/>
      </c>
      <c r="BO881" s="10">
        <f>tbl_MTG_Set[[#This Row],[Collector Singles CardMarket Profit]]&gt;0</f>
        <v/>
      </c>
      <c r="BP8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2">
      <c r="A882" t="n">
        <v>880</v>
      </c>
      <c r="B882" t="inlineStr">
        <is>
          <t>Champions of Kamigawa Promos PCHK</t>
        </is>
      </c>
      <c r="C882" t="n">
        <v>1</v>
      </c>
      <c r="D882" s="3" t="n">
        <v>38261</v>
      </c>
      <c r="F882" t="inlineStr">
        <is>
          <t>en es fr de it pt ja ko ru 汉语 漢語</t>
        </is>
      </c>
      <c r="G882" t="n">
        <v>1706</v>
      </c>
      <c r="H882">
        <f>MONTH(NOW())+12*YEAR(NOW())-MONTH(tbl_MTG_Set[[#This Row],[Released On]])-12*YEAR(tbl_MTG_Set[[#This Row],[Released On]])</f>
        <v/>
      </c>
      <c r="I882">
        <f>_xlfn.XLOOKUP(tbl_MTG_Set[[#This Row],[Type Name]], tbl_MTG_Set_Type[Set Type], tbl_MTG_Set_Type[Index], "(Set Type not found)")</f>
        <v/>
      </c>
      <c r="J882">
        <f>_xlfn.XLOOKUP(tbl_MTG_Set[[#This Row],[Type Name]], tbl_MTG_Set_Type[Set Type], tbl_MTG_Set_Type[Buy Window Month Start], "(Set Type not found)")</f>
        <v/>
      </c>
      <c r="K882" s="3">
        <f>tbl_MTG_Set[[#This Row],[Released On]]+tbl_MTG_Set[[#This Row],[Buy Window Month Start]]*365.25/12</f>
        <v/>
      </c>
      <c r="L882">
        <f>_xlfn.XLOOKUP(tbl_MTG_Set[[#This Row],[Type Name]], tbl_MTG_Set_Type[Set Type], tbl_MTG_Set_Type[Buy Window Month End], "(Set Type not found)", 0, 1)</f>
        <v/>
      </c>
      <c r="M882" s="3">
        <f>tbl_MTG_Set[[#This Row],[Released On]]+tbl_MTG_Set[[#This Row],[Buy Window Month End]]*365.25/12</f>
        <v/>
      </c>
      <c r="N882" s="3">
        <f>AND(NOW()&gt;=tbl_MTG_Set[[#This Row],[Buy Window Start]], NOW()&lt;=tbl_MTG_Set[[#This Row],[Buy Window End]])</f>
        <v/>
      </c>
      <c r="O882">
        <f>_xlfn.XLOOKUP(tbl_MTG_Set[[#This Row],[Type Name]], tbl_MTG_Set_Type[Set Type], tbl_MTG_Set_Type[Heavy Printing Window Month Start], "(Set Type not found)", 0, 1)</f>
        <v/>
      </c>
      <c r="P882" s="3">
        <f>tbl_MTG_Set[[#This Row],[Released On]]+tbl_MTG_Set[[#This Row],[Heavy Printing Window Month Start]]*365.25/12</f>
        <v/>
      </c>
      <c r="Q882">
        <f>_xlfn.XLOOKUP(tbl_MTG_Set[[#This Row],[Type Name]], tbl_MTG_Set_Type[Set Type], tbl_MTG_Set_Type[Heavy Printing Window Month End], "(Set Type not found)", 0, 1)</f>
        <v/>
      </c>
      <c r="R882" s="3">
        <f>tbl_MTG_Set[[#This Row],[Released On]]+tbl_MTG_Set[[#This Row],[Heavy Printing Window Month End]]*365.25/12</f>
        <v/>
      </c>
      <c r="S882" s="3">
        <f>AND(NOW()&gt;=tbl_MTG_Set[[#This Row],[Heavy Printing Window Start]], NOW()&lt;=tbl_MTG_Set[[#This Row],[Heavy Printing Window End]])</f>
        <v/>
      </c>
      <c r="T882">
        <f>_xlfn.XLOOKUP(tbl_MTG_Set[[#This Row],[Type Name]], tbl_MTG_Set_Type[Set Type], tbl_MTG_Set_Type[Sell Window Month Start], "(Set Type not found)", 0, 1)</f>
        <v/>
      </c>
      <c r="U882" s="3">
        <f>tbl_MTG_Set[[#This Row],[Released On]]+tbl_MTG_Set[[#This Row],[Sell Window Month Start]]*365.25/12</f>
        <v/>
      </c>
      <c r="V882">
        <f>_xlfn.XLOOKUP(tbl_MTG_Set[[#This Row],[Type Name]], tbl_MTG_Set_Type[Set Type], tbl_MTG_Set_Type[Sell Window Month End], "(Set Type not found)", 0, 1)</f>
        <v/>
      </c>
      <c r="W882" s="3">
        <f>tbl_MTG_Set[[#This Row],[Released On]]+tbl_MTG_Set[[#This Row],[Sell Window Month End]]*365.25/12</f>
        <v/>
      </c>
      <c r="X882" s="3">
        <f>AND(NOW()&gt;=tbl_MTG_Set[[#This Row],[Sell Window Start]], NOW()&lt;=tbl_MTG_Set[[#This Row],[Sell Window End]])</f>
        <v/>
      </c>
      <c r="AG882" s="10" t="n"/>
      <c r="AH882" s="10" t="n"/>
      <c r="AM882" s="10">
        <f t="array" ref="AM8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2" s="10">
        <f t="array" ref="AN8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2" s="4">
        <f>_xlfn.XLOOKUP(tbl_MTG_Set[[#This Row],[Play Booster Box Product Id]], tbl_Product[Product Id], tbl_Product[Pack Size])</f>
        <v/>
      </c>
      <c r="AP882" s="10">
        <f>(tbl_MTG_Set[[#This Row],[Play Booster Box Cost]]+v_Item_Shipping_Cost_In)/tbl_MTG_Set[[#This Row],[Play Booster Box Size]]</f>
        <v/>
      </c>
      <c r="AQ882" s="10">
        <f t="array" ref="AQ8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2" s="10" t="n"/>
      <c r="AS882" s="10" t="n"/>
      <c r="AT882" s="17">
        <f>tbl_MTG_Set[[#This Row],[Play Booster CardMarket Profit]]/tbl_MTG_Set[[#This Row],[Play Booster Cost]]</f>
        <v/>
      </c>
      <c r="AU882" s="10">
        <f>_xlfn.XLOOKUP(tbl_MTG_Set[[#This Row],[Collector Booster Box Product Id]], tbl_Product[Product Id], tbl_Product[Min Cost])</f>
        <v/>
      </c>
      <c r="AV882" s="10">
        <f>_xlfn.XLOOKUP(tbl_MTG_Set[[#This Row],[Collector Booster Box Product Id]], tbl_Product[Product Id], tbl_Product[Best Source])</f>
        <v/>
      </c>
      <c r="AW882" s="4">
        <f>_xlfn.XLOOKUP(tbl_MTG_Set[[#This Row],[Collector Booster Box Product Id]], tbl_Product[Product Id], tbl_Product[Pack Size])</f>
        <v/>
      </c>
      <c r="AX882" s="10">
        <f>(tbl_MTG_Set[[#This Row],[Collector Booster Box Cost]] + v_Item_Shipping_Cost_In) / tbl_MTG_Set[[#This Row],[Collector Booster Box Size]]</f>
        <v/>
      </c>
      <c r="AY882" s="10">
        <f t="array" ref="AY8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2" s="10" t="n"/>
      <c r="BA8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2" s="17">
        <f>tbl_MTG_Set[[#This Row],[Collector Booster CardMarket Profit]]/tbl_MTG_Set[[#This Row],[Collector Booster Cost]]</f>
        <v/>
      </c>
      <c r="BC882" s="10" t="n"/>
      <c r="BF882" s="10">
        <f>tbl_MTG_Set[[#This Row],[Play Booster Sell Price CardMarket]]*tbl_MTG_Set[[#This Row],[Play Booster Expected Market Value]]/tbl_MTG_Set[[#This Row],[Play Boost Sealed Market Value]]</f>
        <v/>
      </c>
      <c r="BG8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2" s="10">
        <f>tbl_MTG_Set[[#This Row],[Play Singles CardMarket Profit]]/tbl_MTG_Set[[#This Row],[Play Booster Cost]]</f>
        <v/>
      </c>
      <c r="BI882" s="10">
        <f>tbl_MTG_Set[[#This Row],[Play Singles CardMarket Profit]]&gt;0</f>
        <v/>
      </c>
      <c r="BJ882" s="10" t="n"/>
      <c r="BK882" s="10" t="n"/>
      <c r="BL882" s="10">
        <f>tbl_MTG_Set[[#This Row],[Collector Booster Sell Price CardMarket]]*tbl_MTG_Set[[#This Row],[Collector Booster Expected Market Value]]/tbl_MTG_Set[[#This Row],[Collector Boost Sealed Market Value]]</f>
        <v/>
      </c>
      <c r="BM8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2" s="10">
        <f>tbl_MTG_Set[[#This Row],[Collector Singles CardMarket Profit]]/tbl_MTG_Set[[#This Row],[Collector Booster Cost]]</f>
        <v/>
      </c>
      <c r="BO882" s="10">
        <f>tbl_MTG_Set[[#This Row],[Collector Singles CardMarket Profit]]&gt;0</f>
        <v/>
      </c>
      <c r="BP8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3">
      <c r="A883" t="n">
        <v>881</v>
      </c>
      <c r="B883" t="inlineStr">
        <is>
          <t>World Championship Decks 2004 WC04</t>
        </is>
      </c>
      <c r="C883" t="n">
        <v>103</v>
      </c>
      <c r="D883" s="3" t="n">
        <v>38231</v>
      </c>
      <c r="F883" t="inlineStr">
        <is>
          <t>en es fr de it pt ja ko ru 汉语 漢語</t>
        </is>
      </c>
      <c r="G883" t="n">
        <v>1708</v>
      </c>
      <c r="H883">
        <f>MONTH(NOW())+12*YEAR(NOW())-MONTH(tbl_MTG_Set[[#This Row],[Released On]])-12*YEAR(tbl_MTG_Set[[#This Row],[Released On]])</f>
        <v/>
      </c>
      <c r="I883">
        <f>_xlfn.XLOOKUP(tbl_MTG_Set[[#This Row],[Type Name]], tbl_MTG_Set_Type[Set Type], tbl_MTG_Set_Type[Index], "(Set Type not found)")</f>
        <v/>
      </c>
      <c r="J883">
        <f>_xlfn.XLOOKUP(tbl_MTG_Set[[#This Row],[Type Name]], tbl_MTG_Set_Type[Set Type], tbl_MTG_Set_Type[Buy Window Month Start], "(Set Type not found)")</f>
        <v/>
      </c>
      <c r="K883" s="3">
        <f>tbl_MTG_Set[[#This Row],[Released On]]+tbl_MTG_Set[[#This Row],[Buy Window Month Start]]*365.25/12</f>
        <v/>
      </c>
      <c r="L883">
        <f>_xlfn.XLOOKUP(tbl_MTG_Set[[#This Row],[Type Name]], tbl_MTG_Set_Type[Set Type], tbl_MTG_Set_Type[Buy Window Month End], "(Set Type not found)", 0, 1)</f>
        <v/>
      </c>
      <c r="M883" s="3">
        <f>tbl_MTG_Set[[#This Row],[Released On]]+tbl_MTG_Set[[#This Row],[Buy Window Month End]]*365.25/12</f>
        <v/>
      </c>
      <c r="N883" s="3">
        <f>AND(NOW()&gt;=tbl_MTG_Set[[#This Row],[Buy Window Start]], NOW()&lt;=tbl_MTG_Set[[#This Row],[Buy Window End]])</f>
        <v/>
      </c>
      <c r="O883">
        <f>_xlfn.XLOOKUP(tbl_MTG_Set[[#This Row],[Type Name]], tbl_MTG_Set_Type[Set Type], tbl_MTG_Set_Type[Heavy Printing Window Month Start], "(Set Type not found)", 0, 1)</f>
        <v/>
      </c>
      <c r="P883" s="3">
        <f>tbl_MTG_Set[[#This Row],[Released On]]+tbl_MTG_Set[[#This Row],[Heavy Printing Window Month Start]]*365.25/12</f>
        <v/>
      </c>
      <c r="Q883">
        <f>_xlfn.XLOOKUP(tbl_MTG_Set[[#This Row],[Type Name]], tbl_MTG_Set_Type[Set Type], tbl_MTG_Set_Type[Heavy Printing Window Month End], "(Set Type not found)", 0, 1)</f>
        <v/>
      </c>
      <c r="R883" s="3">
        <f>tbl_MTG_Set[[#This Row],[Released On]]+tbl_MTG_Set[[#This Row],[Heavy Printing Window Month End]]*365.25/12</f>
        <v/>
      </c>
      <c r="S883" s="3">
        <f>AND(NOW()&gt;=tbl_MTG_Set[[#This Row],[Heavy Printing Window Start]], NOW()&lt;=tbl_MTG_Set[[#This Row],[Heavy Printing Window End]])</f>
        <v/>
      </c>
      <c r="T883">
        <f>_xlfn.XLOOKUP(tbl_MTG_Set[[#This Row],[Type Name]], tbl_MTG_Set_Type[Set Type], tbl_MTG_Set_Type[Sell Window Month Start], "(Set Type not found)", 0, 1)</f>
        <v/>
      </c>
      <c r="U883" s="3">
        <f>tbl_MTG_Set[[#This Row],[Released On]]+tbl_MTG_Set[[#This Row],[Sell Window Month Start]]*365.25/12</f>
        <v/>
      </c>
      <c r="V883">
        <f>_xlfn.XLOOKUP(tbl_MTG_Set[[#This Row],[Type Name]], tbl_MTG_Set_Type[Set Type], tbl_MTG_Set_Type[Sell Window Month End], "(Set Type not found)", 0, 1)</f>
        <v/>
      </c>
      <c r="W883" s="3">
        <f>tbl_MTG_Set[[#This Row],[Released On]]+tbl_MTG_Set[[#This Row],[Sell Window Month End]]*365.25/12</f>
        <v/>
      </c>
      <c r="X883" s="3">
        <f>AND(NOW()&gt;=tbl_MTG_Set[[#This Row],[Sell Window Start]], NOW()&lt;=tbl_MTG_Set[[#This Row],[Sell Window End]])</f>
        <v/>
      </c>
      <c r="AG883" s="10" t="n"/>
      <c r="AH883" s="10" t="n"/>
      <c r="AM883" s="10">
        <f t="array" ref="AM8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3" s="10">
        <f t="array" ref="AN8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3" s="4">
        <f>_xlfn.XLOOKUP(tbl_MTG_Set[[#This Row],[Play Booster Box Product Id]], tbl_Product[Product Id], tbl_Product[Pack Size])</f>
        <v/>
      </c>
      <c r="AP883" s="10">
        <f>(tbl_MTG_Set[[#This Row],[Play Booster Box Cost]]+v_Item_Shipping_Cost_In)/tbl_MTG_Set[[#This Row],[Play Booster Box Size]]</f>
        <v/>
      </c>
      <c r="AQ883" s="10">
        <f t="array" ref="AQ8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3" s="10" t="n"/>
      <c r="AS883" s="10" t="n"/>
      <c r="AT883" s="17">
        <f>tbl_MTG_Set[[#This Row],[Play Booster CardMarket Profit]]/tbl_MTG_Set[[#This Row],[Play Booster Cost]]</f>
        <v/>
      </c>
      <c r="AU883" s="10">
        <f>_xlfn.XLOOKUP(tbl_MTG_Set[[#This Row],[Collector Booster Box Product Id]], tbl_Product[Product Id], tbl_Product[Min Cost])</f>
        <v/>
      </c>
      <c r="AV883" s="10">
        <f>_xlfn.XLOOKUP(tbl_MTG_Set[[#This Row],[Collector Booster Box Product Id]], tbl_Product[Product Id], tbl_Product[Best Source])</f>
        <v/>
      </c>
      <c r="AW883" s="4">
        <f>_xlfn.XLOOKUP(tbl_MTG_Set[[#This Row],[Collector Booster Box Product Id]], tbl_Product[Product Id], tbl_Product[Pack Size])</f>
        <v/>
      </c>
      <c r="AX883" s="10">
        <f>(tbl_MTG_Set[[#This Row],[Collector Booster Box Cost]] + v_Item_Shipping_Cost_In) / tbl_MTG_Set[[#This Row],[Collector Booster Box Size]]</f>
        <v/>
      </c>
      <c r="AY883" s="10">
        <f t="array" ref="AY8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3" s="10" t="n"/>
      <c r="BA8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3" s="17">
        <f>tbl_MTG_Set[[#This Row],[Collector Booster CardMarket Profit]]/tbl_MTG_Set[[#This Row],[Collector Booster Cost]]</f>
        <v/>
      </c>
      <c r="BC883" s="10" t="n"/>
      <c r="BF883" s="10">
        <f>tbl_MTG_Set[[#This Row],[Play Booster Sell Price CardMarket]]*tbl_MTG_Set[[#This Row],[Play Booster Expected Market Value]]/tbl_MTG_Set[[#This Row],[Play Boost Sealed Market Value]]</f>
        <v/>
      </c>
      <c r="BG8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3" s="10">
        <f>tbl_MTG_Set[[#This Row],[Play Singles CardMarket Profit]]/tbl_MTG_Set[[#This Row],[Play Booster Cost]]</f>
        <v/>
      </c>
      <c r="BI883" s="10">
        <f>tbl_MTG_Set[[#This Row],[Play Singles CardMarket Profit]]&gt;0</f>
        <v/>
      </c>
      <c r="BJ883" s="10" t="n"/>
      <c r="BK883" s="10" t="n"/>
      <c r="BL883" s="10">
        <f>tbl_MTG_Set[[#This Row],[Collector Booster Sell Price CardMarket]]*tbl_MTG_Set[[#This Row],[Collector Booster Expected Market Value]]/tbl_MTG_Set[[#This Row],[Collector Boost Sealed Market Value]]</f>
        <v/>
      </c>
      <c r="BM8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3" s="10">
        <f>tbl_MTG_Set[[#This Row],[Collector Singles CardMarket Profit]]/tbl_MTG_Set[[#This Row],[Collector Booster Cost]]</f>
        <v/>
      </c>
      <c r="BO883" s="10">
        <f>tbl_MTG_Set[[#This Row],[Collector Singles CardMarket Profit]]&gt;0</f>
        <v/>
      </c>
      <c r="BP8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4">
      <c r="A884" t="n">
        <v>882</v>
      </c>
      <c r="B884" t="inlineStr">
        <is>
          <t>Fifth Dawn 5DN</t>
        </is>
      </c>
      <c r="C884" t="n">
        <v>165</v>
      </c>
      <c r="D884" s="3" t="n">
        <v>38142</v>
      </c>
      <c r="F884" t="inlineStr">
        <is>
          <t>en es fr de it pt ja ko ru 汉语 漢語</t>
        </is>
      </c>
      <c r="G884" t="n">
        <v>1710</v>
      </c>
      <c r="H884">
        <f>MONTH(NOW())+12*YEAR(NOW())-MONTH(tbl_MTG_Set[[#This Row],[Released On]])-12*YEAR(tbl_MTG_Set[[#This Row],[Released On]])</f>
        <v/>
      </c>
      <c r="I884">
        <f>_xlfn.XLOOKUP(tbl_MTG_Set[[#This Row],[Type Name]], tbl_MTG_Set_Type[Set Type], tbl_MTG_Set_Type[Index], "(Set Type not found)")</f>
        <v/>
      </c>
      <c r="J884">
        <f>_xlfn.XLOOKUP(tbl_MTG_Set[[#This Row],[Type Name]], tbl_MTG_Set_Type[Set Type], tbl_MTG_Set_Type[Buy Window Month Start], "(Set Type not found)")</f>
        <v/>
      </c>
      <c r="K884" s="3">
        <f>tbl_MTG_Set[[#This Row],[Released On]]+tbl_MTG_Set[[#This Row],[Buy Window Month Start]]*365.25/12</f>
        <v/>
      </c>
      <c r="L884">
        <f>_xlfn.XLOOKUP(tbl_MTG_Set[[#This Row],[Type Name]], tbl_MTG_Set_Type[Set Type], tbl_MTG_Set_Type[Buy Window Month End], "(Set Type not found)", 0, 1)</f>
        <v/>
      </c>
      <c r="M884" s="3">
        <f>tbl_MTG_Set[[#This Row],[Released On]]+tbl_MTG_Set[[#This Row],[Buy Window Month End]]*365.25/12</f>
        <v/>
      </c>
      <c r="N884" s="3">
        <f>AND(NOW()&gt;=tbl_MTG_Set[[#This Row],[Buy Window Start]], NOW()&lt;=tbl_MTG_Set[[#This Row],[Buy Window End]])</f>
        <v/>
      </c>
      <c r="O884">
        <f>_xlfn.XLOOKUP(tbl_MTG_Set[[#This Row],[Type Name]], tbl_MTG_Set_Type[Set Type], tbl_MTG_Set_Type[Heavy Printing Window Month Start], "(Set Type not found)", 0, 1)</f>
        <v/>
      </c>
      <c r="P884" s="3">
        <f>tbl_MTG_Set[[#This Row],[Released On]]+tbl_MTG_Set[[#This Row],[Heavy Printing Window Month Start]]*365.25/12</f>
        <v/>
      </c>
      <c r="Q884">
        <f>_xlfn.XLOOKUP(tbl_MTG_Set[[#This Row],[Type Name]], tbl_MTG_Set_Type[Set Type], tbl_MTG_Set_Type[Heavy Printing Window Month End], "(Set Type not found)", 0, 1)</f>
        <v/>
      </c>
      <c r="R884" s="3">
        <f>tbl_MTG_Set[[#This Row],[Released On]]+tbl_MTG_Set[[#This Row],[Heavy Printing Window Month End]]*365.25/12</f>
        <v/>
      </c>
      <c r="S884" s="3">
        <f>AND(NOW()&gt;=tbl_MTG_Set[[#This Row],[Heavy Printing Window Start]], NOW()&lt;=tbl_MTG_Set[[#This Row],[Heavy Printing Window End]])</f>
        <v/>
      </c>
      <c r="T884">
        <f>_xlfn.XLOOKUP(tbl_MTG_Set[[#This Row],[Type Name]], tbl_MTG_Set_Type[Set Type], tbl_MTG_Set_Type[Sell Window Month Start], "(Set Type not found)", 0, 1)</f>
        <v/>
      </c>
      <c r="U884" s="3">
        <f>tbl_MTG_Set[[#This Row],[Released On]]+tbl_MTG_Set[[#This Row],[Sell Window Month Start]]*365.25/12</f>
        <v/>
      </c>
      <c r="V884">
        <f>_xlfn.XLOOKUP(tbl_MTG_Set[[#This Row],[Type Name]], tbl_MTG_Set_Type[Set Type], tbl_MTG_Set_Type[Sell Window Month End], "(Set Type not found)", 0, 1)</f>
        <v/>
      </c>
      <c r="W884" s="3">
        <f>tbl_MTG_Set[[#This Row],[Released On]]+tbl_MTG_Set[[#This Row],[Sell Window Month End]]*365.25/12</f>
        <v/>
      </c>
      <c r="X884" s="3">
        <f>AND(NOW()&gt;=tbl_MTG_Set[[#This Row],[Sell Window Start]], NOW()&lt;=tbl_MTG_Set[[#This Row],[Sell Window End]])</f>
        <v/>
      </c>
      <c r="AG884" s="10" t="n"/>
      <c r="AH884" s="10" t="n"/>
      <c r="AM884" s="10">
        <f t="array" ref="AM8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4" s="10">
        <f t="array" ref="AN8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4" s="4">
        <f>_xlfn.XLOOKUP(tbl_MTG_Set[[#This Row],[Play Booster Box Product Id]], tbl_Product[Product Id], tbl_Product[Pack Size])</f>
        <v/>
      </c>
      <c r="AP884" s="10">
        <f>(tbl_MTG_Set[[#This Row],[Play Booster Box Cost]]+v_Item_Shipping_Cost_In)/tbl_MTG_Set[[#This Row],[Play Booster Box Size]]</f>
        <v/>
      </c>
      <c r="AQ884" s="10">
        <f t="array" ref="AQ8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4" s="10" t="n"/>
      <c r="AS884" s="10" t="n"/>
      <c r="AT884" s="17">
        <f>tbl_MTG_Set[[#This Row],[Play Booster CardMarket Profit]]/tbl_MTG_Set[[#This Row],[Play Booster Cost]]</f>
        <v/>
      </c>
      <c r="AU884" s="10">
        <f>_xlfn.XLOOKUP(tbl_MTG_Set[[#This Row],[Collector Booster Box Product Id]], tbl_Product[Product Id], tbl_Product[Min Cost])</f>
        <v/>
      </c>
      <c r="AV884" s="10">
        <f>_xlfn.XLOOKUP(tbl_MTG_Set[[#This Row],[Collector Booster Box Product Id]], tbl_Product[Product Id], tbl_Product[Best Source])</f>
        <v/>
      </c>
      <c r="AW884" s="4">
        <f>_xlfn.XLOOKUP(tbl_MTG_Set[[#This Row],[Collector Booster Box Product Id]], tbl_Product[Product Id], tbl_Product[Pack Size])</f>
        <v/>
      </c>
      <c r="AX884" s="10">
        <f>(tbl_MTG_Set[[#This Row],[Collector Booster Box Cost]] + v_Item_Shipping_Cost_In) / tbl_MTG_Set[[#This Row],[Collector Booster Box Size]]</f>
        <v/>
      </c>
      <c r="AY884" s="10">
        <f t="array" ref="AY8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4" s="10" t="n"/>
      <c r="BA8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4" s="17">
        <f>tbl_MTG_Set[[#This Row],[Collector Booster CardMarket Profit]]/tbl_MTG_Set[[#This Row],[Collector Booster Cost]]</f>
        <v/>
      </c>
      <c r="BC884" s="10" t="n"/>
      <c r="BF884" s="10">
        <f>tbl_MTG_Set[[#This Row],[Play Booster Sell Price CardMarket]]*tbl_MTG_Set[[#This Row],[Play Booster Expected Market Value]]/tbl_MTG_Set[[#This Row],[Play Boost Sealed Market Value]]</f>
        <v/>
      </c>
      <c r="BG8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4" s="10">
        <f>tbl_MTG_Set[[#This Row],[Play Singles CardMarket Profit]]/tbl_MTG_Set[[#This Row],[Play Booster Cost]]</f>
        <v/>
      </c>
      <c r="BI884" s="10">
        <f>tbl_MTG_Set[[#This Row],[Play Singles CardMarket Profit]]&gt;0</f>
        <v/>
      </c>
      <c r="BJ884" s="10" t="n"/>
      <c r="BK884" s="10" t="n"/>
      <c r="BL884" s="10">
        <f>tbl_MTG_Set[[#This Row],[Collector Booster Sell Price CardMarket]]*tbl_MTG_Set[[#This Row],[Collector Booster Expected Market Value]]/tbl_MTG_Set[[#This Row],[Collector Boost Sealed Market Value]]</f>
        <v/>
      </c>
      <c r="BM8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4" s="10">
        <f>tbl_MTG_Set[[#This Row],[Collector Singles CardMarket Profit]]/tbl_MTG_Set[[#This Row],[Collector Booster Cost]]</f>
        <v/>
      </c>
      <c r="BO884" s="10">
        <f>tbl_MTG_Set[[#This Row],[Collector Singles CardMarket Profit]]&gt;0</f>
        <v/>
      </c>
      <c r="BP8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5">
      <c r="A885" t="n">
        <v>883</v>
      </c>
      <c r="B885" t="inlineStr">
        <is>
          <t>Fifth Dawn Promos P5DN</t>
        </is>
      </c>
      <c r="C885" t="n">
        <v>1</v>
      </c>
      <c r="D885" s="3" t="n">
        <v>38142</v>
      </c>
      <c r="F885" t="inlineStr">
        <is>
          <t>en es fr de it pt ja ko ru 汉语 漢語</t>
        </is>
      </c>
      <c r="G885" t="n">
        <v>1712</v>
      </c>
      <c r="H885">
        <f>MONTH(NOW())+12*YEAR(NOW())-MONTH(tbl_MTG_Set[[#This Row],[Released On]])-12*YEAR(tbl_MTG_Set[[#This Row],[Released On]])</f>
        <v/>
      </c>
      <c r="I885">
        <f>_xlfn.XLOOKUP(tbl_MTG_Set[[#This Row],[Type Name]], tbl_MTG_Set_Type[Set Type], tbl_MTG_Set_Type[Index], "(Set Type not found)")</f>
        <v/>
      </c>
      <c r="J885">
        <f>_xlfn.XLOOKUP(tbl_MTG_Set[[#This Row],[Type Name]], tbl_MTG_Set_Type[Set Type], tbl_MTG_Set_Type[Buy Window Month Start], "(Set Type not found)")</f>
        <v/>
      </c>
      <c r="K885" s="3">
        <f>tbl_MTG_Set[[#This Row],[Released On]]+tbl_MTG_Set[[#This Row],[Buy Window Month Start]]*365.25/12</f>
        <v/>
      </c>
      <c r="L885">
        <f>_xlfn.XLOOKUP(tbl_MTG_Set[[#This Row],[Type Name]], tbl_MTG_Set_Type[Set Type], tbl_MTG_Set_Type[Buy Window Month End], "(Set Type not found)", 0, 1)</f>
        <v/>
      </c>
      <c r="M885" s="3">
        <f>tbl_MTG_Set[[#This Row],[Released On]]+tbl_MTG_Set[[#This Row],[Buy Window Month End]]*365.25/12</f>
        <v/>
      </c>
      <c r="N885" s="3">
        <f>AND(NOW()&gt;=tbl_MTG_Set[[#This Row],[Buy Window Start]], NOW()&lt;=tbl_MTG_Set[[#This Row],[Buy Window End]])</f>
        <v/>
      </c>
      <c r="O885">
        <f>_xlfn.XLOOKUP(tbl_MTG_Set[[#This Row],[Type Name]], tbl_MTG_Set_Type[Set Type], tbl_MTG_Set_Type[Heavy Printing Window Month Start], "(Set Type not found)", 0, 1)</f>
        <v/>
      </c>
      <c r="P885" s="3">
        <f>tbl_MTG_Set[[#This Row],[Released On]]+tbl_MTG_Set[[#This Row],[Heavy Printing Window Month Start]]*365.25/12</f>
        <v/>
      </c>
      <c r="Q885">
        <f>_xlfn.XLOOKUP(tbl_MTG_Set[[#This Row],[Type Name]], tbl_MTG_Set_Type[Set Type], tbl_MTG_Set_Type[Heavy Printing Window Month End], "(Set Type not found)", 0, 1)</f>
        <v/>
      </c>
      <c r="R885" s="3">
        <f>tbl_MTG_Set[[#This Row],[Released On]]+tbl_MTG_Set[[#This Row],[Heavy Printing Window Month End]]*365.25/12</f>
        <v/>
      </c>
      <c r="S885" s="3">
        <f>AND(NOW()&gt;=tbl_MTG_Set[[#This Row],[Heavy Printing Window Start]], NOW()&lt;=tbl_MTG_Set[[#This Row],[Heavy Printing Window End]])</f>
        <v/>
      </c>
      <c r="T885">
        <f>_xlfn.XLOOKUP(tbl_MTG_Set[[#This Row],[Type Name]], tbl_MTG_Set_Type[Set Type], tbl_MTG_Set_Type[Sell Window Month Start], "(Set Type not found)", 0, 1)</f>
        <v/>
      </c>
      <c r="U885" s="3">
        <f>tbl_MTG_Set[[#This Row],[Released On]]+tbl_MTG_Set[[#This Row],[Sell Window Month Start]]*365.25/12</f>
        <v/>
      </c>
      <c r="V885">
        <f>_xlfn.XLOOKUP(tbl_MTG_Set[[#This Row],[Type Name]], tbl_MTG_Set_Type[Set Type], tbl_MTG_Set_Type[Sell Window Month End], "(Set Type not found)", 0, 1)</f>
        <v/>
      </c>
      <c r="W885" s="3">
        <f>tbl_MTG_Set[[#This Row],[Released On]]+tbl_MTG_Set[[#This Row],[Sell Window Month End]]*365.25/12</f>
        <v/>
      </c>
      <c r="X885" s="3">
        <f>AND(NOW()&gt;=tbl_MTG_Set[[#This Row],[Sell Window Start]], NOW()&lt;=tbl_MTG_Set[[#This Row],[Sell Window End]])</f>
        <v/>
      </c>
      <c r="AG885" s="10" t="n"/>
      <c r="AH885" s="10" t="n"/>
      <c r="AM885" s="10">
        <f t="array" ref="AM8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5" s="10">
        <f t="array" ref="AN8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5" s="4">
        <f>_xlfn.XLOOKUP(tbl_MTG_Set[[#This Row],[Play Booster Box Product Id]], tbl_Product[Product Id], tbl_Product[Pack Size])</f>
        <v/>
      </c>
      <c r="AP885" s="10">
        <f>(tbl_MTG_Set[[#This Row],[Play Booster Box Cost]]+v_Item_Shipping_Cost_In)/tbl_MTG_Set[[#This Row],[Play Booster Box Size]]</f>
        <v/>
      </c>
      <c r="AQ885" s="10">
        <f t="array" ref="AQ8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5" s="10" t="n"/>
      <c r="AS885" s="10" t="n"/>
      <c r="AT885" s="17">
        <f>tbl_MTG_Set[[#This Row],[Play Booster CardMarket Profit]]/tbl_MTG_Set[[#This Row],[Play Booster Cost]]</f>
        <v/>
      </c>
      <c r="AU885" s="10">
        <f>_xlfn.XLOOKUP(tbl_MTG_Set[[#This Row],[Collector Booster Box Product Id]], tbl_Product[Product Id], tbl_Product[Min Cost])</f>
        <v/>
      </c>
      <c r="AV885" s="10">
        <f>_xlfn.XLOOKUP(tbl_MTG_Set[[#This Row],[Collector Booster Box Product Id]], tbl_Product[Product Id], tbl_Product[Best Source])</f>
        <v/>
      </c>
      <c r="AW885" s="4">
        <f>_xlfn.XLOOKUP(tbl_MTG_Set[[#This Row],[Collector Booster Box Product Id]], tbl_Product[Product Id], tbl_Product[Pack Size])</f>
        <v/>
      </c>
      <c r="AX885" s="10">
        <f>(tbl_MTG_Set[[#This Row],[Collector Booster Box Cost]] + v_Item_Shipping_Cost_In) / tbl_MTG_Set[[#This Row],[Collector Booster Box Size]]</f>
        <v/>
      </c>
      <c r="AY885" s="10">
        <f t="array" ref="AY8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5" s="10" t="n"/>
      <c r="BA8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5" s="17">
        <f>tbl_MTG_Set[[#This Row],[Collector Booster CardMarket Profit]]/tbl_MTG_Set[[#This Row],[Collector Booster Cost]]</f>
        <v/>
      </c>
      <c r="BC885" s="10" t="n"/>
      <c r="BF885" s="10">
        <f>tbl_MTG_Set[[#This Row],[Play Booster Sell Price CardMarket]]*tbl_MTG_Set[[#This Row],[Play Booster Expected Market Value]]/tbl_MTG_Set[[#This Row],[Play Boost Sealed Market Value]]</f>
        <v/>
      </c>
      <c r="BG8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5" s="10">
        <f>tbl_MTG_Set[[#This Row],[Play Singles CardMarket Profit]]/tbl_MTG_Set[[#This Row],[Play Booster Cost]]</f>
        <v/>
      </c>
      <c r="BI885" s="10">
        <f>tbl_MTG_Set[[#This Row],[Play Singles CardMarket Profit]]&gt;0</f>
        <v/>
      </c>
      <c r="BJ885" s="10" t="n"/>
      <c r="BK885" s="10" t="n"/>
      <c r="BL885" s="10">
        <f>tbl_MTG_Set[[#This Row],[Collector Booster Sell Price CardMarket]]*tbl_MTG_Set[[#This Row],[Collector Booster Expected Market Value]]/tbl_MTG_Set[[#This Row],[Collector Boost Sealed Market Value]]</f>
        <v/>
      </c>
      <c r="BM8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5" s="10">
        <f>tbl_MTG_Set[[#This Row],[Collector Singles CardMarket Profit]]/tbl_MTG_Set[[#This Row],[Collector Booster Cost]]</f>
        <v/>
      </c>
      <c r="BO885" s="10">
        <f>tbl_MTG_Set[[#This Row],[Collector Singles CardMarket Profit]]&gt;0</f>
        <v/>
      </c>
      <c r="BP8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6">
      <c r="A886" t="n">
        <v>884</v>
      </c>
      <c r="B886" t="inlineStr">
        <is>
          <t>Darksteel DST</t>
        </is>
      </c>
      <c r="C886" t="n">
        <v>165</v>
      </c>
      <c r="D886" s="3" t="n">
        <v>38023</v>
      </c>
      <c r="F886" t="inlineStr">
        <is>
          <t>en es fr de it pt ja ko ru 汉语 漢語</t>
        </is>
      </c>
      <c r="G886" t="n">
        <v>1714</v>
      </c>
      <c r="H886">
        <f>MONTH(NOW())+12*YEAR(NOW())-MONTH(tbl_MTG_Set[[#This Row],[Released On]])-12*YEAR(tbl_MTG_Set[[#This Row],[Released On]])</f>
        <v/>
      </c>
      <c r="I886">
        <f>_xlfn.XLOOKUP(tbl_MTG_Set[[#This Row],[Type Name]], tbl_MTG_Set_Type[Set Type], tbl_MTG_Set_Type[Index], "(Set Type not found)")</f>
        <v/>
      </c>
      <c r="J886">
        <f>_xlfn.XLOOKUP(tbl_MTG_Set[[#This Row],[Type Name]], tbl_MTG_Set_Type[Set Type], tbl_MTG_Set_Type[Buy Window Month Start], "(Set Type not found)")</f>
        <v/>
      </c>
      <c r="K886" s="3">
        <f>tbl_MTG_Set[[#This Row],[Released On]]+tbl_MTG_Set[[#This Row],[Buy Window Month Start]]*365.25/12</f>
        <v/>
      </c>
      <c r="L886">
        <f>_xlfn.XLOOKUP(tbl_MTG_Set[[#This Row],[Type Name]], tbl_MTG_Set_Type[Set Type], tbl_MTG_Set_Type[Buy Window Month End], "(Set Type not found)", 0, 1)</f>
        <v/>
      </c>
      <c r="M886" s="3">
        <f>tbl_MTG_Set[[#This Row],[Released On]]+tbl_MTG_Set[[#This Row],[Buy Window Month End]]*365.25/12</f>
        <v/>
      </c>
      <c r="N886" s="3">
        <f>AND(NOW()&gt;=tbl_MTG_Set[[#This Row],[Buy Window Start]], NOW()&lt;=tbl_MTG_Set[[#This Row],[Buy Window End]])</f>
        <v/>
      </c>
      <c r="O886">
        <f>_xlfn.XLOOKUP(tbl_MTG_Set[[#This Row],[Type Name]], tbl_MTG_Set_Type[Set Type], tbl_MTG_Set_Type[Heavy Printing Window Month Start], "(Set Type not found)", 0, 1)</f>
        <v/>
      </c>
      <c r="P886" s="3">
        <f>tbl_MTG_Set[[#This Row],[Released On]]+tbl_MTG_Set[[#This Row],[Heavy Printing Window Month Start]]*365.25/12</f>
        <v/>
      </c>
      <c r="Q886">
        <f>_xlfn.XLOOKUP(tbl_MTG_Set[[#This Row],[Type Name]], tbl_MTG_Set_Type[Set Type], tbl_MTG_Set_Type[Heavy Printing Window Month End], "(Set Type not found)", 0, 1)</f>
        <v/>
      </c>
      <c r="R886" s="3">
        <f>tbl_MTG_Set[[#This Row],[Released On]]+tbl_MTG_Set[[#This Row],[Heavy Printing Window Month End]]*365.25/12</f>
        <v/>
      </c>
      <c r="S886" s="3">
        <f>AND(NOW()&gt;=tbl_MTG_Set[[#This Row],[Heavy Printing Window Start]], NOW()&lt;=tbl_MTG_Set[[#This Row],[Heavy Printing Window End]])</f>
        <v/>
      </c>
      <c r="T886">
        <f>_xlfn.XLOOKUP(tbl_MTG_Set[[#This Row],[Type Name]], tbl_MTG_Set_Type[Set Type], tbl_MTG_Set_Type[Sell Window Month Start], "(Set Type not found)", 0, 1)</f>
        <v/>
      </c>
      <c r="U886" s="3">
        <f>tbl_MTG_Set[[#This Row],[Released On]]+tbl_MTG_Set[[#This Row],[Sell Window Month Start]]*365.25/12</f>
        <v/>
      </c>
      <c r="V886">
        <f>_xlfn.XLOOKUP(tbl_MTG_Set[[#This Row],[Type Name]], tbl_MTG_Set_Type[Set Type], tbl_MTG_Set_Type[Sell Window Month End], "(Set Type not found)", 0, 1)</f>
        <v/>
      </c>
      <c r="W886" s="3">
        <f>tbl_MTG_Set[[#This Row],[Released On]]+tbl_MTG_Set[[#This Row],[Sell Window Month End]]*365.25/12</f>
        <v/>
      </c>
      <c r="X886" s="3">
        <f>AND(NOW()&gt;=tbl_MTG_Set[[#This Row],[Sell Window Start]], NOW()&lt;=tbl_MTG_Set[[#This Row],[Sell Window End]])</f>
        <v/>
      </c>
      <c r="AG886" s="10" t="n"/>
      <c r="AH886" s="10" t="n"/>
      <c r="AM886" s="10">
        <f t="array" ref="AM8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6" s="10">
        <f t="array" ref="AN8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6" s="4">
        <f>_xlfn.XLOOKUP(tbl_MTG_Set[[#This Row],[Play Booster Box Product Id]], tbl_Product[Product Id], tbl_Product[Pack Size])</f>
        <v/>
      </c>
      <c r="AP886" s="10">
        <f>(tbl_MTG_Set[[#This Row],[Play Booster Box Cost]]+v_Item_Shipping_Cost_In)/tbl_MTG_Set[[#This Row],[Play Booster Box Size]]</f>
        <v/>
      </c>
      <c r="AQ886" s="10">
        <f t="array" ref="AQ8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6" s="10" t="n"/>
      <c r="AS886" s="10" t="n"/>
      <c r="AT886" s="17">
        <f>tbl_MTG_Set[[#This Row],[Play Booster CardMarket Profit]]/tbl_MTG_Set[[#This Row],[Play Booster Cost]]</f>
        <v/>
      </c>
      <c r="AU886" s="10">
        <f>_xlfn.XLOOKUP(tbl_MTG_Set[[#This Row],[Collector Booster Box Product Id]], tbl_Product[Product Id], tbl_Product[Min Cost])</f>
        <v/>
      </c>
      <c r="AV886" s="10">
        <f>_xlfn.XLOOKUP(tbl_MTG_Set[[#This Row],[Collector Booster Box Product Id]], tbl_Product[Product Id], tbl_Product[Best Source])</f>
        <v/>
      </c>
      <c r="AW886" s="4">
        <f>_xlfn.XLOOKUP(tbl_MTG_Set[[#This Row],[Collector Booster Box Product Id]], tbl_Product[Product Id], tbl_Product[Pack Size])</f>
        <v/>
      </c>
      <c r="AX886" s="10">
        <f>(tbl_MTG_Set[[#This Row],[Collector Booster Box Cost]] + v_Item_Shipping_Cost_In) / tbl_MTG_Set[[#This Row],[Collector Booster Box Size]]</f>
        <v/>
      </c>
      <c r="AY886" s="10">
        <f t="array" ref="AY8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6" s="10" t="n"/>
      <c r="BA8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6" s="17">
        <f>tbl_MTG_Set[[#This Row],[Collector Booster CardMarket Profit]]/tbl_MTG_Set[[#This Row],[Collector Booster Cost]]</f>
        <v/>
      </c>
      <c r="BC886" s="10" t="n"/>
      <c r="BF886" s="10">
        <f>tbl_MTG_Set[[#This Row],[Play Booster Sell Price CardMarket]]*tbl_MTG_Set[[#This Row],[Play Booster Expected Market Value]]/tbl_MTG_Set[[#This Row],[Play Boost Sealed Market Value]]</f>
        <v/>
      </c>
      <c r="BG8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6" s="10">
        <f>tbl_MTG_Set[[#This Row],[Play Singles CardMarket Profit]]/tbl_MTG_Set[[#This Row],[Play Booster Cost]]</f>
        <v/>
      </c>
      <c r="BI886" s="10">
        <f>tbl_MTG_Set[[#This Row],[Play Singles CardMarket Profit]]&gt;0</f>
        <v/>
      </c>
      <c r="BJ886" s="10" t="n"/>
      <c r="BK886" s="10" t="n"/>
      <c r="BL886" s="10">
        <f>tbl_MTG_Set[[#This Row],[Collector Booster Sell Price CardMarket]]*tbl_MTG_Set[[#This Row],[Collector Booster Expected Market Value]]/tbl_MTG_Set[[#This Row],[Collector Boost Sealed Market Value]]</f>
        <v/>
      </c>
      <c r="BM8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6" s="10">
        <f>tbl_MTG_Set[[#This Row],[Collector Singles CardMarket Profit]]/tbl_MTG_Set[[#This Row],[Collector Booster Cost]]</f>
        <v/>
      </c>
      <c r="BO886" s="10">
        <f>tbl_MTG_Set[[#This Row],[Collector Singles CardMarket Profit]]&gt;0</f>
        <v/>
      </c>
      <c r="BP8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7">
      <c r="A887" t="n">
        <v>885</v>
      </c>
      <c r="B887" t="inlineStr">
        <is>
          <t>Darksteel Promos PDST</t>
        </is>
      </c>
      <c r="C887" t="n">
        <v>1</v>
      </c>
      <c r="D887" s="3" t="n">
        <v>38023</v>
      </c>
      <c r="F887" t="inlineStr">
        <is>
          <t>en es fr de it pt ja ko ru 汉语 漢語</t>
        </is>
      </c>
      <c r="G887" t="n">
        <v>1716</v>
      </c>
      <c r="H887">
        <f>MONTH(NOW())+12*YEAR(NOW())-MONTH(tbl_MTG_Set[[#This Row],[Released On]])-12*YEAR(tbl_MTG_Set[[#This Row],[Released On]])</f>
        <v/>
      </c>
      <c r="I887">
        <f>_xlfn.XLOOKUP(tbl_MTG_Set[[#This Row],[Type Name]], tbl_MTG_Set_Type[Set Type], tbl_MTG_Set_Type[Index], "(Set Type not found)")</f>
        <v/>
      </c>
      <c r="J887">
        <f>_xlfn.XLOOKUP(tbl_MTG_Set[[#This Row],[Type Name]], tbl_MTG_Set_Type[Set Type], tbl_MTG_Set_Type[Buy Window Month Start], "(Set Type not found)")</f>
        <v/>
      </c>
      <c r="K887" s="3">
        <f>tbl_MTG_Set[[#This Row],[Released On]]+tbl_MTG_Set[[#This Row],[Buy Window Month Start]]*365.25/12</f>
        <v/>
      </c>
      <c r="L887">
        <f>_xlfn.XLOOKUP(tbl_MTG_Set[[#This Row],[Type Name]], tbl_MTG_Set_Type[Set Type], tbl_MTG_Set_Type[Buy Window Month End], "(Set Type not found)", 0, 1)</f>
        <v/>
      </c>
      <c r="M887" s="3">
        <f>tbl_MTG_Set[[#This Row],[Released On]]+tbl_MTG_Set[[#This Row],[Buy Window Month End]]*365.25/12</f>
        <v/>
      </c>
      <c r="N887" s="3">
        <f>AND(NOW()&gt;=tbl_MTG_Set[[#This Row],[Buy Window Start]], NOW()&lt;=tbl_MTG_Set[[#This Row],[Buy Window End]])</f>
        <v/>
      </c>
      <c r="O887">
        <f>_xlfn.XLOOKUP(tbl_MTG_Set[[#This Row],[Type Name]], tbl_MTG_Set_Type[Set Type], tbl_MTG_Set_Type[Heavy Printing Window Month Start], "(Set Type not found)", 0, 1)</f>
        <v/>
      </c>
      <c r="P887" s="3">
        <f>tbl_MTG_Set[[#This Row],[Released On]]+tbl_MTG_Set[[#This Row],[Heavy Printing Window Month Start]]*365.25/12</f>
        <v/>
      </c>
      <c r="Q887">
        <f>_xlfn.XLOOKUP(tbl_MTG_Set[[#This Row],[Type Name]], tbl_MTG_Set_Type[Set Type], tbl_MTG_Set_Type[Heavy Printing Window Month End], "(Set Type not found)", 0, 1)</f>
        <v/>
      </c>
      <c r="R887" s="3">
        <f>tbl_MTG_Set[[#This Row],[Released On]]+tbl_MTG_Set[[#This Row],[Heavy Printing Window Month End]]*365.25/12</f>
        <v/>
      </c>
      <c r="S887" s="3">
        <f>AND(NOW()&gt;=tbl_MTG_Set[[#This Row],[Heavy Printing Window Start]], NOW()&lt;=tbl_MTG_Set[[#This Row],[Heavy Printing Window End]])</f>
        <v/>
      </c>
      <c r="T887">
        <f>_xlfn.XLOOKUP(tbl_MTG_Set[[#This Row],[Type Name]], tbl_MTG_Set_Type[Set Type], tbl_MTG_Set_Type[Sell Window Month Start], "(Set Type not found)", 0, 1)</f>
        <v/>
      </c>
      <c r="U887" s="3">
        <f>tbl_MTG_Set[[#This Row],[Released On]]+tbl_MTG_Set[[#This Row],[Sell Window Month Start]]*365.25/12</f>
        <v/>
      </c>
      <c r="V887">
        <f>_xlfn.XLOOKUP(tbl_MTG_Set[[#This Row],[Type Name]], tbl_MTG_Set_Type[Set Type], tbl_MTG_Set_Type[Sell Window Month End], "(Set Type not found)", 0, 1)</f>
        <v/>
      </c>
      <c r="W887" s="3">
        <f>tbl_MTG_Set[[#This Row],[Released On]]+tbl_MTG_Set[[#This Row],[Sell Window Month End]]*365.25/12</f>
        <v/>
      </c>
      <c r="X887" s="3">
        <f>AND(NOW()&gt;=tbl_MTG_Set[[#This Row],[Sell Window Start]], NOW()&lt;=tbl_MTG_Set[[#This Row],[Sell Window End]])</f>
        <v/>
      </c>
      <c r="AG887" s="10" t="n"/>
      <c r="AH887" s="10" t="n"/>
      <c r="AM887" s="10">
        <f t="array" ref="AM8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7" s="10">
        <f t="array" ref="AN8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7" s="4">
        <f>_xlfn.XLOOKUP(tbl_MTG_Set[[#This Row],[Play Booster Box Product Id]], tbl_Product[Product Id], tbl_Product[Pack Size])</f>
        <v/>
      </c>
      <c r="AP887" s="10">
        <f>(tbl_MTG_Set[[#This Row],[Play Booster Box Cost]]+v_Item_Shipping_Cost_In)/tbl_MTG_Set[[#This Row],[Play Booster Box Size]]</f>
        <v/>
      </c>
      <c r="AQ887" s="10">
        <f t="array" ref="AQ8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7" s="10" t="n"/>
      <c r="AS887" s="10" t="n"/>
      <c r="AT887" s="17">
        <f>tbl_MTG_Set[[#This Row],[Play Booster CardMarket Profit]]/tbl_MTG_Set[[#This Row],[Play Booster Cost]]</f>
        <v/>
      </c>
      <c r="AU887" s="10">
        <f>_xlfn.XLOOKUP(tbl_MTG_Set[[#This Row],[Collector Booster Box Product Id]], tbl_Product[Product Id], tbl_Product[Min Cost])</f>
        <v/>
      </c>
      <c r="AV887" s="10">
        <f>_xlfn.XLOOKUP(tbl_MTG_Set[[#This Row],[Collector Booster Box Product Id]], tbl_Product[Product Id], tbl_Product[Best Source])</f>
        <v/>
      </c>
      <c r="AW887" s="4">
        <f>_xlfn.XLOOKUP(tbl_MTG_Set[[#This Row],[Collector Booster Box Product Id]], tbl_Product[Product Id], tbl_Product[Pack Size])</f>
        <v/>
      </c>
      <c r="AX887" s="10">
        <f>(tbl_MTG_Set[[#This Row],[Collector Booster Box Cost]] + v_Item_Shipping_Cost_In) / tbl_MTG_Set[[#This Row],[Collector Booster Box Size]]</f>
        <v/>
      </c>
      <c r="AY887" s="10">
        <f t="array" ref="AY8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7" s="10" t="n"/>
      <c r="BA8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7" s="17">
        <f>tbl_MTG_Set[[#This Row],[Collector Booster CardMarket Profit]]/tbl_MTG_Set[[#This Row],[Collector Booster Cost]]</f>
        <v/>
      </c>
      <c r="BC887" s="10" t="n"/>
      <c r="BF887" s="10">
        <f>tbl_MTG_Set[[#This Row],[Play Booster Sell Price CardMarket]]*tbl_MTG_Set[[#This Row],[Play Booster Expected Market Value]]/tbl_MTG_Set[[#This Row],[Play Boost Sealed Market Value]]</f>
        <v/>
      </c>
      <c r="BG8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7" s="10">
        <f>tbl_MTG_Set[[#This Row],[Play Singles CardMarket Profit]]/tbl_MTG_Set[[#This Row],[Play Booster Cost]]</f>
        <v/>
      </c>
      <c r="BI887" s="10">
        <f>tbl_MTG_Set[[#This Row],[Play Singles CardMarket Profit]]&gt;0</f>
        <v/>
      </c>
      <c r="BJ887" s="10" t="n"/>
      <c r="BK887" s="10" t="n"/>
      <c r="BL887" s="10">
        <f>tbl_MTG_Set[[#This Row],[Collector Booster Sell Price CardMarket]]*tbl_MTG_Set[[#This Row],[Collector Booster Expected Market Value]]/tbl_MTG_Set[[#This Row],[Collector Boost Sealed Market Value]]</f>
        <v/>
      </c>
      <c r="BM8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7" s="10">
        <f>tbl_MTG_Set[[#This Row],[Collector Singles CardMarket Profit]]/tbl_MTG_Set[[#This Row],[Collector Booster Cost]]</f>
        <v/>
      </c>
      <c r="BO887" s="10">
        <f>tbl_MTG_Set[[#This Row],[Collector Singles CardMarket Profit]]&gt;0</f>
        <v/>
      </c>
      <c r="BP8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8">
      <c r="A888" t="n">
        <v>886</v>
      </c>
      <c r="B888" t="inlineStr">
        <is>
          <t>Arena League 2004 PAL04</t>
        </is>
      </c>
      <c r="C888" t="n">
        <v>14</v>
      </c>
      <c r="D888" s="3" t="n">
        <v>37987</v>
      </c>
      <c r="F888" t="inlineStr">
        <is>
          <t>en es fr de it pt ja ko ru 汉语 漢語</t>
        </is>
      </c>
      <c r="G888" t="n">
        <v>1718</v>
      </c>
      <c r="H888">
        <f>MONTH(NOW())+12*YEAR(NOW())-MONTH(tbl_MTG_Set[[#This Row],[Released On]])-12*YEAR(tbl_MTG_Set[[#This Row],[Released On]])</f>
        <v/>
      </c>
      <c r="I888">
        <f>_xlfn.XLOOKUP(tbl_MTG_Set[[#This Row],[Type Name]], tbl_MTG_Set_Type[Set Type], tbl_MTG_Set_Type[Index], "(Set Type not found)")</f>
        <v/>
      </c>
      <c r="J888">
        <f>_xlfn.XLOOKUP(tbl_MTG_Set[[#This Row],[Type Name]], tbl_MTG_Set_Type[Set Type], tbl_MTG_Set_Type[Buy Window Month Start], "(Set Type not found)")</f>
        <v/>
      </c>
      <c r="K888" s="3">
        <f>tbl_MTG_Set[[#This Row],[Released On]]+tbl_MTG_Set[[#This Row],[Buy Window Month Start]]*365.25/12</f>
        <v/>
      </c>
      <c r="L888">
        <f>_xlfn.XLOOKUP(tbl_MTG_Set[[#This Row],[Type Name]], tbl_MTG_Set_Type[Set Type], tbl_MTG_Set_Type[Buy Window Month End], "(Set Type not found)", 0, 1)</f>
        <v/>
      </c>
      <c r="M888" s="3">
        <f>tbl_MTG_Set[[#This Row],[Released On]]+tbl_MTG_Set[[#This Row],[Buy Window Month End]]*365.25/12</f>
        <v/>
      </c>
      <c r="N888" s="3">
        <f>AND(NOW()&gt;=tbl_MTG_Set[[#This Row],[Buy Window Start]], NOW()&lt;=tbl_MTG_Set[[#This Row],[Buy Window End]])</f>
        <v/>
      </c>
      <c r="O888">
        <f>_xlfn.XLOOKUP(tbl_MTG_Set[[#This Row],[Type Name]], tbl_MTG_Set_Type[Set Type], tbl_MTG_Set_Type[Heavy Printing Window Month Start], "(Set Type not found)", 0, 1)</f>
        <v/>
      </c>
      <c r="P888" s="3">
        <f>tbl_MTG_Set[[#This Row],[Released On]]+tbl_MTG_Set[[#This Row],[Heavy Printing Window Month Start]]*365.25/12</f>
        <v/>
      </c>
      <c r="Q888">
        <f>_xlfn.XLOOKUP(tbl_MTG_Set[[#This Row],[Type Name]], tbl_MTG_Set_Type[Set Type], tbl_MTG_Set_Type[Heavy Printing Window Month End], "(Set Type not found)", 0, 1)</f>
        <v/>
      </c>
      <c r="R888" s="3">
        <f>tbl_MTG_Set[[#This Row],[Released On]]+tbl_MTG_Set[[#This Row],[Heavy Printing Window Month End]]*365.25/12</f>
        <v/>
      </c>
      <c r="S888" s="3">
        <f>AND(NOW()&gt;=tbl_MTG_Set[[#This Row],[Heavy Printing Window Start]], NOW()&lt;=tbl_MTG_Set[[#This Row],[Heavy Printing Window End]])</f>
        <v/>
      </c>
      <c r="T888">
        <f>_xlfn.XLOOKUP(tbl_MTG_Set[[#This Row],[Type Name]], tbl_MTG_Set_Type[Set Type], tbl_MTG_Set_Type[Sell Window Month Start], "(Set Type not found)", 0, 1)</f>
        <v/>
      </c>
      <c r="U888" s="3">
        <f>tbl_MTG_Set[[#This Row],[Released On]]+tbl_MTG_Set[[#This Row],[Sell Window Month Start]]*365.25/12</f>
        <v/>
      </c>
      <c r="V888">
        <f>_xlfn.XLOOKUP(tbl_MTG_Set[[#This Row],[Type Name]], tbl_MTG_Set_Type[Set Type], tbl_MTG_Set_Type[Sell Window Month End], "(Set Type not found)", 0, 1)</f>
        <v/>
      </c>
      <c r="W888" s="3">
        <f>tbl_MTG_Set[[#This Row],[Released On]]+tbl_MTG_Set[[#This Row],[Sell Window Month End]]*365.25/12</f>
        <v/>
      </c>
      <c r="X888" s="3">
        <f>AND(NOW()&gt;=tbl_MTG_Set[[#This Row],[Sell Window Start]], NOW()&lt;=tbl_MTG_Set[[#This Row],[Sell Window End]])</f>
        <v/>
      </c>
      <c r="AG888" s="10" t="n"/>
      <c r="AH888" s="10" t="n"/>
      <c r="AM888" s="10">
        <f t="array" ref="AM8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8" s="10">
        <f t="array" ref="AN8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8" s="4">
        <f>_xlfn.XLOOKUP(tbl_MTG_Set[[#This Row],[Play Booster Box Product Id]], tbl_Product[Product Id], tbl_Product[Pack Size])</f>
        <v/>
      </c>
      <c r="AP888" s="10">
        <f>(tbl_MTG_Set[[#This Row],[Play Booster Box Cost]]+v_Item_Shipping_Cost_In)/tbl_MTG_Set[[#This Row],[Play Booster Box Size]]</f>
        <v/>
      </c>
      <c r="AQ888" s="10">
        <f t="array" ref="AQ8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8" s="10" t="n"/>
      <c r="AS888" s="10" t="n"/>
      <c r="AT888" s="17">
        <f>tbl_MTG_Set[[#This Row],[Play Booster CardMarket Profit]]/tbl_MTG_Set[[#This Row],[Play Booster Cost]]</f>
        <v/>
      </c>
      <c r="AU888" s="10">
        <f>_xlfn.XLOOKUP(tbl_MTG_Set[[#This Row],[Collector Booster Box Product Id]], tbl_Product[Product Id], tbl_Product[Min Cost])</f>
        <v/>
      </c>
      <c r="AV888" s="10">
        <f>_xlfn.XLOOKUP(tbl_MTG_Set[[#This Row],[Collector Booster Box Product Id]], tbl_Product[Product Id], tbl_Product[Best Source])</f>
        <v/>
      </c>
      <c r="AW888" s="4">
        <f>_xlfn.XLOOKUP(tbl_MTG_Set[[#This Row],[Collector Booster Box Product Id]], tbl_Product[Product Id], tbl_Product[Pack Size])</f>
        <v/>
      </c>
      <c r="AX888" s="10">
        <f>(tbl_MTG_Set[[#This Row],[Collector Booster Box Cost]] + v_Item_Shipping_Cost_In) / tbl_MTG_Set[[#This Row],[Collector Booster Box Size]]</f>
        <v/>
      </c>
      <c r="AY888" s="10">
        <f t="array" ref="AY8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8" s="10" t="n"/>
      <c r="BA8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8" s="17">
        <f>tbl_MTG_Set[[#This Row],[Collector Booster CardMarket Profit]]/tbl_MTG_Set[[#This Row],[Collector Booster Cost]]</f>
        <v/>
      </c>
      <c r="BC888" s="10" t="n"/>
      <c r="BF888" s="10">
        <f>tbl_MTG_Set[[#This Row],[Play Booster Sell Price CardMarket]]*tbl_MTG_Set[[#This Row],[Play Booster Expected Market Value]]/tbl_MTG_Set[[#This Row],[Play Boost Sealed Market Value]]</f>
        <v/>
      </c>
      <c r="BG8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8" s="10">
        <f>tbl_MTG_Set[[#This Row],[Play Singles CardMarket Profit]]/tbl_MTG_Set[[#This Row],[Play Booster Cost]]</f>
        <v/>
      </c>
      <c r="BI888" s="10">
        <f>tbl_MTG_Set[[#This Row],[Play Singles CardMarket Profit]]&gt;0</f>
        <v/>
      </c>
      <c r="BJ888" s="10" t="n"/>
      <c r="BK888" s="10" t="n"/>
      <c r="BL888" s="10">
        <f>tbl_MTG_Set[[#This Row],[Collector Booster Sell Price CardMarket]]*tbl_MTG_Set[[#This Row],[Collector Booster Expected Market Value]]/tbl_MTG_Set[[#This Row],[Collector Boost Sealed Market Value]]</f>
        <v/>
      </c>
      <c r="BM8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8" s="10">
        <f>tbl_MTG_Set[[#This Row],[Collector Singles CardMarket Profit]]/tbl_MTG_Set[[#This Row],[Collector Booster Cost]]</f>
        <v/>
      </c>
      <c r="BO888" s="10">
        <f>tbl_MTG_Set[[#This Row],[Collector Singles CardMarket Profit]]&gt;0</f>
        <v/>
      </c>
      <c r="BP8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9">
      <c r="A889" t="n">
        <v>887</v>
      </c>
      <c r="B889" t="inlineStr">
        <is>
          <t>Judge Gift Cards 2004 G04</t>
        </is>
      </c>
      <c r="C889" t="n">
        <v>6</v>
      </c>
      <c r="D889" s="3" t="n">
        <v>37987</v>
      </c>
      <c r="F889" t="inlineStr">
        <is>
          <t>en es fr de it pt ja ko ru 汉语 漢語</t>
        </is>
      </c>
      <c r="G889" t="n">
        <v>1720</v>
      </c>
      <c r="H889">
        <f>MONTH(NOW())+12*YEAR(NOW())-MONTH(tbl_MTG_Set[[#This Row],[Released On]])-12*YEAR(tbl_MTG_Set[[#This Row],[Released On]])</f>
        <v/>
      </c>
      <c r="I889">
        <f>_xlfn.XLOOKUP(tbl_MTG_Set[[#This Row],[Type Name]], tbl_MTG_Set_Type[Set Type], tbl_MTG_Set_Type[Index], "(Set Type not found)")</f>
        <v/>
      </c>
      <c r="J889">
        <f>_xlfn.XLOOKUP(tbl_MTG_Set[[#This Row],[Type Name]], tbl_MTG_Set_Type[Set Type], tbl_MTG_Set_Type[Buy Window Month Start], "(Set Type not found)")</f>
        <v/>
      </c>
      <c r="K889" s="3">
        <f>tbl_MTG_Set[[#This Row],[Released On]]+tbl_MTG_Set[[#This Row],[Buy Window Month Start]]*365.25/12</f>
        <v/>
      </c>
      <c r="L889">
        <f>_xlfn.XLOOKUP(tbl_MTG_Set[[#This Row],[Type Name]], tbl_MTG_Set_Type[Set Type], tbl_MTG_Set_Type[Buy Window Month End], "(Set Type not found)", 0, 1)</f>
        <v/>
      </c>
      <c r="M889" s="3">
        <f>tbl_MTG_Set[[#This Row],[Released On]]+tbl_MTG_Set[[#This Row],[Buy Window Month End]]*365.25/12</f>
        <v/>
      </c>
      <c r="N889" s="3">
        <f>AND(NOW()&gt;=tbl_MTG_Set[[#This Row],[Buy Window Start]], NOW()&lt;=tbl_MTG_Set[[#This Row],[Buy Window End]])</f>
        <v/>
      </c>
      <c r="O889">
        <f>_xlfn.XLOOKUP(tbl_MTG_Set[[#This Row],[Type Name]], tbl_MTG_Set_Type[Set Type], tbl_MTG_Set_Type[Heavy Printing Window Month Start], "(Set Type not found)", 0, 1)</f>
        <v/>
      </c>
      <c r="P889" s="3">
        <f>tbl_MTG_Set[[#This Row],[Released On]]+tbl_MTG_Set[[#This Row],[Heavy Printing Window Month Start]]*365.25/12</f>
        <v/>
      </c>
      <c r="Q889">
        <f>_xlfn.XLOOKUP(tbl_MTG_Set[[#This Row],[Type Name]], tbl_MTG_Set_Type[Set Type], tbl_MTG_Set_Type[Heavy Printing Window Month End], "(Set Type not found)", 0, 1)</f>
        <v/>
      </c>
      <c r="R889" s="3">
        <f>tbl_MTG_Set[[#This Row],[Released On]]+tbl_MTG_Set[[#This Row],[Heavy Printing Window Month End]]*365.25/12</f>
        <v/>
      </c>
      <c r="S889" s="3">
        <f>AND(NOW()&gt;=tbl_MTG_Set[[#This Row],[Heavy Printing Window Start]], NOW()&lt;=tbl_MTG_Set[[#This Row],[Heavy Printing Window End]])</f>
        <v/>
      </c>
      <c r="T889">
        <f>_xlfn.XLOOKUP(tbl_MTG_Set[[#This Row],[Type Name]], tbl_MTG_Set_Type[Set Type], tbl_MTG_Set_Type[Sell Window Month Start], "(Set Type not found)", 0, 1)</f>
        <v/>
      </c>
      <c r="U889" s="3">
        <f>tbl_MTG_Set[[#This Row],[Released On]]+tbl_MTG_Set[[#This Row],[Sell Window Month Start]]*365.25/12</f>
        <v/>
      </c>
      <c r="V889">
        <f>_xlfn.XLOOKUP(tbl_MTG_Set[[#This Row],[Type Name]], tbl_MTG_Set_Type[Set Type], tbl_MTG_Set_Type[Sell Window Month End], "(Set Type not found)", 0, 1)</f>
        <v/>
      </c>
      <c r="W889" s="3">
        <f>tbl_MTG_Set[[#This Row],[Released On]]+tbl_MTG_Set[[#This Row],[Sell Window Month End]]*365.25/12</f>
        <v/>
      </c>
      <c r="X889" s="3">
        <f>AND(NOW()&gt;=tbl_MTG_Set[[#This Row],[Sell Window Start]], NOW()&lt;=tbl_MTG_Set[[#This Row],[Sell Window End]])</f>
        <v/>
      </c>
      <c r="AG889" s="10" t="n"/>
      <c r="AH889" s="10" t="n"/>
      <c r="AM889" s="10">
        <f t="array" ref="AM8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9" s="10">
        <f t="array" ref="AN8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9" s="4">
        <f>_xlfn.XLOOKUP(tbl_MTG_Set[[#This Row],[Play Booster Box Product Id]], tbl_Product[Product Id], tbl_Product[Pack Size])</f>
        <v/>
      </c>
      <c r="AP889" s="10">
        <f>(tbl_MTG_Set[[#This Row],[Play Booster Box Cost]]+v_Item_Shipping_Cost_In)/tbl_MTG_Set[[#This Row],[Play Booster Box Size]]</f>
        <v/>
      </c>
      <c r="AQ889" s="10">
        <f t="array" ref="AQ8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89" s="10" t="n"/>
      <c r="AS889" s="10" t="n"/>
      <c r="AT889" s="17">
        <f>tbl_MTG_Set[[#This Row],[Play Booster CardMarket Profit]]/tbl_MTG_Set[[#This Row],[Play Booster Cost]]</f>
        <v/>
      </c>
      <c r="AU889" s="10">
        <f>_xlfn.XLOOKUP(tbl_MTG_Set[[#This Row],[Collector Booster Box Product Id]], tbl_Product[Product Id], tbl_Product[Min Cost])</f>
        <v/>
      </c>
      <c r="AV889" s="10">
        <f>_xlfn.XLOOKUP(tbl_MTG_Set[[#This Row],[Collector Booster Box Product Id]], tbl_Product[Product Id], tbl_Product[Best Source])</f>
        <v/>
      </c>
      <c r="AW889" s="4">
        <f>_xlfn.XLOOKUP(tbl_MTG_Set[[#This Row],[Collector Booster Box Product Id]], tbl_Product[Product Id], tbl_Product[Pack Size])</f>
        <v/>
      </c>
      <c r="AX889" s="10">
        <f>(tbl_MTG_Set[[#This Row],[Collector Booster Box Cost]] + v_Item_Shipping_Cost_In) / tbl_MTG_Set[[#This Row],[Collector Booster Box Size]]</f>
        <v/>
      </c>
      <c r="AY889" s="10">
        <f t="array" ref="AY8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89" s="10" t="n"/>
      <c r="BA8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9" s="17">
        <f>tbl_MTG_Set[[#This Row],[Collector Booster CardMarket Profit]]/tbl_MTG_Set[[#This Row],[Collector Booster Cost]]</f>
        <v/>
      </c>
      <c r="BC889" s="10" t="n"/>
      <c r="BF889" s="10">
        <f>tbl_MTG_Set[[#This Row],[Play Booster Sell Price CardMarket]]*tbl_MTG_Set[[#This Row],[Play Booster Expected Market Value]]/tbl_MTG_Set[[#This Row],[Play Boost Sealed Market Value]]</f>
        <v/>
      </c>
      <c r="BG8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9" s="10">
        <f>tbl_MTG_Set[[#This Row],[Play Singles CardMarket Profit]]/tbl_MTG_Set[[#This Row],[Play Booster Cost]]</f>
        <v/>
      </c>
      <c r="BI889" s="10">
        <f>tbl_MTG_Set[[#This Row],[Play Singles CardMarket Profit]]&gt;0</f>
        <v/>
      </c>
      <c r="BJ889" s="10" t="n"/>
      <c r="BK889" s="10" t="n"/>
      <c r="BL889" s="10">
        <f>tbl_MTG_Set[[#This Row],[Collector Booster Sell Price CardMarket]]*tbl_MTG_Set[[#This Row],[Collector Booster Expected Market Value]]/tbl_MTG_Set[[#This Row],[Collector Boost Sealed Market Value]]</f>
        <v/>
      </c>
      <c r="BM8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9" s="10">
        <f>tbl_MTG_Set[[#This Row],[Collector Singles CardMarket Profit]]/tbl_MTG_Set[[#This Row],[Collector Booster Cost]]</f>
        <v/>
      </c>
      <c r="BO889" s="10">
        <f>tbl_MTG_Set[[#This Row],[Collector Singles CardMarket Profit]]&gt;0</f>
        <v/>
      </c>
      <c r="BP8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0">
      <c r="A890" t="n">
        <v>888</v>
      </c>
      <c r="B890" t="inlineStr">
        <is>
          <t>Magic Player Rewards 2004 P04</t>
        </is>
      </c>
      <c r="C890" t="n">
        <v>6</v>
      </c>
      <c r="D890" s="3" t="n">
        <v>37987</v>
      </c>
      <c r="F890" t="inlineStr">
        <is>
          <t>en es fr de it pt ja ko ru 汉语 漢語</t>
        </is>
      </c>
      <c r="G890" t="n">
        <v>1722</v>
      </c>
      <c r="H890">
        <f>MONTH(NOW())+12*YEAR(NOW())-MONTH(tbl_MTG_Set[[#This Row],[Released On]])-12*YEAR(tbl_MTG_Set[[#This Row],[Released On]])</f>
        <v/>
      </c>
      <c r="I890">
        <f>_xlfn.XLOOKUP(tbl_MTG_Set[[#This Row],[Type Name]], tbl_MTG_Set_Type[Set Type], tbl_MTG_Set_Type[Index], "(Set Type not found)")</f>
        <v/>
      </c>
      <c r="J890">
        <f>_xlfn.XLOOKUP(tbl_MTG_Set[[#This Row],[Type Name]], tbl_MTG_Set_Type[Set Type], tbl_MTG_Set_Type[Buy Window Month Start], "(Set Type not found)")</f>
        <v/>
      </c>
      <c r="K890" s="3">
        <f>tbl_MTG_Set[[#This Row],[Released On]]+tbl_MTG_Set[[#This Row],[Buy Window Month Start]]*365.25/12</f>
        <v/>
      </c>
      <c r="L890">
        <f>_xlfn.XLOOKUP(tbl_MTG_Set[[#This Row],[Type Name]], tbl_MTG_Set_Type[Set Type], tbl_MTG_Set_Type[Buy Window Month End], "(Set Type not found)", 0, 1)</f>
        <v/>
      </c>
      <c r="M890" s="3">
        <f>tbl_MTG_Set[[#This Row],[Released On]]+tbl_MTG_Set[[#This Row],[Buy Window Month End]]*365.25/12</f>
        <v/>
      </c>
      <c r="N890" s="3">
        <f>AND(NOW()&gt;=tbl_MTG_Set[[#This Row],[Buy Window Start]], NOW()&lt;=tbl_MTG_Set[[#This Row],[Buy Window End]])</f>
        <v/>
      </c>
      <c r="O890">
        <f>_xlfn.XLOOKUP(tbl_MTG_Set[[#This Row],[Type Name]], tbl_MTG_Set_Type[Set Type], tbl_MTG_Set_Type[Heavy Printing Window Month Start], "(Set Type not found)", 0, 1)</f>
        <v/>
      </c>
      <c r="P890" s="3">
        <f>tbl_MTG_Set[[#This Row],[Released On]]+tbl_MTG_Set[[#This Row],[Heavy Printing Window Month Start]]*365.25/12</f>
        <v/>
      </c>
      <c r="Q890">
        <f>_xlfn.XLOOKUP(tbl_MTG_Set[[#This Row],[Type Name]], tbl_MTG_Set_Type[Set Type], tbl_MTG_Set_Type[Heavy Printing Window Month End], "(Set Type not found)", 0, 1)</f>
        <v/>
      </c>
      <c r="R890" s="3">
        <f>tbl_MTG_Set[[#This Row],[Released On]]+tbl_MTG_Set[[#This Row],[Heavy Printing Window Month End]]*365.25/12</f>
        <v/>
      </c>
      <c r="S890" s="3">
        <f>AND(NOW()&gt;=tbl_MTG_Set[[#This Row],[Heavy Printing Window Start]], NOW()&lt;=tbl_MTG_Set[[#This Row],[Heavy Printing Window End]])</f>
        <v/>
      </c>
      <c r="T890">
        <f>_xlfn.XLOOKUP(tbl_MTG_Set[[#This Row],[Type Name]], tbl_MTG_Set_Type[Set Type], tbl_MTG_Set_Type[Sell Window Month Start], "(Set Type not found)", 0, 1)</f>
        <v/>
      </c>
      <c r="U890" s="3">
        <f>tbl_MTG_Set[[#This Row],[Released On]]+tbl_MTG_Set[[#This Row],[Sell Window Month Start]]*365.25/12</f>
        <v/>
      </c>
      <c r="V890">
        <f>_xlfn.XLOOKUP(tbl_MTG_Set[[#This Row],[Type Name]], tbl_MTG_Set_Type[Set Type], tbl_MTG_Set_Type[Sell Window Month End], "(Set Type not found)", 0, 1)</f>
        <v/>
      </c>
      <c r="W890" s="3">
        <f>tbl_MTG_Set[[#This Row],[Released On]]+tbl_MTG_Set[[#This Row],[Sell Window Month End]]*365.25/12</f>
        <v/>
      </c>
      <c r="X890" s="3">
        <f>AND(NOW()&gt;=tbl_MTG_Set[[#This Row],[Sell Window Start]], NOW()&lt;=tbl_MTG_Set[[#This Row],[Sell Window End]])</f>
        <v/>
      </c>
      <c r="AG890" s="10" t="n"/>
      <c r="AH890" s="10" t="n"/>
      <c r="AM890" s="10">
        <f t="array" ref="AM8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0" s="10">
        <f t="array" ref="AN8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0" s="4">
        <f>_xlfn.XLOOKUP(tbl_MTG_Set[[#This Row],[Play Booster Box Product Id]], tbl_Product[Product Id], tbl_Product[Pack Size])</f>
        <v/>
      </c>
      <c r="AP890" s="10">
        <f>(tbl_MTG_Set[[#This Row],[Play Booster Box Cost]]+v_Item_Shipping_Cost_In)/tbl_MTG_Set[[#This Row],[Play Booster Box Size]]</f>
        <v/>
      </c>
      <c r="AQ890" s="10">
        <f t="array" ref="AQ8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0" s="10" t="n"/>
      <c r="AS890" s="10" t="n"/>
      <c r="AT890" s="17">
        <f>tbl_MTG_Set[[#This Row],[Play Booster CardMarket Profit]]/tbl_MTG_Set[[#This Row],[Play Booster Cost]]</f>
        <v/>
      </c>
      <c r="AU890" s="10">
        <f>_xlfn.XLOOKUP(tbl_MTG_Set[[#This Row],[Collector Booster Box Product Id]], tbl_Product[Product Id], tbl_Product[Min Cost])</f>
        <v/>
      </c>
      <c r="AV890" s="10">
        <f>_xlfn.XLOOKUP(tbl_MTG_Set[[#This Row],[Collector Booster Box Product Id]], tbl_Product[Product Id], tbl_Product[Best Source])</f>
        <v/>
      </c>
      <c r="AW890" s="4">
        <f>_xlfn.XLOOKUP(tbl_MTG_Set[[#This Row],[Collector Booster Box Product Id]], tbl_Product[Product Id], tbl_Product[Pack Size])</f>
        <v/>
      </c>
      <c r="AX890" s="10">
        <f>(tbl_MTG_Set[[#This Row],[Collector Booster Box Cost]] + v_Item_Shipping_Cost_In) / tbl_MTG_Set[[#This Row],[Collector Booster Box Size]]</f>
        <v/>
      </c>
      <c r="AY890" s="10">
        <f t="array" ref="AY8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0" s="10" t="n"/>
      <c r="BA8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0" s="17">
        <f>tbl_MTG_Set[[#This Row],[Collector Booster CardMarket Profit]]/tbl_MTG_Set[[#This Row],[Collector Booster Cost]]</f>
        <v/>
      </c>
      <c r="BC890" s="10" t="n"/>
      <c r="BF890" s="10">
        <f>tbl_MTG_Set[[#This Row],[Play Booster Sell Price CardMarket]]*tbl_MTG_Set[[#This Row],[Play Booster Expected Market Value]]/tbl_MTG_Set[[#This Row],[Play Boost Sealed Market Value]]</f>
        <v/>
      </c>
      <c r="BG8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0" s="10">
        <f>tbl_MTG_Set[[#This Row],[Play Singles CardMarket Profit]]/tbl_MTG_Set[[#This Row],[Play Booster Cost]]</f>
        <v/>
      </c>
      <c r="BI890" s="10">
        <f>tbl_MTG_Set[[#This Row],[Play Singles CardMarket Profit]]&gt;0</f>
        <v/>
      </c>
      <c r="BJ890" s="10" t="n"/>
      <c r="BK890" s="10" t="n"/>
      <c r="BL890" s="10">
        <f>tbl_MTG_Set[[#This Row],[Collector Booster Sell Price CardMarket]]*tbl_MTG_Set[[#This Row],[Collector Booster Expected Market Value]]/tbl_MTG_Set[[#This Row],[Collector Boost Sealed Market Value]]</f>
        <v/>
      </c>
      <c r="BM8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0" s="10">
        <f>tbl_MTG_Set[[#This Row],[Collector Singles CardMarket Profit]]/tbl_MTG_Set[[#This Row],[Collector Booster Cost]]</f>
        <v/>
      </c>
      <c r="BO890" s="10">
        <f>tbl_MTG_Set[[#This Row],[Collector Singles CardMarket Profit]]&gt;0</f>
        <v/>
      </c>
      <c r="BP8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1">
      <c r="A891" t="n">
        <v>889</v>
      </c>
      <c r="B891" t="inlineStr">
        <is>
          <t>Friday Night Magic 2004 F04</t>
        </is>
      </c>
      <c r="C891" t="n">
        <v>12</v>
      </c>
      <c r="D891" s="3" t="n">
        <v>37987</v>
      </c>
      <c r="F891" t="inlineStr">
        <is>
          <t>en es fr de it pt ja ko ru 汉语 漢語</t>
        </is>
      </c>
      <c r="G891" t="n">
        <v>1724</v>
      </c>
      <c r="H891">
        <f>MONTH(NOW())+12*YEAR(NOW())-MONTH(tbl_MTG_Set[[#This Row],[Released On]])-12*YEAR(tbl_MTG_Set[[#This Row],[Released On]])</f>
        <v/>
      </c>
      <c r="I891">
        <f>_xlfn.XLOOKUP(tbl_MTG_Set[[#This Row],[Type Name]], tbl_MTG_Set_Type[Set Type], tbl_MTG_Set_Type[Index], "(Set Type not found)")</f>
        <v/>
      </c>
      <c r="J891">
        <f>_xlfn.XLOOKUP(tbl_MTG_Set[[#This Row],[Type Name]], tbl_MTG_Set_Type[Set Type], tbl_MTG_Set_Type[Buy Window Month Start], "(Set Type not found)")</f>
        <v/>
      </c>
      <c r="K891" s="3">
        <f>tbl_MTG_Set[[#This Row],[Released On]]+tbl_MTG_Set[[#This Row],[Buy Window Month Start]]*365.25/12</f>
        <v/>
      </c>
      <c r="L891">
        <f>_xlfn.XLOOKUP(tbl_MTG_Set[[#This Row],[Type Name]], tbl_MTG_Set_Type[Set Type], tbl_MTG_Set_Type[Buy Window Month End], "(Set Type not found)", 0, 1)</f>
        <v/>
      </c>
      <c r="M891" s="3">
        <f>tbl_MTG_Set[[#This Row],[Released On]]+tbl_MTG_Set[[#This Row],[Buy Window Month End]]*365.25/12</f>
        <v/>
      </c>
      <c r="N891" s="3">
        <f>AND(NOW()&gt;=tbl_MTG_Set[[#This Row],[Buy Window Start]], NOW()&lt;=tbl_MTG_Set[[#This Row],[Buy Window End]])</f>
        <v/>
      </c>
      <c r="O891">
        <f>_xlfn.XLOOKUP(tbl_MTG_Set[[#This Row],[Type Name]], tbl_MTG_Set_Type[Set Type], tbl_MTG_Set_Type[Heavy Printing Window Month Start], "(Set Type not found)", 0, 1)</f>
        <v/>
      </c>
      <c r="P891" s="3">
        <f>tbl_MTG_Set[[#This Row],[Released On]]+tbl_MTG_Set[[#This Row],[Heavy Printing Window Month Start]]*365.25/12</f>
        <v/>
      </c>
      <c r="Q891">
        <f>_xlfn.XLOOKUP(tbl_MTG_Set[[#This Row],[Type Name]], tbl_MTG_Set_Type[Set Type], tbl_MTG_Set_Type[Heavy Printing Window Month End], "(Set Type not found)", 0, 1)</f>
        <v/>
      </c>
      <c r="R891" s="3">
        <f>tbl_MTG_Set[[#This Row],[Released On]]+tbl_MTG_Set[[#This Row],[Heavy Printing Window Month End]]*365.25/12</f>
        <v/>
      </c>
      <c r="S891" s="3">
        <f>AND(NOW()&gt;=tbl_MTG_Set[[#This Row],[Heavy Printing Window Start]], NOW()&lt;=tbl_MTG_Set[[#This Row],[Heavy Printing Window End]])</f>
        <v/>
      </c>
      <c r="T891">
        <f>_xlfn.XLOOKUP(tbl_MTG_Set[[#This Row],[Type Name]], tbl_MTG_Set_Type[Set Type], tbl_MTG_Set_Type[Sell Window Month Start], "(Set Type not found)", 0, 1)</f>
        <v/>
      </c>
      <c r="U891" s="3">
        <f>tbl_MTG_Set[[#This Row],[Released On]]+tbl_MTG_Set[[#This Row],[Sell Window Month Start]]*365.25/12</f>
        <v/>
      </c>
      <c r="V891">
        <f>_xlfn.XLOOKUP(tbl_MTG_Set[[#This Row],[Type Name]], tbl_MTG_Set_Type[Set Type], tbl_MTG_Set_Type[Sell Window Month End], "(Set Type not found)", 0, 1)</f>
        <v/>
      </c>
      <c r="W891" s="3">
        <f>tbl_MTG_Set[[#This Row],[Released On]]+tbl_MTG_Set[[#This Row],[Sell Window Month End]]*365.25/12</f>
        <v/>
      </c>
      <c r="X891" s="3">
        <f>AND(NOW()&gt;=tbl_MTG_Set[[#This Row],[Sell Window Start]], NOW()&lt;=tbl_MTG_Set[[#This Row],[Sell Window End]])</f>
        <v/>
      </c>
      <c r="AG891" s="10" t="n"/>
      <c r="AH891" s="10" t="n"/>
      <c r="AM891" s="10">
        <f t="array" ref="AM8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1" s="10">
        <f t="array" ref="AN8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1" s="4">
        <f>_xlfn.XLOOKUP(tbl_MTG_Set[[#This Row],[Play Booster Box Product Id]], tbl_Product[Product Id], tbl_Product[Pack Size])</f>
        <v/>
      </c>
      <c r="AP891" s="10">
        <f>(tbl_MTG_Set[[#This Row],[Play Booster Box Cost]]+v_Item_Shipping_Cost_In)/tbl_MTG_Set[[#This Row],[Play Booster Box Size]]</f>
        <v/>
      </c>
      <c r="AQ891" s="10">
        <f t="array" ref="AQ8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1" s="10" t="n"/>
      <c r="AS891" s="10" t="n"/>
      <c r="AT891" s="17">
        <f>tbl_MTG_Set[[#This Row],[Play Booster CardMarket Profit]]/tbl_MTG_Set[[#This Row],[Play Booster Cost]]</f>
        <v/>
      </c>
      <c r="AU891" s="10">
        <f>_xlfn.XLOOKUP(tbl_MTG_Set[[#This Row],[Collector Booster Box Product Id]], tbl_Product[Product Id], tbl_Product[Min Cost])</f>
        <v/>
      </c>
      <c r="AV891" s="10">
        <f>_xlfn.XLOOKUP(tbl_MTG_Set[[#This Row],[Collector Booster Box Product Id]], tbl_Product[Product Id], tbl_Product[Best Source])</f>
        <v/>
      </c>
      <c r="AW891" s="4">
        <f>_xlfn.XLOOKUP(tbl_MTG_Set[[#This Row],[Collector Booster Box Product Id]], tbl_Product[Product Id], tbl_Product[Pack Size])</f>
        <v/>
      </c>
      <c r="AX891" s="10">
        <f>(tbl_MTG_Set[[#This Row],[Collector Booster Box Cost]] + v_Item_Shipping_Cost_In) / tbl_MTG_Set[[#This Row],[Collector Booster Box Size]]</f>
        <v/>
      </c>
      <c r="AY891" s="10">
        <f t="array" ref="AY8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1" s="10" t="n"/>
      <c r="BA8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1" s="17">
        <f>tbl_MTG_Set[[#This Row],[Collector Booster CardMarket Profit]]/tbl_MTG_Set[[#This Row],[Collector Booster Cost]]</f>
        <v/>
      </c>
      <c r="BC891" s="10" t="n"/>
      <c r="BF891" s="10">
        <f>tbl_MTG_Set[[#This Row],[Play Booster Sell Price CardMarket]]*tbl_MTG_Set[[#This Row],[Play Booster Expected Market Value]]/tbl_MTG_Set[[#This Row],[Play Boost Sealed Market Value]]</f>
        <v/>
      </c>
      <c r="BG8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1" s="10">
        <f>tbl_MTG_Set[[#This Row],[Play Singles CardMarket Profit]]/tbl_MTG_Set[[#This Row],[Play Booster Cost]]</f>
        <v/>
      </c>
      <c r="BI891" s="10">
        <f>tbl_MTG_Set[[#This Row],[Play Singles CardMarket Profit]]&gt;0</f>
        <v/>
      </c>
      <c r="BJ891" s="10" t="n"/>
      <c r="BK891" s="10" t="n"/>
      <c r="BL891" s="10">
        <f>tbl_MTG_Set[[#This Row],[Collector Booster Sell Price CardMarket]]*tbl_MTG_Set[[#This Row],[Collector Booster Expected Market Value]]/tbl_MTG_Set[[#This Row],[Collector Boost Sealed Market Value]]</f>
        <v/>
      </c>
      <c r="BM8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1" s="10">
        <f>tbl_MTG_Set[[#This Row],[Collector Singles CardMarket Profit]]/tbl_MTG_Set[[#This Row],[Collector Booster Cost]]</f>
        <v/>
      </c>
      <c r="BO891" s="10">
        <f>tbl_MTG_Set[[#This Row],[Collector Singles CardMarket Profit]]&gt;0</f>
        <v/>
      </c>
      <c r="BP8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2">
      <c r="A892" t="n">
        <v>890</v>
      </c>
      <c r="B892" t="inlineStr">
        <is>
          <t>Mirrodin MRD</t>
        </is>
      </c>
      <c r="C892" t="n">
        <v>306</v>
      </c>
      <c r="D892" s="3" t="n">
        <v>37896</v>
      </c>
      <c r="F892" t="inlineStr">
        <is>
          <t>en es fr de it pt ja ko ru 汉语 漢語</t>
        </is>
      </c>
      <c r="G892" t="n">
        <v>1726</v>
      </c>
      <c r="H892">
        <f>MONTH(NOW())+12*YEAR(NOW())-MONTH(tbl_MTG_Set[[#This Row],[Released On]])-12*YEAR(tbl_MTG_Set[[#This Row],[Released On]])</f>
        <v/>
      </c>
      <c r="I892">
        <f>_xlfn.XLOOKUP(tbl_MTG_Set[[#This Row],[Type Name]], tbl_MTG_Set_Type[Set Type], tbl_MTG_Set_Type[Index], "(Set Type not found)")</f>
        <v/>
      </c>
      <c r="J892">
        <f>_xlfn.XLOOKUP(tbl_MTG_Set[[#This Row],[Type Name]], tbl_MTG_Set_Type[Set Type], tbl_MTG_Set_Type[Buy Window Month Start], "(Set Type not found)")</f>
        <v/>
      </c>
      <c r="K892" s="3">
        <f>tbl_MTG_Set[[#This Row],[Released On]]+tbl_MTG_Set[[#This Row],[Buy Window Month Start]]*365.25/12</f>
        <v/>
      </c>
      <c r="L892">
        <f>_xlfn.XLOOKUP(tbl_MTG_Set[[#This Row],[Type Name]], tbl_MTG_Set_Type[Set Type], tbl_MTG_Set_Type[Buy Window Month End], "(Set Type not found)", 0, 1)</f>
        <v/>
      </c>
      <c r="M892" s="3">
        <f>tbl_MTG_Set[[#This Row],[Released On]]+tbl_MTG_Set[[#This Row],[Buy Window Month End]]*365.25/12</f>
        <v/>
      </c>
      <c r="N892" s="3">
        <f>AND(NOW()&gt;=tbl_MTG_Set[[#This Row],[Buy Window Start]], NOW()&lt;=tbl_MTG_Set[[#This Row],[Buy Window End]])</f>
        <v/>
      </c>
      <c r="O892">
        <f>_xlfn.XLOOKUP(tbl_MTG_Set[[#This Row],[Type Name]], tbl_MTG_Set_Type[Set Type], tbl_MTG_Set_Type[Heavy Printing Window Month Start], "(Set Type not found)", 0, 1)</f>
        <v/>
      </c>
      <c r="P892" s="3">
        <f>tbl_MTG_Set[[#This Row],[Released On]]+tbl_MTG_Set[[#This Row],[Heavy Printing Window Month Start]]*365.25/12</f>
        <v/>
      </c>
      <c r="Q892">
        <f>_xlfn.XLOOKUP(tbl_MTG_Set[[#This Row],[Type Name]], tbl_MTG_Set_Type[Set Type], tbl_MTG_Set_Type[Heavy Printing Window Month End], "(Set Type not found)", 0, 1)</f>
        <v/>
      </c>
      <c r="R892" s="3">
        <f>tbl_MTG_Set[[#This Row],[Released On]]+tbl_MTG_Set[[#This Row],[Heavy Printing Window Month End]]*365.25/12</f>
        <v/>
      </c>
      <c r="S892" s="3">
        <f>AND(NOW()&gt;=tbl_MTG_Set[[#This Row],[Heavy Printing Window Start]], NOW()&lt;=tbl_MTG_Set[[#This Row],[Heavy Printing Window End]])</f>
        <v/>
      </c>
      <c r="T892">
        <f>_xlfn.XLOOKUP(tbl_MTG_Set[[#This Row],[Type Name]], tbl_MTG_Set_Type[Set Type], tbl_MTG_Set_Type[Sell Window Month Start], "(Set Type not found)", 0, 1)</f>
        <v/>
      </c>
      <c r="U892" s="3">
        <f>tbl_MTG_Set[[#This Row],[Released On]]+tbl_MTG_Set[[#This Row],[Sell Window Month Start]]*365.25/12</f>
        <v/>
      </c>
      <c r="V892">
        <f>_xlfn.XLOOKUP(tbl_MTG_Set[[#This Row],[Type Name]], tbl_MTG_Set_Type[Set Type], tbl_MTG_Set_Type[Sell Window Month End], "(Set Type not found)", 0, 1)</f>
        <v/>
      </c>
      <c r="W892" s="3">
        <f>tbl_MTG_Set[[#This Row],[Released On]]+tbl_MTG_Set[[#This Row],[Sell Window Month End]]*365.25/12</f>
        <v/>
      </c>
      <c r="X892" s="3">
        <f>AND(NOW()&gt;=tbl_MTG_Set[[#This Row],[Sell Window Start]], NOW()&lt;=tbl_MTG_Set[[#This Row],[Sell Window End]])</f>
        <v/>
      </c>
      <c r="AG892" s="10" t="n"/>
      <c r="AH892" s="10" t="n"/>
      <c r="AM892" s="10">
        <f t="array" ref="AM8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2" s="10">
        <f t="array" ref="AN8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2" s="4">
        <f>_xlfn.XLOOKUP(tbl_MTG_Set[[#This Row],[Play Booster Box Product Id]], tbl_Product[Product Id], tbl_Product[Pack Size])</f>
        <v/>
      </c>
      <c r="AP892" s="10">
        <f>(tbl_MTG_Set[[#This Row],[Play Booster Box Cost]]+v_Item_Shipping_Cost_In)/tbl_MTG_Set[[#This Row],[Play Booster Box Size]]</f>
        <v/>
      </c>
      <c r="AQ892" s="10">
        <f t="array" ref="AQ8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2" s="10" t="n"/>
      <c r="AS892" s="10" t="n"/>
      <c r="AT892" s="17">
        <f>tbl_MTG_Set[[#This Row],[Play Booster CardMarket Profit]]/tbl_MTG_Set[[#This Row],[Play Booster Cost]]</f>
        <v/>
      </c>
      <c r="AU892" s="10">
        <f>_xlfn.XLOOKUP(tbl_MTG_Set[[#This Row],[Collector Booster Box Product Id]], tbl_Product[Product Id], tbl_Product[Min Cost])</f>
        <v/>
      </c>
      <c r="AV892" s="10">
        <f>_xlfn.XLOOKUP(tbl_MTG_Set[[#This Row],[Collector Booster Box Product Id]], tbl_Product[Product Id], tbl_Product[Best Source])</f>
        <v/>
      </c>
      <c r="AW892" s="4">
        <f>_xlfn.XLOOKUP(tbl_MTG_Set[[#This Row],[Collector Booster Box Product Id]], tbl_Product[Product Id], tbl_Product[Pack Size])</f>
        <v/>
      </c>
      <c r="AX892" s="10">
        <f>(tbl_MTG_Set[[#This Row],[Collector Booster Box Cost]] + v_Item_Shipping_Cost_In) / tbl_MTG_Set[[#This Row],[Collector Booster Box Size]]</f>
        <v/>
      </c>
      <c r="AY892" s="10">
        <f t="array" ref="AY8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2" s="10" t="n"/>
      <c r="BA8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2" s="17">
        <f>tbl_MTG_Set[[#This Row],[Collector Booster CardMarket Profit]]/tbl_MTG_Set[[#This Row],[Collector Booster Cost]]</f>
        <v/>
      </c>
      <c r="BC892" s="10" t="n"/>
      <c r="BF892" s="10">
        <f>tbl_MTG_Set[[#This Row],[Play Booster Sell Price CardMarket]]*tbl_MTG_Set[[#This Row],[Play Booster Expected Market Value]]/tbl_MTG_Set[[#This Row],[Play Boost Sealed Market Value]]</f>
        <v/>
      </c>
      <c r="BG8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2" s="10">
        <f>tbl_MTG_Set[[#This Row],[Play Singles CardMarket Profit]]/tbl_MTG_Set[[#This Row],[Play Booster Cost]]</f>
        <v/>
      </c>
      <c r="BI892" s="10">
        <f>tbl_MTG_Set[[#This Row],[Play Singles CardMarket Profit]]&gt;0</f>
        <v/>
      </c>
      <c r="BJ892" s="10" t="n"/>
      <c r="BK892" s="10" t="n"/>
      <c r="BL892" s="10">
        <f>tbl_MTG_Set[[#This Row],[Collector Booster Sell Price CardMarket]]*tbl_MTG_Set[[#This Row],[Collector Booster Expected Market Value]]/tbl_MTG_Set[[#This Row],[Collector Boost Sealed Market Value]]</f>
        <v/>
      </c>
      <c r="BM8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2" s="10">
        <f>tbl_MTG_Set[[#This Row],[Collector Singles CardMarket Profit]]/tbl_MTG_Set[[#This Row],[Collector Booster Cost]]</f>
        <v/>
      </c>
      <c r="BO892" s="10">
        <f>tbl_MTG_Set[[#This Row],[Collector Singles CardMarket Profit]]&gt;0</f>
        <v/>
      </c>
      <c r="BP8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3">
      <c r="A893" t="n">
        <v>891</v>
      </c>
      <c r="B893" t="inlineStr">
        <is>
          <t>Mirrodin Promos PMRD</t>
        </is>
      </c>
      <c r="C893" t="n">
        <v>1</v>
      </c>
      <c r="D893" s="3" t="n">
        <v>38142</v>
      </c>
      <c r="F893" t="inlineStr">
        <is>
          <t>en es fr de it pt ja ko ru 汉语 漢語</t>
        </is>
      </c>
      <c r="G893" t="n">
        <v>1728</v>
      </c>
      <c r="H893">
        <f>MONTH(NOW())+12*YEAR(NOW())-MONTH(tbl_MTG_Set[[#This Row],[Released On]])-12*YEAR(tbl_MTG_Set[[#This Row],[Released On]])</f>
        <v/>
      </c>
      <c r="I893">
        <f>_xlfn.XLOOKUP(tbl_MTG_Set[[#This Row],[Type Name]], tbl_MTG_Set_Type[Set Type], tbl_MTG_Set_Type[Index], "(Set Type not found)")</f>
        <v/>
      </c>
      <c r="J893">
        <f>_xlfn.XLOOKUP(tbl_MTG_Set[[#This Row],[Type Name]], tbl_MTG_Set_Type[Set Type], tbl_MTG_Set_Type[Buy Window Month Start], "(Set Type not found)")</f>
        <v/>
      </c>
      <c r="K893" s="3">
        <f>tbl_MTG_Set[[#This Row],[Released On]]+tbl_MTG_Set[[#This Row],[Buy Window Month Start]]*365.25/12</f>
        <v/>
      </c>
      <c r="L893">
        <f>_xlfn.XLOOKUP(tbl_MTG_Set[[#This Row],[Type Name]], tbl_MTG_Set_Type[Set Type], tbl_MTG_Set_Type[Buy Window Month End], "(Set Type not found)", 0, 1)</f>
        <v/>
      </c>
      <c r="M893" s="3">
        <f>tbl_MTG_Set[[#This Row],[Released On]]+tbl_MTG_Set[[#This Row],[Buy Window Month End]]*365.25/12</f>
        <v/>
      </c>
      <c r="N893" s="3">
        <f>AND(NOW()&gt;=tbl_MTG_Set[[#This Row],[Buy Window Start]], NOW()&lt;=tbl_MTG_Set[[#This Row],[Buy Window End]])</f>
        <v/>
      </c>
      <c r="O893">
        <f>_xlfn.XLOOKUP(tbl_MTG_Set[[#This Row],[Type Name]], tbl_MTG_Set_Type[Set Type], tbl_MTG_Set_Type[Heavy Printing Window Month Start], "(Set Type not found)", 0, 1)</f>
        <v/>
      </c>
      <c r="P893" s="3">
        <f>tbl_MTG_Set[[#This Row],[Released On]]+tbl_MTG_Set[[#This Row],[Heavy Printing Window Month Start]]*365.25/12</f>
        <v/>
      </c>
      <c r="Q893">
        <f>_xlfn.XLOOKUP(tbl_MTG_Set[[#This Row],[Type Name]], tbl_MTG_Set_Type[Set Type], tbl_MTG_Set_Type[Heavy Printing Window Month End], "(Set Type not found)", 0, 1)</f>
        <v/>
      </c>
      <c r="R893" s="3">
        <f>tbl_MTG_Set[[#This Row],[Released On]]+tbl_MTG_Set[[#This Row],[Heavy Printing Window Month End]]*365.25/12</f>
        <v/>
      </c>
      <c r="S893" s="3">
        <f>AND(NOW()&gt;=tbl_MTG_Set[[#This Row],[Heavy Printing Window Start]], NOW()&lt;=tbl_MTG_Set[[#This Row],[Heavy Printing Window End]])</f>
        <v/>
      </c>
      <c r="T893">
        <f>_xlfn.XLOOKUP(tbl_MTG_Set[[#This Row],[Type Name]], tbl_MTG_Set_Type[Set Type], tbl_MTG_Set_Type[Sell Window Month Start], "(Set Type not found)", 0, 1)</f>
        <v/>
      </c>
      <c r="U893" s="3">
        <f>tbl_MTG_Set[[#This Row],[Released On]]+tbl_MTG_Set[[#This Row],[Sell Window Month Start]]*365.25/12</f>
        <v/>
      </c>
      <c r="V893">
        <f>_xlfn.XLOOKUP(tbl_MTG_Set[[#This Row],[Type Name]], tbl_MTG_Set_Type[Set Type], tbl_MTG_Set_Type[Sell Window Month End], "(Set Type not found)", 0, 1)</f>
        <v/>
      </c>
      <c r="W893" s="3">
        <f>tbl_MTG_Set[[#This Row],[Released On]]+tbl_MTG_Set[[#This Row],[Sell Window Month End]]*365.25/12</f>
        <v/>
      </c>
      <c r="X893" s="3">
        <f>AND(NOW()&gt;=tbl_MTG_Set[[#This Row],[Sell Window Start]], NOW()&lt;=tbl_MTG_Set[[#This Row],[Sell Window End]])</f>
        <v/>
      </c>
      <c r="AG893" s="10" t="n"/>
      <c r="AH893" s="10" t="n"/>
      <c r="AM893" s="10">
        <f t="array" ref="AM8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3" s="10">
        <f t="array" ref="AN8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3" s="4">
        <f>_xlfn.XLOOKUP(tbl_MTG_Set[[#This Row],[Play Booster Box Product Id]], tbl_Product[Product Id], tbl_Product[Pack Size])</f>
        <v/>
      </c>
      <c r="AP893" s="10">
        <f>(tbl_MTG_Set[[#This Row],[Play Booster Box Cost]]+v_Item_Shipping_Cost_In)/tbl_MTG_Set[[#This Row],[Play Booster Box Size]]</f>
        <v/>
      </c>
      <c r="AQ893" s="10">
        <f t="array" ref="AQ8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3" s="10" t="n"/>
      <c r="AS893" s="10" t="n"/>
      <c r="AT893" s="17">
        <f>tbl_MTG_Set[[#This Row],[Play Booster CardMarket Profit]]/tbl_MTG_Set[[#This Row],[Play Booster Cost]]</f>
        <v/>
      </c>
      <c r="AU893" s="10">
        <f>_xlfn.XLOOKUP(tbl_MTG_Set[[#This Row],[Collector Booster Box Product Id]], tbl_Product[Product Id], tbl_Product[Min Cost])</f>
        <v/>
      </c>
      <c r="AV893" s="10">
        <f>_xlfn.XLOOKUP(tbl_MTG_Set[[#This Row],[Collector Booster Box Product Id]], tbl_Product[Product Id], tbl_Product[Best Source])</f>
        <v/>
      </c>
      <c r="AW893" s="4">
        <f>_xlfn.XLOOKUP(tbl_MTG_Set[[#This Row],[Collector Booster Box Product Id]], tbl_Product[Product Id], tbl_Product[Pack Size])</f>
        <v/>
      </c>
      <c r="AX893" s="10">
        <f>(tbl_MTG_Set[[#This Row],[Collector Booster Box Cost]] + v_Item_Shipping_Cost_In) / tbl_MTG_Set[[#This Row],[Collector Booster Box Size]]</f>
        <v/>
      </c>
      <c r="AY893" s="10">
        <f t="array" ref="AY8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3" s="10" t="n"/>
      <c r="BA8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3" s="17">
        <f>tbl_MTG_Set[[#This Row],[Collector Booster CardMarket Profit]]/tbl_MTG_Set[[#This Row],[Collector Booster Cost]]</f>
        <v/>
      </c>
      <c r="BC893" s="10" t="n"/>
      <c r="BF893" s="10">
        <f>tbl_MTG_Set[[#This Row],[Play Booster Sell Price CardMarket]]*tbl_MTG_Set[[#This Row],[Play Booster Expected Market Value]]/tbl_MTG_Set[[#This Row],[Play Boost Sealed Market Value]]</f>
        <v/>
      </c>
      <c r="BG8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3" s="10">
        <f>tbl_MTG_Set[[#This Row],[Play Singles CardMarket Profit]]/tbl_MTG_Set[[#This Row],[Play Booster Cost]]</f>
        <v/>
      </c>
      <c r="BI893" s="10">
        <f>tbl_MTG_Set[[#This Row],[Play Singles CardMarket Profit]]&gt;0</f>
        <v/>
      </c>
      <c r="BJ893" s="10" t="n"/>
      <c r="BK893" s="10" t="n"/>
      <c r="BL893" s="10">
        <f>tbl_MTG_Set[[#This Row],[Collector Booster Sell Price CardMarket]]*tbl_MTG_Set[[#This Row],[Collector Booster Expected Market Value]]/tbl_MTG_Set[[#This Row],[Collector Boost Sealed Market Value]]</f>
        <v/>
      </c>
      <c r="BM8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3" s="10">
        <f>tbl_MTG_Set[[#This Row],[Collector Singles CardMarket Profit]]/tbl_MTG_Set[[#This Row],[Collector Booster Cost]]</f>
        <v/>
      </c>
      <c r="BO893" s="10">
        <f>tbl_MTG_Set[[#This Row],[Collector Singles CardMarket Profit]]&gt;0</f>
        <v/>
      </c>
      <c r="BP8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4">
      <c r="A894" t="n">
        <v>892</v>
      </c>
      <c r="B894" t="inlineStr">
        <is>
          <t>World Championship Decks 2003 WC03</t>
        </is>
      </c>
      <c r="C894" t="n">
        <v>142</v>
      </c>
      <c r="D894" s="3" t="n">
        <v>37839</v>
      </c>
      <c r="F894" t="inlineStr">
        <is>
          <t>en es fr de it pt ja ko ru 汉语 漢語</t>
        </is>
      </c>
      <c r="G894" t="n">
        <v>1730</v>
      </c>
      <c r="H894">
        <f>MONTH(NOW())+12*YEAR(NOW())-MONTH(tbl_MTG_Set[[#This Row],[Released On]])-12*YEAR(tbl_MTG_Set[[#This Row],[Released On]])</f>
        <v/>
      </c>
      <c r="I894">
        <f>_xlfn.XLOOKUP(tbl_MTG_Set[[#This Row],[Type Name]], tbl_MTG_Set_Type[Set Type], tbl_MTG_Set_Type[Index], "(Set Type not found)")</f>
        <v/>
      </c>
      <c r="J894">
        <f>_xlfn.XLOOKUP(tbl_MTG_Set[[#This Row],[Type Name]], tbl_MTG_Set_Type[Set Type], tbl_MTG_Set_Type[Buy Window Month Start], "(Set Type not found)")</f>
        <v/>
      </c>
      <c r="K894" s="3">
        <f>tbl_MTG_Set[[#This Row],[Released On]]+tbl_MTG_Set[[#This Row],[Buy Window Month Start]]*365.25/12</f>
        <v/>
      </c>
      <c r="L894">
        <f>_xlfn.XLOOKUP(tbl_MTG_Set[[#This Row],[Type Name]], tbl_MTG_Set_Type[Set Type], tbl_MTG_Set_Type[Buy Window Month End], "(Set Type not found)", 0, 1)</f>
        <v/>
      </c>
      <c r="M894" s="3">
        <f>tbl_MTG_Set[[#This Row],[Released On]]+tbl_MTG_Set[[#This Row],[Buy Window Month End]]*365.25/12</f>
        <v/>
      </c>
      <c r="N894" s="3">
        <f>AND(NOW()&gt;=tbl_MTG_Set[[#This Row],[Buy Window Start]], NOW()&lt;=tbl_MTG_Set[[#This Row],[Buy Window End]])</f>
        <v/>
      </c>
      <c r="O894">
        <f>_xlfn.XLOOKUP(tbl_MTG_Set[[#This Row],[Type Name]], tbl_MTG_Set_Type[Set Type], tbl_MTG_Set_Type[Heavy Printing Window Month Start], "(Set Type not found)", 0, 1)</f>
        <v/>
      </c>
      <c r="P894" s="3">
        <f>tbl_MTG_Set[[#This Row],[Released On]]+tbl_MTG_Set[[#This Row],[Heavy Printing Window Month Start]]*365.25/12</f>
        <v/>
      </c>
      <c r="Q894">
        <f>_xlfn.XLOOKUP(tbl_MTG_Set[[#This Row],[Type Name]], tbl_MTG_Set_Type[Set Type], tbl_MTG_Set_Type[Heavy Printing Window Month End], "(Set Type not found)", 0, 1)</f>
        <v/>
      </c>
      <c r="R894" s="3">
        <f>tbl_MTG_Set[[#This Row],[Released On]]+tbl_MTG_Set[[#This Row],[Heavy Printing Window Month End]]*365.25/12</f>
        <v/>
      </c>
      <c r="S894" s="3">
        <f>AND(NOW()&gt;=tbl_MTG_Set[[#This Row],[Heavy Printing Window Start]], NOW()&lt;=tbl_MTG_Set[[#This Row],[Heavy Printing Window End]])</f>
        <v/>
      </c>
      <c r="T894">
        <f>_xlfn.XLOOKUP(tbl_MTG_Set[[#This Row],[Type Name]], tbl_MTG_Set_Type[Set Type], tbl_MTG_Set_Type[Sell Window Month Start], "(Set Type not found)", 0, 1)</f>
        <v/>
      </c>
      <c r="U894" s="3">
        <f>tbl_MTG_Set[[#This Row],[Released On]]+tbl_MTG_Set[[#This Row],[Sell Window Month Start]]*365.25/12</f>
        <v/>
      </c>
      <c r="V894">
        <f>_xlfn.XLOOKUP(tbl_MTG_Set[[#This Row],[Type Name]], tbl_MTG_Set_Type[Set Type], tbl_MTG_Set_Type[Sell Window Month End], "(Set Type not found)", 0, 1)</f>
        <v/>
      </c>
      <c r="W894" s="3">
        <f>tbl_MTG_Set[[#This Row],[Released On]]+tbl_MTG_Set[[#This Row],[Sell Window Month End]]*365.25/12</f>
        <v/>
      </c>
      <c r="X894" s="3">
        <f>AND(NOW()&gt;=tbl_MTG_Set[[#This Row],[Sell Window Start]], NOW()&lt;=tbl_MTG_Set[[#This Row],[Sell Window End]])</f>
        <v/>
      </c>
      <c r="AG894" s="10" t="n"/>
      <c r="AH894" s="10" t="n"/>
      <c r="AM894" s="10">
        <f t="array" ref="AM8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4" s="10">
        <f t="array" ref="AN8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4" s="4">
        <f>_xlfn.XLOOKUP(tbl_MTG_Set[[#This Row],[Play Booster Box Product Id]], tbl_Product[Product Id], tbl_Product[Pack Size])</f>
        <v/>
      </c>
      <c r="AP894" s="10">
        <f>(tbl_MTG_Set[[#This Row],[Play Booster Box Cost]]+v_Item_Shipping_Cost_In)/tbl_MTG_Set[[#This Row],[Play Booster Box Size]]</f>
        <v/>
      </c>
      <c r="AQ894" s="10">
        <f t="array" ref="AQ8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4" s="10" t="n"/>
      <c r="AS894" s="10" t="n"/>
      <c r="AT894" s="17">
        <f>tbl_MTG_Set[[#This Row],[Play Booster CardMarket Profit]]/tbl_MTG_Set[[#This Row],[Play Booster Cost]]</f>
        <v/>
      </c>
      <c r="AU894" s="10">
        <f>_xlfn.XLOOKUP(tbl_MTG_Set[[#This Row],[Collector Booster Box Product Id]], tbl_Product[Product Id], tbl_Product[Min Cost])</f>
        <v/>
      </c>
      <c r="AV894" s="10">
        <f>_xlfn.XLOOKUP(tbl_MTG_Set[[#This Row],[Collector Booster Box Product Id]], tbl_Product[Product Id], tbl_Product[Best Source])</f>
        <v/>
      </c>
      <c r="AW894" s="4">
        <f>_xlfn.XLOOKUP(tbl_MTG_Set[[#This Row],[Collector Booster Box Product Id]], tbl_Product[Product Id], tbl_Product[Pack Size])</f>
        <v/>
      </c>
      <c r="AX894" s="10">
        <f>(tbl_MTG_Set[[#This Row],[Collector Booster Box Cost]] + v_Item_Shipping_Cost_In) / tbl_MTG_Set[[#This Row],[Collector Booster Box Size]]</f>
        <v/>
      </c>
      <c r="AY894" s="10">
        <f t="array" ref="AY8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4" s="10" t="n"/>
      <c r="BA8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4" s="17">
        <f>tbl_MTG_Set[[#This Row],[Collector Booster CardMarket Profit]]/tbl_MTG_Set[[#This Row],[Collector Booster Cost]]</f>
        <v/>
      </c>
      <c r="BC894" s="10" t="n"/>
      <c r="BF894" s="10">
        <f>tbl_MTG_Set[[#This Row],[Play Booster Sell Price CardMarket]]*tbl_MTG_Set[[#This Row],[Play Booster Expected Market Value]]/tbl_MTG_Set[[#This Row],[Play Boost Sealed Market Value]]</f>
        <v/>
      </c>
      <c r="BG8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4" s="10">
        <f>tbl_MTG_Set[[#This Row],[Play Singles CardMarket Profit]]/tbl_MTG_Set[[#This Row],[Play Booster Cost]]</f>
        <v/>
      </c>
      <c r="BI894" s="10">
        <f>tbl_MTG_Set[[#This Row],[Play Singles CardMarket Profit]]&gt;0</f>
        <v/>
      </c>
      <c r="BJ894" s="10" t="n"/>
      <c r="BK894" s="10" t="n"/>
      <c r="BL894" s="10">
        <f>tbl_MTG_Set[[#This Row],[Collector Booster Sell Price CardMarket]]*tbl_MTG_Set[[#This Row],[Collector Booster Expected Market Value]]/tbl_MTG_Set[[#This Row],[Collector Boost Sealed Market Value]]</f>
        <v/>
      </c>
      <c r="BM8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4" s="10">
        <f>tbl_MTG_Set[[#This Row],[Collector Singles CardMarket Profit]]/tbl_MTG_Set[[#This Row],[Collector Booster Cost]]</f>
        <v/>
      </c>
      <c r="BO894" s="10">
        <f>tbl_MTG_Set[[#This Row],[Collector Singles CardMarket Profit]]&gt;0</f>
        <v/>
      </c>
      <c r="BP8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5">
      <c r="A895" t="n">
        <v>893</v>
      </c>
      <c r="B895" t="inlineStr">
        <is>
          <t>Eighth Edition 8ED</t>
        </is>
      </c>
      <c r="C895" t="n">
        <v>711</v>
      </c>
      <c r="D895" s="3" t="n">
        <v>37830</v>
      </c>
      <c r="F895" t="inlineStr">
        <is>
          <t>en es fr de it pt ja ko ru 汉语 漢語</t>
        </is>
      </c>
      <c r="G895" t="n">
        <v>1732</v>
      </c>
      <c r="H895">
        <f>MONTH(NOW())+12*YEAR(NOW())-MONTH(tbl_MTG_Set[[#This Row],[Released On]])-12*YEAR(tbl_MTG_Set[[#This Row],[Released On]])</f>
        <v/>
      </c>
      <c r="I895">
        <f>_xlfn.XLOOKUP(tbl_MTG_Set[[#This Row],[Type Name]], tbl_MTG_Set_Type[Set Type], tbl_MTG_Set_Type[Index], "(Set Type not found)")</f>
        <v/>
      </c>
      <c r="J895">
        <f>_xlfn.XLOOKUP(tbl_MTG_Set[[#This Row],[Type Name]], tbl_MTG_Set_Type[Set Type], tbl_MTG_Set_Type[Buy Window Month Start], "(Set Type not found)")</f>
        <v/>
      </c>
      <c r="K895" s="3">
        <f>tbl_MTG_Set[[#This Row],[Released On]]+tbl_MTG_Set[[#This Row],[Buy Window Month Start]]*365.25/12</f>
        <v/>
      </c>
      <c r="L895">
        <f>_xlfn.XLOOKUP(tbl_MTG_Set[[#This Row],[Type Name]], tbl_MTG_Set_Type[Set Type], tbl_MTG_Set_Type[Buy Window Month End], "(Set Type not found)", 0, 1)</f>
        <v/>
      </c>
      <c r="M895" s="3">
        <f>tbl_MTG_Set[[#This Row],[Released On]]+tbl_MTG_Set[[#This Row],[Buy Window Month End]]*365.25/12</f>
        <v/>
      </c>
      <c r="N895" s="3">
        <f>AND(NOW()&gt;=tbl_MTG_Set[[#This Row],[Buy Window Start]], NOW()&lt;=tbl_MTG_Set[[#This Row],[Buy Window End]])</f>
        <v/>
      </c>
      <c r="O895">
        <f>_xlfn.XLOOKUP(tbl_MTG_Set[[#This Row],[Type Name]], tbl_MTG_Set_Type[Set Type], tbl_MTG_Set_Type[Heavy Printing Window Month Start], "(Set Type not found)", 0, 1)</f>
        <v/>
      </c>
      <c r="P895" s="3">
        <f>tbl_MTG_Set[[#This Row],[Released On]]+tbl_MTG_Set[[#This Row],[Heavy Printing Window Month Start]]*365.25/12</f>
        <v/>
      </c>
      <c r="Q895">
        <f>_xlfn.XLOOKUP(tbl_MTG_Set[[#This Row],[Type Name]], tbl_MTG_Set_Type[Set Type], tbl_MTG_Set_Type[Heavy Printing Window Month End], "(Set Type not found)", 0, 1)</f>
        <v/>
      </c>
      <c r="R895" s="3">
        <f>tbl_MTG_Set[[#This Row],[Released On]]+tbl_MTG_Set[[#This Row],[Heavy Printing Window Month End]]*365.25/12</f>
        <v/>
      </c>
      <c r="S895" s="3">
        <f>AND(NOW()&gt;=tbl_MTG_Set[[#This Row],[Heavy Printing Window Start]], NOW()&lt;=tbl_MTG_Set[[#This Row],[Heavy Printing Window End]])</f>
        <v/>
      </c>
      <c r="T895">
        <f>_xlfn.XLOOKUP(tbl_MTG_Set[[#This Row],[Type Name]], tbl_MTG_Set_Type[Set Type], tbl_MTG_Set_Type[Sell Window Month Start], "(Set Type not found)", 0, 1)</f>
        <v/>
      </c>
      <c r="U895" s="3">
        <f>tbl_MTG_Set[[#This Row],[Released On]]+tbl_MTG_Set[[#This Row],[Sell Window Month Start]]*365.25/12</f>
        <v/>
      </c>
      <c r="V895">
        <f>_xlfn.XLOOKUP(tbl_MTG_Set[[#This Row],[Type Name]], tbl_MTG_Set_Type[Set Type], tbl_MTG_Set_Type[Sell Window Month End], "(Set Type not found)", 0, 1)</f>
        <v/>
      </c>
      <c r="W895" s="3">
        <f>tbl_MTG_Set[[#This Row],[Released On]]+tbl_MTG_Set[[#This Row],[Sell Window Month End]]*365.25/12</f>
        <v/>
      </c>
      <c r="X895" s="3">
        <f>AND(NOW()&gt;=tbl_MTG_Set[[#This Row],[Sell Window Start]], NOW()&lt;=tbl_MTG_Set[[#This Row],[Sell Window End]])</f>
        <v/>
      </c>
      <c r="AG895" s="10" t="n"/>
      <c r="AH895" s="10" t="n"/>
      <c r="AM895" s="10">
        <f t="array" ref="AM8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5" s="10">
        <f t="array" ref="AN8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5" s="4">
        <f>_xlfn.XLOOKUP(tbl_MTG_Set[[#This Row],[Play Booster Box Product Id]], tbl_Product[Product Id], tbl_Product[Pack Size])</f>
        <v/>
      </c>
      <c r="AP895" s="10">
        <f>(tbl_MTG_Set[[#This Row],[Play Booster Box Cost]]+v_Item_Shipping_Cost_In)/tbl_MTG_Set[[#This Row],[Play Booster Box Size]]</f>
        <v/>
      </c>
      <c r="AQ895" s="10">
        <f t="array" ref="AQ8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5" s="10" t="n"/>
      <c r="AS895" s="10" t="n"/>
      <c r="AT895" s="17">
        <f>tbl_MTG_Set[[#This Row],[Play Booster CardMarket Profit]]/tbl_MTG_Set[[#This Row],[Play Booster Cost]]</f>
        <v/>
      </c>
      <c r="AU895" s="10">
        <f>_xlfn.XLOOKUP(tbl_MTG_Set[[#This Row],[Collector Booster Box Product Id]], tbl_Product[Product Id], tbl_Product[Min Cost])</f>
        <v/>
      </c>
      <c r="AV895" s="10">
        <f>_xlfn.XLOOKUP(tbl_MTG_Set[[#This Row],[Collector Booster Box Product Id]], tbl_Product[Product Id], tbl_Product[Best Source])</f>
        <v/>
      </c>
      <c r="AW895" s="4">
        <f>_xlfn.XLOOKUP(tbl_MTG_Set[[#This Row],[Collector Booster Box Product Id]], tbl_Product[Product Id], tbl_Product[Pack Size])</f>
        <v/>
      </c>
      <c r="AX895" s="10">
        <f>(tbl_MTG_Set[[#This Row],[Collector Booster Box Cost]] + v_Item_Shipping_Cost_In) / tbl_MTG_Set[[#This Row],[Collector Booster Box Size]]</f>
        <v/>
      </c>
      <c r="AY895" s="10">
        <f t="array" ref="AY8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5" s="10" t="n"/>
      <c r="BA8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5" s="17">
        <f>tbl_MTG_Set[[#This Row],[Collector Booster CardMarket Profit]]/tbl_MTG_Set[[#This Row],[Collector Booster Cost]]</f>
        <v/>
      </c>
      <c r="BC895" s="10" t="n"/>
      <c r="BF895" s="10">
        <f>tbl_MTG_Set[[#This Row],[Play Booster Sell Price CardMarket]]*tbl_MTG_Set[[#This Row],[Play Booster Expected Market Value]]/tbl_MTG_Set[[#This Row],[Play Boost Sealed Market Value]]</f>
        <v/>
      </c>
      <c r="BG8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5" s="10">
        <f>tbl_MTG_Set[[#This Row],[Play Singles CardMarket Profit]]/tbl_MTG_Set[[#This Row],[Play Booster Cost]]</f>
        <v/>
      </c>
      <c r="BI895" s="10">
        <f>tbl_MTG_Set[[#This Row],[Play Singles CardMarket Profit]]&gt;0</f>
        <v/>
      </c>
      <c r="BJ895" s="10" t="n"/>
      <c r="BK895" s="10" t="n"/>
      <c r="BL895" s="10">
        <f>tbl_MTG_Set[[#This Row],[Collector Booster Sell Price CardMarket]]*tbl_MTG_Set[[#This Row],[Collector Booster Expected Market Value]]/tbl_MTG_Set[[#This Row],[Collector Boost Sealed Market Value]]</f>
        <v/>
      </c>
      <c r="BM8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5" s="10">
        <f>tbl_MTG_Set[[#This Row],[Collector Singles CardMarket Profit]]/tbl_MTG_Set[[#This Row],[Collector Booster Cost]]</f>
        <v/>
      </c>
      <c r="BO895" s="10">
        <f>tbl_MTG_Set[[#This Row],[Collector Singles CardMarket Profit]]&gt;0</f>
        <v/>
      </c>
      <c r="BP8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6">
      <c r="A896" t="n">
        <v>894</v>
      </c>
      <c r="B896" t="inlineStr">
        <is>
          <t>Eighth Edition Promos P8ED</t>
        </is>
      </c>
      <c r="C896" t="n">
        <v>1</v>
      </c>
      <c r="D896" s="3" t="n">
        <v>37830</v>
      </c>
      <c r="F896" t="inlineStr">
        <is>
          <t>en es fr de it pt ja ko ru 汉语 漢語</t>
        </is>
      </c>
      <c r="G896" t="n">
        <v>1734</v>
      </c>
      <c r="H896">
        <f>MONTH(NOW())+12*YEAR(NOW())-MONTH(tbl_MTG_Set[[#This Row],[Released On]])-12*YEAR(tbl_MTG_Set[[#This Row],[Released On]])</f>
        <v/>
      </c>
      <c r="I896">
        <f>_xlfn.XLOOKUP(tbl_MTG_Set[[#This Row],[Type Name]], tbl_MTG_Set_Type[Set Type], tbl_MTG_Set_Type[Index], "(Set Type not found)")</f>
        <v/>
      </c>
      <c r="J896">
        <f>_xlfn.XLOOKUP(tbl_MTG_Set[[#This Row],[Type Name]], tbl_MTG_Set_Type[Set Type], tbl_MTG_Set_Type[Buy Window Month Start], "(Set Type not found)")</f>
        <v/>
      </c>
      <c r="K896" s="3">
        <f>tbl_MTG_Set[[#This Row],[Released On]]+tbl_MTG_Set[[#This Row],[Buy Window Month Start]]*365.25/12</f>
        <v/>
      </c>
      <c r="L896">
        <f>_xlfn.XLOOKUP(tbl_MTG_Set[[#This Row],[Type Name]], tbl_MTG_Set_Type[Set Type], tbl_MTG_Set_Type[Buy Window Month End], "(Set Type not found)", 0, 1)</f>
        <v/>
      </c>
      <c r="M896" s="3">
        <f>tbl_MTG_Set[[#This Row],[Released On]]+tbl_MTG_Set[[#This Row],[Buy Window Month End]]*365.25/12</f>
        <v/>
      </c>
      <c r="N896" s="3">
        <f>AND(NOW()&gt;=tbl_MTG_Set[[#This Row],[Buy Window Start]], NOW()&lt;=tbl_MTG_Set[[#This Row],[Buy Window End]])</f>
        <v/>
      </c>
      <c r="O896">
        <f>_xlfn.XLOOKUP(tbl_MTG_Set[[#This Row],[Type Name]], tbl_MTG_Set_Type[Set Type], tbl_MTG_Set_Type[Heavy Printing Window Month Start], "(Set Type not found)", 0, 1)</f>
        <v/>
      </c>
      <c r="P896" s="3">
        <f>tbl_MTG_Set[[#This Row],[Released On]]+tbl_MTG_Set[[#This Row],[Heavy Printing Window Month Start]]*365.25/12</f>
        <v/>
      </c>
      <c r="Q896">
        <f>_xlfn.XLOOKUP(tbl_MTG_Set[[#This Row],[Type Name]], tbl_MTG_Set_Type[Set Type], tbl_MTG_Set_Type[Heavy Printing Window Month End], "(Set Type not found)", 0, 1)</f>
        <v/>
      </c>
      <c r="R896" s="3">
        <f>tbl_MTG_Set[[#This Row],[Released On]]+tbl_MTG_Set[[#This Row],[Heavy Printing Window Month End]]*365.25/12</f>
        <v/>
      </c>
      <c r="S896" s="3">
        <f>AND(NOW()&gt;=tbl_MTG_Set[[#This Row],[Heavy Printing Window Start]], NOW()&lt;=tbl_MTG_Set[[#This Row],[Heavy Printing Window End]])</f>
        <v/>
      </c>
      <c r="T896">
        <f>_xlfn.XLOOKUP(tbl_MTG_Set[[#This Row],[Type Name]], tbl_MTG_Set_Type[Set Type], tbl_MTG_Set_Type[Sell Window Month Start], "(Set Type not found)", 0, 1)</f>
        <v/>
      </c>
      <c r="U896" s="3">
        <f>tbl_MTG_Set[[#This Row],[Released On]]+tbl_MTG_Set[[#This Row],[Sell Window Month Start]]*365.25/12</f>
        <v/>
      </c>
      <c r="V896">
        <f>_xlfn.XLOOKUP(tbl_MTG_Set[[#This Row],[Type Name]], tbl_MTG_Set_Type[Set Type], tbl_MTG_Set_Type[Sell Window Month End], "(Set Type not found)", 0, 1)</f>
        <v/>
      </c>
      <c r="W896" s="3">
        <f>tbl_MTG_Set[[#This Row],[Released On]]+tbl_MTG_Set[[#This Row],[Sell Window Month End]]*365.25/12</f>
        <v/>
      </c>
      <c r="X896" s="3">
        <f>AND(NOW()&gt;=tbl_MTG_Set[[#This Row],[Sell Window Start]], NOW()&lt;=tbl_MTG_Set[[#This Row],[Sell Window End]])</f>
        <v/>
      </c>
      <c r="AG896" s="10" t="n"/>
      <c r="AH896" s="10" t="n"/>
      <c r="AM896" s="10">
        <f t="array" ref="AM8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6" s="10">
        <f t="array" ref="AN8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6" s="4">
        <f>_xlfn.XLOOKUP(tbl_MTG_Set[[#This Row],[Play Booster Box Product Id]], tbl_Product[Product Id], tbl_Product[Pack Size])</f>
        <v/>
      </c>
      <c r="AP896" s="10">
        <f>(tbl_MTG_Set[[#This Row],[Play Booster Box Cost]]+v_Item_Shipping_Cost_In)/tbl_MTG_Set[[#This Row],[Play Booster Box Size]]</f>
        <v/>
      </c>
      <c r="AQ896" s="10">
        <f t="array" ref="AQ8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6" s="10" t="n"/>
      <c r="AS896" s="10" t="n"/>
      <c r="AT896" s="17">
        <f>tbl_MTG_Set[[#This Row],[Play Booster CardMarket Profit]]/tbl_MTG_Set[[#This Row],[Play Booster Cost]]</f>
        <v/>
      </c>
      <c r="AU896" s="10">
        <f>_xlfn.XLOOKUP(tbl_MTG_Set[[#This Row],[Collector Booster Box Product Id]], tbl_Product[Product Id], tbl_Product[Min Cost])</f>
        <v/>
      </c>
      <c r="AV896" s="10">
        <f>_xlfn.XLOOKUP(tbl_MTG_Set[[#This Row],[Collector Booster Box Product Id]], tbl_Product[Product Id], tbl_Product[Best Source])</f>
        <v/>
      </c>
      <c r="AW896" s="4">
        <f>_xlfn.XLOOKUP(tbl_MTG_Set[[#This Row],[Collector Booster Box Product Id]], tbl_Product[Product Id], tbl_Product[Pack Size])</f>
        <v/>
      </c>
      <c r="AX896" s="10">
        <f>(tbl_MTG_Set[[#This Row],[Collector Booster Box Cost]] + v_Item_Shipping_Cost_In) / tbl_MTG_Set[[#This Row],[Collector Booster Box Size]]</f>
        <v/>
      </c>
      <c r="AY896" s="10">
        <f t="array" ref="AY8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6" s="10" t="n"/>
      <c r="BA8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6" s="17">
        <f>tbl_MTG_Set[[#This Row],[Collector Booster CardMarket Profit]]/tbl_MTG_Set[[#This Row],[Collector Booster Cost]]</f>
        <v/>
      </c>
      <c r="BC896" s="10" t="n"/>
      <c r="BF896" s="10">
        <f>tbl_MTG_Set[[#This Row],[Play Booster Sell Price CardMarket]]*tbl_MTG_Set[[#This Row],[Play Booster Expected Market Value]]/tbl_MTG_Set[[#This Row],[Play Boost Sealed Market Value]]</f>
        <v/>
      </c>
      <c r="BG8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6" s="10">
        <f>tbl_MTG_Set[[#This Row],[Play Singles CardMarket Profit]]/tbl_MTG_Set[[#This Row],[Play Booster Cost]]</f>
        <v/>
      </c>
      <c r="BI896" s="10">
        <f>tbl_MTG_Set[[#This Row],[Play Singles CardMarket Profit]]&gt;0</f>
        <v/>
      </c>
      <c r="BJ896" s="10" t="n"/>
      <c r="BK896" s="10" t="n"/>
      <c r="BL896" s="10">
        <f>tbl_MTG_Set[[#This Row],[Collector Booster Sell Price CardMarket]]*tbl_MTG_Set[[#This Row],[Collector Booster Expected Market Value]]/tbl_MTG_Set[[#This Row],[Collector Boost Sealed Market Value]]</f>
        <v/>
      </c>
      <c r="BM8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6" s="10">
        <f>tbl_MTG_Set[[#This Row],[Collector Singles CardMarket Profit]]/tbl_MTG_Set[[#This Row],[Collector Booster Cost]]</f>
        <v/>
      </c>
      <c r="BO896" s="10">
        <f>tbl_MTG_Set[[#This Row],[Collector Singles CardMarket Profit]]&gt;0</f>
        <v/>
      </c>
      <c r="BP8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7">
      <c r="A897" t="n">
        <v>895</v>
      </c>
      <c r="B897" t="inlineStr">
        <is>
          <t>Scourge SCG</t>
        </is>
      </c>
      <c r="C897" t="n">
        <v>143</v>
      </c>
      <c r="D897" s="3" t="n">
        <v>37767</v>
      </c>
      <c r="F897" t="inlineStr">
        <is>
          <t>en es fr de it pt ja ko ru 汉语 漢語</t>
        </is>
      </c>
      <c r="G897" t="n">
        <v>1736</v>
      </c>
      <c r="H897">
        <f>MONTH(NOW())+12*YEAR(NOW())-MONTH(tbl_MTG_Set[[#This Row],[Released On]])-12*YEAR(tbl_MTG_Set[[#This Row],[Released On]])</f>
        <v/>
      </c>
      <c r="I897">
        <f>_xlfn.XLOOKUP(tbl_MTG_Set[[#This Row],[Type Name]], tbl_MTG_Set_Type[Set Type], tbl_MTG_Set_Type[Index], "(Set Type not found)")</f>
        <v/>
      </c>
      <c r="J897">
        <f>_xlfn.XLOOKUP(tbl_MTG_Set[[#This Row],[Type Name]], tbl_MTG_Set_Type[Set Type], tbl_MTG_Set_Type[Buy Window Month Start], "(Set Type not found)")</f>
        <v/>
      </c>
      <c r="K897" s="3">
        <f>tbl_MTG_Set[[#This Row],[Released On]]+tbl_MTG_Set[[#This Row],[Buy Window Month Start]]*365.25/12</f>
        <v/>
      </c>
      <c r="L897">
        <f>_xlfn.XLOOKUP(tbl_MTG_Set[[#This Row],[Type Name]], tbl_MTG_Set_Type[Set Type], tbl_MTG_Set_Type[Buy Window Month End], "(Set Type not found)", 0, 1)</f>
        <v/>
      </c>
      <c r="M897" s="3">
        <f>tbl_MTG_Set[[#This Row],[Released On]]+tbl_MTG_Set[[#This Row],[Buy Window Month End]]*365.25/12</f>
        <v/>
      </c>
      <c r="N897" s="3">
        <f>AND(NOW()&gt;=tbl_MTG_Set[[#This Row],[Buy Window Start]], NOW()&lt;=tbl_MTG_Set[[#This Row],[Buy Window End]])</f>
        <v/>
      </c>
      <c r="O897">
        <f>_xlfn.XLOOKUP(tbl_MTG_Set[[#This Row],[Type Name]], tbl_MTG_Set_Type[Set Type], tbl_MTG_Set_Type[Heavy Printing Window Month Start], "(Set Type not found)", 0, 1)</f>
        <v/>
      </c>
      <c r="P897" s="3">
        <f>tbl_MTG_Set[[#This Row],[Released On]]+tbl_MTG_Set[[#This Row],[Heavy Printing Window Month Start]]*365.25/12</f>
        <v/>
      </c>
      <c r="Q897">
        <f>_xlfn.XLOOKUP(tbl_MTG_Set[[#This Row],[Type Name]], tbl_MTG_Set_Type[Set Type], tbl_MTG_Set_Type[Heavy Printing Window Month End], "(Set Type not found)", 0, 1)</f>
        <v/>
      </c>
      <c r="R897" s="3">
        <f>tbl_MTG_Set[[#This Row],[Released On]]+tbl_MTG_Set[[#This Row],[Heavy Printing Window Month End]]*365.25/12</f>
        <v/>
      </c>
      <c r="S897" s="3">
        <f>AND(NOW()&gt;=tbl_MTG_Set[[#This Row],[Heavy Printing Window Start]], NOW()&lt;=tbl_MTG_Set[[#This Row],[Heavy Printing Window End]])</f>
        <v/>
      </c>
      <c r="T897">
        <f>_xlfn.XLOOKUP(tbl_MTG_Set[[#This Row],[Type Name]], tbl_MTG_Set_Type[Set Type], tbl_MTG_Set_Type[Sell Window Month Start], "(Set Type not found)", 0, 1)</f>
        <v/>
      </c>
      <c r="U897" s="3">
        <f>tbl_MTG_Set[[#This Row],[Released On]]+tbl_MTG_Set[[#This Row],[Sell Window Month Start]]*365.25/12</f>
        <v/>
      </c>
      <c r="V897">
        <f>_xlfn.XLOOKUP(tbl_MTG_Set[[#This Row],[Type Name]], tbl_MTG_Set_Type[Set Type], tbl_MTG_Set_Type[Sell Window Month End], "(Set Type not found)", 0, 1)</f>
        <v/>
      </c>
      <c r="W897" s="3">
        <f>tbl_MTG_Set[[#This Row],[Released On]]+tbl_MTG_Set[[#This Row],[Sell Window Month End]]*365.25/12</f>
        <v/>
      </c>
      <c r="X897" s="3">
        <f>AND(NOW()&gt;=tbl_MTG_Set[[#This Row],[Sell Window Start]], NOW()&lt;=tbl_MTG_Set[[#This Row],[Sell Window End]])</f>
        <v/>
      </c>
      <c r="AG897" s="10" t="n"/>
      <c r="AH897" s="10" t="n"/>
      <c r="AM897" s="10">
        <f t="array" ref="AM8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7" s="10">
        <f t="array" ref="AN8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7" s="4">
        <f>_xlfn.XLOOKUP(tbl_MTG_Set[[#This Row],[Play Booster Box Product Id]], tbl_Product[Product Id], tbl_Product[Pack Size])</f>
        <v/>
      </c>
      <c r="AP897" s="10">
        <f>(tbl_MTG_Set[[#This Row],[Play Booster Box Cost]]+v_Item_Shipping_Cost_In)/tbl_MTG_Set[[#This Row],[Play Booster Box Size]]</f>
        <v/>
      </c>
      <c r="AQ897" s="10">
        <f t="array" ref="AQ8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7" s="10" t="n"/>
      <c r="AS897" s="10" t="n"/>
      <c r="AT897" s="17">
        <f>tbl_MTG_Set[[#This Row],[Play Booster CardMarket Profit]]/tbl_MTG_Set[[#This Row],[Play Booster Cost]]</f>
        <v/>
      </c>
      <c r="AU897" s="10">
        <f>_xlfn.XLOOKUP(tbl_MTG_Set[[#This Row],[Collector Booster Box Product Id]], tbl_Product[Product Id], tbl_Product[Min Cost])</f>
        <v/>
      </c>
      <c r="AV897" s="10">
        <f>_xlfn.XLOOKUP(tbl_MTG_Set[[#This Row],[Collector Booster Box Product Id]], tbl_Product[Product Id], tbl_Product[Best Source])</f>
        <v/>
      </c>
      <c r="AW897" s="4">
        <f>_xlfn.XLOOKUP(tbl_MTG_Set[[#This Row],[Collector Booster Box Product Id]], tbl_Product[Product Id], tbl_Product[Pack Size])</f>
        <v/>
      </c>
      <c r="AX897" s="10">
        <f>(tbl_MTG_Set[[#This Row],[Collector Booster Box Cost]] + v_Item_Shipping_Cost_In) / tbl_MTG_Set[[#This Row],[Collector Booster Box Size]]</f>
        <v/>
      </c>
      <c r="AY897" s="10">
        <f t="array" ref="AY8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7" s="10" t="n"/>
      <c r="BA8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7" s="17">
        <f>tbl_MTG_Set[[#This Row],[Collector Booster CardMarket Profit]]/tbl_MTG_Set[[#This Row],[Collector Booster Cost]]</f>
        <v/>
      </c>
      <c r="BC897" s="10" t="n"/>
      <c r="BF897" s="10">
        <f>tbl_MTG_Set[[#This Row],[Play Booster Sell Price CardMarket]]*tbl_MTG_Set[[#This Row],[Play Booster Expected Market Value]]/tbl_MTG_Set[[#This Row],[Play Boost Sealed Market Value]]</f>
        <v/>
      </c>
      <c r="BG8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7" s="10">
        <f>tbl_MTG_Set[[#This Row],[Play Singles CardMarket Profit]]/tbl_MTG_Set[[#This Row],[Play Booster Cost]]</f>
        <v/>
      </c>
      <c r="BI897" s="10">
        <f>tbl_MTG_Set[[#This Row],[Play Singles CardMarket Profit]]&gt;0</f>
        <v/>
      </c>
      <c r="BJ897" s="10" t="n"/>
      <c r="BK897" s="10" t="n"/>
      <c r="BL897" s="10">
        <f>tbl_MTG_Set[[#This Row],[Collector Booster Sell Price CardMarket]]*tbl_MTG_Set[[#This Row],[Collector Booster Expected Market Value]]/tbl_MTG_Set[[#This Row],[Collector Boost Sealed Market Value]]</f>
        <v/>
      </c>
      <c r="BM8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7" s="10">
        <f>tbl_MTG_Set[[#This Row],[Collector Singles CardMarket Profit]]/tbl_MTG_Set[[#This Row],[Collector Booster Cost]]</f>
        <v/>
      </c>
      <c r="BO897" s="10">
        <f>tbl_MTG_Set[[#This Row],[Collector Singles CardMarket Profit]]&gt;0</f>
        <v/>
      </c>
      <c r="BP8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8">
      <c r="A898" t="n">
        <v>896</v>
      </c>
      <c r="B898" t="inlineStr">
        <is>
          <t>Scourge Promos PSCG</t>
        </is>
      </c>
      <c r="C898" t="n">
        <v>1</v>
      </c>
      <c r="D898" s="3" t="n">
        <v>37767</v>
      </c>
      <c r="F898" t="inlineStr">
        <is>
          <t>en es fr de it pt ja ko ru 汉语 漢語</t>
        </is>
      </c>
      <c r="G898" t="n">
        <v>1738</v>
      </c>
      <c r="H898">
        <f>MONTH(NOW())+12*YEAR(NOW())-MONTH(tbl_MTG_Set[[#This Row],[Released On]])-12*YEAR(tbl_MTG_Set[[#This Row],[Released On]])</f>
        <v/>
      </c>
      <c r="I898">
        <f>_xlfn.XLOOKUP(tbl_MTG_Set[[#This Row],[Type Name]], tbl_MTG_Set_Type[Set Type], tbl_MTG_Set_Type[Index], "(Set Type not found)")</f>
        <v/>
      </c>
      <c r="J898">
        <f>_xlfn.XLOOKUP(tbl_MTG_Set[[#This Row],[Type Name]], tbl_MTG_Set_Type[Set Type], tbl_MTG_Set_Type[Buy Window Month Start], "(Set Type not found)")</f>
        <v/>
      </c>
      <c r="K898" s="3">
        <f>tbl_MTG_Set[[#This Row],[Released On]]+tbl_MTG_Set[[#This Row],[Buy Window Month Start]]*365.25/12</f>
        <v/>
      </c>
      <c r="L898">
        <f>_xlfn.XLOOKUP(tbl_MTG_Set[[#This Row],[Type Name]], tbl_MTG_Set_Type[Set Type], tbl_MTG_Set_Type[Buy Window Month End], "(Set Type not found)", 0, 1)</f>
        <v/>
      </c>
      <c r="M898" s="3">
        <f>tbl_MTG_Set[[#This Row],[Released On]]+tbl_MTG_Set[[#This Row],[Buy Window Month End]]*365.25/12</f>
        <v/>
      </c>
      <c r="N898" s="3">
        <f>AND(NOW()&gt;=tbl_MTG_Set[[#This Row],[Buy Window Start]], NOW()&lt;=tbl_MTG_Set[[#This Row],[Buy Window End]])</f>
        <v/>
      </c>
      <c r="O898">
        <f>_xlfn.XLOOKUP(tbl_MTG_Set[[#This Row],[Type Name]], tbl_MTG_Set_Type[Set Type], tbl_MTG_Set_Type[Heavy Printing Window Month Start], "(Set Type not found)", 0, 1)</f>
        <v/>
      </c>
      <c r="P898" s="3">
        <f>tbl_MTG_Set[[#This Row],[Released On]]+tbl_MTG_Set[[#This Row],[Heavy Printing Window Month Start]]*365.25/12</f>
        <v/>
      </c>
      <c r="Q898">
        <f>_xlfn.XLOOKUP(tbl_MTG_Set[[#This Row],[Type Name]], tbl_MTG_Set_Type[Set Type], tbl_MTG_Set_Type[Heavy Printing Window Month End], "(Set Type not found)", 0, 1)</f>
        <v/>
      </c>
      <c r="R898" s="3">
        <f>tbl_MTG_Set[[#This Row],[Released On]]+tbl_MTG_Set[[#This Row],[Heavy Printing Window Month End]]*365.25/12</f>
        <v/>
      </c>
      <c r="S898" s="3">
        <f>AND(NOW()&gt;=tbl_MTG_Set[[#This Row],[Heavy Printing Window Start]], NOW()&lt;=tbl_MTG_Set[[#This Row],[Heavy Printing Window End]])</f>
        <v/>
      </c>
      <c r="T898">
        <f>_xlfn.XLOOKUP(tbl_MTG_Set[[#This Row],[Type Name]], tbl_MTG_Set_Type[Set Type], tbl_MTG_Set_Type[Sell Window Month Start], "(Set Type not found)", 0, 1)</f>
        <v/>
      </c>
      <c r="U898" s="3">
        <f>tbl_MTG_Set[[#This Row],[Released On]]+tbl_MTG_Set[[#This Row],[Sell Window Month Start]]*365.25/12</f>
        <v/>
      </c>
      <c r="V898">
        <f>_xlfn.XLOOKUP(tbl_MTG_Set[[#This Row],[Type Name]], tbl_MTG_Set_Type[Set Type], tbl_MTG_Set_Type[Sell Window Month End], "(Set Type not found)", 0, 1)</f>
        <v/>
      </c>
      <c r="W898" s="3">
        <f>tbl_MTG_Set[[#This Row],[Released On]]+tbl_MTG_Set[[#This Row],[Sell Window Month End]]*365.25/12</f>
        <v/>
      </c>
      <c r="X898" s="3">
        <f>AND(NOW()&gt;=tbl_MTG_Set[[#This Row],[Sell Window Start]], NOW()&lt;=tbl_MTG_Set[[#This Row],[Sell Window End]])</f>
        <v/>
      </c>
      <c r="AG898" s="10" t="n"/>
      <c r="AH898" s="10" t="n"/>
      <c r="AM898" s="10">
        <f t="array" ref="AM8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8" s="10">
        <f t="array" ref="AN8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8" s="4">
        <f>_xlfn.XLOOKUP(tbl_MTG_Set[[#This Row],[Play Booster Box Product Id]], tbl_Product[Product Id], tbl_Product[Pack Size])</f>
        <v/>
      </c>
      <c r="AP898" s="10">
        <f>(tbl_MTG_Set[[#This Row],[Play Booster Box Cost]]+v_Item_Shipping_Cost_In)/tbl_MTG_Set[[#This Row],[Play Booster Box Size]]</f>
        <v/>
      </c>
      <c r="AQ898" s="10">
        <f t="array" ref="AQ8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8" s="10" t="n"/>
      <c r="AS898" s="10" t="n"/>
      <c r="AT898" s="17">
        <f>tbl_MTG_Set[[#This Row],[Play Booster CardMarket Profit]]/tbl_MTG_Set[[#This Row],[Play Booster Cost]]</f>
        <v/>
      </c>
      <c r="AU898" s="10">
        <f>_xlfn.XLOOKUP(tbl_MTG_Set[[#This Row],[Collector Booster Box Product Id]], tbl_Product[Product Id], tbl_Product[Min Cost])</f>
        <v/>
      </c>
      <c r="AV898" s="10">
        <f>_xlfn.XLOOKUP(tbl_MTG_Set[[#This Row],[Collector Booster Box Product Id]], tbl_Product[Product Id], tbl_Product[Best Source])</f>
        <v/>
      </c>
      <c r="AW898" s="4">
        <f>_xlfn.XLOOKUP(tbl_MTG_Set[[#This Row],[Collector Booster Box Product Id]], tbl_Product[Product Id], tbl_Product[Pack Size])</f>
        <v/>
      </c>
      <c r="AX898" s="10">
        <f>(tbl_MTG_Set[[#This Row],[Collector Booster Box Cost]] + v_Item_Shipping_Cost_In) / tbl_MTG_Set[[#This Row],[Collector Booster Box Size]]</f>
        <v/>
      </c>
      <c r="AY898" s="10">
        <f t="array" ref="AY8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8" s="10" t="n"/>
      <c r="BA8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8" s="17">
        <f>tbl_MTG_Set[[#This Row],[Collector Booster CardMarket Profit]]/tbl_MTG_Set[[#This Row],[Collector Booster Cost]]</f>
        <v/>
      </c>
      <c r="BC898" s="10" t="n"/>
      <c r="BF898" s="10">
        <f>tbl_MTG_Set[[#This Row],[Play Booster Sell Price CardMarket]]*tbl_MTG_Set[[#This Row],[Play Booster Expected Market Value]]/tbl_MTG_Set[[#This Row],[Play Boost Sealed Market Value]]</f>
        <v/>
      </c>
      <c r="BG8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8" s="10">
        <f>tbl_MTG_Set[[#This Row],[Play Singles CardMarket Profit]]/tbl_MTG_Set[[#This Row],[Play Booster Cost]]</f>
        <v/>
      </c>
      <c r="BI898" s="10">
        <f>tbl_MTG_Set[[#This Row],[Play Singles CardMarket Profit]]&gt;0</f>
        <v/>
      </c>
      <c r="BJ898" s="10" t="n"/>
      <c r="BK898" s="10" t="n"/>
      <c r="BL898" s="10">
        <f>tbl_MTG_Set[[#This Row],[Collector Booster Sell Price CardMarket]]*tbl_MTG_Set[[#This Row],[Collector Booster Expected Market Value]]/tbl_MTG_Set[[#This Row],[Collector Boost Sealed Market Value]]</f>
        <v/>
      </c>
      <c r="BM8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8" s="10">
        <f>tbl_MTG_Set[[#This Row],[Collector Singles CardMarket Profit]]/tbl_MTG_Set[[#This Row],[Collector Booster Cost]]</f>
        <v/>
      </c>
      <c r="BO898" s="10">
        <f>tbl_MTG_Set[[#This Row],[Collector Singles CardMarket Profit]]&gt;0</f>
        <v/>
      </c>
      <c r="BP8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9">
      <c r="A899" t="n">
        <v>897</v>
      </c>
      <c r="B899" t="inlineStr">
        <is>
          <t>Legions LGN</t>
        </is>
      </c>
      <c r="C899" t="n">
        <v>145</v>
      </c>
      <c r="D899" s="3" t="n">
        <v>37655</v>
      </c>
      <c r="F899" t="inlineStr">
        <is>
          <t>en es fr de it pt ja ko ru 汉语 漢語</t>
        </is>
      </c>
      <c r="G899" t="n">
        <v>1740</v>
      </c>
      <c r="H899">
        <f>MONTH(NOW())+12*YEAR(NOW())-MONTH(tbl_MTG_Set[[#This Row],[Released On]])-12*YEAR(tbl_MTG_Set[[#This Row],[Released On]])</f>
        <v/>
      </c>
      <c r="I899">
        <f>_xlfn.XLOOKUP(tbl_MTG_Set[[#This Row],[Type Name]], tbl_MTG_Set_Type[Set Type], tbl_MTG_Set_Type[Index], "(Set Type not found)")</f>
        <v/>
      </c>
      <c r="J899">
        <f>_xlfn.XLOOKUP(tbl_MTG_Set[[#This Row],[Type Name]], tbl_MTG_Set_Type[Set Type], tbl_MTG_Set_Type[Buy Window Month Start], "(Set Type not found)")</f>
        <v/>
      </c>
      <c r="K899" s="3">
        <f>tbl_MTG_Set[[#This Row],[Released On]]+tbl_MTG_Set[[#This Row],[Buy Window Month Start]]*365.25/12</f>
        <v/>
      </c>
      <c r="L899">
        <f>_xlfn.XLOOKUP(tbl_MTG_Set[[#This Row],[Type Name]], tbl_MTG_Set_Type[Set Type], tbl_MTG_Set_Type[Buy Window Month End], "(Set Type not found)", 0, 1)</f>
        <v/>
      </c>
      <c r="M899" s="3">
        <f>tbl_MTG_Set[[#This Row],[Released On]]+tbl_MTG_Set[[#This Row],[Buy Window Month End]]*365.25/12</f>
        <v/>
      </c>
      <c r="N899" s="3">
        <f>AND(NOW()&gt;=tbl_MTG_Set[[#This Row],[Buy Window Start]], NOW()&lt;=tbl_MTG_Set[[#This Row],[Buy Window End]])</f>
        <v/>
      </c>
      <c r="O899">
        <f>_xlfn.XLOOKUP(tbl_MTG_Set[[#This Row],[Type Name]], tbl_MTG_Set_Type[Set Type], tbl_MTG_Set_Type[Heavy Printing Window Month Start], "(Set Type not found)", 0, 1)</f>
        <v/>
      </c>
      <c r="P899" s="3">
        <f>tbl_MTG_Set[[#This Row],[Released On]]+tbl_MTG_Set[[#This Row],[Heavy Printing Window Month Start]]*365.25/12</f>
        <v/>
      </c>
      <c r="Q899">
        <f>_xlfn.XLOOKUP(tbl_MTG_Set[[#This Row],[Type Name]], tbl_MTG_Set_Type[Set Type], tbl_MTG_Set_Type[Heavy Printing Window Month End], "(Set Type not found)", 0, 1)</f>
        <v/>
      </c>
      <c r="R899" s="3">
        <f>tbl_MTG_Set[[#This Row],[Released On]]+tbl_MTG_Set[[#This Row],[Heavy Printing Window Month End]]*365.25/12</f>
        <v/>
      </c>
      <c r="S899" s="3">
        <f>AND(NOW()&gt;=tbl_MTG_Set[[#This Row],[Heavy Printing Window Start]], NOW()&lt;=tbl_MTG_Set[[#This Row],[Heavy Printing Window End]])</f>
        <v/>
      </c>
      <c r="T899">
        <f>_xlfn.XLOOKUP(tbl_MTG_Set[[#This Row],[Type Name]], tbl_MTG_Set_Type[Set Type], tbl_MTG_Set_Type[Sell Window Month Start], "(Set Type not found)", 0, 1)</f>
        <v/>
      </c>
      <c r="U899" s="3">
        <f>tbl_MTG_Set[[#This Row],[Released On]]+tbl_MTG_Set[[#This Row],[Sell Window Month Start]]*365.25/12</f>
        <v/>
      </c>
      <c r="V899">
        <f>_xlfn.XLOOKUP(tbl_MTG_Set[[#This Row],[Type Name]], tbl_MTG_Set_Type[Set Type], tbl_MTG_Set_Type[Sell Window Month End], "(Set Type not found)", 0, 1)</f>
        <v/>
      </c>
      <c r="W899" s="3">
        <f>tbl_MTG_Set[[#This Row],[Released On]]+tbl_MTG_Set[[#This Row],[Sell Window Month End]]*365.25/12</f>
        <v/>
      </c>
      <c r="X899" s="3">
        <f>AND(NOW()&gt;=tbl_MTG_Set[[#This Row],[Sell Window Start]], NOW()&lt;=tbl_MTG_Set[[#This Row],[Sell Window End]])</f>
        <v/>
      </c>
      <c r="AG899" s="10" t="n"/>
      <c r="AH899" s="10" t="n"/>
      <c r="AM899" s="10">
        <f t="array" ref="AM8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9" s="10">
        <f t="array" ref="AN8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9" s="4">
        <f>_xlfn.XLOOKUP(tbl_MTG_Set[[#This Row],[Play Booster Box Product Id]], tbl_Product[Product Id], tbl_Product[Pack Size])</f>
        <v/>
      </c>
      <c r="AP899" s="10">
        <f>(tbl_MTG_Set[[#This Row],[Play Booster Box Cost]]+v_Item_Shipping_Cost_In)/tbl_MTG_Set[[#This Row],[Play Booster Box Size]]</f>
        <v/>
      </c>
      <c r="AQ899" s="10">
        <f t="array" ref="AQ8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899" s="10" t="n"/>
      <c r="AS899" s="10" t="n"/>
      <c r="AT899" s="17">
        <f>tbl_MTG_Set[[#This Row],[Play Booster CardMarket Profit]]/tbl_MTG_Set[[#This Row],[Play Booster Cost]]</f>
        <v/>
      </c>
      <c r="AU899" s="10">
        <f>_xlfn.XLOOKUP(tbl_MTG_Set[[#This Row],[Collector Booster Box Product Id]], tbl_Product[Product Id], tbl_Product[Min Cost])</f>
        <v/>
      </c>
      <c r="AV899" s="10">
        <f>_xlfn.XLOOKUP(tbl_MTG_Set[[#This Row],[Collector Booster Box Product Id]], tbl_Product[Product Id], tbl_Product[Best Source])</f>
        <v/>
      </c>
      <c r="AW899" s="4">
        <f>_xlfn.XLOOKUP(tbl_MTG_Set[[#This Row],[Collector Booster Box Product Id]], tbl_Product[Product Id], tbl_Product[Pack Size])</f>
        <v/>
      </c>
      <c r="AX899" s="10">
        <f>(tbl_MTG_Set[[#This Row],[Collector Booster Box Cost]] + v_Item_Shipping_Cost_In) / tbl_MTG_Set[[#This Row],[Collector Booster Box Size]]</f>
        <v/>
      </c>
      <c r="AY899" s="10">
        <f t="array" ref="AY8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899" s="10" t="n"/>
      <c r="BA8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9" s="17">
        <f>tbl_MTG_Set[[#This Row],[Collector Booster CardMarket Profit]]/tbl_MTG_Set[[#This Row],[Collector Booster Cost]]</f>
        <v/>
      </c>
      <c r="BC899" s="10" t="n"/>
      <c r="BF899" s="10">
        <f>tbl_MTG_Set[[#This Row],[Play Booster Sell Price CardMarket]]*tbl_MTG_Set[[#This Row],[Play Booster Expected Market Value]]/tbl_MTG_Set[[#This Row],[Play Boost Sealed Market Value]]</f>
        <v/>
      </c>
      <c r="BG8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9" s="10">
        <f>tbl_MTG_Set[[#This Row],[Play Singles CardMarket Profit]]/tbl_MTG_Set[[#This Row],[Play Booster Cost]]</f>
        <v/>
      </c>
      <c r="BI899" s="10">
        <f>tbl_MTG_Set[[#This Row],[Play Singles CardMarket Profit]]&gt;0</f>
        <v/>
      </c>
      <c r="BJ899" s="10" t="n"/>
      <c r="BK899" s="10" t="n"/>
      <c r="BL899" s="10">
        <f>tbl_MTG_Set[[#This Row],[Collector Booster Sell Price CardMarket]]*tbl_MTG_Set[[#This Row],[Collector Booster Expected Market Value]]/tbl_MTG_Set[[#This Row],[Collector Boost Sealed Market Value]]</f>
        <v/>
      </c>
      <c r="BM8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9" s="10">
        <f>tbl_MTG_Set[[#This Row],[Collector Singles CardMarket Profit]]/tbl_MTG_Set[[#This Row],[Collector Booster Cost]]</f>
        <v/>
      </c>
      <c r="BO899" s="10">
        <f>tbl_MTG_Set[[#This Row],[Collector Singles CardMarket Profit]]&gt;0</f>
        <v/>
      </c>
      <c r="BP8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0">
      <c r="A900" t="n">
        <v>898</v>
      </c>
      <c r="B900" t="inlineStr">
        <is>
          <t>Legions Promos PLGN</t>
        </is>
      </c>
      <c r="C900" t="n">
        <v>1</v>
      </c>
      <c r="D900" s="3" t="n">
        <v>37655</v>
      </c>
      <c r="F900" t="inlineStr">
        <is>
          <t>en es fr de it pt ja ko ru 汉语 漢語</t>
        </is>
      </c>
      <c r="G900" t="n">
        <v>1742</v>
      </c>
      <c r="H900">
        <f>MONTH(NOW())+12*YEAR(NOW())-MONTH(tbl_MTG_Set[[#This Row],[Released On]])-12*YEAR(tbl_MTG_Set[[#This Row],[Released On]])</f>
        <v/>
      </c>
      <c r="I900">
        <f>_xlfn.XLOOKUP(tbl_MTG_Set[[#This Row],[Type Name]], tbl_MTG_Set_Type[Set Type], tbl_MTG_Set_Type[Index], "(Set Type not found)")</f>
        <v/>
      </c>
      <c r="J900">
        <f>_xlfn.XLOOKUP(tbl_MTG_Set[[#This Row],[Type Name]], tbl_MTG_Set_Type[Set Type], tbl_MTG_Set_Type[Buy Window Month Start], "(Set Type not found)")</f>
        <v/>
      </c>
      <c r="K900" s="3">
        <f>tbl_MTG_Set[[#This Row],[Released On]]+tbl_MTG_Set[[#This Row],[Buy Window Month Start]]*365.25/12</f>
        <v/>
      </c>
      <c r="L900">
        <f>_xlfn.XLOOKUP(tbl_MTG_Set[[#This Row],[Type Name]], tbl_MTG_Set_Type[Set Type], tbl_MTG_Set_Type[Buy Window Month End], "(Set Type not found)", 0, 1)</f>
        <v/>
      </c>
      <c r="M900" s="3">
        <f>tbl_MTG_Set[[#This Row],[Released On]]+tbl_MTG_Set[[#This Row],[Buy Window Month End]]*365.25/12</f>
        <v/>
      </c>
      <c r="N900" s="3">
        <f>AND(NOW()&gt;=tbl_MTG_Set[[#This Row],[Buy Window Start]], NOW()&lt;=tbl_MTG_Set[[#This Row],[Buy Window End]])</f>
        <v/>
      </c>
      <c r="O900">
        <f>_xlfn.XLOOKUP(tbl_MTG_Set[[#This Row],[Type Name]], tbl_MTG_Set_Type[Set Type], tbl_MTG_Set_Type[Heavy Printing Window Month Start], "(Set Type not found)", 0, 1)</f>
        <v/>
      </c>
      <c r="P900" s="3">
        <f>tbl_MTG_Set[[#This Row],[Released On]]+tbl_MTG_Set[[#This Row],[Heavy Printing Window Month Start]]*365.25/12</f>
        <v/>
      </c>
      <c r="Q900">
        <f>_xlfn.XLOOKUP(tbl_MTG_Set[[#This Row],[Type Name]], tbl_MTG_Set_Type[Set Type], tbl_MTG_Set_Type[Heavy Printing Window Month End], "(Set Type not found)", 0, 1)</f>
        <v/>
      </c>
      <c r="R900" s="3">
        <f>tbl_MTG_Set[[#This Row],[Released On]]+tbl_MTG_Set[[#This Row],[Heavy Printing Window Month End]]*365.25/12</f>
        <v/>
      </c>
      <c r="S900" s="3">
        <f>AND(NOW()&gt;=tbl_MTG_Set[[#This Row],[Heavy Printing Window Start]], NOW()&lt;=tbl_MTG_Set[[#This Row],[Heavy Printing Window End]])</f>
        <v/>
      </c>
      <c r="T900">
        <f>_xlfn.XLOOKUP(tbl_MTG_Set[[#This Row],[Type Name]], tbl_MTG_Set_Type[Set Type], tbl_MTG_Set_Type[Sell Window Month Start], "(Set Type not found)", 0, 1)</f>
        <v/>
      </c>
      <c r="U900" s="3">
        <f>tbl_MTG_Set[[#This Row],[Released On]]+tbl_MTG_Set[[#This Row],[Sell Window Month Start]]*365.25/12</f>
        <v/>
      </c>
      <c r="V900">
        <f>_xlfn.XLOOKUP(tbl_MTG_Set[[#This Row],[Type Name]], tbl_MTG_Set_Type[Set Type], tbl_MTG_Set_Type[Sell Window Month End], "(Set Type not found)", 0, 1)</f>
        <v/>
      </c>
      <c r="W900" s="3">
        <f>tbl_MTG_Set[[#This Row],[Released On]]+tbl_MTG_Set[[#This Row],[Sell Window Month End]]*365.25/12</f>
        <v/>
      </c>
      <c r="X900" s="3">
        <f>AND(NOW()&gt;=tbl_MTG_Set[[#This Row],[Sell Window Start]], NOW()&lt;=tbl_MTG_Set[[#This Row],[Sell Window End]])</f>
        <v/>
      </c>
      <c r="AG900" s="10" t="n"/>
      <c r="AH900" s="10" t="n"/>
      <c r="AM900" s="10">
        <f t="array" ref="AM9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0" s="10">
        <f t="array" ref="AN9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0" s="4">
        <f>_xlfn.XLOOKUP(tbl_MTG_Set[[#This Row],[Play Booster Box Product Id]], tbl_Product[Product Id], tbl_Product[Pack Size])</f>
        <v/>
      </c>
      <c r="AP900" s="10">
        <f>(tbl_MTG_Set[[#This Row],[Play Booster Box Cost]]+v_Item_Shipping_Cost_In)/tbl_MTG_Set[[#This Row],[Play Booster Box Size]]</f>
        <v/>
      </c>
      <c r="AQ900" s="10">
        <f t="array" ref="AQ9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0" s="10" t="n"/>
      <c r="AS900" s="10" t="n"/>
      <c r="AT900" s="17">
        <f>tbl_MTG_Set[[#This Row],[Play Booster CardMarket Profit]]/tbl_MTG_Set[[#This Row],[Play Booster Cost]]</f>
        <v/>
      </c>
      <c r="AU900" s="10">
        <f>_xlfn.XLOOKUP(tbl_MTG_Set[[#This Row],[Collector Booster Box Product Id]], tbl_Product[Product Id], tbl_Product[Min Cost])</f>
        <v/>
      </c>
      <c r="AV900" s="10">
        <f>_xlfn.XLOOKUP(tbl_MTG_Set[[#This Row],[Collector Booster Box Product Id]], tbl_Product[Product Id], tbl_Product[Best Source])</f>
        <v/>
      </c>
      <c r="AW900" s="4">
        <f>_xlfn.XLOOKUP(tbl_MTG_Set[[#This Row],[Collector Booster Box Product Id]], tbl_Product[Product Id], tbl_Product[Pack Size])</f>
        <v/>
      </c>
      <c r="AX900" s="10">
        <f>(tbl_MTG_Set[[#This Row],[Collector Booster Box Cost]] + v_Item_Shipping_Cost_In) / tbl_MTG_Set[[#This Row],[Collector Booster Box Size]]</f>
        <v/>
      </c>
      <c r="AY900" s="10">
        <f t="array" ref="AY9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0" s="10" t="n"/>
      <c r="BA9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0" s="17">
        <f>tbl_MTG_Set[[#This Row],[Collector Booster CardMarket Profit]]/tbl_MTG_Set[[#This Row],[Collector Booster Cost]]</f>
        <v/>
      </c>
      <c r="BC900" s="10" t="n"/>
      <c r="BF900" s="10">
        <f>tbl_MTG_Set[[#This Row],[Play Booster Sell Price CardMarket]]*tbl_MTG_Set[[#This Row],[Play Booster Expected Market Value]]/tbl_MTG_Set[[#This Row],[Play Boost Sealed Market Value]]</f>
        <v/>
      </c>
      <c r="BG9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0" s="10">
        <f>tbl_MTG_Set[[#This Row],[Play Singles CardMarket Profit]]/tbl_MTG_Set[[#This Row],[Play Booster Cost]]</f>
        <v/>
      </c>
      <c r="BI900" s="10">
        <f>tbl_MTG_Set[[#This Row],[Play Singles CardMarket Profit]]&gt;0</f>
        <v/>
      </c>
      <c r="BJ900" s="10" t="n"/>
      <c r="BK900" s="10" t="n"/>
      <c r="BL900" s="10">
        <f>tbl_MTG_Set[[#This Row],[Collector Booster Sell Price CardMarket]]*tbl_MTG_Set[[#This Row],[Collector Booster Expected Market Value]]/tbl_MTG_Set[[#This Row],[Collector Boost Sealed Market Value]]</f>
        <v/>
      </c>
      <c r="BM9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0" s="10">
        <f>tbl_MTG_Set[[#This Row],[Collector Singles CardMarket Profit]]/tbl_MTG_Set[[#This Row],[Collector Booster Cost]]</f>
        <v/>
      </c>
      <c r="BO900" s="10">
        <f>tbl_MTG_Set[[#This Row],[Collector Singles CardMarket Profit]]&gt;0</f>
        <v/>
      </c>
      <c r="BP9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1">
      <c r="A901" t="n">
        <v>899</v>
      </c>
      <c r="B901" t="inlineStr">
        <is>
          <t>Magic Online Avatars PMOA</t>
        </is>
      </c>
      <c r="C901" t="n">
        <v>85</v>
      </c>
      <c r="D901" s="3" t="n">
        <v>37622</v>
      </c>
      <c r="F901" t="inlineStr">
        <is>
          <t>en es fr de it pt ja ko ru 汉语 漢語</t>
        </is>
      </c>
      <c r="G901" t="n">
        <v>1744</v>
      </c>
      <c r="H901">
        <f>MONTH(NOW())+12*YEAR(NOW())-MONTH(tbl_MTG_Set[[#This Row],[Released On]])-12*YEAR(tbl_MTG_Set[[#This Row],[Released On]])</f>
        <v/>
      </c>
      <c r="I901">
        <f>_xlfn.XLOOKUP(tbl_MTG_Set[[#This Row],[Type Name]], tbl_MTG_Set_Type[Set Type], tbl_MTG_Set_Type[Index], "(Set Type not found)")</f>
        <v/>
      </c>
      <c r="J901">
        <f>_xlfn.XLOOKUP(tbl_MTG_Set[[#This Row],[Type Name]], tbl_MTG_Set_Type[Set Type], tbl_MTG_Set_Type[Buy Window Month Start], "(Set Type not found)")</f>
        <v/>
      </c>
      <c r="K901" s="3">
        <f>tbl_MTG_Set[[#This Row],[Released On]]+tbl_MTG_Set[[#This Row],[Buy Window Month Start]]*365.25/12</f>
        <v/>
      </c>
      <c r="L901">
        <f>_xlfn.XLOOKUP(tbl_MTG_Set[[#This Row],[Type Name]], tbl_MTG_Set_Type[Set Type], tbl_MTG_Set_Type[Buy Window Month End], "(Set Type not found)", 0, 1)</f>
        <v/>
      </c>
      <c r="M901" s="3">
        <f>tbl_MTG_Set[[#This Row],[Released On]]+tbl_MTG_Set[[#This Row],[Buy Window Month End]]*365.25/12</f>
        <v/>
      </c>
      <c r="N901" s="3">
        <f>AND(NOW()&gt;=tbl_MTG_Set[[#This Row],[Buy Window Start]], NOW()&lt;=tbl_MTG_Set[[#This Row],[Buy Window End]])</f>
        <v/>
      </c>
      <c r="O901">
        <f>_xlfn.XLOOKUP(tbl_MTG_Set[[#This Row],[Type Name]], tbl_MTG_Set_Type[Set Type], tbl_MTG_Set_Type[Heavy Printing Window Month Start], "(Set Type not found)", 0, 1)</f>
        <v/>
      </c>
      <c r="P901" s="3">
        <f>tbl_MTG_Set[[#This Row],[Released On]]+tbl_MTG_Set[[#This Row],[Heavy Printing Window Month Start]]*365.25/12</f>
        <v/>
      </c>
      <c r="Q901">
        <f>_xlfn.XLOOKUP(tbl_MTG_Set[[#This Row],[Type Name]], tbl_MTG_Set_Type[Set Type], tbl_MTG_Set_Type[Heavy Printing Window Month End], "(Set Type not found)", 0, 1)</f>
        <v/>
      </c>
      <c r="R901" s="3">
        <f>tbl_MTG_Set[[#This Row],[Released On]]+tbl_MTG_Set[[#This Row],[Heavy Printing Window Month End]]*365.25/12</f>
        <v/>
      </c>
      <c r="S901" s="3">
        <f>AND(NOW()&gt;=tbl_MTG_Set[[#This Row],[Heavy Printing Window Start]], NOW()&lt;=tbl_MTG_Set[[#This Row],[Heavy Printing Window End]])</f>
        <v/>
      </c>
      <c r="T901">
        <f>_xlfn.XLOOKUP(tbl_MTG_Set[[#This Row],[Type Name]], tbl_MTG_Set_Type[Set Type], tbl_MTG_Set_Type[Sell Window Month Start], "(Set Type not found)", 0, 1)</f>
        <v/>
      </c>
      <c r="U901" s="3">
        <f>tbl_MTG_Set[[#This Row],[Released On]]+tbl_MTG_Set[[#This Row],[Sell Window Month Start]]*365.25/12</f>
        <v/>
      </c>
      <c r="V901">
        <f>_xlfn.XLOOKUP(tbl_MTG_Set[[#This Row],[Type Name]], tbl_MTG_Set_Type[Set Type], tbl_MTG_Set_Type[Sell Window Month End], "(Set Type not found)", 0, 1)</f>
        <v/>
      </c>
      <c r="W901" s="3">
        <f>tbl_MTG_Set[[#This Row],[Released On]]+tbl_MTG_Set[[#This Row],[Sell Window Month End]]*365.25/12</f>
        <v/>
      </c>
      <c r="X901" s="3">
        <f>AND(NOW()&gt;=tbl_MTG_Set[[#This Row],[Sell Window Start]], NOW()&lt;=tbl_MTG_Set[[#This Row],[Sell Window End]])</f>
        <v/>
      </c>
      <c r="AG901" s="10" t="n"/>
      <c r="AH901" s="10" t="n"/>
      <c r="AM901" s="10">
        <f t="array" ref="AM9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1" s="10">
        <f t="array" ref="AN9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1" s="4">
        <f>_xlfn.XLOOKUP(tbl_MTG_Set[[#This Row],[Play Booster Box Product Id]], tbl_Product[Product Id], tbl_Product[Pack Size])</f>
        <v/>
      </c>
      <c r="AP901" s="10">
        <f>(tbl_MTG_Set[[#This Row],[Play Booster Box Cost]]+v_Item_Shipping_Cost_In)/tbl_MTG_Set[[#This Row],[Play Booster Box Size]]</f>
        <v/>
      </c>
      <c r="AQ901" s="10">
        <f t="array" ref="AQ9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1" s="10" t="n"/>
      <c r="AS901" s="10" t="n"/>
      <c r="AT901" s="17">
        <f>tbl_MTG_Set[[#This Row],[Play Booster CardMarket Profit]]/tbl_MTG_Set[[#This Row],[Play Booster Cost]]</f>
        <v/>
      </c>
      <c r="AU901" s="10">
        <f>_xlfn.XLOOKUP(tbl_MTG_Set[[#This Row],[Collector Booster Box Product Id]], tbl_Product[Product Id], tbl_Product[Min Cost])</f>
        <v/>
      </c>
      <c r="AV901" s="10">
        <f>_xlfn.XLOOKUP(tbl_MTG_Set[[#This Row],[Collector Booster Box Product Id]], tbl_Product[Product Id], tbl_Product[Best Source])</f>
        <v/>
      </c>
      <c r="AW901" s="4">
        <f>_xlfn.XLOOKUP(tbl_MTG_Set[[#This Row],[Collector Booster Box Product Id]], tbl_Product[Product Id], tbl_Product[Pack Size])</f>
        <v/>
      </c>
      <c r="AX901" s="10">
        <f>(tbl_MTG_Set[[#This Row],[Collector Booster Box Cost]] + v_Item_Shipping_Cost_In) / tbl_MTG_Set[[#This Row],[Collector Booster Box Size]]</f>
        <v/>
      </c>
      <c r="AY901" s="10">
        <f t="array" ref="AY9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1" s="10" t="n"/>
      <c r="BA9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1" s="17">
        <f>tbl_MTG_Set[[#This Row],[Collector Booster CardMarket Profit]]/tbl_MTG_Set[[#This Row],[Collector Booster Cost]]</f>
        <v/>
      </c>
      <c r="BC901" s="10" t="n"/>
      <c r="BF901" s="10">
        <f>tbl_MTG_Set[[#This Row],[Play Booster Sell Price CardMarket]]*tbl_MTG_Set[[#This Row],[Play Booster Expected Market Value]]/tbl_MTG_Set[[#This Row],[Play Boost Sealed Market Value]]</f>
        <v/>
      </c>
      <c r="BG9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1" s="10">
        <f>tbl_MTG_Set[[#This Row],[Play Singles CardMarket Profit]]/tbl_MTG_Set[[#This Row],[Play Booster Cost]]</f>
        <v/>
      </c>
      <c r="BI901" s="10">
        <f>tbl_MTG_Set[[#This Row],[Play Singles CardMarket Profit]]&gt;0</f>
        <v/>
      </c>
      <c r="BJ901" s="10" t="n"/>
      <c r="BK901" s="10" t="n"/>
      <c r="BL901" s="10">
        <f>tbl_MTG_Set[[#This Row],[Collector Booster Sell Price CardMarket]]*tbl_MTG_Set[[#This Row],[Collector Booster Expected Market Value]]/tbl_MTG_Set[[#This Row],[Collector Boost Sealed Market Value]]</f>
        <v/>
      </c>
      <c r="BM9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1" s="10">
        <f>tbl_MTG_Set[[#This Row],[Collector Singles CardMarket Profit]]/tbl_MTG_Set[[#This Row],[Collector Booster Cost]]</f>
        <v/>
      </c>
      <c r="BO901" s="10">
        <f>tbl_MTG_Set[[#This Row],[Collector Singles CardMarket Profit]]&gt;0</f>
        <v/>
      </c>
      <c r="BP9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2">
      <c r="A902" t="n">
        <v>900</v>
      </c>
      <c r="B902" t="inlineStr">
        <is>
          <t>Japan Junior Tournament PJJT</t>
        </is>
      </c>
      <c r="C902" t="n">
        <v>12</v>
      </c>
      <c r="D902" s="3" t="n">
        <v>37622</v>
      </c>
      <c r="F902" t="inlineStr">
        <is>
          <t>en es fr de it pt ja ko ru 汉语 漢語</t>
        </is>
      </c>
      <c r="G902" t="n">
        <v>1746</v>
      </c>
      <c r="H902">
        <f>MONTH(NOW())+12*YEAR(NOW())-MONTH(tbl_MTG_Set[[#This Row],[Released On]])-12*YEAR(tbl_MTG_Set[[#This Row],[Released On]])</f>
        <v/>
      </c>
      <c r="I902">
        <f>_xlfn.XLOOKUP(tbl_MTG_Set[[#This Row],[Type Name]], tbl_MTG_Set_Type[Set Type], tbl_MTG_Set_Type[Index], "(Set Type not found)")</f>
        <v/>
      </c>
      <c r="J902">
        <f>_xlfn.XLOOKUP(tbl_MTG_Set[[#This Row],[Type Name]], tbl_MTG_Set_Type[Set Type], tbl_MTG_Set_Type[Buy Window Month Start], "(Set Type not found)")</f>
        <v/>
      </c>
      <c r="K902" s="3">
        <f>tbl_MTG_Set[[#This Row],[Released On]]+tbl_MTG_Set[[#This Row],[Buy Window Month Start]]*365.25/12</f>
        <v/>
      </c>
      <c r="L902">
        <f>_xlfn.XLOOKUP(tbl_MTG_Set[[#This Row],[Type Name]], tbl_MTG_Set_Type[Set Type], tbl_MTG_Set_Type[Buy Window Month End], "(Set Type not found)", 0, 1)</f>
        <v/>
      </c>
      <c r="M902" s="3">
        <f>tbl_MTG_Set[[#This Row],[Released On]]+tbl_MTG_Set[[#This Row],[Buy Window Month End]]*365.25/12</f>
        <v/>
      </c>
      <c r="N902" s="3">
        <f>AND(NOW()&gt;=tbl_MTG_Set[[#This Row],[Buy Window Start]], NOW()&lt;=tbl_MTG_Set[[#This Row],[Buy Window End]])</f>
        <v/>
      </c>
      <c r="O902">
        <f>_xlfn.XLOOKUP(tbl_MTG_Set[[#This Row],[Type Name]], tbl_MTG_Set_Type[Set Type], tbl_MTG_Set_Type[Heavy Printing Window Month Start], "(Set Type not found)", 0, 1)</f>
        <v/>
      </c>
      <c r="P902" s="3">
        <f>tbl_MTG_Set[[#This Row],[Released On]]+tbl_MTG_Set[[#This Row],[Heavy Printing Window Month Start]]*365.25/12</f>
        <v/>
      </c>
      <c r="Q902">
        <f>_xlfn.XLOOKUP(tbl_MTG_Set[[#This Row],[Type Name]], tbl_MTG_Set_Type[Set Type], tbl_MTG_Set_Type[Heavy Printing Window Month End], "(Set Type not found)", 0, 1)</f>
        <v/>
      </c>
      <c r="R902" s="3">
        <f>tbl_MTG_Set[[#This Row],[Released On]]+tbl_MTG_Set[[#This Row],[Heavy Printing Window Month End]]*365.25/12</f>
        <v/>
      </c>
      <c r="S902" s="3">
        <f>AND(NOW()&gt;=tbl_MTG_Set[[#This Row],[Heavy Printing Window Start]], NOW()&lt;=tbl_MTG_Set[[#This Row],[Heavy Printing Window End]])</f>
        <v/>
      </c>
      <c r="T902">
        <f>_xlfn.XLOOKUP(tbl_MTG_Set[[#This Row],[Type Name]], tbl_MTG_Set_Type[Set Type], tbl_MTG_Set_Type[Sell Window Month Start], "(Set Type not found)", 0, 1)</f>
        <v/>
      </c>
      <c r="U902" s="3">
        <f>tbl_MTG_Set[[#This Row],[Released On]]+tbl_MTG_Set[[#This Row],[Sell Window Month Start]]*365.25/12</f>
        <v/>
      </c>
      <c r="V902">
        <f>_xlfn.XLOOKUP(tbl_MTG_Set[[#This Row],[Type Name]], tbl_MTG_Set_Type[Set Type], tbl_MTG_Set_Type[Sell Window Month End], "(Set Type not found)", 0, 1)</f>
        <v/>
      </c>
      <c r="W902" s="3">
        <f>tbl_MTG_Set[[#This Row],[Released On]]+tbl_MTG_Set[[#This Row],[Sell Window Month End]]*365.25/12</f>
        <v/>
      </c>
      <c r="X902" s="3">
        <f>AND(NOW()&gt;=tbl_MTG_Set[[#This Row],[Sell Window Start]], NOW()&lt;=tbl_MTG_Set[[#This Row],[Sell Window End]])</f>
        <v/>
      </c>
      <c r="AG902" s="10" t="n"/>
      <c r="AH902" s="10" t="n"/>
      <c r="AM902" s="10">
        <f t="array" ref="AM9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2" s="10">
        <f t="array" ref="AN9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2" s="4">
        <f>_xlfn.XLOOKUP(tbl_MTG_Set[[#This Row],[Play Booster Box Product Id]], tbl_Product[Product Id], tbl_Product[Pack Size])</f>
        <v/>
      </c>
      <c r="AP902" s="10">
        <f>(tbl_MTG_Set[[#This Row],[Play Booster Box Cost]]+v_Item_Shipping_Cost_In)/tbl_MTG_Set[[#This Row],[Play Booster Box Size]]</f>
        <v/>
      </c>
      <c r="AQ902" s="10">
        <f t="array" ref="AQ9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2" s="10" t="n"/>
      <c r="AS902" s="10" t="n"/>
      <c r="AT902" s="17">
        <f>tbl_MTG_Set[[#This Row],[Play Booster CardMarket Profit]]/tbl_MTG_Set[[#This Row],[Play Booster Cost]]</f>
        <v/>
      </c>
      <c r="AU902" s="10">
        <f>_xlfn.XLOOKUP(tbl_MTG_Set[[#This Row],[Collector Booster Box Product Id]], tbl_Product[Product Id], tbl_Product[Min Cost])</f>
        <v/>
      </c>
      <c r="AV902" s="10">
        <f>_xlfn.XLOOKUP(tbl_MTG_Set[[#This Row],[Collector Booster Box Product Id]], tbl_Product[Product Id], tbl_Product[Best Source])</f>
        <v/>
      </c>
      <c r="AW902" s="4">
        <f>_xlfn.XLOOKUP(tbl_MTG_Set[[#This Row],[Collector Booster Box Product Id]], tbl_Product[Product Id], tbl_Product[Pack Size])</f>
        <v/>
      </c>
      <c r="AX902" s="10">
        <f>(tbl_MTG_Set[[#This Row],[Collector Booster Box Cost]] + v_Item_Shipping_Cost_In) / tbl_MTG_Set[[#This Row],[Collector Booster Box Size]]</f>
        <v/>
      </c>
      <c r="AY902" s="10">
        <f t="array" ref="AY9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2" s="10" t="n"/>
      <c r="BA9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2" s="17">
        <f>tbl_MTG_Set[[#This Row],[Collector Booster CardMarket Profit]]/tbl_MTG_Set[[#This Row],[Collector Booster Cost]]</f>
        <v/>
      </c>
      <c r="BC902" s="10" t="n"/>
      <c r="BF902" s="10">
        <f>tbl_MTG_Set[[#This Row],[Play Booster Sell Price CardMarket]]*tbl_MTG_Set[[#This Row],[Play Booster Expected Market Value]]/tbl_MTG_Set[[#This Row],[Play Boost Sealed Market Value]]</f>
        <v/>
      </c>
      <c r="BG9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2" s="10">
        <f>tbl_MTG_Set[[#This Row],[Play Singles CardMarket Profit]]/tbl_MTG_Set[[#This Row],[Play Booster Cost]]</f>
        <v/>
      </c>
      <c r="BI902" s="10">
        <f>tbl_MTG_Set[[#This Row],[Play Singles CardMarket Profit]]&gt;0</f>
        <v/>
      </c>
      <c r="BJ902" s="10" t="n"/>
      <c r="BK902" s="10" t="n"/>
      <c r="BL902" s="10">
        <f>tbl_MTG_Set[[#This Row],[Collector Booster Sell Price CardMarket]]*tbl_MTG_Set[[#This Row],[Collector Booster Expected Market Value]]/tbl_MTG_Set[[#This Row],[Collector Boost Sealed Market Value]]</f>
        <v/>
      </c>
      <c r="BM9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2" s="10">
        <f>tbl_MTG_Set[[#This Row],[Collector Singles CardMarket Profit]]/tbl_MTG_Set[[#This Row],[Collector Booster Cost]]</f>
        <v/>
      </c>
      <c r="BO902" s="10">
        <f>tbl_MTG_Set[[#This Row],[Collector Singles CardMarket Profit]]&gt;0</f>
        <v/>
      </c>
      <c r="BP9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3">
      <c r="A903" t="n">
        <v>901</v>
      </c>
      <c r="B903" t="inlineStr">
        <is>
          <t>Arena League 2003 PAL03</t>
        </is>
      </c>
      <c r="C903" t="n">
        <v>8</v>
      </c>
      <c r="D903" s="3" t="n">
        <v>37622</v>
      </c>
      <c r="F903" t="inlineStr">
        <is>
          <t>en es fr de it pt ja ko ru 汉语 漢語</t>
        </is>
      </c>
      <c r="G903" t="n">
        <v>1748</v>
      </c>
      <c r="H903">
        <f>MONTH(NOW())+12*YEAR(NOW())-MONTH(tbl_MTG_Set[[#This Row],[Released On]])-12*YEAR(tbl_MTG_Set[[#This Row],[Released On]])</f>
        <v/>
      </c>
      <c r="I903">
        <f>_xlfn.XLOOKUP(tbl_MTG_Set[[#This Row],[Type Name]], tbl_MTG_Set_Type[Set Type], tbl_MTG_Set_Type[Index], "(Set Type not found)")</f>
        <v/>
      </c>
      <c r="J903">
        <f>_xlfn.XLOOKUP(tbl_MTG_Set[[#This Row],[Type Name]], tbl_MTG_Set_Type[Set Type], tbl_MTG_Set_Type[Buy Window Month Start], "(Set Type not found)")</f>
        <v/>
      </c>
      <c r="K903" s="3">
        <f>tbl_MTG_Set[[#This Row],[Released On]]+tbl_MTG_Set[[#This Row],[Buy Window Month Start]]*365.25/12</f>
        <v/>
      </c>
      <c r="L903">
        <f>_xlfn.XLOOKUP(tbl_MTG_Set[[#This Row],[Type Name]], tbl_MTG_Set_Type[Set Type], tbl_MTG_Set_Type[Buy Window Month End], "(Set Type not found)", 0, 1)</f>
        <v/>
      </c>
      <c r="M903" s="3">
        <f>tbl_MTG_Set[[#This Row],[Released On]]+tbl_MTG_Set[[#This Row],[Buy Window Month End]]*365.25/12</f>
        <v/>
      </c>
      <c r="N903" s="3">
        <f>AND(NOW()&gt;=tbl_MTG_Set[[#This Row],[Buy Window Start]], NOW()&lt;=tbl_MTG_Set[[#This Row],[Buy Window End]])</f>
        <v/>
      </c>
      <c r="O903">
        <f>_xlfn.XLOOKUP(tbl_MTG_Set[[#This Row],[Type Name]], tbl_MTG_Set_Type[Set Type], tbl_MTG_Set_Type[Heavy Printing Window Month Start], "(Set Type not found)", 0, 1)</f>
        <v/>
      </c>
      <c r="P903" s="3">
        <f>tbl_MTG_Set[[#This Row],[Released On]]+tbl_MTG_Set[[#This Row],[Heavy Printing Window Month Start]]*365.25/12</f>
        <v/>
      </c>
      <c r="Q903">
        <f>_xlfn.XLOOKUP(tbl_MTG_Set[[#This Row],[Type Name]], tbl_MTG_Set_Type[Set Type], tbl_MTG_Set_Type[Heavy Printing Window Month End], "(Set Type not found)", 0, 1)</f>
        <v/>
      </c>
      <c r="R903" s="3">
        <f>tbl_MTG_Set[[#This Row],[Released On]]+tbl_MTG_Set[[#This Row],[Heavy Printing Window Month End]]*365.25/12</f>
        <v/>
      </c>
      <c r="S903" s="3">
        <f>AND(NOW()&gt;=tbl_MTG_Set[[#This Row],[Heavy Printing Window Start]], NOW()&lt;=tbl_MTG_Set[[#This Row],[Heavy Printing Window End]])</f>
        <v/>
      </c>
      <c r="T903">
        <f>_xlfn.XLOOKUP(tbl_MTG_Set[[#This Row],[Type Name]], tbl_MTG_Set_Type[Set Type], tbl_MTG_Set_Type[Sell Window Month Start], "(Set Type not found)", 0, 1)</f>
        <v/>
      </c>
      <c r="U903" s="3">
        <f>tbl_MTG_Set[[#This Row],[Released On]]+tbl_MTG_Set[[#This Row],[Sell Window Month Start]]*365.25/12</f>
        <v/>
      </c>
      <c r="V903">
        <f>_xlfn.XLOOKUP(tbl_MTG_Set[[#This Row],[Type Name]], tbl_MTG_Set_Type[Set Type], tbl_MTG_Set_Type[Sell Window Month End], "(Set Type not found)", 0, 1)</f>
        <v/>
      </c>
      <c r="W903" s="3">
        <f>tbl_MTG_Set[[#This Row],[Released On]]+tbl_MTG_Set[[#This Row],[Sell Window Month End]]*365.25/12</f>
        <v/>
      </c>
      <c r="X903" s="3">
        <f>AND(NOW()&gt;=tbl_MTG_Set[[#This Row],[Sell Window Start]], NOW()&lt;=tbl_MTG_Set[[#This Row],[Sell Window End]])</f>
        <v/>
      </c>
      <c r="AG903" s="10" t="n"/>
      <c r="AH903" s="10" t="n"/>
      <c r="AM903" s="10">
        <f t="array" ref="AM9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3" s="10">
        <f t="array" ref="AN9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3" s="4">
        <f>_xlfn.XLOOKUP(tbl_MTG_Set[[#This Row],[Play Booster Box Product Id]], tbl_Product[Product Id], tbl_Product[Pack Size])</f>
        <v/>
      </c>
      <c r="AP903" s="10">
        <f>(tbl_MTG_Set[[#This Row],[Play Booster Box Cost]]+v_Item_Shipping_Cost_In)/tbl_MTG_Set[[#This Row],[Play Booster Box Size]]</f>
        <v/>
      </c>
      <c r="AQ903" s="10">
        <f t="array" ref="AQ9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3" s="10" t="n"/>
      <c r="AS903" s="10" t="n"/>
      <c r="AT903" s="17">
        <f>tbl_MTG_Set[[#This Row],[Play Booster CardMarket Profit]]/tbl_MTG_Set[[#This Row],[Play Booster Cost]]</f>
        <v/>
      </c>
      <c r="AU903" s="10">
        <f>_xlfn.XLOOKUP(tbl_MTG_Set[[#This Row],[Collector Booster Box Product Id]], tbl_Product[Product Id], tbl_Product[Min Cost])</f>
        <v/>
      </c>
      <c r="AV903" s="10">
        <f>_xlfn.XLOOKUP(tbl_MTG_Set[[#This Row],[Collector Booster Box Product Id]], tbl_Product[Product Id], tbl_Product[Best Source])</f>
        <v/>
      </c>
      <c r="AW903" s="4">
        <f>_xlfn.XLOOKUP(tbl_MTG_Set[[#This Row],[Collector Booster Box Product Id]], tbl_Product[Product Id], tbl_Product[Pack Size])</f>
        <v/>
      </c>
      <c r="AX903" s="10">
        <f>(tbl_MTG_Set[[#This Row],[Collector Booster Box Cost]] + v_Item_Shipping_Cost_In) / tbl_MTG_Set[[#This Row],[Collector Booster Box Size]]</f>
        <v/>
      </c>
      <c r="AY903" s="10">
        <f t="array" ref="AY9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3" s="10" t="n"/>
      <c r="BA9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3" s="17">
        <f>tbl_MTG_Set[[#This Row],[Collector Booster CardMarket Profit]]/tbl_MTG_Set[[#This Row],[Collector Booster Cost]]</f>
        <v/>
      </c>
      <c r="BC903" s="10" t="n"/>
      <c r="BF903" s="10">
        <f>tbl_MTG_Set[[#This Row],[Play Booster Sell Price CardMarket]]*tbl_MTG_Set[[#This Row],[Play Booster Expected Market Value]]/tbl_MTG_Set[[#This Row],[Play Boost Sealed Market Value]]</f>
        <v/>
      </c>
      <c r="BG9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3" s="10">
        <f>tbl_MTG_Set[[#This Row],[Play Singles CardMarket Profit]]/tbl_MTG_Set[[#This Row],[Play Booster Cost]]</f>
        <v/>
      </c>
      <c r="BI903" s="10">
        <f>tbl_MTG_Set[[#This Row],[Play Singles CardMarket Profit]]&gt;0</f>
        <v/>
      </c>
      <c r="BJ903" s="10" t="n"/>
      <c r="BK903" s="10" t="n"/>
      <c r="BL903" s="10">
        <f>tbl_MTG_Set[[#This Row],[Collector Booster Sell Price CardMarket]]*tbl_MTG_Set[[#This Row],[Collector Booster Expected Market Value]]/tbl_MTG_Set[[#This Row],[Collector Boost Sealed Market Value]]</f>
        <v/>
      </c>
      <c r="BM9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3" s="10">
        <f>tbl_MTG_Set[[#This Row],[Collector Singles CardMarket Profit]]/tbl_MTG_Set[[#This Row],[Collector Booster Cost]]</f>
        <v/>
      </c>
      <c r="BO903" s="10">
        <f>tbl_MTG_Set[[#This Row],[Collector Singles CardMarket Profit]]&gt;0</f>
        <v/>
      </c>
      <c r="BP9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4">
      <c r="A904" t="n">
        <v>902</v>
      </c>
      <c r="B904" t="inlineStr">
        <is>
          <t>Judge Gift Cards 2003 G03</t>
        </is>
      </c>
      <c r="C904" t="n">
        <v>3</v>
      </c>
      <c r="D904" s="3" t="n">
        <v>37622</v>
      </c>
      <c r="F904" t="inlineStr">
        <is>
          <t>en es fr de it pt ja ko ru 汉语 漢語</t>
        </is>
      </c>
      <c r="G904" t="n">
        <v>1750</v>
      </c>
      <c r="H904">
        <f>MONTH(NOW())+12*YEAR(NOW())-MONTH(tbl_MTG_Set[[#This Row],[Released On]])-12*YEAR(tbl_MTG_Set[[#This Row],[Released On]])</f>
        <v/>
      </c>
      <c r="I904">
        <f>_xlfn.XLOOKUP(tbl_MTG_Set[[#This Row],[Type Name]], tbl_MTG_Set_Type[Set Type], tbl_MTG_Set_Type[Index], "(Set Type not found)")</f>
        <v/>
      </c>
      <c r="J904">
        <f>_xlfn.XLOOKUP(tbl_MTG_Set[[#This Row],[Type Name]], tbl_MTG_Set_Type[Set Type], tbl_MTG_Set_Type[Buy Window Month Start], "(Set Type not found)")</f>
        <v/>
      </c>
      <c r="K904" s="3">
        <f>tbl_MTG_Set[[#This Row],[Released On]]+tbl_MTG_Set[[#This Row],[Buy Window Month Start]]*365.25/12</f>
        <v/>
      </c>
      <c r="L904">
        <f>_xlfn.XLOOKUP(tbl_MTG_Set[[#This Row],[Type Name]], tbl_MTG_Set_Type[Set Type], tbl_MTG_Set_Type[Buy Window Month End], "(Set Type not found)", 0, 1)</f>
        <v/>
      </c>
      <c r="M904" s="3">
        <f>tbl_MTG_Set[[#This Row],[Released On]]+tbl_MTG_Set[[#This Row],[Buy Window Month End]]*365.25/12</f>
        <v/>
      </c>
      <c r="N904" s="3">
        <f>AND(NOW()&gt;=tbl_MTG_Set[[#This Row],[Buy Window Start]], NOW()&lt;=tbl_MTG_Set[[#This Row],[Buy Window End]])</f>
        <v/>
      </c>
      <c r="O904">
        <f>_xlfn.XLOOKUP(tbl_MTG_Set[[#This Row],[Type Name]], tbl_MTG_Set_Type[Set Type], tbl_MTG_Set_Type[Heavy Printing Window Month Start], "(Set Type not found)", 0, 1)</f>
        <v/>
      </c>
      <c r="P904" s="3">
        <f>tbl_MTG_Set[[#This Row],[Released On]]+tbl_MTG_Set[[#This Row],[Heavy Printing Window Month Start]]*365.25/12</f>
        <v/>
      </c>
      <c r="Q904">
        <f>_xlfn.XLOOKUP(tbl_MTG_Set[[#This Row],[Type Name]], tbl_MTG_Set_Type[Set Type], tbl_MTG_Set_Type[Heavy Printing Window Month End], "(Set Type not found)", 0, 1)</f>
        <v/>
      </c>
      <c r="R904" s="3">
        <f>tbl_MTG_Set[[#This Row],[Released On]]+tbl_MTG_Set[[#This Row],[Heavy Printing Window Month End]]*365.25/12</f>
        <v/>
      </c>
      <c r="S904" s="3">
        <f>AND(NOW()&gt;=tbl_MTG_Set[[#This Row],[Heavy Printing Window Start]], NOW()&lt;=tbl_MTG_Set[[#This Row],[Heavy Printing Window End]])</f>
        <v/>
      </c>
      <c r="T904">
        <f>_xlfn.XLOOKUP(tbl_MTG_Set[[#This Row],[Type Name]], tbl_MTG_Set_Type[Set Type], tbl_MTG_Set_Type[Sell Window Month Start], "(Set Type not found)", 0, 1)</f>
        <v/>
      </c>
      <c r="U904" s="3">
        <f>tbl_MTG_Set[[#This Row],[Released On]]+tbl_MTG_Set[[#This Row],[Sell Window Month Start]]*365.25/12</f>
        <v/>
      </c>
      <c r="V904">
        <f>_xlfn.XLOOKUP(tbl_MTG_Set[[#This Row],[Type Name]], tbl_MTG_Set_Type[Set Type], tbl_MTG_Set_Type[Sell Window Month End], "(Set Type not found)", 0, 1)</f>
        <v/>
      </c>
      <c r="W904" s="3">
        <f>tbl_MTG_Set[[#This Row],[Released On]]+tbl_MTG_Set[[#This Row],[Sell Window Month End]]*365.25/12</f>
        <v/>
      </c>
      <c r="X904" s="3">
        <f>AND(NOW()&gt;=tbl_MTG_Set[[#This Row],[Sell Window Start]], NOW()&lt;=tbl_MTG_Set[[#This Row],[Sell Window End]])</f>
        <v/>
      </c>
      <c r="AG904" s="10" t="n"/>
      <c r="AH904" s="10" t="n"/>
      <c r="AM904" s="10">
        <f t="array" ref="AM9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4" s="10">
        <f t="array" ref="AN9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4" s="4">
        <f>_xlfn.XLOOKUP(tbl_MTG_Set[[#This Row],[Play Booster Box Product Id]], tbl_Product[Product Id], tbl_Product[Pack Size])</f>
        <v/>
      </c>
      <c r="AP904" s="10">
        <f>(tbl_MTG_Set[[#This Row],[Play Booster Box Cost]]+v_Item_Shipping_Cost_In)/tbl_MTG_Set[[#This Row],[Play Booster Box Size]]</f>
        <v/>
      </c>
      <c r="AQ904" s="10">
        <f t="array" ref="AQ9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4" s="10" t="n"/>
      <c r="AS904" s="10" t="n"/>
      <c r="AT904" s="17">
        <f>tbl_MTG_Set[[#This Row],[Play Booster CardMarket Profit]]/tbl_MTG_Set[[#This Row],[Play Booster Cost]]</f>
        <v/>
      </c>
      <c r="AU904" s="10">
        <f>_xlfn.XLOOKUP(tbl_MTG_Set[[#This Row],[Collector Booster Box Product Id]], tbl_Product[Product Id], tbl_Product[Min Cost])</f>
        <v/>
      </c>
      <c r="AV904" s="10">
        <f>_xlfn.XLOOKUP(tbl_MTG_Set[[#This Row],[Collector Booster Box Product Id]], tbl_Product[Product Id], tbl_Product[Best Source])</f>
        <v/>
      </c>
      <c r="AW904" s="4">
        <f>_xlfn.XLOOKUP(tbl_MTG_Set[[#This Row],[Collector Booster Box Product Id]], tbl_Product[Product Id], tbl_Product[Pack Size])</f>
        <v/>
      </c>
      <c r="AX904" s="10">
        <f>(tbl_MTG_Set[[#This Row],[Collector Booster Box Cost]] + v_Item_Shipping_Cost_In) / tbl_MTG_Set[[#This Row],[Collector Booster Box Size]]</f>
        <v/>
      </c>
      <c r="AY904" s="10">
        <f t="array" ref="AY9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4" s="10" t="n"/>
      <c r="BA9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4" s="17">
        <f>tbl_MTG_Set[[#This Row],[Collector Booster CardMarket Profit]]/tbl_MTG_Set[[#This Row],[Collector Booster Cost]]</f>
        <v/>
      </c>
      <c r="BC904" s="10" t="n"/>
      <c r="BF904" s="10">
        <f>tbl_MTG_Set[[#This Row],[Play Booster Sell Price CardMarket]]*tbl_MTG_Set[[#This Row],[Play Booster Expected Market Value]]/tbl_MTG_Set[[#This Row],[Play Boost Sealed Market Value]]</f>
        <v/>
      </c>
      <c r="BG9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4" s="10">
        <f>tbl_MTG_Set[[#This Row],[Play Singles CardMarket Profit]]/tbl_MTG_Set[[#This Row],[Play Booster Cost]]</f>
        <v/>
      </c>
      <c r="BI904" s="10">
        <f>tbl_MTG_Set[[#This Row],[Play Singles CardMarket Profit]]&gt;0</f>
        <v/>
      </c>
      <c r="BJ904" s="10" t="n"/>
      <c r="BK904" s="10" t="n"/>
      <c r="BL904" s="10">
        <f>tbl_MTG_Set[[#This Row],[Collector Booster Sell Price CardMarket]]*tbl_MTG_Set[[#This Row],[Collector Booster Expected Market Value]]/tbl_MTG_Set[[#This Row],[Collector Boost Sealed Market Value]]</f>
        <v/>
      </c>
      <c r="BM9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4" s="10">
        <f>tbl_MTG_Set[[#This Row],[Collector Singles CardMarket Profit]]/tbl_MTG_Set[[#This Row],[Collector Booster Cost]]</f>
        <v/>
      </c>
      <c r="BO904" s="10">
        <f>tbl_MTG_Set[[#This Row],[Collector Singles CardMarket Profit]]&gt;0</f>
        <v/>
      </c>
      <c r="BP9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5">
      <c r="A905" t="n">
        <v>903</v>
      </c>
      <c r="B905" t="inlineStr">
        <is>
          <t>Magic Player Rewards 2003 P03</t>
        </is>
      </c>
      <c r="C905" t="n">
        <v>7</v>
      </c>
      <c r="D905" s="3" t="n">
        <v>37622</v>
      </c>
      <c r="F905" t="inlineStr">
        <is>
          <t>en es fr de it pt ja ko ru 汉语 漢語</t>
        </is>
      </c>
      <c r="G905" t="n">
        <v>1752</v>
      </c>
      <c r="H905">
        <f>MONTH(NOW())+12*YEAR(NOW())-MONTH(tbl_MTG_Set[[#This Row],[Released On]])-12*YEAR(tbl_MTG_Set[[#This Row],[Released On]])</f>
        <v/>
      </c>
      <c r="I905">
        <f>_xlfn.XLOOKUP(tbl_MTG_Set[[#This Row],[Type Name]], tbl_MTG_Set_Type[Set Type], tbl_MTG_Set_Type[Index], "(Set Type not found)")</f>
        <v/>
      </c>
      <c r="J905">
        <f>_xlfn.XLOOKUP(tbl_MTG_Set[[#This Row],[Type Name]], tbl_MTG_Set_Type[Set Type], tbl_MTG_Set_Type[Buy Window Month Start], "(Set Type not found)")</f>
        <v/>
      </c>
      <c r="K905" s="3">
        <f>tbl_MTG_Set[[#This Row],[Released On]]+tbl_MTG_Set[[#This Row],[Buy Window Month Start]]*365.25/12</f>
        <v/>
      </c>
      <c r="L905">
        <f>_xlfn.XLOOKUP(tbl_MTG_Set[[#This Row],[Type Name]], tbl_MTG_Set_Type[Set Type], tbl_MTG_Set_Type[Buy Window Month End], "(Set Type not found)", 0, 1)</f>
        <v/>
      </c>
      <c r="M905" s="3">
        <f>tbl_MTG_Set[[#This Row],[Released On]]+tbl_MTG_Set[[#This Row],[Buy Window Month End]]*365.25/12</f>
        <v/>
      </c>
      <c r="N905" s="3">
        <f>AND(NOW()&gt;=tbl_MTG_Set[[#This Row],[Buy Window Start]], NOW()&lt;=tbl_MTG_Set[[#This Row],[Buy Window End]])</f>
        <v/>
      </c>
      <c r="O905">
        <f>_xlfn.XLOOKUP(tbl_MTG_Set[[#This Row],[Type Name]], tbl_MTG_Set_Type[Set Type], tbl_MTG_Set_Type[Heavy Printing Window Month Start], "(Set Type not found)", 0, 1)</f>
        <v/>
      </c>
      <c r="P905" s="3">
        <f>tbl_MTG_Set[[#This Row],[Released On]]+tbl_MTG_Set[[#This Row],[Heavy Printing Window Month Start]]*365.25/12</f>
        <v/>
      </c>
      <c r="Q905">
        <f>_xlfn.XLOOKUP(tbl_MTG_Set[[#This Row],[Type Name]], tbl_MTG_Set_Type[Set Type], tbl_MTG_Set_Type[Heavy Printing Window Month End], "(Set Type not found)", 0, 1)</f>
        <v/>
      </c>
      <c r="R905" s="3">
        <f>tbl_MTG_Set[[#This Row],[Released On]]+tbl_MTG_Set[[#This Row],[Heavy Printing Window Month End]]*365.25/12</f>
        <v/>
      </c>
      <c r="S905" s="3">
        <f>AND(NOW()&gt;=tbl_MTG_Set[[#This Row],[Heavy Printing Window Start]], NOW()&lt;=tbl_MTG_Set[[#This Row],[Heavy Printing Window End]])</f>
        <v/>
      </c>
      <c r="T905">
        <f>_xlfn.XLOOKUP(tbl_MTG_Set[[#This Row],[Type Name]], tbl_MTG_Set_Type[Set Type], tbl_MTG_Set_Type[Sell Window Month Start], "(Set Type not found)", 0, 1)</f>
        <v/>
      </c>
      <c r="U905" s="3">
        <f>tbl_MTG_Set[[#This Row],[Released On]]+tbl_MTG_Set[[#This Row],[Sell Window Month Start]]*365.25/12</f>
        <v/>
      </c>
      <c r="V905">
        <f>_xlfn.XLOOKUP(tbl_MTG_Set[[#This Row],[Type Name]], tbl_MTG_Set_Type[Set Type], tbl_MTG_Set_Type[Sell Window Month End], "(Set Type not found)", 0, 1)</f>
        <v/>
      </c>
      <c r="W905" s="3">
        <f>tbl_MTG_Set[[#This Row],[Released On]]+tbl_MTG_Set[[#This Row],[Sell Window Month End]]*365.25/12</f>
        <v/>
      </c>
      <c r="X905" s="3">
        <f>AND(NOW()&gt;=tbl_MTG_Set[[#This Row],[Sell Window Start]], NOW()&lt;=tbl_MTG_Set[[#This Row],[Sell Window End]])</f>
        <v/>
      </c>
      <c r="AG905" s="10" t="n"/>
      <c r="AH905" s="10" t="n"/>
      <c r="AM905" s="10">
        <f t="array" ref="AM9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5" s="10">
        <f t="array" ref="AN9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5" s="4">
        <f>_xlfn.XLOOKUP(tbl_MTG_Set[[#This Row],[Play Booster Box Product Id]], tbl_Product[Product Id], tbl_Product[Pack Size])</f>
        <v/>
      </c>
      <c r="AP905" s="10">
        <f>(tbl_MTG_Set[[#This Row],[Play Booster Box Cost]]+v_Item_Shipping_Cost_In)/tbl_MTG_Set[[#This Row],[Play Booster Box Size]]</f>
        <v/>
      </c>
      <c r="AQ905" s="10">
        <f t="array" ref="AQ9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5" s="10" t="n"/>
      <c r="AS905" s="10" t="n"/>
      <c r="AT905" s="17">
        <f>tbl_MTG_Set[[#This Row],[Play Booster CardMarket Profit]]/tbl_MTG_Set[[#This Row],[Play Booster Cost]]</f>
        <v/>
      </c>
      <c r="AU905" s="10">
        <f>_xlfn.XLOOKUP(tbl_MTG_Set[[#This Row],[Collector Booster Box Product Id]], tbl_Product[Product Id], tbl_Product[Min Cost])</f>
        <v/>
      </c>
      <c r="AV905" s="10">
        <f>_xlfn.XLOOKUP(tbl_MTG_Set[[#This Row],[Collector Booster Box Product Id]], tbl_Product[Product Id], tbl_Product[Best Source])</f>
        <v/>
      </c>
      <c r="AW905" s="4">
        <f>_xlfn.XLOOKUP(tbl_MTG_Set[[#This Row],[Collector Booster Box Product Id]], tbl_Product[Product Id], tbl_Product[Pack Size])</f>
        <v/>
      </c>
      <c r="AX905" s="10">
        <f>(tbl_MTG_Set[[#This Row],[Collector Booster Box Cost]] + v_Item_Shipping_Cost_In) / tbl_MTG_Set[[#This Row],[Collector Booster Box Size]]</f>
        <v/>
      </c>
      <c r="AY905" s="10">
        <f t="array" ref="AY9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5" s="10" t="n"/>
      <c r="BA9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5" s="17">
        <f>tbl_MTG_Set[[#This Row],[Collector Booster CardMarket Profit]]/tbl_MTG_Set[[#This Row],[Collector Booster Cost]]</f>
        <v/>
      </c>
      <c r="BC905" s="10" t="n"/>
      <c r="BF905" s="10">
        <f>tbl_MTG_Set[[#This Row],[Play Booster Sell Price CardMarket]]*tbl_MTG_Set[[#This Row],[Play Booster Expected Market Value]]/tbl_MTG_Set[[#This Row],[Play Boost Sealed Market Value]]</f>
        <v/>
      </c>
      <c r="BG9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5" s="10">
        <f>tbl_MTG_Set[[#This Row],[Play Singles CardMarket Profit]]/tbl_MTG_Set[[#This Row],[Play Booster Cost]]</f>
        <v/>
      </c>
      <c r="BI905" s="10">
        <f>tbl_MTG_Set[[#This Row],[Play Singles CardMarket Profit]]&gt;0</f>
        <v/>
      </c>
      <c r="BJ905" s="10" t="n"/>
      <c r="BK905" s="10" t="n"/>
      <c r="BL905" s="10">
        <f>tbl_MTG_Set[[#This Row],[Collector Booster Sell Price CardMarket]]*tbl_MTG_Set[[#This Row],[Collector Booster Expected Market Value]]/tbl_MTG_Set[[#This Row],[Collector Boost Sealed Market Value]]</f>
        <v/>
      </c>
      <c r="BM9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5" s="10">
        <f>tbl_MTG_Set[[#This Row],[Collector Singles CardMarket Profit]]/tbl_MTG_Set[[#This Row],[Collector Booster Cost]]</f>
        <v/>
      </c>
      <c r="BO905" s="10">
        <f>tbl_MTG_Set[[#This Row],[Collector Singles CardMarket Profit]]&gt;0</f>
        <v/>
      </c>
      <c r="BP9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6">
      <c r="A906" t="n">
        <v>904</v>
      </c>
      <c r="B906" t="inlineStr">
        <is>
          <t>Friday Night Magic 2003 F03</t>
        </is>
      </c>
      <c r="C906" t="n">
        <v>13</v>
      </c>
      <c r="D906" s="3" t="n">
        <v>37622</v>
      </c>
      <c r="F906" t="inlineStr">
        <is>
          <t>en es fr de it pt ja ko ru 汉语 漢語</t>
        </is>
      </c>
      <c r="G906" t="n">
        <v>1754</v>
      </c>
      <c r="H906">
        <f>MONTH(NOW())+12*YEAR(NOW())-MONTH(tbl_MTG_Set[[#This Row],[Released On]])-12*YEAR(tbl_MTG_Set[[#This Row],[Released On]])</f>
        <v/>
      </c>
      <c r="I906">
        <f>_xlfn.XLOOKUP(tbl_MTG_Set[[#This Row],[Type Name]], tbl_MTG_Set_Type[Set Type], tbl_MTG_Set_Type[Index], "(Set Type not found)")</f>
        <v/>
      </c>
      <c r="J906">
        <f>_xlfn.XLOOKUP(tbl_MTG_Set[[#This Row],[Type Name]], tbl_MTG_Set_Type[Set Type], tbl_MTG_Set_Type[Buy Window Month Start], "(Set Type not found)")</f>
        <v/>
      </c>
      <c r="K906" s="3">
        <f>tbl_MTG_Set[[#This Row],[Released On]]+tbl_MTG_Set[[#This Row],[Buy Window Month Start]]*365.25/12</f>
        <v/>
      </c>
      <c r="L906">
        <f>_xlfn.XLOOKUP(tbl_MTG_Set[[#This Row],[Type Name]], tbl_MTG_Set_Type[Set Type], tbl_MTG_Set_Type[Buy Window Month End], "(Set Type not found)", 0, 1)</f>
        <v/>
      </c>
      <c r="M906" s="3">
        <f>tbl_MTG_Set[[#This Row],[Released On]]+tbl_MTG_Set[[#This Row],[Buy Window Month End]]*365.25/12</f>
        <v/>
      </c>
      <c r="N906" s="3">
        <f>AND(NOW()&gt;=tbl_MTG_Set[[#This Row],[Buy Window Start]], NOW()&lt;=tbl_MTG_Set[[#This Row],[Buy Window End]])</f>
        <v/>
      </c>
      <c r="O906">
        <f>_xlfn.XLOOKUP(tbl_MTG_Set[[#This Row],[Type Name]], tbl_MTG_Set_Type[Set Type], tbl_MTG_Set_Type[Heavy Printing Window Month Start], "(Set Type not found)", 0, 1)</f>
        <v/>
      </c>
      <c r="P906" s="3">
        <f>tbl_MTG_Set[[#This Row],[Released On]]+tbl_MTG_Set[[#This Row],[Heavy Printing Window Month Start]]*365.25/12</f>
        <v/>
      </c>
      <c r="Q906">
        <f>_xlfn.XLOOKUP(tbl_MTG_Set[[#This Row],[Type Name]], tbl_MTG_Set_Type[Set Type], tbl_MTG_Set_Type[Heavy Printing Window Month End], "(Set Type not found)", 0, 1)</f>
        <v/>
      </c>
      <c r="R906" s="3">
        <f>tbl_MTG_Set[[#This Row],[Released On]]+tbl_MTG_Set[[#This Row],[Heavy Printing Window Month End]]*365.25/12</f>
        <v/>
      </c>
      <c r="S906" s="3">
        <f>AND(NOW()&gt;=tbl_MTG_Set[[#This Row],[Heavy Printing Window Start]], NOW()&lt;=tbl_MTG_Set[[#This Row],[Heavy Printing Window End]])</f>
        <v/>
      </c>
      <c r="T906">
        <f>_xlfn.XLOOKUP(tbl_MTG_Set[[#This Row],[Type Name]], tbl_MTG_Set_Type[Set Type], tbl_MTG_Set_Type[Sell Window Month Start], "(Set Type not found)", 0, 1)</f>
        <v/>
      </c>
      <c r="U906" s="3">
        <f>tbl_MTG_Set[[#This Row],[Released On]]+tbl_MTG_Set[[#This Row],[Sell Window Month Start]]*365.25/12</f>
        <v/>
      </c>
      <c r="V906">
        <f>_xlfn.XLOOKUP(tbl_MTG_Set[[#This Row],[Type Name]], tbl_MTG_Set_Type[Set Type], tbl_MTG_Set_Type[Sell Window Month End], "(Set Type not found)", 0, 1)</f>
        <v/>
      </c>
      <c r="W906" s="3">
        <f>tbl_MTG_Set[[#This Row],[Released On]]+tbl_MTG_Set[[#This Row],[Sell Window Month End]]*365.25/12</f>
        <v/>
      </c>
      <c r="X906" s="3">
        <f>AND(NOW()&gt;=tbl_MTG_Set[[#This Row],[Sell Window Start]], NOW()&lt;=tbl_MTG_Set[[#This Row],[Sell Window End]])</f>
        <v/>
      </c>
      <c r="AG906" s="10" t="n"/>
      <c r="AH906" s="10" t="n"/>
      <c r="AM906" s="10">
        <f t="array" ref="AM9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6" s="10">
        <f t="array" ref="AN9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6" s="4">
        <f>_xlfn.XLOOKUP(tbl_MTG_Set[[#This Row],[Play Booster Box Product Id]], tbl_Product[Product Id], tbl_Product[Pack Size])</f>
        <v/>
      </c>
      <c r="AP906" s="10">
        <f>(tbl_MTG_Set[[#This Row],[Play Booster Box Cost]]+v_Item_Shipping_Cost_In)/tbl_MTG_Set[[#This Row],[Play Booster Box Size]]</f>
        <v/>
      </c>
      <c r="AQ906" s="10">
        <f t="array" ref="AQ9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6" s="10" t="n"/>
      <c r="AS906" s="10" t="n"/>
      <c r="AT906" s="17">
        <f>tbl_MTG_Set[[#This Row],[Play Booster CardMarket Profit]]/tbl_MTG_Set[[#This Row],[Play Booster Cost]]</f>
        <v/>
      </c>
      <c r="AU906" s="10">
        <f>_xlfn.XLOOKUP(tbl_MTG_Set[[#This Row],[Collector Booster Box Product Id]], tbl_Product[Product Id], tbl_Product[Min Cost])</f>
        <v/>
      </c>
      <c r="AV906" s="10">
        <f>_xlfn.XLOOKUP(tbl_MTG_Set[[#This Row],[Collector Booster Box Product Id]], tbl_Product[Product Id], tbl_Product[Best Source])</f>
        <v/>
      </c>
      <c r="AW906" s="4">
        <f>_xlfn.XLOOKUP(tbl_MTG_Set[[#This Row],[Collector Booster Box Product Id]], tbl_Product[Product Id], tbl_Product[Pack Size])</f>
        <v/>
      </c>
      <c r="AX906" s="10">
        <f>(tbl_MTG_Set[[#This Row],[Collector Booster Box Cost]] + v_Item_Shipping_Cost_In) / tbl_MTG_Set[[#This Row],[Collector Booster Box Size]]</f>
        <v/>
      </c>
      <c r="AY906" s="10">
        <f t="array" ref="AY9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6" s="10" t="n"/>
      <c r="BA9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6" s="17">
        <f>tbl_MTG_Set[[#This Row],[Collector Booster CardMarket Profit]]/tbl_MTG_Set[[#This Row],[Collector Booster Cost]]</f>
        <v/>
      </c>
      <c r="BC906" s="10" t="n"/>
      <c r="BF906" s="10">
        <f>tbl_MTG_Set[[#This Row],[Play Booster Sell Price CardMarket]]*tbl_MTG_Set[[#This Row],[Play Booster Expected Market Value]]/tbl_MTG_Set[[#This Row],[Play Boost Sealed Market Value]]</f>
        <v/>
      </c>
      <c r="BG9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6" s="10">
        <f>tbl_MTG_Set[[#This Row],[Play Singles CardMarket Profit]]/tbl_MTG_Set[[#This Row],[Play Booster Cost]]</f>
        <v/>
      </c>
      <c r="BI906" s="10">
        <f>tbl_MTG_Set[[#This Row],[Play Singles CardMarket Profit]]&gt;0</f>
        <v/>
      </c>
      <c r="BJ906" s="10" t="n"/>
      <c r="BK906" s="10" t="n"/>
      <c r="BL906" s="10">
        <f>tbl_MTG_Set[[#This Row],[Collector Booster Sell Price CardMarket]]*tbl_MTG_Set[[#This Row],[Collector Booster Expected Market Value]]/tbl_MTG_Set[[#This Row],[Collector Boost Sealed Market Value]]</f>
        <v/>
      </c>
      <c r="BM9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6" s="10">
        <f>tbl_MTG_Set[[#This Row],[Collector Singles CardMarket Profit]]/tbl_MTG_Set[[#This Row],[Collector Booster Cost]]</f>
        <v/>
      </c>
      <c r="BO906" s="10">
        <f>tbl_MTG_Set[[#This Row],[Collector Singles CardMarket Profit]]&gt;0</f>
        <v/>
      </c>
      <c r="BP9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7">
      <c r="A907" t="n">
        <v>905</v>
      </c>
      <c r="B907" t="inlineStr">
        <is>
          <t>Vintage Championship OVNT</t>
        </is>
      </c>
      <c r="C907" t="n">
        <v>35</v>
      </c>
      <c r="D907" s="3" t="n">
        <v>37622</v>
      </c>
      <c r="F907" t="inlineStr">
        <is>
          <t>en es fr de it pt ja ko ru 汉语 漢語</t>
        </is>
      </c>
      <c r="G907" t="n">
        <v>1756</v>
      </c>
      <c r="H907">
        <f>MONTH(NOW())+12*YEAR(NOW())-MONTH(tbl_MTG_Set[[#This Row],[Released On]])-12*YEAR(tbl_MTG_Set[[#This Row],[Released On]])</f>
        <v/>
      </c>
      <c r="I907">
        <f>_xlfn.XLOOKUP(tbl_MTG_Set[[#This Row],[Type Name]], tbl_MTG_Set_Type[Set Type], tbl_MTG_Set_Type[Index], "(Set Type not found)")</f>
        <v/>
      </c>
      <c r="J907">
        <f>_xlfn.XLOOKUP(tbl_MTG_Set[[#This Row],[Type Name]], tbl_MTG_Set_Type[Set Type], tbl_MTG_Set_Type[Buy Window Month Start], "(Set Type not found)")</f>
        <v/>
      </c>
      <c r="K907" s="3">
        <f>tbl_MTG_Set[[#This Row],[Released On]]+tbl_MTG_Set[[#This Row],[Buy Window Month Start]]*365.25/12</f>
        <v/>
      </c>
      <c r="L907">
        <f>_xlfn.XLOOKUP(tbl_MTG_Set[[#This Row],[Type Name]], tbl_MTG_Set_Type[Set Type], tbl_MTG_Set_Type[Buy Window Month End], "(Set Type not found)", 0, 1)</f>
        <v/>
      </c>
      <c r="M907" s="3">
        <f>tbl_MTG_Set[[#This Row],[Released On]]+tbl_MTG_Set[[#This Row],[Buy Window Month End]]*365.25/12</f>
        <v/>
      </c>
      <c r="N907" s="3">
        <f>AND(NOW()&gt;=tbl_MTG_Set[[#This Row],[Buy Window Start]], NOW()&lt;=tbl_MTG_Set[[#This Row],[Buy Window End]])</f>
        <v/>
      </c>
      <c r="O907">
        <f>_xlfn.XLOOKUP(tbl_MTG_Set[[#This Row],[Type Name]], tbl_MTG_Set_Type[Set Type], tbl_MTG_Set_Type[Heavy Printing Window Month Start], "(Set Type not found)", 0, 1)</f>
        <v/>
      </c>
      <c r="P907" s="3">
        <f>tbl_MTG_Set[[#This Row],[Released On]]+tbl_MTG_Set[[#This Row],[Heavy Printing Window Month Start]]*365.25/12</f>
        <v/>
      </c>
      <c r="Q907">
        <f>_xlfn.XLOOKUP(tbl_MTG_Set[[#This Row],[Type Name]], tbl_MTG_Set_Type[Set Type], tbl_MTG_Set_Type[Heavy Printing Window Month End], "(Set Type not found)", 0, 1)</f>
        <v/>
      </c>
      <c r="R907" s="3">
        <f>tbl_MTG_Set[[#This Row],[Released On]]+tbl_MTG_Set[[#This Row],[Heavy Printing Window Month End]]*365.25/12</f>
        <v/>
      </c>
      <c r="S907" s="3">
        <f>AND(NOW()&gt;=tbl_MTG_Set[[#This Row],[Heavy Printing Window Start]], NOW()&lt;=tbl_MTG_Set[[#This Row],[Heavy Printing Window End]])</f>
        <v/>
      </c>
      <c r="T907">
        <f>_xlfn.XLOOKUP(tbl_MTG_Set[[#This Row],[Type Name]], tbl_MTG_Set_Type[Set Type], tbl_MTG_Set_Type[Sell Window Month Start], "(Set Type not found)", 0, 1)</f>
        <v/>
      </c>
      <c r="U907" s="3">
        <f>tbl_MTG_Set[[#This Row],[Released On]]+tbl_MTG_Set[[#This Row],[Sell Window Month Start]]*365.25/12</f>
        <v/>
      </c>
      <c r="V907">
        <f>_xlfn.XLOOKUP(tbl_MTG_Set[[#This Row],[Type Name]], tbl_MTG_Set_Type[Set Type], tbl_MTG_Set_Type[Sell Window Month End], "(Set Type not found)", 0, 1)</f>
        <v/>
      </c>
      <c r="W907" s="3">
        <f>tbl_MTG_Set[[#This Row],[Released On]]+tbl_MTG_Set[[#This Row],[Sell Window Month End]]*365.25/12</f>
        <v/>
      </c>
      <c r="X907" s="3">
        <f>AND(NOW()&gt;=tbl_MTG_Set[[#This Row],[Sell Window Start]], NOW()&lt;=tbl_MTG_Set[[#This Row],[Sell Window End]])</f>
        <v/>
      </c>
      <c r="AG907" s="10" t="n"/>
      <c r="AH907" s="10" t="n"/>
      <c r="AM907" s="10">
        <f t="array" ref="AM9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7" s="10">
        <f t="array" ref="AN9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7" s="4">
        <f>_xlfn.XLOOKUP(tbl_MTG_Set[[#This Row],[Play Booster Box Product Id]], tbl_Product[Product Id], tbl_Product[Pack Size])</f>
        <v/>
      </c>
      <c r="AP907" s="10">
        <f>(tbl_MTG_Set[[#This Row],[Play Booster Box Cost]]+v_Item_Shipping_Cost_In)/tbl_MTG_Set[[#This Row],[Play Booster Box Size]]</f>
        <v/>
      </c>
      <c r="AQ907" s="10">
        <f t="array" ref="AQ9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7" s="10" t="n"/>
      <c r="AS907" s="10" t="n"/>
      <c r="AT907" s="17">
        <f>tbl_MTG_Set[[#This Row],[Play Booster CardMarket Profit]]/tbl_MTG_Set[[#This Row],[Play Booster Cost]]</f>
        <v/>
      </c>
      <c r="AU907" s="10">
        <f>_xlfn.XLOOKUP(tbl_MTG_Set[[#This Row],[Collector Booster Box Product Id]], tbl_Product[Product Id], tbl_Product[Min Cost])</f>
        <v/>
      </c>
      <c r="AV907" s="10">
        <f>_xlfn.XLOOKUP(tbl_MTG_Set[[#This Row],[Collector Booster Box Product Id]], tbl_Product[Product Id], tbl_Product[Best Source])</f>
        <v/>
      </c>
      <c r="AW907" s="4">
        <f>_xlfn.XLOOKUP(tbl_MTG_Set[[#This Row],[Collector Booster Box Product Id]], tbl_Product[Product Id], tbl_Product[Pack Size])</f>
        <v/>
      </c>
      <c r="AX907" s="10">
        <f>(tbl_MTG_Set[[#This Row],[Collector Booster Box Cost]] + v_Item_Shipping_Cost_In) / tbl_MTG_Set[[#This Row],[Collector Booster Box Size]]</f>
        <v/>
      </c>
      <c r="AY907" s="10">
        <f t="array" ref="AY9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7" s="10" t="n"/>
      <c r="BA9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7" s="17">
        <f>tbl_MTG_Set[[#This Row],[Collector Booster CardMarket Profit]]/tbl_MTG_Set[[#This Row],[Collector Booster Cost]]</f>
        <v/>
      </c>
      <c r="BC907" s="10" t="n"/>
      <c r="BF907" s="10">
        <f>tbl_MTG_Set[[#This Row],[Play Booster Sell Price CardMarket]]*tbl_MTG_Set[[#This Row],[Play Booster Expected Market Value]]/tbl_MTG_Set[[#This Row],[Play Boost Sealed Market Value]]</f>
        <v/>
      </c>
      <c r="BG9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7" s="10">
        <f>tbl_MTG_Set[[#This Row],[Play Singles CardMarket Profit]]/tbl_MTG_Set[[#This Row],[Play Booster Cost]]</f>
        <v/>
      </c>
      <c r="BI907" s="10">
        <f>tbl_MTG_Set[[#This Row],[Play Singles CardMarket Profit]]&gt;0</f>
        <v/>
      </c>
      <c r="BJ907" s="10" t="n"/>
      <c r="BK907" s="10" t="n"/>
      <c r="BL907" s="10">
        <f>tbl_MTG_Set[[#This Row],[Collector Booster Sell Price CardMarket]]*tbl_MTG_Set[[#This Row],[Collector Booster Expected Market Value]]/tbl_MTG_Set[[#This Row],[Collector Boost Sealed Market Value]]</f>
        <v/>
      </c>
      <c r="BM9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7" s="10">
        <f>tbl_MTG_Set[[#This Row],[Collector Singles CardMarket Profit]]/tbl_MTG_Set[[#This Row],[Collector Booster Cost]]</f>
        <v/>
      </c>
      <c r="BO907" s="10">
        <f>tbl_MTG_Set[[#This Row],[Collector Singles CardMarket Profit]]&gt;0</f>
        <v/>
      </c>
      <c r="BP9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8">
      <c r="A908" t="n">
        <v>906</v>
      </c>
      <c r="B908" t="inlineStr">
        <is>
          <t>World Championship Decks 2002 WC02</t>
        </is>
      </c>
      <c r="C908" t="n">
        <v>153</v>
      </c>
      <c r="D908" s="3" t="n">
        <v>37591</v>
      </c>
      <c r="F908" t="inlineStr">
        <is>
          <t>en es fr de it pt ja ko ru 汉语 漢語</t>
        </is>
      </c>
      <c r="G908" t="n">
        <v>1758</v>
      </c>
      <c r="H908">
        <f>MONTH(NOW())+12*YEAR(NOW())-MONTH(tbl_MTG_Set[[#This Row],[Released On]])-12*YEAR(tbl_MTG_Set[[#This Row],[Released On]])</f>
        <v/>
      </c>
      <c r="I908">
        <f>_xlfn.XLOOKUP(tbl_MTG_Set[[#This Row],[Type Name]], tbl_MTG_Set_Type[Set Type], tbl_MTG_Set_Type[Index], "(Set Type not found)")</f>
        <v/>
      </c>
      <c r="J908">
        <f>_xlfn.XLOOKUP(tbl_MTG_Set[[#This Row],[Type Name]], tbl_MTG_Set_Type[Set Type], tbl_MTG_Set_Type[Buy Window Month Start], "(Set Type not found)")</f>
        <v/>
      </c>
      <c r="K908" s="3">
        <f>tbl_MTG_Set[[#This Row],[Released On]]+tbl_MTG_Set[[#This Row],[Buy Window Month Start]]*365.25/12</f>
        <v/>
      </c>
      <c r="L908">
        <f>_xlfn.XLOOKUP(tbl_MTG_Set[[#This Row],[Type Name]], tbl_MTG_Set_Type[Set Type], tbl_MTG_Set_Type[Buy Window Month End], "(Set Type not found)", 0, 1)</f>
        <v/>
      </c>
      <c r="M908" s="3">
        <f>tbl_MTG_Set[[#This Row],[Released On]]+tbl_MTG_Set[[#This Row],[Buy Window Month End]]*365.25/12</f>
        <v/>
      </c>
      <c r="N908" s="3">
        <f>AND(NOW()&gt;=tbl_MTG_Set[[#This Row],[Buy Window Start]], NOW()&lt;=tbl_MTG_Set[[#This Row],[Buy Window End]])</f>
        <v/>
      </c>
      <c r="O908">
        <f>_xlfn.XLOOKUP(tbl_MTG_Set[[#This Row],[Type Name]], tbl_MTG_Set_Type[Set Type], tbl_MTG_Set_Type[Heavy Printing Window Month Start], "(Set Type not found)", 0, 1)</f>
        <v/>
      </c>
      <c r="P908" s="3">
        <f>tbl_MTG_Set[[#This Row],[Released On]]+tbl_MTG_Set[[#This Row],[Heavy Printing Window Month Start]]*365.25/12</f>
        <v/>
      </c>
      <c r="Q908">
        <f>_xlfn.XLOOKUP(tbl_MTG_Set[[#This Row],[Type Name]], tbl_MTG_Set_Type[Set Type], tbl_MTG_Set_Type[Heavy Printing Window Month End], "(Set Type not found)", 0, 1)</f>
        <v/>
      </c>
      <c r="R908" s="3">
        <f>tbl_MTG_Set[[#This Row],[Released On]]+tbl_MTG_Set[[#This Row],[Heavy Printing Window Month End]]*365.25/12</f>
        <v/>
      </c>
      <c r="S908" s="3">
        <f>AND(NOW()&gt;=tbl_MTG_Set[[#This Row],[Heavy Printing Window Start]], NOW()&lt;=tbl_MTG_Set[[#This Row],[Heavy Printing Window End]])</f>
        <v/>
      </c>
      <c r="T908">
        <f>_xlfn.XLOOKUP(tbl_MTG_Set[[#This Row],[Type Name]], tbl_MTG_Set_Type[Set Type], tbl_MTG_Set_Type[Sell Window Month Start], "(Set Type not found)", 0, 1)</f>
        <v/>
      </c>
      <c r="U908" s="3">
        <f>tbl_MTG_Set[[#This Row],[Released On]]+tbl_MTG_Set[[#This Row],[Sell Window Month Start]]*365.25/12</f>
        <v/>
      </c>
      <c r="V908">
        <f>_xlfn.XLOOKUP(tbl_MTG_Set[[#This Row],[Type Name]], tbl_MTG_Set_Type[Set Type], tbl_MTG_Set_Type[Sell Window Month End], "(Set Type not found)", 0, 1)</f>
        <v/>
      </c>
      <c r="W908" s="3">
        <f>tbl_MTG_Set[[#This Row],[Released On]]+tbl_MTG_Set[[#This Row],[Sell Window Month End]]*365.25/12</f>
        <v/>
      </c>
      <c r="X908" s="3">
        <f>AND(NOW()&gt;=tbl_MTG_Set[[#This Row],[Sell Window Start]], NOW()&lt;=tbl_MTG_Set[[#This Row],[Sell Window End]])</f>
        <v/>
      </c>
      <c r="AG908" s="10" t="n"/>
      <c r="AH908" s="10" t="n"/>
      <c r="AM908" s="10">
        <f t="array" ref="AM9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8" s="10">
        <f t="array" ref="AN9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8" s="4">
        <f>_xlfn.XLOOKUP(tbl_MTG_Set[[#This Row],[Play Booster Box Product Id]], tbl_Product[Product Id], tbl_Product[Pack Size])</f>
        <v/>
      </c>
      <c r="AP908" s="10">
        <f>(tbl_MTG_Set[[#This Row],[Play Booster Box Cost]]+v_Item_Shipping_Cost_In)/tbl_MTG_Set[[#This Row],[Play Booster Box Size]]</f>
        <v/>
      </c>
      <c r="AQ908" s="10">
        <f t="array" ref="AQ9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8" s="10" t="n"/>
      <c r="AS908" s="10" t="n"/>
      <c r="AT908" s="17">
        <f>tbl_MTG_Set[[#This Row],[Play Booster CardMarket Profit]]/tbl_MTG_Set[[#This Row],[Play Booster Cost]]</f>
        <v/>
      </c>
      <c r="AU908" s="10">
        <f>_xlfn.XLOOKUP(tbl_MTG_Set[[#This Row],[Collector Booster Box Product Id]], tbl_Product[Product Id], tbl_Product[Min Cost])</f>
        <v/>
      </c>
      <c r="AV908" s="10">
        <f>_xlfn.XLOOKUP(tbl_MTG_Set[[#This Row],[Collector Booster Box Product Id]], tbl_Product[Product Id], tbl_Product[Best Source])</f>
        <v/>
      </c>
      <c r="AW908" s="4">
        <f>_xlfn.XLOOKUP(tbl_MTG_Set[[#This Row],[Collector Booster Box Product Id]], tbl_Product[Product Id], tbl_Product[Pack Size])</f>
        <v/>
      </c>
      <c r="AX908" s="10">
        <f>(tbl_MTG_Set[[#This Row],[Collector Booster Box Cost]] + v_Item_Shipping_Cost_In) / tbl_MTG_Set[[#This Row],[Collector Booster Box Size]]</f>
        <v/>
      </c>
      <c r="AY908" s="10">
        <f t="array" ref="AY9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8" s="10" t="n"/>
      <c r="BA9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8" s="17">
        <f>tbl_MTG_Set[[#This Row],[Collector Booster CardMarket Profit]]/tbl_MTG_Set[[#This Row],[Collector Booster Cost]]</f>
        <v/>
      </c>
      <c r="BC908" s="10" t="n"/>
      <c r="BF908" s="10">
        <f>tbl_MTG_Set[[#This Row],[Play Booster Sell Price CardMarket]]*tbl_MTG_Set[[#This Row],[Play Booster Expected Market Value]]/tbl_MTG_Set[[#This Row],[Play Boost Sealed Market Value]]</f>
        <v/>
      </c>
      <c r="BG9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8" s="10">
        <f>tbl_MTG_Set[[#This Row],[Play Singles CardMarket Profit]]/tbl_MTG_Set[[#This Row],[Play Booster Cost]]</f>
        <v/>
      </c>
      <c r="BI908" s="10">
        <f>tbl_MTG_Set[[#This Row],[Play Singles CardMarket Profit]]&gt;0</f>
        <v/>
      </c>
      <c r="BJ908" s="10" t="n"/>
      <c r="BK908" s="10" t="n"/>
      <c r="BL908" s="10">
        <f>tbl_MTG_Set[[#This Row],[Collector Booster Sell Price CardMarket]]*tbl_MTG_Set[[#This Row],[Collector Booster Expected Market Value]]/tbl_MTG_Set[[#This Row],[Collector Boost Sealed Market Value]]</f>
        <v/>
      </c>
      <c r="BM9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8" s="10">
        <f>tbl_MTG_Set[[#This Row],[Collector Singles CardMarket Profit]]/tbl_MTG_Set[[#This Row],[Collector Booster Cost]]</f>
        <v/>
      </c>
      <c r="BO908" s="10">
        <f>tbl_MTG_Set[[#This Row],[Collector Singles CardMarket Profit]]&gt;0</f>
        <v/>
      </c>
      <c r="BP9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9">
      <c r="A909" t="n">
        <v>907</v>
      </c>
      <c r="B909" t="inlineStr">
        <is>
          <t>Onslaught ONS</t>
        </is>
      </c>
      <c r="C909" t="n">
        <v>351</v>
      </c>
      <c r="D909" s="3" t="n">
        <v>37536</v>
      </c>
      <c r="F909" t="inlineStr">
        <is>
          <t>en es fr de it pt ja ko ru 汉语 漢語</t>
        </is>
      </c>
      <c r="G909" t="n">
        <v>1760</v>
      </c>
      <c r="H909">
        <f>MONTH(NOW())+12*YEAR(NOW())-MONTH(tbl_MTG_Set[[#This Row],[Released On]])-12*YEAR(tbl_MTG_Set[[#This Row],[Released On]])</f>
        <v/>
      </c>
      <c r="I909">
        <f>_xlfn.XLOOKUP(tbl_MTG_Set[[#This Row],[Type Name]], tbl_MTG_Set_Type[Set Type], tbl_MTG_Set_Type[Index], "(Set Type not found)")</f>
        <v/>
      </c>
      <c r="J909">
        <f>_xlfn.XLOOKUP(tbl_MTG_Set[[#This Row],[Type Name]], tbl_MTG_Set_Type[Set Type], tbl_MTG_Set_Type[Buy Window Month Start], "(Set Type not found)")</f>
        <v/>
      </c>
      <c r="K909" s="3">
        <f>tbl_MTG_Set[[#This Row],[Released On]]+tbl_MTG_Set[[#This Row],[Buy Window Month Start]]*365.25/12</f>
        <v/>
      </c>
      <c r="L909">
        <f>_xlfn.XLOOKUP(tbl_MTG_Set[[#This Row],[Type Name]], tbl_MTG_Set_Type[Set Type], tbl_MTG_Set_Type[Buy Window Month End], "(Set Type not found)", 0, 1)</f>
        <v/>
      </c>
      <c r="M909" s="3">
        <f>tbl_MTG_Set[[#This Row],[Released On]]+tbl_MTG_Set[[#This Row],[Buy Window Month End]]*365.25/12</f>
        <v/>
      </c>
      <c r="N909" s="3">
        <f>AND(NOW()&gt;=tbl_MTG_Set[[#This Row],[Buy Window Start]], NOW()&lt;=tbl_MTG_Set[[#This Row],[Buy Window End]])</f>
        <v/>
      </c>
      <c r="O909">
        <f>_xlfn.XLOOKUP(tbl_MTG_Set[[#This Row],[Type Name]], tbl_MTG_Set_Type[Set Type], tbl_MTG_Set_Type[Heavy Printing Window Month Start], "(Set Type not found)", 0, 1)</f>
        <v/>
      </c>
      <c r="P909" s="3">
        <f>tbl_MTG_Set[[#This Row],[Released On]]+tbl_MTG_Set[[#This Row],[Heavy Printing Window Month Start]]*365.25/12</f>
        <v/>
      </c>
      <c r="Q909">
        <f>_xlfn.XLOOKUP(tbl_MTG_Set[[#This Row],[Type Name]], tbl_MTG_Set_Type[Set Type], tbl_MTG_Set_Type[Heavy Printing Window Month End], "(Set Type not found)", 0, 1)</f>
        <v/>
      </c>
      <c r="R909" s="3">
        <f>tbl_MTG_Set[[#This Row],[Released On]]+tbl_MTG_Set[[#This Row],[Heavy Printing Window Month End]]*365.25/12</f>
        <v/>
      </c>
      <c r="S909" s="3">
        <f>AND(NOW()&gt;=tbl_MTG_Set[[#This Row],[Heavy Printing Window Start]], NOW()&lt;=tbl_MTG_Set[[#This Row],[Heavy Printing Window End]])</f>
        <v/>
      </c>
      <c r="T909">
        <f>_xlfn.XLOOKUP(tbl_MTG_Set[[#This Row],[Type Name]], tbl_MTG_Set_Type[Set Type], tbl_MTG_Set_Type[Sell Window Month Start], "(Set Type not found)", 0, 1)</f>
        <v/>
      </c>
      <c r="U909" s="3">
        <f>tbl_MTG_Set[[#This Row],[Released On]]+tbl_MTG_Set[[#This Row],[Sell Window Month Start]]*365.25/12</f>
        <v/>
      </c>
      <c r="V909">
        <f>_xlfn.XLOOKUP(tbl_MTG_Set[[#This Row],[Type Name]], tbl_MTG_Set_Type[Set Type], tbl_MTG_Set_Type[Sell Window Month End], "(Set Type not found)", 0, 1)</f>
        <v/>
      </c>
      <c r="W909" s="3">
        <f>tbl_MTG_Set[[#This Row],[Released On]]+tbl_MTG_Set[[#This Row],[Sell Window Month End]]*365.25/12</f>
        <v/>
      </c>
      <c r="X909" s="3">
        <f>AND(NOW()&gt;=tbl_MTG_Set[[#This Row],[Sell Window Start]], NOW()&lt;=tbl_MTG_Set[[#This Row],[Sell Window End]])</f>
        <v/>
      </c>
      <c r="AG909" s="10" t="n"/>
      <c r="AH909" s="10" t="n"/>
      <c r="AM909" s="10">
        <f t="array" ref="AM9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9" s="10">
        <f t="array" ref="AN9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9" s="4">
        <f>_xlfn.XLOOKUP(tbl_MTG_Set[[#This Row],[Play Booster Box Product Id]], tbl_Product[Product Id], tbl_Product[Pack Size])</f>
        <v/>
      </c>
      <c r="AP909" s="10">
        <f>(tbl_MTG_Set[[#This Row],[Play Booster Box Cost]]+v_Item_Shipping_Cost_In)/tbl_MTG_Set[[#This Row],[Play Booster Box Size]]</f>
        <v/>
      </c>
      <c r="AQ909" s="10">
        <f t="array" ref="AQ9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09" s="10" t="n"/>
      <c r="AS909" s="10" t="n"/>
      <c r="AT909" s="17">
        <f>tbl_MTG_Set[[#This Row],[Play Booster CardMarket Profit]]/tbl_MTG_Set[[#This Row],[Play Booster Cost]]</f>
        <v/>
      </c>
      <c r="AU909" s="10">
        <f>_xlfn.XLOOKUP(tbl_MTG_Set[[#This Row],[Collector Booster Box Product Id]], tbl_Product[Product Id], tbl_Product[Min Cost])</f>
        <v/>
      </c>
      <c r="AV909" s="10">
        <f>_xlfn.XLOOKUP(tbl_MTG_Set[[#This Row],[Collector Booster Box Product Id]], tbl_Product[Product Id], tbl_Product[Best Source])</f>
        <v/>
      </c>
      <c r="AW909" s="4">
        <f>_xlfn.XLOOKUP(tbl_MTG_Set[[#This Row],[Collector Booster Box Product Id]], tbl_Product[Product Id], tbl_Product[Pack Size])</f>
        <v/>
      </c>
      <c r="AX909" s="10">
        <f>(tbl_MTG_Set[[#This Row],[Collector Booster Box Cost]] + v_Item_Shipping_Cost_In) / tbl_MTG_Set[[#This Row],[Collector Booster Box Size]]</f>
        <v/>
      </c>
      <c r="AY909" s="10">
        <f t="array" ref="AY9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09" s="10" t="n"/>
      <c r="BA9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9" s="17">
        <f>tbl_MTG_Set[[#This Row],[Collector Booster CardMarket Profit]]/tbl_MTG_Set[[#This Row],[Collector Booster Cost]]</f>
        <v/>
      </c>
      <c r="BC909" s="10" t="n"/>
      <c r="BF909" s="10">
        <f>tbl_MTG_Set[[#This Row],[Play Booster Sell Price CardMarket]]*tbl_MTG_Set[[#This Row],[Play Booster Expected Market Value]]/tbl_MTG_Set[[#This Row],[Play Boost Sealed Market Value]]</f>
        <v/>
      </c>
      <c r="BG9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9" s="10">
        <f>tbl_MTG_Set[[#This Row],[Play Singles CardMarket Profit]]/tbl_MTG_Set[[#This Row],[Play Booster Cost]]</f>
        <v/>
      </c>
      <c r="BI909" s="10">
        <f>tbl_MTG_Set[[#This Row],[Play Singles CardMarket Profit]]&gt;0</f>
        <v/>
      </c>
      <c r="BJ909" s="10" t="n"/>
      <c r="BK909" s="10" t="n"/>
      <c r="BL909" s="10">
        <f>tbl_MTG_Set[[#This Row],[Collector Booster Sell Price CardMarket]]*tbl_MTG_Set[[#This Row],[Collector Booster Expected Market Value]]/tbl_MTG_Set[[#This Row],[Collector Boost Sealed Market Value]]</f>
        <v/>
      </c>
      <c r="BM9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9" s="10">
        <f>tbl_MTG_Set[[#This Row],[Collector Singles CardMarket Profit]]/tbl_MTG_Set[[#This Row],[Collector Booster Cost]]</f>
        <v/>
      </c>
      <c r="BO909" s="10">
        <f>tbl_MTG_Set[[#This Row],[Collector Singles CardMarket Profit]]&gt;0</f>
        <v/>
      </c>
      <c r="BP9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0">
      <c r="A910" t="n">
        <v>908</v>
      </c>
      <c r="B910" t="inlineStr">
        <is>
          <t>Onslaught Promos PONS</t>
        </is>
      </c>
      <c r="C910" t="n">
        <v>1</v>
      </c>
      <c r="D910" s="3" t="n">
        <v>37527</v>
      </c>
      <c r="F910" t="inlineStr">
        <is>
          <t>en es fr de it pt ja ko ru 汉语 漢語</t>
        </is>
      </c>
      <c r="G910" t="n">
        <v>1762</v>
      </c>
      <c r="H910">
        <f>MONTH(NOW())+12*YEAR(NOW())-MONTH(tbl_MTG_Set[[#This Row],[Released On]])-12*YEAR(tbl_MTG_Set[[#This Row],[Released On]])</f>
        <v/>
      </c>
      <c r="I910">
        <f>_xlfn.XLOOKUP(tbl_MTG_Set[[#This Row],[Type Name]], tbl_MTG_Set_Type[Set Type], tbl_MTG_Set_Type[Index], "(Set Type not found)")</f>
        <v/>
      </c>
      <c r="J910">
        <f>_xlfn.XLOOKUP(tbl_MTG_Set[[#This Row],[Type Name]], tbl_MTG_Set_Type[Set Type], tbl_MTG_Set_Type[Buy Window Month Start], "(Set Type not found)")</f>
        <v/>
      </c>
      <c r="K910" s="3">
        <f>tbl_MTG_Set[[#This Row],[Released On]]+tbl_MTG_Set[[#This Row],[Buy Window Month Start]]*365.25/12</f>
        <v/>
      </c>
      <c r="L910">
        <f>_xlfn.XLOOKUP(tbl_MTG_Set[[#This Row],[Type Name]], tbl_MTG_Set_Type[Set Type], tbl_MTG_Set_Type[Buy Window Month End], "(Set Type not found)", 0, 1)</f>
        <v/>
      </c>
      <c r="M910" s="3">
        <f>tbl_MTG_Set[[#This Row],[Released On]]+tbl_MTG_Set[[#This Row],[Buy Window Month End]]*365.25/12</f>
        <v/>
      </c>
      <c r="N910" s="3">
        <f>AND(NOW()&gt;=tbl_MTG_Set[[#This Row],[Buy Window Start]], NOW()&lt;=tbl_MTG_Set[[#This Row],[Buy Window End]])</f>
        <v/>
      </c>
      <c r="O910">
        <f>_xlfn.XLOOKUP(tbl_MTG_Set[[#This Row],[Type Name]], tbl_MTG_Set_Type[Set Type], tbl_MTG_Set_Type[Heavy Printing Window Month Start], "(Set Type not found)", 0, 1)</f>
        <v/>
      </c>
      <c r="P910" s="3">
        <f>tbl_MTG_Set[[#This Row],[Released On]]+tbl_MTG_Set[[#This Row],[Heavy Printing Window Month Start]]*365.25/12</f>
        <v/>
      </c>
      <c r="Q910">
        <f>_xlfn.XLOOKUP(tbl_MTG_Set[[#This Row],[Type Name]], tbl_MTG_Set_Type[Set Type], tbl_MTG_Set_Type[Heavy Printing Window Month End], "(Set Type not found)", 0, 1)</f>
        <v/>
      </c>
      <c r="R910" s="3">
        <f>tbl_MTG_Set[[#This Row],[Released On]]+tbl_MTG_Set[[#This Row],[Heavy Printing Window Month End]]*365.25/12</f>
        <v/>
      </c>
      <c r="S910" s="3">
        <f>AND(NOW()&gt;=tbl_MTG_Set[[#This Row],[Heavy Printing Window Start]], NOW()&lt;=tbl_MTG_Set[[#This Row],[Heavy Printing Window End]])</f>
        <v/>
      </c>
      <c r="T910">
        <f>_xlfn.XLOOKUP(tbl_MTG_Set[[#This Row],[Type Name]], tbl_MTG_Set_Type[Set Type], tbl_MTG_Set_Type[Sell Window Month Start], "(Set Type not found)", 0, 1)</f>
        <v/>
      </c>
      <c r="U910" s="3">
        <f>tbl_MTG_Set[[#This Row],[Released On]]+tbl_MTG_Set[[#This Row],[Sell Window Month Start]]*365.25/12</f>
        <v/>
      </c>
      <c r="V910">
        <f>_xlfn.XLOOKUP(tbl_MTG_Set[[#This Row],[Type Name]], tbl_MTG_Set_Type[Set Type], tbl_MTG_Set_Type[Sell Window Month End], "(Set Type not found)", 0, 1)</f>
        <v/>
      </c>
      <c r="W910" s="3">
        <f>tbl_MTG_Set[[#This Row],[Released On]]+tbl_MTG_Set[[#This Row],[Sell Window Month End]]*365.25/12</f>
        <v/>
      </c>
      <c r="X910" s="3">
        <f>AND(NOW()&gt;=tbl_MTG_Set[[#This Row],[Sell Window Start]], NOW()&lt;=tbl_MTG_Set[[#This Row],[Sell Window End]])</f>
        <v/>
      </c>
      <c r="AG910" s="10" t="n"/>
      <c r="AH910" s="10" t="n"/>
      <c r="AM910" s="10">
        <f t="array" ref="AM9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0" s="10">
        <f t="array" ref="AN9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0" s="4">
        <f>_xlfn.XLOOKUP(tbl_MTG_Set[[#This Row],[Play Booster Box Product Id]], tbl_Product[Product Id], tbl_Product[Pack Size])</f>
        <v/>
      </c>
      <c r="AP910" s="10">
        <f>(tbl_MTG_Set[[#This Row],[Play Booster Box Cost]]+v_Item_Shipping_Cost_In)/tbl_MTG_Set[[#This Row],[Play Booster Box Size]]</f>
        <v/>
      </c>
      <c r="AQ910" s="10">
        <f t="array" ref="AQ9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0" s="10" t="n"/>
      <c r="AS910" s="10" t="n"/>
      <c r="AT910" s="17">
        <f>tbl_MTG_Set[[#This Row],[Play Booster CardMarket Profit]]/tbl_MTG_Set[[#This Row],[Play Booster Cost]]</f>
        <v/>
      </c>
      <c r="AU910" s="10">
        <f>_xlfn.XLOOKUP(tbl_MTG_Set[[#This Row],[Collector Booster Box Product Id]], tbl_Product[Product Id], tbl_Product[Min Cost])</f>
        <v/>
      </c>
      <c r="AV910" s="10">
        <f>_xlfn.XLOOKUP(tbl_MTG_Set[[#This Row],[Collector Booster Box Product Id]], tbl_Product[Product Id], tbl_Product[Best Source])</f>
        <v/>
      </c>
      <c r="AW910" s="4">
        <f>_xlfn.XLOOKUP(tbl_MTG_Set[[#This Row],[Collector Booster Box Product Id]], tbl_Product[Product Id], tbl_Product[Pack Size])</f>
        <v/>
      </c>
      <c r="AX910" s="10">
        <f>(tbl_MTG_Set[[#This Row],[Collector Booster Box Cost]] + v_Item_Shipping_Cost_In) / tbl_MTG_Set[[#This Row],[Collector Booster Box Size]]</f>
        <v/>
      </c>
      <c r="AY910" s="10">
        <f t="array" ref="AY9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0" s="10" t="n"/>
      <c r="BA9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0" s="17">
        <f>tbl_MTG_Set[[#This Row],[Collector Booster CardMarket Profit]]/tbl_MTG_Set[[#This Row],[Collector Booster Cost]]</f>
        <v/>
      </c>
      <c r="BC910" s="10" t="n"/>
      <c r="BF910" s="10">
        <f>tbl_MTG_Set[[#This Row],[Play Booster Sell Price CardMarket]]*tbl_MTG_Set[[#This Row],[Play Booster Expected Market Value]]/tbl_MTG_Set[[#This Row],[Play Boost Sealed Market Value]]</f>
        <v/>
      </c>
      <c r="BG9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0" s="10">
        <f>tbl_MTG_Set[[#This Row],[Play Singles CardMarket Profit]]/tbl_MTG_Set[[#This Row],[Play Booster Cost]]</f>
        <v/>
      </c>
      <c r="BI910" s="10">
        <f>tbl_MTG_Set[[#This Row],[Play Singles CardMarket Profit]]&gt;0</f>
        <v/>
      </c>
      <c r="BJ910" s="10" t="n"/>
      <c r="BK910" s="10" t="n"/>
      <c r="BL910" s="10">
        <f>tbl_MTG_Set[[#This Row],[Collector Booster Sell Price CardMarket]]*tbl_MTG_Set[[#This Row],[Collector Booster Expected Market Value]]/tbl_MTG_Set[[#This Row],[Collector Boost Sealed Market Value]]</f>
        <v/>
      </c>
      <c r="BM9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0" s="10">
        <f>tbl_MTG_Set[[#This Row],[Collector Singles CardMarket Profit]]/tbl_MTG_Set[[#This Row],[Collector Booster Cost]]</f>
        <v/>
      </c>
      <c r="BO910" s="10">
        <f>tbl_MTG_Set[[#This Row],[Collector Singles CardMarket Profit]]&gt;0</f>
        <v/>
      </c>
      <c r="BP9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1">
      <c r="A911" t="n">
        <v>909</v>
      </c>
      <c r="B911" t="inlineStr">
        <is>
          <t>Hobby Japan Promos JP1</t>
        </is>
      </c>
      <c r="C911" t="n">
        <v>5</v>
      </c>
      <c r="D911" s="3" t="n">
        <v>37438</v>
      </c>
      <c r="F911" t="inlineStr">
        <is>
          <t>en es fr de it pt ja ko ru 汉语 漢語</t>
        </is>
      </c>
      <c r="G911" t="n">
        <v>1764</v>
      </c>
      <c r="H911">
        <f>MONTH(NOW())+12*YEAR(NOW())-MONTH(tbl_MTG_Set[[#This Row],[Released On]])-12*YEAR(tbl_MTG_Set[[#This Row],[Released On]])</f>
        <v/>
      </c>
      <c r="I911">
        <f>_xlfn.XLOOKUP(tbl_MTG_Set[[#This Row],[Type Name]], tbl_MTG_Set_Type[Set Type], tbl_MTG_Set_Type[Index], "(Set Type not found)")</f>
        <v/>
      </c>
      <c r="J911">
        <f>_xlfn.XLOOKUP(tbl_MTG_Set[[#This Row],[Type Name]], tbl_MTG_Set_Type[Set Type], tbl_MTG_Set_Type[Buy Window Month Start], "(Set Type not found)")</f>
        <v/>
      </c>
      <c r="K911" s="3">
        <f>tbl_MTG_Set[[#This Row],[Released On]]+tbl_MTG_Set[[#This Row],[Buy Window Month Start]]*365.25/12</f>
        <v/>
      </c>
      <c r="L911">
        <f>_xlfn.XLOOKUP(tbl_MTG_Set[[#This Row],[Type Name]], tbl_MTG_Set_Type[Set Type], tbl_MTG_Set_Type[Buy Window Month End], "(Set Type not found)", 0, 1)</f>
        <v/>
      </c>
      <c r="M911" s="3">
        <f>tbl_MTG_Set[[#This Row],[Released On]]+tbl_MTG_Set[[#This Row],[Buy Window Month End]]*365.25/12</f>
        <v/>
      </c>
      <c r="N911" s="3">
        <f>AND(NOW()&gt;=tbl_MTG_Set[[#This Row],[Buy Window Start]], NOW()&lt;=tbl_MTG_Set[[#This Row],[Buy Window End]])</f>
        <v/>
      </c>
      <c r="O911">
        <f>_xlfn.XLOOKUP(tbl_MTG_Set[[#This Row],[Type Name]], tbl_MTG_Set_Type[Set Type], tbl_MTG_Set_Type[Heavy Printing Window Month Start], "(Set Type not found)", 0, 1)</f>
        <v/>
      </c>
      <c r="P911" s="3">
        <f>tbl_MTG_Set[[#This Row],[Released On]]+tbl_MTG_Set[[#This Row],[Heavy Printing Window Month Start]]*365.25/12</f>
        <v/>
      </c>
      <c r="Q911">
        <f>_xlfn.XLOOKUP(tbl_MTG_Set[[#This Row],[Type Name]], tbl_MTG_Set_Type[Set Type], tbl_MTG_Set_Type[Heavy Printing Window Month End], "(Set Type not found)", 0, 1)</f>
        <v/>
      </c>
      <c r="R911" s="3">
        <f>tbl_MTG_Set[[#This Row],[Released On]]+tbl_MTG_Set[[#This Row],[Heavy Printing Window Month End]]*365.25/12</f>
        <v/>
      </c>
      <c r="S911" s="3">
        <f>AND(NOW()&gt;=tbl_MTG_Set[[#This Row],[Heavy Printing Window Start]], NOW()&lt;=tbl_MTG_Set[[#This Row],[Heavy Printing Window End]])</f>
        <v/>
      </c>
      <c r="T911">
        <f>_xlfn.XLOOKUP(tbl_MTG_Set[[#This Row],[Type Name]], tbl_MTG_Set_Type[Set Type], tbl_MTG_Set_Type[Sell Window Month Start], "(Set Type not found)", 0, 1)</f>
        <v/>
      </c>
      <c r="U911" s="3">
        <f>tbl_MTG_Set[[#This Row],[Released On]]+tbl_MTG_Set[[#This Row],[Sell Window Month Start]]*365.25/12</f>
        <v/>
      </c>
      <c r="V911">
        <f>_xlfn.XLOOKUP(tbl_MTG_Set[[#This Row],[Type Name]], tbl_MTG_Set_Type[Set Type], tbl_MTG_Set_Type[Sell Window Month End], "(Set Type not found)", 0, 1)</f>
        <v/>
      </c>
      <c r="W911" s="3">
        <f>tbl_MTG_Set[[#This Row],[Released On]]+tbl_MTG_Set[[#This Row],[Sell Window Month End]]*365.25/12</f>
        <v/>
      </c>
      <c r="X911" s="3">
        <f>AND(NOW()&gt;=tbl_MTG_Set[[#This Row],[Sell Window Start]], NOW()&lt;=tbl_MTG_Set[[#This Row],[Sell Window End]])</f>
        <v/>
      </c>
      <c r="AG911" s="10" t="n"/>
      <c r="AH911" s="10" t="n"/>
      <c r="AM911" s="10">
        <f t="array" ref="AM9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1" s="10">
        <f t="array" ref="AN9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1" s="4">
        <f>_xlfn.XLOOKUP(tbl_MTG_Set[[#This Row],[Play Booster Box Product Id]], tbl_Product[Product Id], tbl_Product[Pack Size])</f>
        <v/>
      </c>
      <c r="AP911" s="10">
        <f>(tbl_MTG_Set[[#This Row],[Play Booster Box Cost]]+v_Item_Shipping_Cost_In)/tbl_MTG_Set[[#This Row],[Play Booster Box Size]]</f>
        <v/>
      </c>
      <c r="AQ911" s="10">
        <f t="array" ref="AQ9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1" s="10" t="n"/>
      <c r="AS911" s="10" t="n"/>
      <c r="AT911" s="17">
        <f>tbl_MTG_Set[[#This Row],[Play Booster CardMarket Profit]]/tbl_MTG_Set[[#This Row],[Play Booster Cost]]</f>
        <v/>
      </c>
      <c r="AU911" s="10">
        <f>_xlfn.XLOOKUP(tbl_MTG_Set[[#This Row],[Collector Booster Box Product Id]], tbl_Product[Product Id], tbl_Product[Min Cost])</f>
        <v/>
      </c>
      <c r="AV911" s="10">
        <f>_xlfn.XLOOKUP(tbl_MTG_Set[[#This Row],[Collector Booster Box Product Id]], tbl_Product[Product Id], tbl_Product[Best Source])</f>
        <v/>
      </c>
      <c r="AW911" s="4">
        <f>_xlfn.XLOOKUP(tbl_MTG_Set[[#This Row],[Collector Booster Box Product Id]], tbl_Product[Product Id], tbl_Product[Pack Size])</f>
        <v/>
      </c>
      <c r="AX911" s="10">
        <f>(tbl_MTG_Set[[#This Row],[Collector Booster Box Cost]] + v_Item_Shipping_Cost_In) / tbl_MTG_Set[[#This Row],[Collector Booster Box Size]]</f>
        <v/>
      </c>
      <c r="AY911" s="10">
        <f t="array" ref="AY9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1" s="10" t="n"/>
      <c r="BA9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1" s="17">
        <f>tbl_MTG_Set[[#This Row],[Collector Booster CardMarket Profit]]/tbl_MTG_Set[[#This Row],[Collector Booster Cost]]</f>
        <v/>
      </c>
      <c r="BC911" s="10" t="n"/>
      <c r="BF911" s="10">
        <f>tbl_MTG_Set[[#This Row],[Play Booster Sell Price CardMarket]]*tbl_MTG_Set[[#This Row],[Play Booster Expected Market Value]]/tbl_MTG_Set[[#This Row],[Play Boost Sealed Market Value]]</f>
        <v/>
      </c>
      <c r="BG9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1" s="10">
        <f>tbl_MTG_Set[[#This Row],[Play Singles CardMarket Profit]]/tbl_MTG_Set[[#This Row],[Play Booster Cost]]</f>
        <v/>
      </c>
      <c r="BI911" s="10">
        <f>tbl_MTG_Set[[#This Row],[Play Singles CardMarket Profit]]&gt;0</f>
        <v/>
      </c>
      <c r="BJ911" s="10" t="n"/>
      <c r="BK911" s="10" t="n"/>
      <c r="BL911" s="10">
        <f>tbl_MTG_Set[[#This Row],[Collector Booster Sell Price CardMarket]]*tbl_MTG_Set[[#This Row],[Collector Booster Expected Market Value]]/tbl_MTG_Set[[#This Row],[Collector Boost Sealed Market Value]]</f>
        <v/>
      </c>
      <c r="BM9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1" s="10">
        <f>tbl_MTG_Set[[#This Row],[Collector Singles CardMarket Profit]]/tbl_MTG_Set[[#This Row],[Collector Booster Cost]]</f>
        <v/>
      </c>
      <c r="BO911" s="10">
        <f>tbl_MTG_Set[[#This Row],[Collector Singles CardMarket Profit]]&gt;0</f>
        <v/>
      </c>
      <c r="BP9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2">
      <c r="A912" t="n">
        <v>910</v>
      </c>
      <c r="B912" t="inlineStr">
        <is>
          <t>Magic Online Promos PRM</t>
        </is>
      </c>
      <c r="C912" t="n">
        <v>3110</v>
      </c>
      <c r="D912" s="3" t="n">
        <v>37431</v>
      </c>
      <c r="F912" t="inlineStr">
        <is>
          <t>en es fr de it pt ja ko ru 汉语 漢語</t>
        </is>
      </c>
      <c r="G912" t="n">
        <v>1766</v>
      </c>
      <c r="H912">
        <f>MONTH(NOW())+12*YEAR(NOW())-MONTH(tbl_MTG_Set[[#This Row],[Released On]])-12*YEAR(tbl_MTG_Set[[#This Row],[Released On]])</f>
        <v/>
      </c>
      <c r="I912">
        <f>_xlfn.XLOOKUP(tbl_MTG_Set[[#This Row],[Type Name]], tbl_MTG_Set_Type[Set Type], tbl_MTG_Set_Type[Index], "(Set Type not found)")</f>
        <v/>
      </c>
      <c r="J912">
        <f>_xlfn.XLOOKUP(tbl_MTG_Set[[#This Row],[Type Name]], tbl_MTG_Set_Type[Set Type], tbl_MTG_Set_Type[Buy Window Month Start], "(Set Type not found)")</f>
        <v/>
      </c>
      <c r="K912" s="3">
        <f>tbl_MTG_Set[[#This Row],[Released On]]+tbl_MTG_Set[[#This Row],[Buy Window Month Start]]*365.25/12</f>
        <v/>
      </c>
      <c r="L912">
        <f>_xlfn.XLOOKUP(tbl_MTG_Set[[#This Row],[Type Name]], tbl_MTG_Set_Type[Set Type], tbl_MTG_Set_Type[Buy Window Month End], "(Set Type not found)", 0, 1)</f>
        <v/>
      </c>
      <c r="M912" s="3">
        <f>tbl_MTG_Set[[#This Row],[Released On]]+tbl_MTG_Set[[#This Row],[Buy Window Month End]]*365.25/12</f>
        <v/>
      </c>
      <c r="N912" s="3">
        <f>AND(NOW()&gt;=tbl_MTG_Set[[#This Row],[Buy Window Start]], NOW()&lt;=tbl_MTG_Set[[#This Row],[Buy Window End]])</f>
        <v/>
      </c>
      <c r="O912">
        <f>_xlfn.XLOOKUP(tbl_MTG_Set[[#This Row],[Type Name]], tbl_MTG_Set_Type[Set Type], tbl_MTG_Set_Type[Heavy Printing Window Month Start], "(Set Type not found)", 0, 1)</f>
        <v/>
      </c>
      <c r="P912" s="3">
        <f>tbl_MTG_Set[[#This Row],[Released On]]+tbl_MTG_Set[[#This Row],[Heavy Printing Window Month Start]]*365.25/12</f>
        <v/>
      </c>
      <c r="Q912">
        <f>_xlfn.XLOOKUP(tbl_MTG_Set[[#This Row],[Type Name]], tbl_MTG_Set_Type[Set Type], tbl_MTG_Set_Type[Heavy Printing Window Month End], "(Set Type not found)", 0, 1)</f>
        <v/>
      </c>
      <c r="R912" s="3">
        <f>tbl_MTG_Set[[#This Row],[Released On]]+tbl_MTG_Set[[#This Row],[Heavy Printing Window Month End]]*365.25/12</f>
        <v/>
      </c>
      <c r="S912" s="3">
        <f>AND(NOW()&gt;=tbl_MTG_Set[[#This Row],[Heavy Printing Window Start]], NOW()&lt;=tbl_MTG_Set[[#This Row],[Heavy Printing Window End]])</f>
        <v/>
      </c>
      <c r="T912">
        <f>_xlfn.XLOOKUP(tbl_MTG_Set[[#This Row],[Type Name]], tbl_MTG_Set_Type[Set Type], tbl_MTG_Set_Type[Sell Window Month Start], "(Set Type not found)", 0, 1)</f>
        <v/>
      </c>
      <c r="U912" s="3">
        <f>tbl_MTG_Set[[#This Row],[Released On]]+tbl_MTG_Set[[#This Row],[Sell Window Month Start]]*365.25/12</f>
        <v/>
      </c>
      <c r="V912">
        <f>_xlfn.XLOOKUP(tbl_MTG_Set[[#This Row],[Type Name]], tbl_MTG_Set_Type[Set Type], tbl_MTG_Set_Type[Sell Window Month End], "(Set Type not found)", 0, 1)</f>
        <v/>
      </c>
      <c r="W912" s="3">
        <f>tbl_MTG_Set[[#This Row],[Released On]]+tbl_MTG_Set[[#This Row],[Sell Window Month End]]*365.25/12</f>
        <v/>
      </c>
      <c r="X912" s="3">
        <f>AND(NOW()&gt;=tbl_MTG_Set[[#This Row],[Sell Window Start]], NOW()&lt;=tbl_MTG_Set[[#This Row],[Sell Window End]])</f>
        <v/>
      </c>
      <c r="AG912" s="10" t="n"/>
      <c r="AH912" s="10" t="n"/>
      <c r="AM912" s="10">
        <f t="array" ref="AM9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2" s="10">
        <f t="array" ref="AN9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2" s="4">
        <f>_xlfn.XLOOKUP(tbl_MTG_Set[[#This Row],[Play Booster Box Product Id]], tbl_Product[Product Id], tbl_Product[Pack Size])</f>
        <v/>
      </c>
      <c r="AP912" s="10">
        <f>(tbl_MTG_Set[[#This Row],[Play Booster Box Cost]]+v_Item_Shipping_Cost_In)/tbl_MTG_Set[[#This Row],[Play Booster Box Size]]</f>
        <v/>
      </c>
      <c r="AQ912" s="10">
        <f t="array" ref="AQ9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2" s="10" t="n"/>
      <c r="AS912" s="10" t="n"/>
      <c r="AT912" s="17">
        <f>tbl_MTG_Set[[#This Row],[Play Booster CardMarket Profit]]/tbl_MTG_Set[[#This Row],[Play Booster Cost]]</f>
        <v/>
      </c>
      <c r="AU912" s="10">
        <f>_xlfn.XLOOKUP(tbl_MTG_Set[[#This Row],[Collector Booster Box Product Id]], tbl_Product[Product Id], tbl_Product[Min Cost])</f>
        <v/>
      </c>
      <c r="AV912" s="10">
        <f>_xlfn.XLOOKUP(tbl_MTG_Set[[#This Row],[Collector Booster Box Product Id]], tbl_Product[Product Id], tbl_Product[Best Source])</f>
        <v/>
      </c>
      <c r="AW912" s="4">
        <f>_xlfn.XLOOKUP(tbl_MTG_Set[[#This Row],[Collector Booster Box Product Id]], tbl_Product[Product Id], tbl_Product[Pack Size])</f>
        <v/>
      </c>
      <c r="AX912" s="10">
        <f>(tbl_MTG_Set[[#This Row],[Collector Booster Box Cost]] + v_Item_Shipping_Cost_In) / tbl_MTG_Set[[#This Row],[Collector Booster Box Size]]</f>
        <v/>
      </c>
      <c r="AY912" s="10">
        <f t="array" ref="AY9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2" s="10" t="n"/>
      <c r="BA9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2" s="17">
        <f>tbl_MTG_Set[[#This Row],[Collector Booster CardMarket Profit]]/tbl_MTG_Set[[#This Row],[Collector Booster Cost]]</f>
        <v/>
      </c>
      <c r="BC912" s="10" t="n"/>
      <c r="BF912" s="10">
        <f>tbl_MTG_Set[[#This Row],[Play Booster Sell Price CardMarket]]*tbl_MTG_Set[[#This Row],[Play Booster Expected Market Value]]/tbl_MTG_Set[[#This Row],[Play Boost Sealed Market Value]]</f>
        <v/>
      </c>
      <c r="BG9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2" s="10">
        <f>tbl_MTG_Set[[#This Row],[Play Singles CardMarket Profit]]/tbl_MTG_Set[[#This Row],[Play Booster Cost]]</f>
        <v/>
      </c>
      <c r="BI912" s="10">
        <f>tbl_MTG_Set[[#This Row],[Play Singles CardMarket Profit]]&gt;0</f>
        <v/>
      </c>
      <c r="BJ912" s="10" t="n"/>
      <c r="BK912" s="10" t="n"/>
      <c r="BL912" s="10">
        <f>tbl_MTG_Set[[#This Row],[Collector Booster Sell Price CardMarket]]*tbl_MTG_Set[[#This Row],[Collector Booster Expected Market Value]]/tbl_MTG_Set[[#This Row],[Collector Boost Sealed Market Value]]</f>
        <v/>
      </c>
      <c r="BM9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2" s="10">
        <f>tbl_MTG_Set[[#This Row],[Collector Singles CardMarket Profit]]/tbl_MTG_Set[[#This Row],[Collector Booster Cost]]</f>
        <v/>
      </c>
      <c r="BO912" s="10">
        <f>tbl_MTG_Set[[#This Row],[Collector Singles CardMarket Profit]]&gt;0</f>
        <v/>
      </c>
      <c r="BP9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3">
      <c r="A913" t="n">
        <v>911</v>
      </c>
      <c r="B913" t="inlineStr">
        <is>
          <t>Judgment JUD</t>
        </is>
      </c>
      <c r="C913" t="n">
        <v>143</v>
      </c>
      <c r="D913" s="3" t="n">
        <v>37403</v>
      </c>
      <c r="F913" t="inlineStr">
        <is>
          <t>en es fr de it pt ja ko ru 汉语 漢語</t>
        </is>
      </c>
      <c r="G913" t="n">
        <v>1768</v>
      </c>
      <c r="H913">
        <f>MONTH(NOW())+12*YEAR(NOW())-MONTH(tbl_MTG_Set[[#This Row],[Released On]])-12*YEAR(tbl_MTG_Set[[#This Row],[Released On]])</f>
        <v/>
      </c>
      <c r="I913">
        <f>_xlfn.XLOOKUP(tbl_MTG_Set[[#This Row],[Type Name]], tbl_MTG_Set_Type[Set Type], tbl_MTG_Set_Type[Index], "(Set Type not found)")</f>
        <v/>
      </c>
      <c r="J913">
        <f>_xlfn.XLOOKUP(tbl_MTG_Set[[#This Row],[Type Name]], tbl_MTG_Set_Type[Set Type], tbl_MTG_Set_Type[Buy Window Month Start], "(Set Type not found)")</f>
        <v/>
      </c>
      <c r="K913" s="3">
        <f>tbl_MTG_Set[[#This Row],[Released On]]+tbl_MTG_Set[[#This Row],[Buy Window Month Start]]*365.25/12</f>
        <v/>
      </c>
      <c r="L913">
        <f>_xlfn.XLOOKUP(tbl_MTG_Set[[#This Row],[Type Name]], tbl_MTG_Set_Type[Set Type], tbl_MTG_Set_Type[Buy Window Month End], "(Set Type not found)", 0, 1)</f>
        <v/>
      </c>
      <c r="M913" s="3">
        <f>tbl_MTG_Set[[#This Row],[Released On]]+tbl_MTG_Set[[#This Row],[Buy Window Month End]]*365.25/12</f>
        <v/>
      </c>
      <c r="N913" s="3">
        <f>AND(NOW()&gt;=tbl_MTG_Set[[#This Row],[Buy Window Start]], NOW()&lt;=tbl_MTG_Set[[#This Row],[Buy Window End]])</f>
        <v/>
      </c>
      <c r="O913">
        <f>_xlfn.XLOOKUP(tbl_MTG_Set[[#This Row],[Type Name]], tbl_MTG_Set_Type[Set Type], tbl_MTG_Set_Type[Heavy Printing Window Month Start], "(Set Type not found)", 0, 1)</f>
        <v/>
      </c>
      <c r="P913" s="3">
        <f>tbl_MTG_Set[[#This Row],[Released On]]+tbl_MTG_Set[[#This Row],[Heavy Printing Window Month Start]]*365.25/12</f>
        <v/>
      </c>
      <c r="Q913">
        <f>_xlfn.XLOOKUP(tbl_MTG_Set[[#This Row],[Type Name]], tbl_MTG_Set_Type[Set Type], tbl_MTG_Set_Type[Heavy Printing Window Month End], "(Set Type not found)", 0, 1)</f>
        <v/>
      </c>
      <c r="R913" s="3">
        <f>tbl_MTG_Set[[#This Row],[Released On]]+tbl_MTG_Set[[#This Row],[Heavy Printing Window Month End]]*365.25/12</f>
        <v/>
      </c>
      <c r="S913" s="3">
        <f>AND(NOW()&gt;=tbl_MTG_Set[[#This Row],[Heavy Printing Window Start]], NOW()&lt;=tbl_MTG_Set[[#This Row],[Heavy Printing Window End]])</f>
        <v/>
      </c>
      <c r="T913">
        <f>_xlfn.XLOOKUP(tbl_MTG_Set[[#This Row],[Type Name]], tbl_MTG_Set_Type[Set Type], tbl_MTG_Set_Type[Sell Window Month Start], "(Set Type not found)", 0, 1)</f>
        <v/>
      </c>
      <c r="U913" s="3">
        <f>tbl_MTG_Set[[#This Row],[Released On]]+tbl_MTG_Set[[#This Row],[Sell Window Month Start]]*365.25/12</f>
        <v/>
      </c>
      <c r="V913">
        <f>_xlfn.XLOOKUP(tbl_MTG_Set[[#This Row],[Type Name]], tbl_MTG_Set_Type[Set Type], tbl_MTG_Set_Type[Sell Window Month End], "(Set Type not found)", 0, 1)</f>
        <v/>
      </c>
      <c r="W913" s="3">
        <f>tbl_MTG_Set[[#This Row],[Released On]]+tbl_MTG_Set[[#This Row],[Sell Window Month End]]*365.25/12</f>
        <v/>
      </c>
      <c r="X913" s="3">
        <f>AND(NOW()&gt;=tbl_MTG_Set[[#This Row],[Sell Window Start]], NOW()&lt;=tbl_MTG_Set[[#This Row],[Sell Window End]])</f>
        <v/>
      </c>
      <c r="AG913" s="10" t="n"/>
      <c r="AH913" s="10" t="n"/>
      <c r="AM913" s="10">
        <f t="array" ref="AM9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3" s="10">
        <f t="array" ref="AN9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3" s="4">
        <f>_xlfn.XLOOKUP(tbl_MTG_Set[[#This Row],[Play Booster Box Product Id]], tbl_Product[Product Id], tbl_Product[Pack Size])</f>
        <v/>
      </c>
      <c r="AP913" s="10">
        <f>(tbl_MTG_Set[[#This Row],[Play Booster Box Cost]]+v_Item_Shipping_Cost_In)/tbl_MTG_Set[[#This Row],[Play Booster Box Size]]</f>
        <v/>
      </c>
      <c r="AQ913" s="10">
        <f t="array" ref="AQ9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3" s="10" t="n"/>
      <c r="AS913" s="10" t="n"/>
      <c r="AT913" s="17">
        <f>tbl_MTG_Set[[#This Row],[Play Booster CardMarket Profit]]/tbl_MTG_Set[[#This Row],[Play Booster Cost]]</f>
        <v/>
      </c>
      <c r="AU913" s="10">
        <f>_xlfn.XLOOKUP(tbl_MTG_Set[[#This Row],[Collector Booster Box Product Id]], tbl_Product[Product Id], tbl_Product[Min Cost])</f>
        <v/>
      </c>
      <c r="AV913" s="10">
        <f>_xlfn.XLOOKUP(tbl_MTG_Set[[#This Row],[Collector Booster Box Product Id]], tbl_Product[Product Id], tbl_Product[Best Source])</f>
        <v/>
      </c>
      <c r="AW913" s="4">
        <f>_xlfn.XLOOKUP(tbl_MTG_Set[[#This Row],[Collector Booster Box Product Id]], tbl_Product[Product Id], tbl_Product[Pack Size])</f>
        <v/>
      </c>
      <c r="AX913" s="10">
        <f>(tbl_MTG_Set[[#This Row],[Collector Booster Box Cost]] + v_Item_Shipping_Cost_In) / tbl_MTG_Set[[#This Row],[Collector Booster Box Size]]</f>
        <v/>
      </c>
      <c r="AY913" s="10">
        <f t="array" ref="AY9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3" s="10" t="n"/>
      <c r="BA9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3" s="17">
        <f>tbl_MTG_Set[[#This Row],[Collector Booster CardMarket Profit]]/tbl_MTG_Set[[#This Row],[Collector Booster Cost]]</f>
        <v/>
      </c>
      <c r="BC913" s="10" t="n"/>
      <c r="BF913" s="10">
        <f>tbl_MTG_Set[[#This Row],[Play Booster Sell Price CardMarket]]*tbl_MTG_Set[[#This Row],[Play Booster Expected Market Value]]/tbl_MTG_Set[[#This Row],[Play Boost Sealed Market Value]]</f>
        <v/>
      </c>
      <c r="BG9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3" s="10">
        <f>tbl_MTG_Set[[#This Row],[Play Singles CardMarket Profit]]/tbl_MTG_Set[[#This Row],[Play Booster Cost]]</f>
        <v/>
      </c>
      <c r="BI913" s="10">
        <f>tbl_MTG_Set[[#This Row],[Play Singles CardMarket Profit]]&gt;0</f>
        <v/>
      </c>
      <c r="BJ913" s="10" t="n"/>
      <c r="BK913" s="10" t="n"/>
      <c r="BL913" s="10">
        <f>tbl_MTG_Set[[#This Row],[Collector Booster Sell Price CardMarket]]*tbl_MTG_Set[[#This Row],[Collector Booster Expected Market Value]]/tbl_MTG_Set[[#This Row],[Collector Boost Sealed Market Value]]</f>
        <v/>
      </c>
      <c r="BM9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3" s="10">
        <f>tbl_MTG_Set[[#This Row],[Collector Singles CardMarket Profit]]/tbl_MTG_Set[[#This Row],[Collector Booster Cost]]</f>
        <v/>
      </c>
      <c r="BO913" s="10">
        <f>tbl_MTG_Set[[#This Row],[Collector Singles CardMarket Profit]]&gt;0</f>
        <v/>
      </c>
      <c r="BP9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4">
      <c r="A914" t="n">
        <v>912</v>
      </c>
      <c r="B914" t="inlineStr">
        <is>
          <t>Judgment Promos PJUD</t>
        </is>
      </c>
      <c r="C914" t="n">
        <v>1</v>
      </c>
      <c r="D914" s="3" t="n">
        <v>37403</v>
      </c>
      <c r="F914" t="inlineStr">
        <is>
          <t>en es fr de it pt ja ko ru 汉语 漢語</t>
        </is>
      </c>
      <c r="G914" t="n">
        <v>1770</v>
      </c>
      <c r="H914">
        <f>MONTH(NOW())+12*YEAR(NOW())-MONTH(tbl_MTG_Set[[#This Row],[Released On]])-12*YEAR(tbl_MTG_Set[[#This Row],[Released On]])</f>
        <v/>
      </c>
      <c r="I914">
        <f>_xlfn.XLOOKUP(tbl_MTG_Set[[#This Row],[Type Name]], tbl_MTG_Set_Type[Set Type], tbl_MTG_Set_Type[Index], "(Set Type not found)")</f>
        <v/>
      </c>
      <c r="J914">
        <f>_xlfn.XLOOKUP(tbl_MTG_Set[[#This Row],[Type Name]], tbl_MTG_Set_Type[Set Type], tbl_MTG_Set_Type[Buy Window Month Start], "(Set Type not found)")</f>
        <v/>
      </c>
      <c r="K914" s="3">
        <f>tbl_MTG_Set[[#This Row],[Released On]]+tbl_MTG_Set[[#This Row],[Buy Window Month Start]]*365.25/12</f>
        <v/>
      </c>
      <c r="L914">
        <f>_xlfn.XLOOKUP(tbl_MTG_Set[[#This Row],[Type Name]], tbl_MTG_Set_Type[Set Type], tbl_MTG_Set_Type[Buy Window Month End], "(Set Type not found)", 0, 1)</f>
        <v/>
      </c>
      <c r="M914" s="3">
        <f>tbl_MTG_Set[[#This Row],[Released On]]+tbl_MTG_Set[[#This Row],[Buy Window Month End]]*365.25/12</f>
        <v/>
      </c>
      <c r="N914" s="3">
        <f>AND(NOW()&gt;=tbl_MTG_Set[[#This Row],[Buy Window Start]], NOW()&lt;=tbl_MTG_Set[[#This Row],[Buy Window End]])</f>
        <v/>
      </c>
      <c r="O914">
        <f>_xlfn.XLOOKUP(tbl_MTG_Set[[#This Row],[Type Name]], tbl_MTG_Set_Type[Set Type], tbl_MTG_Set_Type[Heavy Printing Window Month Start], "(Set Type not found)", 0, 1)</f>
        <v/>
      </c>
      <c r="P914" s="3">
        <f>tbl_MTG_Set[[#This Row],[Released On]]+tbl_MTG_Set[[#This Row],[Heavy Printing Window Month Start]]*365.25/12</f>
        <v/>
      </c>
      <c r="Q914">
        <f>_xlfn.XLOOKUP(tbl_MTG_Set[[#This Row],[Type Name]], tbl_MTG_Set_Type[Set Type], tbl_MTG_Set_Type[Heavy Printing Window Month End], "(Set Type not found)", 0, 1)</f>
        <v/>
      </c>
      <c r="R914" s="3">
        <f>tbl_MTG_Set[[#This Row],[Released On]]+tbl_MTG_Set[[#This Row],[Heavy Printing Window Month End]]*365.25/12</f>
        <v/>
      </c>
      <c r="S914" s="3">
        <f>AND(NOW()&gt;=tbl_MTG_Set[[#This Row],[Heavy Printing Window Start]], NOW()&lt;=tbl_MTG_Set[[#This Row],[Heavy Printing Window End]])</f>
        <v/>
      </c>
      <c r="T914">
        <f>_xlfn.XLOOKUP(tbl_MTG_Set[[#This Row],[Type Name]], tbl_MTG_Set_Type[Set Type], tbl_MTG_Set_Type[Sell Window Month Start], "(Set Type not found)", 0, 1)</f>
        <v/>
      </c>
      <c r="U914" s="3">
        <f>tbl_MTG_Set[[#This Row],[Released On]]+tbl_MTG_Set[[#This Row],[Sell Window Month Start]]*365.25/12</f>
        <v/>
      </c>
      <c r="V914">
        <f>_xlfn.XLOOKUP(tbl_MTG_Set[[#This Row],[Type Name]], tbl_MTG_Set_Type[Set Type], tbl_MTG_Set_Type[Sell Window Month End], "(Set Type not found)", 0, 1)</f>
        <v/>
      </c>
      <c r="W914" s="3">
        <f>tbl_MTG_Set[[#This Row],[Released On]]+tbl_MTG_Set[[#This Row],[Sell Window Month End]]*365.25/12</f>
        <v/>
      </c>
      <c r="X914" s="3">
        <f>AND(NOW()&gt;=tbl_MTG_Set[[#This Row],[Sell Window Start]], NOW()&lt;=tbl_MTG_Set[[#This Row],[Sell Window End]])</f>
        <v/>
      </c>
      <c r="AG914" s="10" t="n"/>
      <c r="AH914" s="10" t="n"/>
      <c r="AM914" s="10">
        <f t="array" ref="AM9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4" s="10">
        <f t="array" ref="AN9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4" s="4">
        <f>_xlfn.XLOOKUP(tbl_MTG_Set[[#This Row],[Play Booster Box Product Id]], tbl_Product[Product Id], tbl_Product[Pack Size])</f>
        <v/>
      </c>
      <c r="AP914" s="10">
        <f>(tbl_MTG_Set[[#This Row],[Play Booster Box Cost]]+v_Item_Shipping_Cost_In)/tbl_MTG_Set[[#This Row],[Play Booster Box Size]]</f>
        <v/>
      </c>
      <c r="AQ914" s="10">
        <f t="array" ref="AQ9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4" s="10" t="n"/>
      <c r="AS914" s="10" t="n"/>
      <c r="AT914" s="17">
        <f>tbl_MTG_Set[[#This Row],[Play Booster CardMarket Profit]]/tbl_MTG_Set[[#This Row],[Play Booster Cost]]</f>
        <v/>
      </c>
      <c r="AU914" s="10">
        <f>_xlfn.XLOOKUP(tbl_MTG_Set[[#This Row],[Collector Booster Box Product Id]], tbl_Product[Product Id], tbl_Product[Min Cost])</f>
        <v/>
      </c>
      <c r="AV914" s="10">
        <f>_xlfn.XLOOKUP(tbl_MTG_Set[[#This Row],[Collector Booster Box Product Id]], tbl_Product[Product Id], tbl_Product[Best Source])</f>
        <v/>
      </c>
      <c r="AW914" s="4">
        <f>_xlfn.XLOOKUP(tbl_MTG_Set[[#This Row],[Collector Booster Box Product Id]], tbl_Product[Product Id], tbl_Product[Pack Size])</f>
        <v/>
      </c>
      <c r="AX914" s="10">
        <f>(tbl_MTG_Set[[#This Row],[Collector Booster Box Cost]] + v_Item_Shipping_Cost_In) / tbl_MTG_Set[[#This Row],[Collector Booster Box Size]]</f>
        <v/>
      </c>
      <c r="AY914" s="10">
        <f t="array" ref="AY9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4" s="10" t="n"/>
      <c r="BA9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4" s="17">
        <f>tbl_MTG_Set[[#This Row],[Collector Booster CardMarket Profit]]/tbl_MTG_Set[[#This Row],[Collector Booster Cost]]</f>
        <v/>
      </c>
      <c r="BC914" s="10" t="n"/>
      <c r="BF914" s="10">
        <f>tbl_MTG_Set[[#This Row],[Play Booster Sell Price CardMarket]]*tbl_MTG_Set[[#This Row],[Play Booster Expected Market Value]]/tbl_MTG_Set[[#This Row],[Play Boost Sealed Market Value]]</f>
        <v/>
      </c>
      <c r="BG9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4" s="10">
        <f>tbl_MTG_Set[[#This Row],[Play Singles CardMarket Profit]]/tbl_MTG_Set[[#This Row],[Play Booster Cost]]</f>
        <v/>
      </c>
      <c r="BI914" s="10">
        <f>tbl_MTG_Set[[#This Row],[Play Singles CardMarket Profit]]&gt;0</f>
        <v/>
      </c>
      <c r="BJ914" s="10" t="n"/>
      <c r="BK914" s="10" t="n"/>
      <c r="BL914" s="10">
        <f>tbl_MTG_Set[[#This Row],[Collector Booster Sell Price CardMarket]]*tbl_MTG_Set[[#This Row],[Collector Booster Expected Market Value]]/tbl_MTG_Set[[#This Row],[Collector Boost Sealed Market Value]]</f>
        <v/>
      </c>
      <c r="BM9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4" s="10">
        <f>tbl_MTG_Set[[#This Row],[Collector Singles CardMarket Profit]]/tbl_MTG_Set[[#This Row],[Collector Booster Cost]]</f>
        <v/>
      </c>
      <c r="BO914" s="10">
        <f>tbl_MTG_Set[[#This Row],[Collector Singles CardMarket Profit]]&gt;0</f>
        <v/>
      </c>
      <c r="BP9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5">
      <c r="A915" t="n">
        <v>913</v>
      </c>
      <c r="B915" t="inlineStr">
        <is>
          <t>Torment TOR</t>
        </is>
      </c>
      <c r="C915" t="n">
        <v>143</v>
      </c>
      <c r="D915" s="3" t="n">
        <v>37291</v>
      </c>
      <c r="F915" t="inlineStr">
        <is>
          <t>en es fr de it pt ja ko ru 汉语 漢語</t>
        </is>
      </c>
      <c r="G915" t="n">
        <v>1772</v>
      </c>
      <c r="H915">
        <f>MONTH(NOW())+12*YEAR(NOW())-MONTH(tbl_MTG_Set[[#This Row],[Released On]])-12*YEAR(tbl_MTG_Set[[#This Row],[Released On]])</f>
        <v/>
      </c>
      <c r="I915">
        <f>_xlfn.XLOOKUP(tbl_MTG_Set[[#This Row],[Type Name]], tbl_MTG_Set_Type[Set Type], tbl_MTG_Set_Type[Index], "(Set Type not found)")</f>
        <v/>
      </c>
      <c r="J915">
        <f>_xlfn.XLOOKUP(tbl_MTG_Set[[#This Row],[Type Name]], tbl_MTG_Set_Type[Set Type], tbl_MTG_Set_Type[Buy Window Month Start], "(Set Type not found)")</f>
        <v/>
      </c>
      <c r="K915" s="3">
        <f>tbl_MTG_Set[[#This Row],[Released On]]+tbl_MTG_Set[[#This Row],[Buy Window Month Start]]*365.25/12</f>
        <v/>
      </c>
      <c r="L915">
        <f>_xlfn.XLOOKUP(tbl_MTG_Set[[#This Row],[Type Name]], tbl_MTG_Set_Type[Set Type], tbl_MTG_Set_Type[Buy Window Month End], "(Set Type not found)", 0, 1)</f>
        <v/>
      </c>
      <c r="M915" s="3">
        <f>tbl_MTG_Set[[#This Row],[Released On]]+tbl_MTG_Set[[#This Row],[Buy Window Month End]]*365.25/12</f>
        <v/>
      </c>
      <c r="N915" s="3">
        <f>AND(NOW()&gt;=tbl_MTG_Set[[#This Row],[Buy Window Start]], NOW()&lt;=tbl_MTG_Set[[#This Row],[Buy Window End]])</f>
        <v/>
      </c>
      <c r="O915">
        <f>_xlfn.XLOOKUP(tbl_MTG_Set[[#This Row],[Type Name]], tbl_MTG_Set_Type[Set Type], tbl_MTG_Set_Type[Heavy Printing Window Month Start], "(Set Type not found)", 0, 1)</f>
        <v/>
      </c>
      <c r="P915" s="3">
        <f>tbl_MTG_Set[[#This Row],[Released On]]+tbl_MTG_Set[[#This Row],[Heavy Printing Window Month Start]]*365.25/12</f>
        <v/>
      </c>
      <c r="Q915">
        <f>_xlfn.XLOOKUP(tbl_MTG_Set[[#This Row],[Type Name]], tbl_MTG_Set_Type[Set Type], tbl_MTG_Set_Type[Heavy Printing Window Month End], "(Set Type not found)", 0, 1)</f>
        <v/>
      </c>
      <c r="R915" s="3">
        <f>tbl_MTG_Set[[#This Row],[Released On]]+tbl_MTG_Set[[#This Row],[Heavy Printing Window Month End]]*365.25/12</f>
        <v/>
      </c>
      <c r="S915" s="3">
        <f>AND(NOW()&gt;=tbl_MTG_Set[[#This Row],[Heavy Printing Window Start]], NOW()&lt;=tbl_MTG_Set[[#This Row],[Heavy Printing Window End]])</f>
        <v/>
      </c>
      <c r="T915">
        <f>_xlfn.XLOOKUP(tbl_MTG_Set[[#This Row],[Type Name]], tbl_MTG_Set_Type[Set Type], tbl_MTG_Set_Type[Sell Window Month Start], "(Set Type not found)", 0, 1)</f>
        <v/>
      </c>
      <c r="U915" s="3">
        <f>tbl_MTG_Set[[#This Row],[Released On]]+tbl_MTG_Set[[#This Row],[Sell Window Month Start]]*365.25/12</f>
        <v/>
      </c>
      <c r="V915">
        <f>_xlfn.XLOOKUP(tbl_MTG_Set[[#This Row],[Type Name]], tbl_MTG_Set_Type[Set Type], tbl_MTG_Set_Type[Sell Window Month End], "(Set Type not found)", 0, 1)</f>
        <v/>
      </c>
      <c r="W915" s="3">
        <f>tbl_MTG_Set[[#This Row],[Released On]]+tbl_MTG_Set[[#This Row],[Sell Window Month End]]*365.25/12</f>
        <v/>
      </c>
      <c r="X915" s="3">
        <f>AND(NOW()&gt;=tbl_MTG_Set[[#This Row],[Sell Window Start]], NOW()&lt;=tbl_MTG_Set[[#This Row],[Sell Window End]])</f>
        <v/>
      </c>
      <c r="AG915" s="10" t="n"/>
      <c r="AH915" s="10" t="n"/>
      <c r="AM915" s="10">
        <f t="array" ref="AM9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5" s="10">
        <f t="array" ref="AN9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5" s="4">
        <f>_xlfn.XLOOKUP(tbl_MTG_Set[[#This Row],[Play Booster Box Product Id]], tbl_Product[Product Id], tbl_Product[Pack Size])</f>
        <v/>
      </c>
      <c r="AP915" s="10">
        <f>(tbl_MTG_Set[[#This Row],[Play Booster Box Cost]]+v_Item_Shipping_Cost_In)/tbl_MTG_Set[[#This Row],[Play Booster Box Size]]</f>
        <v/>
      </c>
      <c r="AQ915" s="10">
        <f t="array" ref="AQ9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5" s="10" t="n"/>
      <c r="AS915" s="10" t="n"/>
      <c r="AT915" s="17">
        <f>tbl_MTG_Set[[#This Row],[Play Booster CardMarket Profit]]/tbl_MTG_Set[[#This Row],[Play Booster Cost]]</f>
        <v/>
      </c>
      <c r="AU915" s="10">
        <f>_xlfn.XLOOKUP(tbl_MTG_Set[[#This Row],[Collector Booster Box Product Id]], tbl_Product[Product Id], tbl_Product[Min Cost])</f>
        <v/>
      </c>
      <c r="AV915" s="10">
        <f>_xlfn.XLOOKUP(tbl_MTG_Set[[#This Row],[Collector Booster Box Product Id]], tbl_Product[Product Id], tbl_Product[Best Source])</f>
        <v/>
      </c>
      <c r="AW915" s="4">
        <f>_xlfn.XLOOKUP(tbl_MTG_Set[[#This Row],[Collector Booster Box Product Id]], tbl_Product[Product Id], tbl_Product[Pack Size])</f>
        <v/>
      </c>
      <c r="AX915" s="10">
        <f>(tbl_MTG_Set[[#This Row],[Collector Booster Box Cost]] + v_Item_Shipping_Cost_In) / tbl_MTG_Set[[#This Row],[Collector Booster Box Size]]</f>
        <v/>
      </c>
      <c r="AY915" s="10">
        <f t="array" ref="AY9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5" s="10" t="n"/>
      <c r="BA9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5" s="17">
        <f>tbl_MTG_Set[[#This Row],[Collector Booster CardMarket Profit]]/tbl_MTG_Set[[#This Row],[Collector Booster Cost]]</f>
        <v/>
      </c>
      <c r="BC915" s="10" t="n"/>
      <c r="BF915" s="10">
        <f>tbl_MTG_Set[[#This Row],[Play Booster Sell Price CardMarket]]*tbl_MTG_Set[[#This Row],[Play Booster Expected Market Value]]/tbl_MTG_Set[[#This Row],[Play Boost Sealed Market Value]]</f>
        <v/>
      </c>
      <c r="BG9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5" s="10">
        <f>tbl_MTG_Set[[#This Row],[Play Singles CardMarket Profit]]/tbl_MTG_Set[[#This Row],[Play Booster Cost]]</f>
        <v/>
      </c>
      <c r="BI915" s="10">
        <f>tbl_MTG_Set[[#This Row],[Play Singles CardMarket Profit]]&gt;0</f>
        <v/>
      </c>
      <c r="BJ915" s="10" t="n"/>
      <c r="BK915" s="10" t="n"/>
      <c r="BL915" s="10">
        <f>tbl_MTG_Set[[#This Row],[Collector Booster Sell Price CardMarket]]*tbl_MTG_Set[[#This Row],[Collector Booster Expected Market Value]]/tbl_MTG_Set[[#This Row],[Collector Boost Sealed Market Value]]</f>
        <v/>
      </c>
      <c r="BM9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5" s="10">
        <f>tbl_MTG_Set[[#This Row],[Collector Singles CardMarket Profit]]/tbl_MTG_Set[[#This Row],[Collector Booster Cost]]</f>
        <v/>
      </c>
      <c r="BO915" s="10">
        <f>tbl_MTG_Set[[#This Row],[Collector Singles CardMarket Profit]]&gt;0</f>
        <v/>
      </c>
      <c r="BP9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6">
      <c r="A916" t="n">
        <v>914</v>
      </c>
      <c r="B916" t="inlineStr">
        <is>
          <t>Torment Promos PTOR</t>
        </is>
      </c>
      <c r="C916" t="n">
        <v>3</v>
      </c>
      <c r="D916" s="3" t="n">
        <v>37291</v>
      </c>
      <c r="F916" t="inlineStr">
        <is>
          <t>en es fr de it pt ja ko ru 汉语 漢語</t>
        </is>
      </c>
      <c r="G916" t="n">
        <v>1774</v>
      </c>
      <c r="H916">
        <f>MONTH(NOW())+12*YEAR(NOW())-MONTH(tbl_MTG_Set[[#This Row],[Released On]])-12*YEAR(tbl_MTG_Set[[#This Row],[Released On]])</f>
        <v/>
      </c>
      <c r="I916">
        <f>_xlfn.XLOOKUP(tbl_MTG_Set[[#This Row],[Type Name]], tbl_MTG_Set_Type[Set Type], tbl_MTG_Set_Type[Index], "(Set Type not found)")</f>
        <v/>
      </c>
      <c r="J916">
        <f>_xlfn.XLOOKUP(tbl_MTG_Set[[#This Row],[Type Name]], tbl_MTG_Set_Type[Set Type], tbl_MTG_Set_Type[Buy Window Month Start], "(Set Type not found)")</f>
        <v/>
      </c>
      <c r="K916" s="3">
        <f>tbl_MTG_Set[[#This Row],[Released On]]+tbl_MTG_Set[[#This Row],[Buy Window Month Start]]*365.25/12</f>
        <v/>
      </c>
      <c r="L916">
        <f>_xlfn.XLOOKUP(tbl_MTG_Set[[#This Row],[Type Name]], tbl_MTG_Set_Type[Set Type], tbl_MTG_Set_Type[Buy Window Month End], "(Set Type not found)", 0, 1)</f>
        <v/>
      </c>
      <c r="M916" s="3">
        <f>tbl_MTG_Set[[#This Row],[Released On]]+tbl_MTG_Set[[#This Row],[Buy Window Month End]]*365.25/12</f>
        <v/>
      </c>
      <c r="N916" s="3">
        <f>AND(NOW()&gt;=tbl_MTG_Set[[#This Row],[Buy Window Start]], NOW()&lt;=tbl_MTG_Set[[#This Row],[Buy Window End]])</f>
        <v/>
      </c>
      <c r="O916">
        <f>_xlfn.XLOOKUP(tbl_MTG_Set[[#This Row],[Type Name]], tbl_MTG_Set_Type[Set Type], tbl_MTG_Set_Type[Heavy Printing Window Month Start], "(Set Type not found)", 0, 1)</f>
        <v/>
      </c>
      <c r="P916" s="3">
        <f>tbl_MTG_Set[[#This Row],[Released On]]+tbl_MTG_Set[[#This Row],[Heavy Printing Window Month Start]]*365.25/12</f>
        <v/>
      </c>
      <c r="Q916">
        <f>_xlfn.XLOOKUP(tbl_MTG_Set[[#This Row],[Type Name]], tbl_MTG_Set_Type[Set Type], tbl_MTG_Set_Type[Heavy Printing Window Month End], "(Set Type not found)", 0, 1)</f>
        <v/>
      </c>
      <c r="R916" s="3">
        <f>tbl_MTG_Set[[#This Row],[Released On]]+tbl_MTG_Set[[#This Row],[Heavy Printing Window Month End]]*365.25/12</f>
        <v/>
      </c>
      <c r="S916" s="3">
        <f>AND(NOW()&gt;=tbl_MTG_Set[[#This Row],[Heavy Printing Window Start]], NOW()&lt;=tbl_MTG_Set[[#This Row],[Heavy Printing Window End]])</f>
        <v/>
      </c>
      <c r="T916">
        <f>_xlfn.XLOOKUP(tbl_MTG_Set[[#This Row],[Type Name]], tbl_MTG_Set_Type[Set Type], tbl_MTG_Set_Type[Sell Window Month Start], "(Set Type not found)", 0, 1)</f>
        <v/>
      </c>
      <c r="U916" s="3">
        <f>tbl_MTG_Set[[#This Row],[Released On]]+tbl_MTG_Set[[#This Row],[Sell Window Month Start]]*365.25/12</f>
        <v/>
      </c>
      <c r="V916">
        <f>_xlfn.XLOOKUP(tbl_MTG_Set[[#This Row],[Type Name]], tbl_MTG_Set_Type[Set Type], tbl_MTG_Set_Type[Sell Window Month End], "(Set Type not found)", 0, 1)</f>
        <v/>
      </c>
      <c r="W916" s="3">
        <f>tbl_MTG_Set[[#This Row],[Released On]]+tbl_MTG_Set[[#This Row],[Sell Window Month End]]*365.25/12</f>
        <v/>
      </c>
      <c r="X916" s="3">
        <f>AND(NOW()&gt;=tbl_MTG_Set[[#This Row],[Sell Window Start]], NOW()&lt;=tbl_MTG_Set[[#This Row],[Sell Window End]])</f>
        <v/>
      </c>
      <c r="AG916" s="10" t="n"/>
      <c r="AH916" s="10" t="n"/>
      <c r="AM916" s="10">
        <f t="array" ref="AM9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6" s="10">
        <f t="array" ref="AN9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6" s="4">
        <f>_xlfn.XLOOKUP(tbl_MTG_Set[[#This Row],[Play Booster Box Product Id]], tbl_Product[Product Id], tbl_Product[Pack Size])</f>
        <v/>
      </c>
      <c r="AP916" s="10">
        <f>(tbl_MTG_Set[[#This Row],[Play Booster Box Cost]]+v_Item_Shipping_Cost_In)/tbl_MTG_Set[[#This Row],[Play Booster Box Size]]</f>
        <v/>
      </c>
      <c r="AQ916" s="10">
        <f t="array" ref="AQ9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6" s="10" t="n"/>
      <c r="AS916" s="10" t="n"/>
      <c r="AT916" s="17">
        <f>tbl_MTG_Set[[#This Row],[Play Booster CardMarket Profit]]/tbl_MTG_Set[[#This Row],[Play Booster Cost]]</f>
        <v/>
      </c>
      <c r="AU916" s="10">
        <f>_xlfn.XLOOKUP(tbl_MTG_Set[[#This Row],[Collector Booster Box Product Id]], tbl_Product[Product Id], tbl_Product[Min Cost])</f>
        <v/>
      </c>
      <c r="AV916" s="10">
        <f>_xlfn.XLOOKUP(tbl_MTG_Set[[#This Row],[Collector Booster Box Product Id]], tbl_Product[Product Id], tbl_Product[Best Source])</f>
        <v/>
      </c>
      <c r="AW916" s="4">
        <f>_xlfn.XLOOKUP(tbl_MTG_Set[[#This Row],[Collector Booster Box Product Id]], tbl_Product[Product Id], tbl_Product[Pack Size])</f>
        <v/>
      </c>
      <c r="AX916" s="10">
        <f>(tbl_MTG_Set[[#This Row],[Collector Booster Box Cost]] + v_Item_Shipping_Cost_In) / tbl_MTG_Set[[#This Row],[Collector Booster Box Size]]</f>
        <v/>
      </c>
      <c r="AY916" s="10">
        <f t="array" ref="AY9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6" s="10" t="n"/>
      <c r="BA9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6" s="17">
        <f>tbl_MTG_Set[[#This Row],[Collector Booster CardMarket Profit]]/tbl_MTG_Set[[#This Row],[Collector Booster Cost]]</f>
        <v/>
      </c>
      <c r="BC916" s="10" t="n"/>
      <c r="BF916" s="10">
        <f>tbl_MTG_Set[[#This Row],[Play Booster Sell Price CardMarket]]*tbl_MTG_Set[[#This Row],[Play Booster Expected Market Value]]/tbl_MTG_Set[[#This Row],[Play Boost Sealed Market Value]]</f>
        <v/>
      </c>
      <c r="BG9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6" s="10">
        <f>tbl_MTG_Set[[#This Row],[Play Singles CardMarket Profit]]/tbl_MTG_Set[[#This Row],[Play Booster Cost]]</f>
        <v/>
      </c>
      <c r="BI916" s="10">
        <f>tbl_MTG_Set[[#This Row],[Play Singles CardMarket Profit]]&gt;0</f>
        <v/>
      </c>
      <c r="BJ916" s="10" t="n"/>
      <c r="BK916" s="10" t="n"/>
      <c r="BL916" s="10">
        <f>tbl_MTG_Set[[#This Row],[Collector Booster Sell Price CardMarket]]*tbl_MTG_Set[[#This Row],[Collector Booster Expected Market Value]]/tbl_MTG_Set[[#This Row],[Collector Boost Sealed Market Value]]</f>
        <v/>
      </c>
      <c r="BM9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6" s="10">
        <f>tbl_MTG_Set[[#This Row],[Collector Singles CardMarket Profit]]/tbl_MTG_Set[[#This Row],[Collector Booster Cost]]</f>
        <v/>
      </c>
      <c r="BO916" s="10">
        <f>tbl_MTG_Set[[#This Row],[Collector Singles CardMarket Profit]]&gt;0</f>
        <v/>
      </c>
      <c r="BP9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7">
      <c r="A917" t="n">
        <v>915</v>
      </c>
      <c r="B917" t="inlineStr">
        <is>
          <t>Arena League 2002 PAL02</t>
        </is>
      </c>
      <c r="C917" t="n">
        <v>5</v>
      </c>
      <c r="D917" s="3" t="n">
        <v>37257</v>
      </c>
      <c r="F917" t="inlineStr">
        <is>
          <t>en es fr de it pt ja ko ru 汉语 漢語</t>
        </is>
      </c>
      <c r="G917" t="n">
        <v>1776</v>
      </c>
      <c r="H917">
        <f>MONTH(NOW())+12*YEAR(NOW())-MONTH(tbl_MTG_Set[[#This Row],[Released On]])-12*YEAR(tbl_MTG_Set[[#This Row],[Released On]])</f>
        <v/>
      </c>
      <c r="I917">
        <f>_xlfn.XLOOKUP(tbl_MTG_Set[[#This Row],[Type Name]], tbl_MTG_Set_Type[Set Type], tbl_MTG_Set_Type[Index], "(Set Type not found)")</f>
        <v/>
      </c>
      <c r="J917">
        <f>_xlfn.XLOOKUP(tbl_MTG_Set[[#This Row],[Type Name]], tbl_MTG_Set_Type[Set Type], tbl_MTG_Set_Type[Buy Window Month Start], "(Set Type not found)")</f>
        <v/>
      </c>
      <c r="K917" s="3">
        <f>tbl_MTG_Set[[#This Row],[Released On]]+tbl_MTG_Set[[#This Row],[Buy Window Month Start]]*365.25/12</f>
        <v/>
      </c>
      <c r="L917">
        <f>_xlfn.XLOOKUP(tbl_MTG_Set[[#This Row],[Type Name]], tbl_MTG_Set_Type[Set Type], tbl_MTG_Set_Type[Buy Window Month End], "(Set Type not found)", 0, 1)</f>
        <v/>
      </c>
      <c r="M917" s="3">
        <f>tbl_MTG_Set[[#This Row],[Released On]]+tbl_MTG_Set[[#This Row],[Buy Window Month End]]*365.25/12</f>
        <v/>
      </c>
      <c r="N917" s="3">
        <f>AND(NOW()&gt;=tbl_MTG_Set[[#This Row],[Buy Window Start]], NOW()&lt;=tbl_MTG_Set[[#This Row],[Buy Window End]])</f>
        <v/>
      </c>
      <c r="O917">
        <f>_xlfn.XLOOKUP(tbl_MTG_Set[[#This Row],[Type Name]], tbl_MTG_Set_Type[Set Type], tbl_MTG_Set_Type[Heavy Printing Window Month Start], "(Set Type not found)", 0, 1)</f>
        <v/>
      </c>
      <c r="P917" s="3">
        <f>tbl_MTG_Set[[#This Row],[Released On]]+tbl_MTG_Set[[#This Row],[Heavy Printing Window Month Start]]*365.25/12</f>
        <v/>
      </c>
      <c r="Q917">
        <f>_xlfn.XLOOKUP(tbl_MTG_Set[[#This Row],[Type Name]], tbl_MTG_Set_Type[Set Type], tbl_MTG_Set_Type[Heavy Printing Window Month End], "(Set Type not found)", 0, 1)</f>
        <v/>
      </c>
      <c r="R917" s="3">
        <f>tbl_MTG_Set[[#This Row],[Released On]]+tbl_MTG_Set[[#This Row],[Heavy Printing Window Month End]]*365.25/12</f>
        <v/>
      </c>
      <c r="S917" s="3">
        <f>AND(NOW()&gt;=tbl_MTG_Set[[#This Row],[Heavy Printing Window Start]], NOW()&lt;=tbl_MTG_Set[[#This Row],[Heavy Printing Window End]])</f>
        <v/>
      </c>
      <c r="T917">
        <f>_xlfn.XLOOKUP(tbl_MTG_Set[[#This Row],[Type Name]], tbl_MTG_Set_Type[Set Type], tbl_MTG_Set_Type[Sell Window Month Start], "(Set Type not found)", 0, 1)</f>
        <v/>
      </c>
      <c r="U917" s="3">
        <f>tbl_MTG_Set[[#This Row],[Released On]]+tbl_MTG_Set[[#This Row],[Sell Window Month Start]]*365.25/12</f>
        <v/>
      </c>
      <c r="V917">
        <f>_xlfn.XLOOKUP(tbl_MTG_Set[[#This Row],[Type Name]], tbl_MTG_Set_Type[Set Type], tbl_MTG_Set_Type[Sell Window Month End], "(Set Type not found)", 0, 1)</f>
        <v/>
      </c>
      <c r="W917" s="3">
        <f>tbl_MTG_Set[[#This Row],[Released On]]+tbl_MTG_Set[[#This Row],[Sell Window Month End]]*365.25/12</f>
        <v/>
      </c>
      <c r="X917" s="3">
        <f>AND(NOW()&gt;=tbl_MTG_Set[[#This Row],[Sell Window Start]], NOW()&lt;=tbl_MTG_Set[[#This Row],[Sell Window End]])</f>
        <v/>
      </c>
      <c r="AG917" s="10" t="n"/>
      <c r="AH917" s="10" t="n"/>
      <c r="AM917" s="10">
        <f t="array" ref="AM9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7" s="10">
        <f t="array" ref="AN9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7" s="4">
        <f>_xlfn.XLOOKUP(tbl_MTG_Set[[#This Row],[Play Booster Box Product Id]], tbl_Product[Product Id], tbl_Product[Pack Size])</f>
        <v/>
      </c>
      <c r="AP917" s="10">
        <f>(tbl_MTG_Set[[#This Row],[Play Booster Box Cost]]+v_Item_Shipping_Cost_In)/tbl_MTG_Set[[#This Row],[Play Booster Box Size]]</f>
        <v/>
      </c>
      <c r="AQ917" s="10">
        <f t="array" ref="AQ9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7" s="10" t="n"/>
      <c r="AS917" s="10" t="n"/>
      <c r="AT917" s="17">
        <f>tbl_MTG_Set[[#This Row],[Play Booster CardMarket Profit]]/tbl_MTG_Set[[#This Row],[Play Booster Cost]]</f>
        <v/>
      </c>
      <c r="AU917" s="10">
        <f>_xlfn.XLOOKUP(tbl_MTG_Set[[#This Row],[Collector Booster Box Product Id]], tbl_Product[Product Id], tbl_Product[Min Cost])</f>
        <v/>
      </c>
      <c r="AV917" s="10">
        <f>_xlfn.XLOOKUP(tbl_MTG_Set[[#This Row],[Collector Booster Box Product Id]], tbl_Product[Product Id], tbl_Product[Best Source])</f>
        <v/>
      </c>
      <c r="AW917" s="4">
        <f>_xlfn.XLOOKUP(tbl_MTG_Set[[#This Row],[Collector Booster Box Product Id]], tbl_Product[Product Id], tbl_Product[Pack Size])</f>
        <v/>
      </c>
      <c r="AX917" s="10">
        <f>(tbl_MTG_Set[[#This Row],[Collector Booster Box Cost]] + v_Item_Shipping_Cost_In) / tbl_MTG_Set[[#This Row],[Collector Booster Box Size]]</f>
        <v/>
      </c>
      <c r="AY917" s="10">
        <f t="array" ref="AY9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7" s="10" t="n"/>
      <c r="BA9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7" s="17">
        <f>tbl_MTG_Set[[#This Row],[Collector Booster CardMarket Profit]]/tbl_MTG_Set[[#This Row],[Collector Booster Cost]]</f>
        <v/>
      </c>
      <c r="BC917" s="10" t="n"/>
      <c r="BF917" s="10">
        <f>tbl_MTG_Set[[#This Row],[Play Booster Sell Price CardMarket]]*tbl_MTG_Set[[#This Row],[Play Booster Expected Market Value]]/tbl_MTG_Set[[#This Row],[Play Boost Sealed Market Value]]</f>
        <v/>
      </c>
      <c r="BG9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7" s="10">
        <f>tbl_MTG_Set[[#This Row],[Play Singles CardMarket Profit]]/tbl_MTG_Set[[#This Row],[Play Booster Cost]]</f>
        <v/>
      </c>
      <c r="BI917" s="10">
        <f>tbl_MTG_Set[[#This Row],[Play Singles CardMarket Profit]]&gt;0</f>
        <v/>
      </c>
      <c r="BJ917" s="10" t="n"/>
      <c r="BK917" s="10" t="n"/>
      <c r="BL917" s="10">
        <f>tbl_MTG_Set[[#This Row],[Collector Booster Sell Price CardMarket]]*tbl_MTG_Set[[#This Row],[Collector Booster Expected Market Value]]/tbl_MTG_Set[[#This Row],[Collector Boost Sealed Market Value]]</f>
        <v/>
      </c>
      <c r="BM9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7" s="10">
        <f>tbl_MTG_Set[[#This Row],[Collector Singles CardMarket Profit]]/tbl_MTG_Set[[#This Row],[Collector Booster Cost]]</f>
        <v/>
      </c>
      <c r="BO917" s="10">
        <f>tbl_MTG_Set[[#This Row],[Collector Singles CardMarket Profit]]&gt;0</f>
        <v/>
      </c>
      <c r="BP9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8">
      <c r="A918" t="n">
        <v>916</v>
      </c>
      <c r="B918" t="inlineStr">
        <is>
          <t>Magic Player Rewards 2002 PR2</t>
        </is>
      </c>
      <c r="C918" t="n">
        <v>6</v>
      </c>
      <c r="D918" s="3" t="n">
        <v>37257</v>
      </c>
      <c r="F918" t="inlineStr">
        <is>
          <t>en es fr de it pt ja ko ru 汉语 漢語</t>
        </is>
      </c>
      <c r="G918" t="n">
        <v>1778</v>
      </c>
      <c r="H918">
        <f>MONTH(NOW())+12*YEAR(NOW())-MONTH(tbl_MTG_Set[[#This Row],[Released On]])-12*YEAR(tbl_MTG_Set[[#This Row],[Released On]])</f>
        <v/>
      </c>
      <c r="I918">
        <f>_xlfn.XLOOKUP(tbl_MTG_Set[[#This Row],[Type Name]], tbl_MTG_Set_Type[Set Type], tbl_MTG_Set_Type[Index], "(Set Type not found)")</f>
        <v/>
      </c>
      <c r="J918">
        <f>_xlfn.XLOOKUP(tbl_MTG_Set[[#This Row],[Type Name]], tbl_MTG_Set_Type[Set Type], tbl_MTG_Set_Type[Buy Window Month Start], "(Set Type not found)")</f>
        <v/>
      </c>
      <c r="K918" s="3">
        <f>tbl_MTG_Set[[#This Row],[Released On]]+tbl_MTG_Set[[#This Row],[Buy Window Month Start]]*365.25/12</f>
        <v/>
      </c>
      <c r="L918">
        <f>_xlfn.XLOOKUP(tbl_MTG_Set[[#This Row],[Type Name]], tbl_MTG_Set_Type[Set Type], tbl_MTG_Set_Type[Buy Window Month End], "(Set Type not found)", 0, 1)</f>
        <v/>
      </c>
      <c r="M918" s="3">
        <f>tbl_MTG_Set[[#This Row],[Released On]]+tbl_MTG_Set[[#This Row],[Buy Window Month End]]*365.25/12</f>
        <v/>
      </c>
      <c r="N918" s="3">
        <f>AND(NOW()&gt;=tbl_MTG_Set[[#This Row],[Buy Window Start]], NOW()&lt;=tbl_MTG_Set[[#This Row],[Buy Window End]])</f>
        <v/>
      </c>
      <c r="O918">
        <f>_xlfn.XLOOKUP(tbl_MTG_Set[[#This Row],[Type Name]], tbl_MTG_Set_Type[Set Type], tbl_MTG_Set_Type[Heavy Printing Window Month Start], "(Set Type not found)", 0, 1)</f>
        <v/>
      </c>
      <c r="P918" s="3">
        <f>tbl_MTG_Set[[#This Row],[Released On]]+tbl_MTG_Set[[#This Row],[Heavy Printing Window Month Start]]*365.25/12</f>
        <v/>
      </c>
      <c r="Q918">
        <f>_xlfn.XLOOKUP(tbl_MTG_Set[[#This Row],[Type Name]], tbl_MTG_Set_Type[Set Type], tbl_MTG_Set_Type[Heavy Printing Window Month End], "(Set Type not found)", 0, 1)</f>
        <v/>
      </c>
      <c r="R918" s="3">
        <f>tbl_MTG_Set[[#This Row],[Released On]]+tbl_MTG_Set[[#This Row],[Heavy Printing Window Month End]]*365.25/12</f>
        <v/>
      </c>
      <c r="S918" s="3">
        <f>AND(NOW()&gt;=tbl_MTG_Set[[#This Row],[Heavy Printing Window Start]], NOW()&lt;=tbl_MTG_Set[[#This Row],[Heavy Printing Window End]])</f>
        <v/>
      </c>
      <c r="T918">
        <f>_xlfn.XLOOKUP(tbl_MTG_Set[[#This Row],[Type Name]], tbl_MTG_Set_Type[Set Type], tbl_MTG_Set_Type[Sell Window Month Start], "(Set Type not found)", 0, 1)</f>
        <v/>
      </c>
      <c r="U918" s="3">
        <f>tbl_MTG_Set[[#This Row],[Released On]]+tbl_MTG_Set[[#This Row],[Sell Window Month Start]]*365.25/12</f>
        <v/>
      </c>
      <c r="V918">
        <f>_xlfn.XLOOKUP(tbl_MTG_Set[[#This Row],[Type Name]], tbl_MTG_Set_Type[Set Type], tbl_MTG_Set_Type[Sell Window Month End], "(Set Type not found)", 0, 1)</f>
        <v/>
      </c>
      <c r="W918" s="3">
        <f>tbl_MTG_Set[[#This Row],[Released On]]+tbl_MTG_Set[[#This Row],[Sell Window Month End]]*365.25/12</f>
        <v/>
      </c>
      <c r="X918" s="3">
        <f>AND(NOW()&gt;=tbl_MTG_Set[[#This Row],[Sell Window Start]], NOW()&lt;=tbl_MTG_Set[[#This Row],[Sell Window End]])</f>
        <v/>
      </c>
      <c r="AG918" s="10" t="n"/>
      <c r="AH918" s="10" t="n"/>
      <c r="AM918" s="10">
        <f t="array" ref="AM9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8" s="10">
        <f t="array" ref="AN9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8" s="4">
        <f>_xlfn.XLOOKUP(tbl_MTG_Set[[#This Row],[Play Booster Box Product Id]], tbl_Product[Product Id], tbl_Product[Pack Size])</f>
        <v/>
      </c>
      <c r="AP918" s="10">
        <f>(tbl_MTG_Set[[#This Row],[Play Booster Box Cost]]+v_Item_Shipping_Cost_In)/tbl_MTG_Set[[#This Row],[Play Booster Box Size]]</f>
        <v/>
      </c>
      <c r="AQ918" s="10">
        <f t="array" ref="AQ9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8" s="10" t="n"/>
      <c r="AS918" s="10" t="n"/>
      <c r="AT918" s="17">
        <f>tbl_MTG_Set[[#This Row],[Play Booster CardMarket Profit]]/tbl_MTG_Set[[#This Row],[Play Booster Cost]]</f>
        <v/>
      </c>
      <c r="AU918" s="10">
        <f>_xlfn.XLOOKUP(tbl_MTG_Set[[#This Row],[Collector Booster Box Product Id]], tbl_Product[Product Id], tbl_Product[Min Cost])</f>
        <v/>
      </c>
      <c r="AV918" s="10">
        <f>_xlfn.XLOOKUP(tbl_MTG_Set[[#This Row],[Collector Booster Box Product Id]], tbl_Product[Product Id], tbl_Product[Best Source])</f>
        <v/>
      </c>
      <c r="AW918" s="4">
        <f>_xlfn.XLOOKUP(tbl_MTG_Set[[#This Row],[Collector Booster Box Product Id]], tbl_Product[Product Id], tbl_Product[Pack Size])</f>
        <v/>
      </c>
      <c r="AX918" s="10">
        <f>(tbl_MTG_Set[[#This Row],[Collector Booster Box Cost]] + v_Item_Shipping_Cost_In) / tbl_MTG_Set[[#This Row],[Collector Booster Box Size]]</f>
        <v/>
      </c>
      <c r="AY918" s="10">
        <f t="array" ref="AY9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8" s="10" t="n"/>
      <c r="BA9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8" s="17">
        <f>tbl_MTG_Set[[#This Row],[Collector Booster CardMarket Profit]]/tbl_MTG_Set[[#This Row],[Collector Booster Cost]]</f>
        <v/>
      </c>
      <c r="BC918" s="10" t="n"/>
      <c r="BF918" s="10">
        <f>tbl_MTG_Set[[#This Row],[Play Booster Sell Price CardMarket]]*tbl_MTG_Set[[#This Row],[Play Booster Expected Market Value]]/tbl_MTG_Set[[#This Row],[Play Boost Sealed Market Value]]</f>
        <v/>
      </c>
      <c r="BG9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8" s="10">
        <f>tbl_MTG_Set[[#This Row],[Play Singles CardMarket Profit]]/tbl_MTG_Set[[#This Row],[Play Booster Cost]]</f>
        <v/>
      </c>
      <c r="BI918" s="10">
        <f>tbl_MTG_Set[[#This Row],[Play Singles CardMarket Profit]]&gt;0</f>
        <v/>
      </c>
      <c r="BJ918" s="10" t="n"/>
      <c r="BK918" s="10" t="n"/>
      <c r="BL918" s="10">
        <f>tbl_MTG_Set[[#This Row],[Collector Booster Sell Price CardMarket]]*tbl_MTG_Set[[#This Row],[Collector Booster Expected Market Value]]/tbl_MTG_Set[[#This Row],[Collector Boost Sealed Market Value]]</f>
        <v/>
      </c>
      <c r="BM9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8" s="10">
        <f>tbl_MTG_Set[[#This Row],[Collector Singles CardMarket Profit]]/tbl_MTG_Set[[#This Row],[Collector Booster Cost]]</f>
        <v/>
      </c>
      <c r="BO918" s="10">
        <f>tbl_MTG_Set[[#This Row],[Collector Singles CardMarket Profit]]&gt;0</f>
        <v/>
      </c>
      <c r="BP9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9">
      <c r="A919" t="n">
        <v>917</v>
      </c>
      <c r="B919" t="inlineStr">
        <is>
          <t>Judge Gift Cards 2002 G02</t>
        </is>
      </c>
      <c r="C919" t="n">
        <v>2</v>
      </c>
      <c r="D919" s="3" t="n">
        <v>37257</v>
      </c>
      <c r="F919" t="inlineStr">
        <is>
          <t>en es fr de it pt ja ko ru 汉语 漢語</t>
        </is>
      </c>
      <c r="G919" t="n">
        <v>1780</v>
      </c>
      <c r="H919">
        <f>MONTH(NOW())+12*YEAR(NOW())-MONTH(tbl_MTG_Set[[#This Row],[Released On]])-12*YEAR(tbl_MTG_Set[[#This Row],[Released On]])</f>
        <v/>
      </c>
      <c r="I919">
        <f>_xlfn.XLOOKUP(tbl_MTG_Set[[#This Row],[Type Name]], tbl_MTG_Set_Type[Set Type], tbl_MTG_Set_Type[Index], "(Set Type not found)")</f>
        <v/>
      </c>
      <c r="J919">
        <f>_xlfn.XLOOKUP(tbl_MTG_Set[[#This Row],[Type Name]], tbl_MTG_Set_Type[Set Type], tbl_MTG_Set_Type[Buy Window Month Start], "(Set Type not found)")</f>
        <v/>
      </c>
      <c r="K919" s="3">
        <f>tbl_MTG_Set[[#This Row],[Released On]]+tbl_MTG_Set[[#This Row],[Buy Window Month Start]]*365.25/12</f>
        <v/>
      </c>
      <c r="L919">
        <f>_xlfn.XLOOKUP(tbl_MTG_Set[[#This Row],[Type Name]], tbl_MTG_Set_Type[Set Type], tbl_MTG_Set_Type[Buy Window Month End], "(Set Type not found)", 0, 1)</f>
        <v/>
      </c>
      <c r="M919" s="3">
        <f>tbl_MTG_Set[[#This Row],[Released On]]+tbl_MTG_Set[[#This Row],[Buy Window Month End]]*365.25/12</f>
        <v/>
      </c>
      <c r="N919" s="3">
        <f>AND(NOW()&gt;=tbl_MTG_Set[[#This Row],[Buy Window Start]], NOW()&lt;=tbl_MTG_Set[[#This Row],[Buy Window End]])</f>
        <v/>
      </c>
      <c r="O919">
        <f>_xlfn.XLOOKUP(tbl_MTG_Set[[#This Row],[Type Name]], tbl_MTG_Set_Type[Set Type], tbl_MTG_Set_Type[Heavy Printing Window Month Start], "(Set Type not found)", 0, 1)</f>
        <v/>
      </c>
      <c r="P919" s="3">
        <f>tbl_MTG_Set[[#This Row],[Released On]]+tbl_MTG_Set[[#This Row],[Heavy Printing Window Month Start]]*365.25/12</f>
        <v/>
      </c>
      <c r="Q919">
        <f>_xlfn.XLOOKUP(tbl_MTG_Set[[#This Row],[Type Name]], tbl_MTG_Set_Type[Set Type], tbl_MTG_Set_Type[Heavy Printing Window Month End], "(Set Type not found)", 0, 1)</f>
        <v/>
      </c>
      <c r="R919" s="3">
        <f>tbl_MTG_Set[[#This Row],[Released On]]+tbl_MTG_Set[[#This Row],[Heavy Printing Window Month End]]*365.25/12</f>
        <v/>
      </c>
      <c r="S919" s="3">
        <f>AND(NOW()&gt;=tbl_MTG_Set[[#This Row],[Heavy Printing Window Start]], NOW()&lt;=tbl_MTG_Set[[#This Row],[Heavy Printing Window End]])</f>
        <v/>
      </c>
      <c r="T919">
        <f>_xlfn.XLOOKUP(tbl_MTG_Set[[#This Row],[Type Name]], tbl_MTG_Set_Type[Set Type], tbl_MTG_Set_Type[Sell Window Month Start], "(Set Type not found)", 0, 1)</f>
        <v/>
      </c>
      <c r="U919" s="3">
        <f>tbl_MTG_Set[[#This Row],[Released On]]+tbl_MTG_Set[[#This Row],[Sell Window Month Start]]*365.25/12</f>
        <v/>
      </c>
      <c r="V919">
        <f>_xlfn.XLOOKUP(tbl_MTG_Set[[#This Row],[Type Name]], tbl_MTG_Set_Type[Set Type], tbl_MTG_Set_Type[Sell Window Month End], "(Set Type not found)", 0, 1)</f>
        <v/>
      </c>
      <c r="W919" s="3">
        <f>tbl_MTG_Set[[#This Row],[Released On]]+tbl_MTG_Set[[#This Row],[Sell Window Month End]]*365.25/12</f>
        <v/>
      </c>
      <c r="X919" s="3">
        <f>AND(NOW()&gt;=tbl_MTG_Set[[#This Row],[Sell Window Start]], NOW()&lt;=tbl_MTG_Set[[#This Row],[Sell Window End]])</f>
        <v/>
      </c>
      <c r="AG919" s="10" t="n"/>
      <c r="AH919" s="10" t="n"/>
      <c r="AM919" s="10">
        <f t="array" ref="AM9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9" s="10">
        <f t="array" ref="AN9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9" s="4">
        <f>_xlfn.XLOOKUP(tbl_MTG_Set[[#This Row],[Play Booster Box Product Id]], tbl_Product[Product Id], tbl_Product[Pack Size])</f>
        <v/>
      </c>
      <c r="AP919" s="10">
        <f>(tbl_MTG_Set[[#This Row],[Play Booster Box Cost]]+v_Item_Shipping_Cost_In)/tbl_MTG_Set[[#This Row],[Play Booster Box Size]]</f>
        <v/>
      </c>
      <c r="AQ919" s="10">
        <f t="array" ref="AQ9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19" s="10" t="n"/>
      <c r="AS919" s="10" t="n"/>
      <c r="AT919" s="17">
        <f>tbl_MTG_Set[[#This Row],[Play Booster CardMarket Profit]]/tbl_MTG_Set[[#This Row],[Play Booster Cost]]</f>
        <v/>
      </c>
      <c r="AU919" s="10">
        <f>_xlfn.XLOOKUP(tbl_MTG_Set[[#This Row],[Collector Booster Box Product Id]], tbl_Product[Product Id], tbl_Product[Min Cost])</f>
        <v/>
      </c>
      <c r="AV919" s="10">
        <f>_xlfn.XLOOKUP(tbl_MTG_Set[[#This Row],[Collector Booster Box Product Id]], tbl_Product[Product Id], tbl_Product[Best Source])</f>
        <v/>
      </c>
      <c r="AW919" s="4">
        <f>_xlfn.XLOOKUP(tbl_MTG_Set[[#This Row],[Collector Booster Box Product Id]], tbl_Product[Product Id], tbl_Product[Pack Size])</f>
        <v/>
      </c>
      <c r="AX919" s="10">
        <f>(tbl_MTG_Set[[#This Row],[Collector Booster Box Cost]] + v_Item_Shipping_Cost_In) / tbl_MTG_Set[[#This Row],[Collector Booster Box Size]]</f>
        <v/>
      </c>
      <c r="AY919" s="10">
        <f t="array" ref="AY9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19" s="10" t="n"/>
      <c r="BA9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9" s="17">
        <f>tbl_MTG_Set[[#This Row],[Collector Booster CardMarket Profit]]/tbl_MTG_Set[[#This Row],[Collector Booster Cost]]</f>
        <v/>
      </c>
      <c r="BC919" s="10" t="n"/>
      <c r="BF919" s="10">
        <f>tbl_MTG_Set[[#This Row],[Play Booster Sell Price CardMarket]]*tbl_MTG_Set[[#This Row],[Play Booster Expected Market Value]]/tbl_MTG_Set[[#This Row],[Play Boost Sealed Market Value]]</f>
        <v/>
      </c>
      <c r="BG9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9" s="10">
        <f>tbl_MTG_Set[[#This Row],[Play Singles CardMarket Profit]]/tbl_MTG_Set[[#This Row],[Play Booster Cost]]</f>
        <v/>
      </c>
      <c r="BI919" s="10">
        <f>tbl_MTG_Set[[#This Row],[Play Singles CardMarket Profit]]&gt;0</f>
        <v/>
      </c>
      <c r="BJ919" s="10" t="n"/>
      <c r="BK919" s="10" t="n"/>
      <c r="BL919" s="10">
        <f>tbl_MTG_Set[[#This Row],[Collector Booster Sell Price CardMarket]]*tbl_MTG_Set[[#This Row],[Collector Booster Expected Market Value]]/tbl_MTG_Set[[#This Row],[Collector Boost Sealed Market Value]]</f>
        <v/>
      </c>
      <c r="BM9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9" s="10">
        <f>tbl_MTG_Set[[#This Row],[Collector Singles CardMarket Profit]]/tbl_MTG_Set[[#This Row],[Collector Booster Cost]]</f>
        <v/>
      </c>
      <c r="BO919" s="10">
        <f>tbl_MTG_Set[[#This Row],[Collector Singles CardMarket Profit]]&gt;0</f>
        <v/>
      </c>
      <c r="BP9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0">
      <c r="A920" t="n">
        <v>918</v>
      </c>
      <c r="B920" t="inlineStr">
        <is>
          <t>Friday Night Magic 2002 F02</t>
        </is>
      </c>
      <c r="C920" t="n">
        <v>12</v>
      </c>
      <c r="D920" s="3" t="n">
        <v>37257</v>
      </c>
      <c r="F920" t="inlineStr">
        <is>
          <t>en es fr de it pt ja ko ru 汉语 漢語</t>
        </is>
      </c>
      <c r="G920" t="n">
        <v>1782</v>
      </c>
      <c r="H920">
        <f>MONTH(NOW())+12*YEAR(NOW())-MONTH(tbl_MTG_Set[[#This Row],[Released On]])-12*YEAR(tbl_MTG_Set[[#This Row],[Released On]])</f>
        <v/>
      </c>
      <c r="I920">
        <f>_xlfn.XLOOKUP(tbl_MTG_Set[[#This Row],[Type Name]], tbl_MTG_Set_Type[Set Type], tbl_MTG_Set_Type[Index], "(Set Type not found)")</f>
        <v/>
      </c>
      <c r="J920">
        <f>_xlfn.XLOOKUP(tbl_MTG_Set[[#This Row],[Type Name]], tbl_MTG_Set_Type[Set Type], tbl_MTG_Set_Type[Buy Window Month Start], "(Set Type not found)")</f>
        <v/>
      </c>
      <c r="K920" s="3">
        <f>tbl_MTG_Set[[#This Row],[Released On]]+tbl_MTG_Set[[#This Row],[Buy Window Month Start]]*365.25/12</f>
        <v/>
      </c>
      <c r="L920">
        <f>_xlfn.XLOOKUP(tbl_MTG_Set[[#This Row],[Type Name]], tbl_MTG_Set_Type[Set Type], tbl_MTG_Set_Type[Buy Window Month End], "(Set Type not found)", 0, 1)</f>
        <v/>
      </c>
      <c r="M920" s="3">
        <f>tbl_MTG_Set[[#This Row],[Released On]]+tbl_MTG_Set[[#This Row],[Buy Window Month End]]*365.25/12</f>
        <v/>
      </c>
      <c r="N920" s="3">
        <f>AND(NOW()&gt;=tbl_MTG_Set[[#This Row],[Buy Window Start]], NOW()&lt;=tbl_MTG_Set[[#This Row],[Buy Window End]])</f>
        <v/>
      </c>
      <c r="O920">
        <f>_xlfn.XLOOKUP(tbl_MTG_Set[[#This Row],[Type Name]], tbl_MTG_Set_Type[Set Type], tbl_MTG_Set_Type[Heavy Printing Window Month Start], "(Set Type not found)", 0, 1)</f>
        <v/>
      </c>
      <c r="P920" s="3">
        <f>tbl_MTG_Set[[#This Row],[Released On]]+tbl_MTG_Set[[#This Row],[Heavy Printing Window Month Start]]*365.25/12</f>
        <v/>
      </c>
      <c r="Q920">
        <f>_xlfn.XLOOKUP(tbl_MTG_Set[[#This Row],[Type Name]], tbl_MTG_Set_Type[Set Type], tbl_MTG_Set_Type[Heavy Printing Window Month End], "(Set Type not found)", 0, 1)</f>
        <v/>
      </c>
      <c r="R920" s="3">
        <f>tbl_MTG_Set[[#This Row],[Released On]]+tbl_MTG_Set[[#This Row],[Heavy Printing Window Month End]]*365.25/12</f>
        <v/>
      </c>
      <c r="S920" s="3">
        <f>AND(NOW()&gt;=tbl_MTG_Set[[#This Row],[Heavy Printing Window Start]], NOW()&lt;=tbl_MTG_Set[[#This Row],[Heavy Printing Window End]])</f>
        <v/>
      </c>
      <c r="T920">
        <f>_xlfn.XLOOKUP(tbl_MTG_Set[[#This Row],[Type Name]], tbl_MTG_Set_Type[Set Type], tbl_MTG_Set_Type[Sell Window Month Start], "(Set Type not found)", 0, 1)</f>
        <v/>
      </c>
      <c r="U920" s="3">
        <f>tbl_MTG_Set[[#This Row],[Released On]]+tbl_MTG_Set[[#This Row],[Sell Window Month Start]]*365.25/12</f>
        <v/>
      </c>
      <c r="V920">
        <f>_xlfn.XLOOKUP(tbl_MTG_Set[[#This Row],[Type Name]], tbl_MTG_Set_Type[Set Type], tbl_MTG_Set_Type[Sell Window Month End], "(Set Type not found)", 0, 1)</f>
        <v/>
      </c>
      <c r="W920" s="3">
        <f>tbl_MTG_Set[[#This Row],[Released On]]+tbl_MTG_Set[[#This Row],[Sell Window Month End]]*365.25/12</f>
        <v/>
      </c>
      <c r="X920" s="3">
        <f>AND(NOW()&gt;=tbl_MTG_Set[[#This Row],[Sell Window Start]], NOW()&lt;=tbl_MTG_Set[[#This Row],[Sell Window End]])</f>
        <v/>
      </c>
      <c r="AG920" s="10" t="n"/>
      <c r="AH920" s="10" t="n"/>
      <c r="AM920" s="10">
        <f t="array" ref="AM9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0" s="10">
        <f t="array" ref="AN9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0" s="4">
        <f>_xlfn.XLOOKUP(tbl_MTG_Set[[#This Row],[Play Booster Box Product Id]], tbl_Product[Product Id], tbl_Product[Pack Size])</f>
        <v/>
      </c>
      <c r="AP920" s="10">
        <f>(tbl_MTG_Set[[#This Row],[Play Booster Box Cost]]+v_Item_Shipping_Cost_In)/tbl_MTG_Set[[#This Row],[Play Booster Box Size]]</f>
        <v/>
      </c>
      <c r="AQ920" s="10">
        <f t="array" ref="AQ9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0" s="10" t="n"/>
      <c r="AS920" s="10" t="n"/>
      <c r="AT920" s="17">
        <f>tbl_MTG_Set[[#This Row],[Play Booster CardMarket Profit]]/tbl_MTG_Set[[#This Row],[Play Booster Cost]]</f>
        <v/>
      </c>
      <c r="AU920" s="10">
        <f>_xlfn.XLOOKUP(tbl_MTG_Set[[#This Row],[Collector Booster Box Product Id]], tbl_Product[Product Id], tbl_Product[Min Cost])</f>
        <v/>
      </c>
      <c r="AV920" s="10">
        <f>_xlfn.XLOOKUP(tbl_MTG_Set[[#This Row],[Collector Booster Box Product Id]], tbl_Product[Product Id], tbl_Product[Best Source])</f>
        <v/>
      </c>
      <c r="AW920" s="4">
        <f>_xlfn.XLOOKUP(tbl_MTG_Set[[#This Row],[Collector Booster Box Product Id]], tbl_Product[Product Id], tbl_Product[Pack Size])</f>
        <v/>
      </c>
      <c r="AX920" s="10">
        <f>(tbl_MTG_Set[[#This Row],[Collector Booster Box Cost]] + v_Item_Shipping_Cost_In) / tbl_MTG_Set[[#This Row],[Collector Booster Box Size]]</f>
        <v/>
      </c>
      <c r="AY920" s="10">
        <f t="array" ref="AY9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0" s="10" t="n"/>
      <c r="BA9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0" s="17">
        <f>tbl_MTG_Set[[#This Row],[Collector Booster CardMarket Profit]]/tbl_MTG_Set[[#This Row],[Collector Booster Cost]]</f>
        <v/>
      </c>
      <c r="BC920" s="10" t="n"/>
      <c r="BF920" s="10">
        <f>tbl_MTG_Set[[#This Row],[Play Booster Sell Price CardMarket]]*tbl_MTG_Set[[#This Row],[Play Booster Expected Market Value]]/tbl_MTG_Set[[#This Row],[Play Boost Sealed Market Value]]</f>
        <v/>
      </c>
      <c r="BG9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0" s="10">
        <f>tbl_MTG_Set[[#This Row],[Play Singles CardMarket Profit]]/tbl_MTG_Set[[#This Row],[Play Booster Cost]]</f>
        <v/>
      </c>
      <c r="BI920" s="10">
        <f>tbl_MTG_Set[[#This Row],[Play Singles CardMarket Profit]]&gt;0</f>
        <v/>
      </c>
      <c r="BJ920" s="10" t="n"/>
      <c r="BK920" s="10" t="n"/>
      <c r="BL920" s="10">
        <f>tbl_MTG_Set[[#This Row],[Collector Booster Sell Price CardMarket]]*tbl_MTG_Set[[#This Row],[Collector Booster Expected Market Value]]/tbl_MTG_Set[[#This Row],[Collector Boost Sealed Market Value]]</f>
        <v/>
      </c>
      <c r="BM9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0" s="10">
        <f>tbl_MTG_Set[[#This Row],[Collector Singles CardMarket Profit]]/tbl_MTG_Set[[#This Row],[Collector Booster Cost]]</f>
        <v/>
      </c>
      <c r="BO920" s="10">
        <f>tbl_MTG_Set[[#This Row],[Collector Singles CardMarket Profit]]&gt;0</f>
        <v/>
      </c>
      <c r="BP9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1">
      <c r="A921" t="n">
        <v>919</v>
      </c>
      <c r="B921" t="inlineStr">
        <is>
          <t>Deckmasters DKM</t>
        </is>
      </c>
      <c r="C921" t="n">
        <v>58</v>
      </c>
      <c r="D921" s="3" t="n">
        <v>37226</v>
      </c>
      <c r="F921" t="inlineStr">
        <is>
          <t>en es fr de it pt ja ko ru 汉语 漢語</t>
        </is>
      </c>
      <c r="G921" t="n">
        <v>1784</v>
      </c>
      <c r="H921">
        <f>MONTH(NOW())+12*YEAR(NOW())-MONTH(tbl_MTG_Set[[#This Row],[Released On]])-12*YEAR(tbl_MTG_Set[[#This Row],[Released On]])</f>
        <v/>
      </c>
      <c r="I921">
        <f>_xlfn.XLOOKUP(tbl_MTG_Set[[#This Row],[Type Name]], tbl_MTG_Set_Type[Set Type], tbl_MTG_Set_Type[Index], "(Set Type not found)")</f>
        <v/>
      </c>
      <c r="J921">
        <f>_xlfn.XLOOKUP(tbl_MTG_Set[[#This Row],[Type Name]], tbl_MTG_Set_Type[Set Type], tbl_MTG_Set_Type[Buy Window Month Start], "(Set Type not found)")</f>
        <v/>
      </c>
      <c r="K921" s="3">
        <f>tbl_MTG_Set[[#This Row],[Released On]]+tbl_MTG_Set[[#This Row],[Buy Window Month Start]]*365.25/12</f>
        <v/>
      </c>
      <c r="L921">
        <f>_xlfn.XLOOKUP(tbl_MTG_Set[[#This Row],[Type Name]], tbl_MTG_Set_Type[Set Type], tbl_MTG_Set_Type[Buy Window Month End], "(Set Type not found)", 0, 1)</f>
        <v/>
      </c>
      <c r="M921" s="3">
        <f>tbl_MTG_Set[[#This Row],[Released On]]+tbl_MTG_Set[[#This Row],[Buy Window Month End]]*365.25/12</f>
        <v/>
      </c>
      <c r="N921" s="3">
        <f>AND(NOW()&gt;=tbl_MTG_Set[[#This Row],[Buy Window Start]], NOW()&lt;=tbl_MTG_Set[[#This Row],[Buy Window End]])</f>
        <v/>
      </c>
      <c r="O921">
        <f>_xlfn.XLOOKUP(tbl_MTG_Set[[#This Row],[Type Name]], tbl_MTG_Set_Type[Set Type], tbl_MTG_Set_Type[Heavy Printing Window Month Start], "(Set Type not found)", 0, 1)</f>
        <v/>
      </c>
      <c r="P921" s="3">
        <f>tbl_MTG_Set[[#This Row],[Released On]]+tbl_MTG_Set[[#This Row],[Heavy Printing Window Month Start]]*365.25/12</f>
        <v/>
      </c>
      <c r="Q921">
        <f>_xlfn.XLOOKUP(tbl_MTG_Set[[#This Row],[Type Name]], tbl_MTG_Set_Type[Set Type], tbl_MTG_Set_Type[Heavy Printing Window Month End], "(Set Type not found)", 0, 1)</f>
        <v/>
      </c>
      <c r="R921" s="3">
        <f>tbl_MTG_Set[[#This Row],[Released On]]+tbl_MTG_Set[[#This Row],[Heavy Printing Window Month End]]*365.25/12</f>
        <v/>
      </c>
      <c r="S921" s="3">
        <f>AND(NOW()&gt;=tbl_MTG_Set[[#This Row],[Heavy Printing Window Start]], NOW()&lt;=tbl_MTG_Set[[#This Row],[Heavy Printing Window End]])</f>
        <v/>
      </c>
      <c r="T921">
        <f>_xlfn.XLOOKUP(tbl_MTG_Set[[#This Row],[Type Name]], tbl_MTG_Set_Type[Set Type], tbl_MTG_Set_Type[Sell Window Month Start], "(Set Type not found)", 0, 1)</f>
        <v/>
      </c>
      <c r="U921" s="3">
        <f>tbl_MTG_Set[[#This Row],[Released On]]+tbl_MTG_Set[[#This Row],[Sell Window Month Start]]*365.25/12</f>
        <v/>
      </c>
      <c r="V921">
        <f>_xlfn.XLOOKUP(tbl_MTG_Set[[#This Row],[Type Name]], tbl_MTG_Set_Type[Set Type], tbl_MTG_Set_Type[Sell Window Month End], "(Set Type not found)", 0, 1)</f>
        <v/>
      </c>
      <c r="W921" s="3">
        <f>tbl_MTG_Set[[#This Row],[Released On]]+tbl_MTG_Set[[#This Row],[Sell Window Month End]]*365.25/12</f>
        <v/>
      </c>
      <c r="X921" s="3">
        <f>AND(NOW()&gt;=tbl_MTG_Set[[#This Row],[Sell Window Start]], NOW()&lt;=tbl_MTG_Set[[#This Row],[Sell Window End]])</f>
        <v/>
      </c>
      <c r="AG921" s="10" t="n"/>
      <c r="AH921" s="10" t="n"/>
      <c r="AM921" s="10">
        <f t="array" ref="AM9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1" s="10">
        <f t="array" ref="AN9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1" s="4">
        <f>_xlfn.XLOOKUP(tbl_MTG_Set[[#This Row],[Play Booster Box Product Id]], tbl_Product[Product Id], tbl_Product[Pack Size])</f>
        <v/>
      </c>
      <c r="AP921" s="10">
        <f>(tbl_MTG_Set[[#This Row],[Play Booster Box Cost]]+v_Item_Shipping_Cost_In)/tbl_MTG_Set[[#This Row],[Play Booster Box Size]]</f>
        <v/>
      </c>
      <c r="AQ921" s="10">
        <f t="array" ref="AQ9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1" s="10" t="n"/>
      <c r="AS921" s="10" t="n"/>
      <c r="AT921" s="17">
        <f>tbl_MTG_Set[[#This Row],[Play Booster CardMarket Profit]]/tbl_MTG_Set[[#This Row],[Play Booster Cost]]</f>
        <v/>
      </c>
      <c r="AU921" s="10">
        <f>_xlfn.XLOOKUP(tbl_MTG_Set[[#This Row],[Collector Booster Box Product Id]], tbl_Product[Product Id], tbl_Product[Min Cost])</f>
        <v/>
      </c>
      <c r="AV921" s="10">
        <f>_xlfn.XLOOKUP(tbl_MTG_Set[[#This Row],[Collector Booster Box Product Id]], tbl_Product[Product Id], tbl_Product[Best Source])</f>
        <v/>
      </c>
      <c r="AW921" s="4">
        <f>_xlfn.XLOOKUP(tbl_MTG_Set[[#This Row],[Collector Booster Box Product Id]], tbl_Product[Product Id], tbl_Product[Pack Size])</f>
        <v/>
      </c>
      <c r="AX921" s="10">
        <f>(tbl_MTG_Set[[#This Row],[Collector Booster Box Cost]] + v_Item_Shipping_Cost_In) / tbl_MTG_Set[[#This Row],[Collector Booster Box Size]]</f>
        <v/>
      </c>
      <c r="AY921" s="10">
        <f t="array" ref="AY9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1" s="10" t="n"/>
      <c r="BA9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1" s="17">
        <f>tbl_MTG_Set[[#This Row],[Collector Booster CardMarket Profit]]/tbl_MTG_Set[[#This Row],[Collector Booster Cost]]</f>
        <v/>
      </c>
      <c r="BC921" s="10" t="n"/>
      <c r="BF921" s="10">
        <f>tbl_MTG_Set[[#This Row],[Play Booster Sell Price CardMarket]]*tbl_MTG_Set[[#This Row],[Play Booster Expected Market Value]]/tbl_MTG_Set[[#This Row],[Play Boost Sealed Market Value]]</f>
        <v/>
      </c>
      <c r="BG9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1" s="10">
        <f>tbl_MTG_Set[[#This Row],[Play Singles CardMarket Profit]]/tbl_MTG_Set[[#This Row],[Play Booster Cost]]</f>
        <v/>
      </c>
      <c r="BI921" s="10">
        <f>tbl_MTG_Set[[#This Row],[Play Singles CardMarket Profit]]&gt;0</f>
        <v/>
      </c>
      <c r="BJ921" s="10" t="n"/>
      <c r="BK921" s="10" t="n"/>
      <c r="BL921" s="10">
        <f>tbl_MTG_Set[[#This Row],[Collector Booster Sell Price CardMarket]]*tbl_MTG_Set[[#This Row],[Collector Booster Expected Market Value]]/tbl_MTG_Set[[#This Row],[Collector Boost Sealed Market Value]]</f>
        <v/>
      </c>
      <c r="BM9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1" s="10">
        <f>tbl_MTG_Set[[#This Row],[Collector Singles CardMarket Profit]]/tbl_MTG_Set[[#This Row],[Collector Booster Cost]]</f>
        <v/>
      </c>
      <c r="BO921" s="10">
        <f>tbl_MTG_Set[[#This Row],[Collector Singles CardMarket Profit]]&gt;0</f>
        <v/>
      </c>
      <c r="BP9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2">
      <c r="A922" t="n">
        <v>920</v>
      </c>
      <c r="B922" t="inlineStr">
        <is>
          <t>Odyssey ODY</t>
        </is>
      </c>
      <c r="C922" t="n">
        <v>353</v>
      </c>
      <c r="D922" s="3" t="n">
        <v>37165</v>
      </c>
      <c r="F922" t="inlineStr">
        <is>
          <t>en es fr de it pt ja ko ru 汉语 漢語</t>
        </is>
      </c>
      <c r="G922" t="n">
        <v>1786</v>
      </c>
      <c r="H922">
        <f>MONTH(NOW())+12*YEAR(NOW())-MONTH(tbl_MTG_Set[[#This Row],[Released On]])-12*YEAR(tbl_MTG_Set[[#This Row],[Released On]])</f>
        <v/>
      </c>
      <c r="I922">
        <f>_xlfn.XLOOKUP(tbl_MTG_Set[[#This Row],[Type Name]], tbl_MTG_Set_Type[Set Type], tbl_MTG_Set_Type[Index], "(Set Type not found)")</f>
        <v/>
      </c>
      <c r="J922">
        <f>_xlfn.XLOOKUP(tbl_MTG_Set[[#This Row],[Type Name]], tbl_MTG_Set_Type[Set Type], tbl_MTG_Set_Type[Buy Window Month Start], "(Set Type not found)")</f>
        <v/>
      </c>
      <c r="K922" s="3">
        <f>tbl_MTG_Set[[#This Row],[Released On]]+tbl_MTG_Set[[#This Row],[Buy Window Month Start]]*365.25/12</f>
        <v/>
      </c>
      <c r="L922">
        <f>_xlfn.XLOOKUP(tbl_MTG_Set[[#This Row],[Type Name]], tbl_MTG_Set_Type[Set Type], tbl_MTG_Set_Type[Buy Window Month End], "(Set Type not found)", 0, 1)</f>
        <v/>
      </c>
      <c r="M922" s="3">
        <f>tbl_MTG_Set[[#This Row],[Released On]]+tbl_MTG_Set[[#This Row],[Buy Window Month End]]*365.25/12</f>
        <v/>
      </c>
      <c r="N922" s="3">
        <f>AND(NOW()&gt;=tbl_MTG_Set[[#This Row],[Buy Window Start]], NOW()&lt;=tbl_MTG_Set[[#This Row],[Buy Window End]])</f>
        <v/>
      </c>
      <c r="O922">
        <f>_xlfn.XLOOKUP(tbl_MTG_Set[[#This Row],[Type Name]], tbl_MTG_Set_Type[Set Type], tbl_MTG_Set_Type[Heavy Printing Window Month Start], "(Set Type not found)", 0, 1)</f>
        <v/>
      </c>
      <c r="P922" s="3">
        <f>tbl_MTG_Set[[#This Row],[Released On]]+tbl_MTG_Set[[#This Row],[Heavy Printing Window Month Start]]*365.25/12</f>
        <v/>
      </c>
      <c r="Q922">
        <f>_xlfn.XLOOKUP(tbl_MTG_Set[[#This Row],[Type Name]], tbl_MTG_Set_Type[Set Type], tbl_MTG_Set_Type[Heavy Printing Window Month End], "(Set Type not found)", 0, 1)</f>
        <v/>
      </c>
      <c r="R922" s="3">
        <f>tbl_MTG_Set[[#This Row],[Released On]]+tbl_MTG_Set[[#This Row],[Heavy Printing Window Month End]]*365.25/12</f>
        <v/>
      </c>
      <c r="S922" s="3">
        <f>AND(NOW()&gt;=tbl_MTG_Set[[#This Row],[Heavy Printing Window Start]], NOW()&lt;=tbl_MTG_Set[[#This Row],[Heavy Printing Window End]])</f>
        <v/>
      </c>
      <c r="T922">
        <f>_xlfn.XLOOKUP(tbl_MTG_Set[[#This Row],[Type Name]], tbl_MTG_Set_Type[Set Type], tbl_MTG_Set_Type[Sell Window Month Start], "(Set Type not found)", 0, 1)</f>
        <v/>
      </c>
      <c r="U922" s="3">
        <f>tbl_MTG_Set[[#This Row],[Released On]]+tbl_MTG_Set[[#This Row],[Sell Window Month Start]]*365.25/12</f>
        <v/>
      </c>
      <c r="V922">
        <f>_xlfn.XLOOKUP(tbl_MTG_Set[[#This Row],[Type Name]], tbl_MTG_Set_Type[Set Type], tbl_MTG_Set_Type[Sell Window Month End], "(Set Type not found)", 0, 1)</f>
        <v/>
      </c>
      <c r="W922" s="3">
        <f>tbl_MTG_Set[[#This Row],[Released On]]+tbl_MTG_Set[[#This Row],[Sell Window Month End]]*365.25/12</f>
        <v/>
      </c>
      <c r="X922" s="3">
        <f>AND(NOW()&gt;=tbl_MTG_Set[[#This Row],[Sell Window Start]], NOW()&lt;=tbl_MTG_Set[[#This Row],[Sell Window End]])</f>
        <v/>
      </c>
      <c r="AG922" s="10" t="n"/>
      <c r="AH922" s="10" t="n"/>
      <c r="AM922" s="10">
        <f t="array" ref="AM9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2" s="10">
        <f t="array" ref="AN9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2" s="4">
        <f>_xlfn.XLOOKUP(tbl_MTG_Set[[#This Row],[Play Booster Box Product Id]], tbl_Product[Product Id], tbl_Product[Pack Size])</f>
        <v/>
      </c>
      <c r="AP922" s="10">
        <f>(tbl_MTG_Set[[#This Row],[Play Booster Box Cost]]+v_Item_Shipping_Cost_In)/tbl_MTG_Set[[#This Row],[Play Booster Box Size]]</f>
        <v/>
      </c>
      <c r="AQ922" s="10">
        <f t="array" ref="AQ9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2" s="10" t="n"/>
      <c r="AS922" s="10" t="n"/>
      <c r="AT922" s="17">
        <f>tbl_MTG_Set[[#This Row],[Play Booster CardMarket Profit]]/tbl_MTG_Set[[#This Row],[Play Booster Cost]]</f>
        <v/>
      </c>
      <c r="AU922" s="10">
        <f>_xlfn.XLOOKUP(tbl_MTG_Set[[#This Row],[Collector Booster Box Product Id]], tbl_Product[Product Id], tbl_Product[Min Cost])</f>
        <v/>
      </c>
      <c r="AV922" s="10">
        <f>_xlfn.XLOOKUP(tbl_MTG_Set[[#This Row],[Collector Booster Box Product Id]], tbl_Product[Product Id], tbl_Product[Best Source])</f>
        <v/>
      </c>
      <c r="AW922" s="4">
        <f>_xlfn.XLOOKUP(tbl_MTG_Set[[#This Row],[Collector Booster Box Product Id]], tbl_Product[Product Id], tbl_Product[Pack Size])</f>
        <v/>
      </c>
      <c r="AX922" s="10">
        <f>(tbl_MTG_Set[[#This Row],[Collector Booster Box Cost]] + v_Item_Shipping_Cost_In) / tbl_MTG_Set[[#This Row],[Collector Booster Box Size]]</f>
        <v/>
      </c>
      <c r="AY922" s="10">
        <f t="array" ref="AY9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2" s="10" t="n"/>
      <c r="BA9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2" s="17">
        <f>tbl_MTG_Set[[#This Row],[Collector Booster CardMarket Profit]]/tbl_MTG_Set[[#This Row],[Collector Booster Cost]]</f>
        <v/>
      </c>
      <c r="BC922" s="10" t="n"/>
      <c r="BF922" s="10">
        <f>tbl_MTG_Set[[#This Row],[Play Booster Sell Price CardMarket]]*tbl_MTG_Set[[#This Row],[Play Booster Expected Market Value]]/tbl_MTG_Set[[#This Row],[Play Boost Sealed Market Value]]</f>
        <v/>
      </c>
      <c r="BG9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2" s="10">
        <f>tbl_MTG_Set[[#This Row],[Play Singles CardMarket Profit]]/tbl_MTG_Set[[#This Row],[Play Booster Cost]]</f>
        <v/>
      </c>
      <c r="BI922" s="10">
        <f>tbl_MTG_Set[[#This Row],[Play Singles CardMarket Profit]]&gt;0</f>
        <v/>
      </c>
      <c r="BJ922" s="10" t="n"/>
      <c r="BK922" s="10" t="n"/>
      <c r="BL922" s="10">
        <f>tbl_MTG_Set[[#This Row],[Collector Booster Sell Price CardMarket]]*tbl_MTG_Set[[#This Row],[Collector Booster Expected Market Value]]/tbl_MTG_Set[[#This Row],[Collector Boost Sealed Market Value]]</f>
        <v/>
      </c>
      <c r="BM9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2" s="10">
        <f>tbl_MTG_Set[[#This Row],[Collector Singles CardMarket Profit]]/tbl_MTG_Set[[#This Row],[Collector Booster Cost]]</f>
        <v/>
      </c>
      <c r="BO922" s="10">
        <f>tbl_MTG_Set[[#This Row],[Collector Singles CardMarket Profit]]&gt;0</f>
        <v/>
      </c>
      <c r="BP9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3">
      <c r="A923" t="n">
        <v>921</v>
      </c>
      <c r="B923" t="inlineStr">
        <is>
          <t>Odyssey Promos PODY</t>
        </is>
      </c>
      <c r="C923" t="n">
        <v>1</v>
      </c>
      <c r="D923" s="3" t="n">
        <v>37165</v>
      </c>
      <c r="F923" t="inlineStr">
        <is>
          <t>en es fr de it pt ja ko ru 汉语 漢語</t>
        </is>
      </c>
      <c r="G923" t="n">
        <v>1788</v>
      </c>
      <c r="H923">
        <f>MONTH(NOW())+12*YEAR(NOW())-MONTH(tbl_MTG_Set[[#This Row],[Released On]])-12*YEAR(tbl_MTG_Set[[#This Row],[Released On]])</f>
        <v/>
      </c>
      <c r="I923">
        <f>_xlfn.XLOOKUP(tbl_MTG_Set[[#This Row],[Type Name]], tbl_MTG_Set_Type[Set Type], tbl_MTG_Set_Type[Index], "(Set Type not found)")</f>
        <v/>
      </c>
      <c r="J923">
        <f>_xlfn.XLOOKUP(tbl_MTG_Set[[#This Row],[Type Name]], tbl_MTG_Set_Type[Set Type], tbl_MTG_Set_Type[Buy Window Month Start], "(Set Type not found)")</f>
        <v/>
      </c>
      <c r="K923" s="3">
        <f>tbl_MTG_Set[[#This Row],[Released On]]+tbl_MTG_Set[[#This Row],[Buy Window Month Start]]*365.25/12</f>
        <v/>
      </c>
      <c r="L923">
        <f>_xlfn.XLOOKUP(tbl_MTG_Set[[#This Row],[Type Name]], tbl_MTG_Set_Type[Set Type], tbl_MTG_Set_Type[Buy Window Month End], "(Set Type not found)", 0, 1)</f>
        <v/>
      </c>
      <c r="M923" s="3">
        <f>tbl_MTG_Set[[#This Row],[Released On]]+tbl_MTG_Set[[#This Row],[Buy Window Month End]]*365.25/12</f>
        <v/>
      </c>
      <c r="N923" s="3">
        <f>AND(NOW()&gt;=tbl_MTG_Set[[#This Row],[Buy Window Start]], NOW()&lt;=tbl_MTG_Set[[#This Row],[Buy Window End]])</f>
        <v/>
      </c>
      <c r="O923">
        <f>_xlfn.XLOOKUP(tbl_MTG_Set[[#This Row],[Type Name]], tbl_MTG_Set_Type[Set Type], tbl_MTG_Set_Type[Heavy Printing Window Month Start], "(Set Type not found)", 0, 1)</f>
        <v/>
      </c>
      <c r="P923" s="3">
        <f>tbl_MTG_Set[[#This Row],[Released On]]+tbl_MTG_Set[[#This Row],[Heavy Printing Window Month Start]]*365.25/12</f>
        <v/>
      </c>
      <c r="Q923">
        <f>_xlfn.XLOOKUP(tbl_MTG_Set[[#This Row],[Type Name]], tbl_MTG_Set_Type[Set Type], tbl_MTG_Set_Type[Heavy Printing Window Month End], "(Set Type not found)", 0, 1)</f>
        <v/>
      </c>
      <c r="R923" s="3">
        <f>tbl_MTG_Set[[#This Row],[Released On]]+tbl_MTG_Set[[#This Row],[Heavy Printing Window Month End]]*365.25/12</f>
        <v/>
      </c>
      <c r="S923" s="3">
        <f>AND(NOW()&gt;=tbl_MTG_Set[[#This Row],[Heavy Printing Window Start]], NOW()&lt;=tbl_MTG_Set[[#This Row],[Heavy Printing Window End]])</f>
        <v/>
      </c>
      <c r="T923">
        <f>_xlfn.XLOOKUP(tbl_MTG_Set[[#This Row],[Type Name]], tbl_MTG_Set_Type[Set Type], tbl_MTG_Set_Type[Sell Window Month Start], "(Set Type not found)", 0, 1)</f>
        <v/>
      </c>
      <c r="U923" s="3">
        <f>tbl_MTG_Set[[#This Row],[Released On]]+tbl_MTG_Set[[#This Row],[Sell Window Month Start]]*365.25/12</f>
        <v/>
      </c>
      <c r="V923">
        <f>_xlfn.XLOOKUP(tbl_MTG_Set[[#This Row],[Type Name]], tbl_MTG_Set_Type[Set Type], tbl_MTG_Set_Type[Sell Window Month End], "(Set Type not found)", 0, 1)</f>
        <v/>
      </c>
      <c r="W923" s="3">
        <f>tbl_MTG_Set[[#This Row],[Released On]]+tbl_MTG_Set[[#This Row],[Sell Window Month End]]*365.25/12</f>
        <v/>
      </c>
      <c r="X923" s="3">
        <f>AND(NOW()&gt;=tbl_MTG_Set[[#This Row],[Sell Window Start]], NOW()&lt;=tbl_MTG_Set[[#This Row],[Sell Window End]])</f>
        <v/>
      </c>
      <c r="AG923" s="10" t="n"/>
      <c r="AH923" s="10" t="n"/>
      <c r="AM923" s="10">
        <f t="array" ref="AM9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3" s="10">
        <f t="array" ref="AN9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3" s="4">
        <f>_xlfn.XLOOKUP(tbl_MTG_Set[[#This Row],[Play Booster Box Product Id]], tbl_Product[Product Id], tbl_Product[Pack Size])</f>
        <v/>
      </c>
      <c r="AP923" s="10">
        <f>(tbl_MTG_Set[[#This Row],[Play Booster Box Cost]]+v_Item_Shipping_Cost_In)/tbl_MTG_Set[[#This Row],[Play Booster Box Size]]</f>
        <v/>
      </c>
      <c r="AQ923" s="10">
        <f t="array" ref="AQ9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3" s="10" t="n"/>
      <c r="AS923" s="10" t="n"/>
      <c r="AT923" s="17">
        <f>tbl_MTG_Set[[#This Row],[Play Booster CardMarket Profit]]/tbl_MTG_Set[[#This Row],[Play Booster Cost]]</f>
        <v/>
      </c>
      <c r="AU923" s="10">
        <f>_xlfn.XLOOKUP(tbl_MTG_Set[[#This Row],[Collector Booster Box Product Id]], tbl_Product[Product Id], tbl_Product[Min Cost])</f>
        <v/>
      </c>
      <c r="AV923" s="10">
        <f>_xlfn.XLOOKUP(tbl_MTG_Set[[#This Row],[Collector Booster Box Product Id]], tbl_Product[Product Id], tbl_Product[Best Source])</f>
        <v/>
      </c>
      <c r="AW923" s="4">
        <f>_xlfn.XLOOKUP(tbl_MTG_Set[[#This Row],[Collector Booster Box Product Id]], tbl_Product[Product Id], tbl_Product[Pack Size])</f>
        <v/>
      </c>
      <c r="AX923" s="10">
        <f>(tbl_MTG_Set[[#This Row],[Collector Booster Box Cost]] + v_Item_Shipping_Cost_In) / tbl_MTG_Set[[#This Row],[Collector Booster Box Size]]</f>
        <v/>
      </c>
      <c r="AY923" s="10">
        <f t="array" ref="AY9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3" s="10" t="n"/>
      <c r="BA9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3" s="17">
        <f>tbl_MTG_Set[[#This Row],[Collector Booster CardMarket Profit]]/tbl_MTG_Set[[#This Row],[Collector Booster Cost]]</f>
        <v/>
      </c>
      <c r="BC923" s="10" t="n"/>
      <c r="BF923" s="10">
        <f>tbl_MTG_Set[[#This Row],[Play Booster Sell Price CardMarket]]*tbl_MTG_Set[[#This Row],[Play Booster Expected Market Value]]/tbl_MTG_Set[[#This Row],[Play Boost Sealed Market Value]]</f>
        <v/>
      </c>
      <c r="BG9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3" s="10">
        <f>tbl_MTG_Set[[#This Row],[Play Singles CardMarket Profit]]/tbl_MTG_Set[[#This Row],[Play Booster Cost]]</f>
        <v/>
      </c>
      <c r="BI923" s="10">
        <f>tbl_MTG_Set[[#This Row],[Play Singles CardMarket Profit]]&gt;0</f>
        <v/>
      </c>
      <c r="BJ923" s="10" t="n"/>
      <c r="BK923" s="10" t="n"/>
      <c r="BL923" s="10">
        <f>tbl_MTG_Set[[#This Row],[Collector Booster Sell Price CardMarket]]*tbl_MTG_Set[[#This Row],[Collector Booster Expected Market Value]]/tbl_MTG_Set[[#This Row],[Collector Boost Sealed Market Value]]</f>
        <v/>
      </c>
      <c r="BM9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3" s="10">
        <f>tbl_MTG_Set[[#This Row],[Collector Singles CardMarket Profit]]/tbl_MTG_Set[[#This Row],[Collector Booster Cost]]</f>
        <v/>
      </c>
      <c r="BO923" s="10">
        <f>tbl_MTG_Set[[#This Row],[Collector Singles CardMarket Profit]]&gt;0</f>
        <v/>
      </c>
      <c r="BP9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4">
      <c r="A924" t="n">
        <v>922</v>
      </c>
      <c r="B924" t="inlineStr">
        <is>
          <t>World Championship Decks 2001 WC01</t>
        </is>
      </c>
      <c r="C924" t="n">
        <v>138</v>
      </c>
      <c r="D924" s="3" t="n">
        <v>37111</v>
      </c>
      <c r="F924" t="inlineStr">
        <is>
          <t>en es fr de it pt ja ko ru 汉语 漢語</t>
        </is>
      </c>
      <c r="G924" t="n">
        <v>1790</v>
      </c>
      <c r="H924">
        <f>MONTH(NOW())+12*YEAR(NOW())-MONTH(tbl_MTG_Set[[#This Row],[Released On]])-12*YEAR(tbl_MTG_Set[[#This Row],[Released On]])</f>
        <v/>
      </c>
      <c r="I924">
        <f>_xlfn.XLOOKUP(tbl_MTG_Set[[#This Row],[Type Name]], tbl_MTG_Set_Type[Set Type], tbl_MTG_Set_Type[Index], "(Set Type not found)")</f>
        <v/>
      </c>
      <c r="J924">
        <f>_xlfn.XLOOKUP(tbl_MTG_Set[[#This Row],[Type Name]], tbl_MTG_Set_Type[Set Type], tbl_MTG_Set_Type[Buy Window Month Start], "(Set Type not found)")</f>
        <v/>
      </c>
      <c r="K924" s="3">
        <f>tbl_MTG_Set[[#This Row],[Released On]]+tbl_MTG_Set[[#This Row],[Buy Window Month Start]]*365.25/12</f>
        <v/>
      </c>
      <c r="L924">
        <f>_xlfn.XLOOKUP(tbl_MTG_Set[[#This Row],[Type Name]], tbl_MTG_Set_Type[Set Type], tbl_MTG_Set_Type[Buy Window Month End], "(Set Type not found)", 0, 1)</f>
        <v/>
      </c>
      <c r="M924" s="3">
        <f>tbl_MTG_Set[[#This Row],[Released On]]+tbl_MTG_Set[[#This Row],[Buy Window Month End]]*365.25/12</f>
        <v/>
      </c>
      <c r="N924" s="3">
        <f>AND(NOW()&gt;=tbl_MTG_Set[[#This Row],[Buy Window Start]], NOW()&lt;=tbl_MTG_Set[[#This Row],[Buy Window End]])</f>
        <v/>
      </c>
      <c r="O924">
        <f>_xlfn.XLOOKUP(tbl_MTG_Set[[#This Row],[Type Name]], tbl_MTG_Set_Type[Set Type], tbl_MTG_Set_Type[Heavy Printing Window Month Start], "(Set Type not found)", 0, 1)</f>
        <v/>
      </c>
      <c r="P924" s="3">
        <f>tbl_MTG_Set[[#This Row],[Released On]]+tbl_MTG_Set[[#This Row],[Heavy Printing Window Month Start]]*365.25/12</f>
        <v/>
      </c>
      <c r="Q924">
        <f>_xlfn.XLOOKUP(tbl_MTG_Set[[#This Row],[Type Name]], tbl_MTG_Set_Type[Set Type], tbl_MTG_Set_Type[Heavy Printing Window Month End], "(Set Type not found)", 0, 1)</f>
        <v/>
      </c>
      <c r="R924" s="3">
        <f>tbl_MTG_Set[[#This Row],[Released On]]+tbl_MTG_Set[[#This Row],[Heavy Printing Window Month End]]*365.25/12</f>
        <v/>
      </c>
      <c r="S924" s="3">
        <f>AND(NOW()&gt;=tbl_MTG_Set[[#This Row],[Heavy Printing Window Start]], NOW()&lt;=tbl_MTG_Set[[#This Row],[Heavy Printing Window End]])</f>
        <v/>
      </c>
      <c r="T924">
        <f>_xlfn.XLOOKUP(tbl_MTG_Set[[#This Row],[Type Name]], tbl_MTG_Set_Type[Set Type], tbl_MTG_Set_Type[Sell Window Month Start], "(Set Type not found)", 0, 1)</f>
        <v/>
      </c>
      <c r="U924" s="3">
        <f>tbl_MTG_Set[[#This Row],[Released On]]+tbl_MTG_Set[[#This Row],[Sell Window Month Start]]*365.25/12</f>
        <v/>
      </c>
      <c r="V924">
        <f>_xlfn.XLOOKUP(tbl_MTG_Set[[#This Row],[Type Name]], tbl_MTG_Set_Type[Set Type], tbl_MTG_Set_Type[Sell Window Month End], "(Set Type not found)", 0, 1)</f>
        <v/>
      </c>
      <c r="W924" s="3">
        <f>tbl_MTG_Set[[#This Row],[Released On]]+tbl_MTG_Set[[#This Row],[Sell Window Month End]]*365.25/12</f>
        <v/>
      </c>
      <c r="X924" s="3">
        <f>AND(NOW()&gt;=tbl_MTG_Set[[#This Row],[Sell Window Start]], NOW()&lt;=tbl_MTG_Set[[#This Row],[Sell Window End]])</f>
        <v/>
      </c>
      <c r="AG924" s="10" t="n"/>
      <c r="AH924" s="10" t="n"/>
      <c r="AM924" s="10">
        <f t="array" ref="AM9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4" s="10">
        <f t="array" ref="AN9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4" s="4">
        <f>_xlfn.XLOOKUP(tbl_MTG_Set[[#This Row],[Play Booster Box Product Id]], tbl_Product[Product Id], tbl_Product[Pack Size])</f>
        <v/>
      </c>
      <c r="AP924" s="10">
        <f>(tbl_MTG_Set[[#This Row],[Play Booster Box Cost]]+v_Item_Shipping_Cost_In)/tbl_MTG_Set[[#This Row],[Play Booster Box Size]]</f>
        <v/>
      </c>
      <c r="AQ924" s="10">
        <f t="array" ref="AQ9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4" s="10" t="n"/>
      <c r="AS924" s="10" t="n"/>
      <c r="AT924" s="17">
        <f>tbl_MTG_Set[[#This Row],[Play Booster CardMarket Profit]]/tbl_MTG_Set[[#This Row],[Play Booster Cost]]</f>
        <v/>
      </c>
      <c r="AU924" s="10">
        <f>_xlfn.XLOOKUP(tbl_MTG_Set[[#This Row],[Collector Booster Box Product Id]], tbl_Product[Product Id], tbl_Product[Min Cost])</f>
        <v/>
      </c>
      <c r="AV924" s="10">
        <f>_xlfn.XLOOKUP(tbl_MTG_Set[[#This Row],[Collector Booster Box Product Id]], tbl_Product[Product Id], tbl_Product[Best Source])</f>
        <v/>
      </c>
      <c r="AW924" s="4">
        <f>_xlfn.XLOOKUP(tbl_MTG_Set[[#This Row],[Collector Booster Box Product Id]], tbl_Product[Product Id], tbl_Product[Pack Size])</f>
        <v/>
      </c>
      <c r="AX924" s="10">
        <f>(tbl_MTG_Set[[#This Row],[Collector Booster Box Cost]] + v_Item_Shipping_Cost_In) / tbl_MTG_Set[[#This Row],[Collector Booster Box Size]]</f>
        <v/>
      </c>
      <c r="AY924" s="10">
        <f t="array" ref="AY9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4" s="10" t="n"/>
      <c r="BA9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4" s="17">
        <f>tbl_MTG_Set[[#This Row],[Collector Booster CardMarket Profit]]/tbl_MTG_Set[[#This Row],[Collector Booster Cost]]</f>
        <v/>
      </c>
      <c r="BC924" s="10" t="n"/>
      <c r="BF924" s="10">
        <f>tbl_MTG_Set[[#This Row],[Play Booster Sell Price CardMarket]]*tbl_MTG_Set[[#This Row],[Play Booster Expected Market Value]]/tbl_MTG_Set[[#This Row],[Play Boost Sealed Market Value]]</f>
        <v/>
      </c>
      <c r="BG9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4" s="10">
        <f>tbl_MTG_Set[[#This Row],[Play Singles CardMarket Profit]]/tbl_MTG_Set[[#This Row],[Play Booster Cost]]</f>
        <v/>
      </c>
      <c r="BI924" s="10">
        <f>tbl_MTG_Set[[#This Row],[Play Singles CardMarket Profit]]&gt;0</f>
        <v/>
      </c>
      <c r="BJ924" s="10" t="n"/>
      <c r="BK924" s="10" t="n"/>
      <c r="BL924" s="10">
        <f>tbl_MTG_Set[[#This Row],[Collector Booster Sell Price CardMarket]]*tbl_MTG_Set[[#This Row],[Collector Booster Expected Market Value]]/tbl_MTG_Set[[#This Row],[Collector Boost Sealed Market Value]]</f>
        <v/>
      </c>
      <c r="BM9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4" s="10">
        <f>tbl_MTG_Set[[#This Row],[Collector Singles CardMarket Profit]]/tbl_MTG_Set[[#This Row],[Collector Booster Cost]]</f>
        <v/>
      </c>
      <c r="BO924" s="10">
        <f>tbl_MTG_Set[[#This Row],[Collector Singles CardMarket Profit]]&gt;0</f>
        <v/>
      </c>
      <c r="BP9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5">
      <c r="A925" t="n">
        <v>923</v>
      </c>
      <c r="B925" t="inlineStr">
        <is>
          <t>Sega Dreamcast Cards PSDG</t>
        </is>
      </c>
      <c r="C925" t="n">
        <v>10</v>
      </c>
      <c r="D925" s="3" t="n">
        <v>37070</v>
      </c>
      <c r="F925" t="inlineStr">
        <is>
          <t>en es fr de it pt ja ko ru 汉语 漢語</t>
        </is>
      </c>
      <c r="G925" t="n">
        <v>1792</v>
      </c>
      <c r="H925">
        <f>MONTH(NOW())+12*YEAR(NOW())-MONTH(tbl_MTG_Set[[#This Row],[Released On]])-12*YEAR(tbl_MTG_Set[[#This Row],[Released On]])</f>
        <v/>
      </c>
      <c r="I925">
        <f>_xlfn.XLOOKUP(tbl_MTG_Set[[#This Row],[Type Name]], tbl_MTG_Set_Type[Set Type], tbl_MTG_Set_Type[Index], "(Set Type not found)")</f>
        <v/>
      </c>
      <c r="J925">
        <f>_xlfn.XLOOKUP(tbl_MTG_Set[[#This Row],[Type Name]], tbl_MTG_Set_Type[Set Type], tbl_MTG_Set_Type[Buy Window Month Start], "(Set Type not found)")</f>
        <v/>
      </c>
      <c r="K925" s="3">
        <f>tbl_MTG_Set[[#This Row],[Released On]]+tbl_MTG_Set[[#This Row],[Buy Window Month Start]]*365.25/12</f>
        <v/>
      </c>
      <c r="L925">
        <f>_xlfn.XLOOKUP(tbl_MTG_Set[[#This Row],[Type Name]], tbl_MTG_Set_Type[Set Type], tbl_MTG_Set_Type[Buy Window Month End], "(Set Type not found)", 0, 1)</f>
        <v/>
      </c>
      <c r="M925" s="3">
        <f>tbl_MTG_Set[[#This Row],[Released On]]+tbl_MTG_Set[[#This Row],[Buy Window Month End]]*365.25/12</f>
        <v/>
      </c>
      <c r="N925" s="3">
        <f>AND(NOW()&gt;=tbl_MTG_Set[[#This Row],[Buy Window Start]], NOW()&lt;=tbl_MTG_Set[[#This Row],[Buy Window End]])</f>
        <v/>
      </c>
      <c r="O925">
        <f>_xlfn.XLOOKUP(tbl_MTG_Set[[#This Row],[Type Name]], tbl_MTG_Set_Type[Set Type], tbl_MTG_Set_Type[Heavy Printing Window Month Start], "(Set Type not found)", 0, 1)</f>
        <v/>
      </c>
      <c r="P925" s="3">
        <f>tbl_MTG_Set[[#This Row],[Released On]]+tbl_MTG_Set[[#This Row],[Heavy Printing Window Month Start]]*365.25/12</f>
        <v/>
      </c>
      <c r="Q925">
        <f>_xlfn.XLOOKUP(tbl_MTG_Set[[#This Row],[Type Name]], tbl_MTG_Set_Type[Set Type], tbl_MTG_Set_Type[Heavy Printing Window Month End], "(Set Type not found)", 0, 1)</f>
        <v/>
      </c>
      <c r="R925" s="3">
        <f>tbl_MTG_Set[[#This Row],[Released On]]+tbl_MTG_Set[[#This Row],[Heavy Printing Window Month End]]*365.25/12</f>
        <v/>
      </c>
      <c r="S925" s="3">
        <f>AND(NOW()&gt;=tbl_MTG_Set[[#This Row],[Heavy Printing Window Start]], NOW()&lt;=tbl_MTG_Set[[#This Row],[Heavy Printing Window End]])</f>
        <v/>
      </c>
      <c r="T925">
        <f>_xlfn.XLOOKUP(tbl_MTG_Set[[#This Row],[Type Name]], tbl_MTG_Set_Type[Set Type], tbl_MTG_Set_Type[Sell Window Month Start], "(Set Type not found)", 0, 1)</f>
        <v/>
      </c>
      <c r="U925" s="3">
        <f>tbl_MTG_Set[[#This Row],[Released On]]+tbl_MTG_Set[[#This Row],[Sell Window Month Start]]*365.25/12</f>
        <v/>
      </c>
      <c r="V925">
        <f>_xlfn.XLOOKUP(tbl_MTG_Set[[#This Row],[Type Name]], tbl_MTG_Set_Type[Set Type], tbl_MTG_Set_Type[Sell Window Month End], "(Set Type not found)", 0, 1)</f>
        <v/>
      </c>
      <c r="W925" s="3">
        <f>tbl_MTG_Set[[#This Row],[Released On]]+tbl_MTG_Set[[#This Row],[Sell Window Month End]]*365.25/12</f>
        <v/>
      </c>
      <c r="X925" s="3">
        <f>AND(NOW()&gt;=tbl_MTG_Set[[#This Row],[Sell Window Start]], NOW()&lt;=tbl_MTG_Set[[#This Row],[Sell Window End]])</f>
        <v/>
      </c>
      <c r="AG925" s="10" t="n"/>
      <c r="AH925" s="10" t="n"/>
      <c r="AM925" s="10">
        <f t="array" ref="AM9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5" s="10">
        <f t="array" ref="AN9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5" s="4">
        <f>_xlfn.XLOOKUP(tbl_MTG_Set[[#This Row],[Play Booster Box Product Id]], tbl_Product[Product Id], tbl_Product[Pack Size])</f>
        <v/>
      </c>
      <c r="AP925" s="10">
        <f>(tbl_MTG_Set[[#This Row],[Play Booster Box Cost]]+v_Item_Shipping_Cost_In)/tbl_MTG_Set[[#This Row],[Play Booster Box Size]]</f>
        <v/>
      </c>
      <c r="AQ925" s="10">
        <f t="array" ref="AQ92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5" s="10" t="n"/>
      <c r="AS925" s="10" t="n"/>
      <c r="AT925" s="17">
        <f>tbl_MTG_Set[[#This Row],[Play Booster CardMarket Profit]]/tbl_MTG_Set[[#This Row],[Play Booster Cost]]</f>
        <v/>
      </c>
      <c r="AU925" s="10">
        <f>_xlfn.XLOOKUP(tbl_MTG_Set[[#This Row],[Collector Booster Box Product Id]], tbl_Product[Product Id], tbl_Product[Min Cost])</f>
        <v/>
      </c>
      <c r="AV925" s="10">
        <f>_xlfn.XLOOKUP(tbl_MTG_Set[[#This Row],[Collector Booster Box Product Id]], tbl_Product[Product Id], tbl_Product[Best Source])</f>
        <v/>
      </c>
      <c r="AW925" s="4">
        <f>_xlfn.XLOOKUP(tbl_MTG_Set[[#This Row],[Collector Booster Box Product Id]], tbl_Product[Product Id], tbl_Product[Pack Size])</f>
        <v/>
      </c>
      <c r="AX925" s="10">
        <f>(tbl_MTG_Set[[#This Row],[Collector Booster Box Cost]] + v_Item_Shipping_Cost_In) / tbl_MTG_Set[[#This Row],[Collector Booster Box Size]]</f>
        <v/>
      </c>
      <c r="AY925" s="10">
        <f t="array" ref="AY92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5" s="10" t="n"/>
      <c r="BA9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5" s="17">
        <f>tbl_MTG_Set[[#This Row],[Collector Booster CardMarket Profit]]/tbl_MTG_Set[[#This Row],[Collector Booster Cost]]</f>
        <v/>
      </c>
      <c r="BC925" s="10" t="n"/>
      <c r="BF925" s="10">
        <f>tbl_MTG_Set[[#This Row],[Play Booster Sell Price CardMarket]]*tbl_MTG_Set[[#This Row],[Play Booster Expected Market Value]]/tbl_MTG_Set[[#This Row],[Play Boost Sealed Market Value]]</f>
        <v/>
      </c>
      <c r="BG9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5" s="10">
        <f>tbl_MTG_Set[[#This Row],[Play Singles CardMarket Profit]]/tbl_MTG_Set[[#This Row],[Play Booster Cost]]</f>
        <v/>
      </c>
      <c r="BI925" s="10">
        <f>tbl_MTG_Set[[#This Row],[Play Singles CardMarket Profit]]&gt;0</f>
        <v/>
      </c>
      <c r="BJ925" s="10" t="n"/>
      <c r="BK925" s="10" t="n"/>
      <c r="BL925" s="10">
        <f>tbl_MTG_Set[[#This Row],[Collector Booster Sell Price CardMarket]]*tbl_MTG_Set[[#This Row],[Collector Booster Expected Market Value]]/tbl_MTG_Set[[#This Row],[Collector Boost Sealed Market Value]]</f>
        <v/>
      </c>
      <c r="BM9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5" s="10">
        <f>tbl_MTG_Set[[#This Row],[Collector Singles CardMarket Profit]]/tbl_MTG_Set[[#This Row],[Collector Booster Cost]]</f>
        <v/>
      </c>
      <c r="BO925" s="10">
        <f>tbl_MTG_Set[[#This Row],[Collector Singles CardMarket Profit]]&gt;0</f>
        <v/>
      </c>
      <c r="BP9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6">
      <c r="A926" t="n">
        <v>924</v>
      </c>
      <c r="B926" t="inlineStr">
        <is>
          <t>Apocalypse APC</t>
        </is>
      </c>
      <c r="C926" t="n">
        <v>143</v>
      </c>
      <c r="D926" s="3" t="n">
        <v>37046</v>
      </c>
      <c r="F926" t="inlineStr">
        <is>
          <t>en es fr de it pt ja ko ru 汉语 漢語</t>
        </is>
      </c>
      <c r="G926" t="n">
        <v>1794</v>
      </c>
      <c r="H926">
        <f>MONTH(NOW())+12*YEAR(NOW())-MONTH(tbl_MTG_Set[[#This Row],[Released On]])-12*YEAR(tbl_MTG_Set[[#This Row],[Released On]])</f>
        <v/>
      </c>
      <c r="I926">
        <f>_xlfn.XLOOKUP(tbl_MTG_Set[[#This Row],[Type Name]], tbl_MTG_Set_Type[Set Type], tbl_MTG_Set_Type[Index], "(Set Type not found)")</f>
        <v/>
      </c>
      <c r="J926">
        <f>_xlfn.XLOOKUP(tbl_MTG_Set[[#This Row],[Type Name]], tbl_MTG_Set_Type[Set Type], tbl_MTG_Set_Type[Buy Window Month Start], "(Set Type not found)")</f>
        <v/>
      </c>
      <c r="K926" s="3">
        <f>tbl_MTG_Set[[#This Row],[Released On]]+tbl_MTG_Set[[#This Row],[Buy Window Month Start]]*365.25/12</f>
        <v/>
      </c>
      <c r="L926">
        <f>_xlfn.XLOOKUP(tbl_MTG_Set[[#This Row],[Type Name]], tbl_MTG_Set_Type[Set Type], tbl_MTG_Set_Type[Buy Window Month End], "(Set Type not found)", 0, 1)</f>
        <v/>
      </c>
      <c r="M926" s="3">
        <f>tbl_MTG_Set[[#This Row],[Released On]]+tbl_MTG_Set[[#This Row],[Buy Window Month End]]*365.25/12</f>
        <v/>
      </c>
      <c r="N926" s="3">
        <f>AND(NOW()&gt;=tbl_MTG_Set[[#This Row],[Buy Window Start]], NOW()&lt;=tbl_MTG_Set[[#This Row],[Buy Window End]])</f>
        <v/>
      </c>
      <c r="O926">
        <f>_xlfn.XLOOKUP(tbl_MTG_Set[[#This Row],[Type Name]], tbl_MTG_Set_Type[Set Type], tbl_MTG_Set_Type[Heavy Printing Window Month Start], "(Set Type not found)", 0, 1)</f>
        <v/>
      </c>
      <c r="P926" s="3">
        <f>tbl_MTG_Set[[#This Row],[Released On]]+tbl_MTG_Set[[#This Row],[Heavy Printing Window Month Start]]*365.25/12</f>
        <v/>
      </c>
      <c r="Q926">
        <f>_xlfn.XLOOKUP(tbl_MTG_Set[[#This Row],[Type Name]], tbl_MTG_Set_Type[Set Type], tbl_MTG_Set_Type[Heavy Printing Window Month End], "(Set Type not found)", 0, 1)</f>
        <v/>
      </c>
      <c r="R926" s="3">
        <f>tbl_MTG_Set[[#This Row],[Released On]]+tbl_MTG_Set[[#This Row],[Heavy Printing Window Month End]]*365.25/12</f>
        <v/>
      </c>
      <c r="S926" s="3">
        <f>AND(NOW()&gt;=tbl_MTG_Set[[#This Row],[Heavy Printing Window Start]], NOW()&lt;=tbl_MTG_Set[[#This Row],[Heavy Printing Window End]])</f>
        <v/>
      </c>
      <c r="T926">
        <f>_xlfn.XLOOKUP(tbl_MTG_Set[[#This Row],[Type Name]], tbl_MTG_Set_Type[Set Type], tbl_MTG_Set_Type[Sell Window Month Start], "(Set Type not found)", 0, 1)</f>
        <v/>
      </c>
      <c r="U926" s="3">
        <f>tbl_MTG_Set[[#This Row],[Released On]]+tbl_MTG_Set[[#This Row],[Sell Window Month Start]]*365.25/12</f>
        <v/>
      </c>
      <c r="V926">
        <f>_xlfn.XLOOKUP(tbl_MTG_Set[[#This Row],[Type Name]], tbl_MTG_Set_Type[Set Type], tbl_MTG_Set_Type[Sell Window Month End], "(Set Type not found)", 0, 1)</f>
        <v/>
      </c>
      <c r="W926" s="3">
        <f>tbl_MTG_Set[[#This Row],[Released On]]+tbl_MTG_Set[[#This Row],[Sell Window Month End]]*365.25/12</f>
        <v/>
      </c>
      <c r="X926" s="3">
        <f>AND(NOW()&gt;=tbl_MTG_Set[[#This Row],[Sell Window Start]], NOW()&lt;=tbl_MTG_Set[[#This Row],[Sell Window End]])</f>
        <v/>
      </c>
      <c r="AG926" s="10" t="n"/>
      <c r="AH926" s="10" t="n"/>
      <c r="AM926" s="10">
        <f t="array" ref="AM9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6" s="10">
        <f t="array" ref="AN9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6" s="4">
        <f>_xlfn.XLOOKUP(tbl_MTG_Set[[#This Row],[Play Booster Box Product Id]], tbl_Product[Product Id], tbl_Product[Pack Size])</f>
        <v/>
      </c>
      <c r="AP926" s="10">
        <f>(tbl_MTG_Set[[#This Row],[Play Booster Box Cost]]+v_Item_Shipping_Cost_In)/tbl_MTG_Set[[#This Row],[Play Booster Box Size]]</f>
        <v/>
      </c>
      <c r="AQ926" s="10">
        <f t="array" ref="AQ92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6" s="10" t="n"/>
      <c r="AS926" s="10" t="n"/>
      <c r="AT926" s="17">
        <f>tbl_MTG_Set[[#This Row],[Play Booster CardMarket Profit]]/tbl_MTG_Set[[#This Row],[Play Booster Cost]]</f>
        <v/>
      </c>
      <c r="AU926" s="10">
        <f>_xlfn.XLOOKUP(tbl_MTG_Set[[#This Row],[Collector Booster Box Product Id]], tbl_Product[Product Id], tbl_Product[Min Cost])</f>
        <v/>
      </c>
      <c r="AV926" s="10">
        <f>_xlfn.XLOOKUP(tbl_MTG_Set[[#This Row],[Collector Booster Box Product Id]], tbl_Product[Product Id], tbl_Product[Best Source])</f>
        <v/>
      </c>
      <c r="AW926" s="4">
        <f>_xlfn.XLOOKUP(tbl_MTG_Set[[#This Row],[Collector Booster Box Product Id]], tbl_Product[Product Id], tbl_Product[Pack Size])</f>
        <v/>
      </c>
      <c r="AX926" s="10">
        <f>(tbl_MTG_Set[[#This Row],[Collector Booster Box Cost]] + v_Item_Shipping_Cost_In) / tbl_MTG_Set[[#This Row],[Collector Booster Box Size]]</f>
        <v/>
      </c>
      <c r="AY926" s="10">
        <f t="array" ref="AY92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6" s="10" t="n"/>
      <c r="BA9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6" s="17">
        <f>tbl_MTG_Set[[#This Row],[Collector Booster CardMarket Profit]]/tbl_MTG_Set[[#This Row],[Collector Booster Cost]]</f>
        <v/>
      </c>
      <c r="BC926" s="10" t="n"/>
      <c r="BF926" s="10">
        <f>tbl_MTG_Set[[#This Row],[Play Booster Sell Price CardMarket]]*tbl_MTG_Set[[#This Row],[Play Booster Expected Market Value]]/tbl_MTG_Set[[#This Row],[Play Boost Sealed Market Value]]</f>
        <v/>
      </c>
      <c r="BG9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6" s="10">
        <f>tbl_MTG_Set[[#This Row],[Play Singles CardMarket Profit]]/tbl_MTG_Set[[#This Row],[Play Booster Cost]]</f>
        <v/>
      </c>
      <c r="BI926" s="10">
        <f>tbl_MTG_Set[[#This Row],[Play Singles CardMarket Profit]]&gt;0</f>
        <v/>
      </c>
      <c r="BJ926" s="10" t="n"/>
      <c r="BK926" s="10" t="n"/>
      <c r="BL926" s="10">
        <f>tbl_MTG_Set[[#This Row],[Collector Booster Sell Price CardMarket]]*tbl_MTG_Set[[#This Row],[Collector Booster Expected Market Value]]/tbl_MTG_Set[[#This Row],[Collector Boost Sealed Market Value]]</f>
        <v/>
      </c>
      <c r="BM9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6" s="10">
        <f>tbl_MTG_Set[[#This Row],[Collector Singles CardMarket Profit]]/tbl_MTG_Set[[#This Row],[Collector Booster Cost]]</f>
        <v/>
      </c>
      <c r="BO926" s="10">
        <f>tbl_MTG_Set[[#This Row],[Collector Singles CardMarket Profit]]&gt;0</f>
        <v/>
      </c>
      <c r="BP9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7">
      <c r="A927" t="n">
        <v>925</v>
      </c>
      <c r="B927" t="inlineStr">
        <is>
          <t>Apocalypse Promos PAPC</t>
        </is>
      </c>
      <c r="C927" t="n">
        <v>1</v>
      </c>
      <c r="D927" s="3" t="n">
        <v>37046</v>
      </c>
      <c r="F927" t="inlineStr">
        <is>
          <t>en es fr de it pt ja ko ru 汉语 漢語</t>
        </is>
      </c>
      <c r="G927" t="n">
        <v>1796</v>
      </c>
      <c r="H927">
        <f>MONTH(NOW())+12*YEAR(NOW())-MONTH(tbl_MTG_Set[[#This Row],[Released On]])-12*YEAR(tbl_MTG_Set[[#This Row],[Released On]])</f>
        <v/>
      </c>
      <c r="I927">
        <f>_xlfn.XLOOKUP(tbl_MTG_Set[[#This Row],[Type Name]], tbl_MTG_Set_Type[Set Type], tbl_MTG_Set_Type[Index], "(Set Type not found)")</f>
        <v/>
      </c>
      <c r="J927">
        <f>_xlfn.XLOOKUP(tbl_MTG_Set[[#This Row],[Type Name]], tbl_MTG_Set_Type[Set Type], tbl_MTG_Set_Type[Buy Window Month Start], "(Set Type not found)")</f>
        <v/>
      </c>
      <c r="K927" s="3">
        <f>tbl_MTG_Set[[#This Row],[Released On]]+tbl_MTG_Set[[#This Row],[Buy Window Month Start]]*365.25/12</f>
        <v/>
      </c>
      <c r="L927">
        <f>_xlfn.XLOOKUP(tbl_MTG_Set[[#This Row],[Type Name]], tbl_MTG_Set_Type[Set Type], tbl_MTG_Set_Type[Buy Window Month End], "(Set Type not found)", 0, 1)</f>
        <v/>
      </c>
      <c r="M927" s="3">
        <f>tbl_MTG_Set[[#This Row],[Released On]]+tbl_MTG_Set[[#This Row],[Buy Window Month End]]*365.25/12</f>
        <v/>
      </c>
      <c r="N927" s="3">
        <f>AND(NOW()&gt;=tbl_MTG_Set[[#This Row],[Buy Window Start]], NOW()&lt;=tbl_MTG_Set[[#This Row],[Buy Window End]])</f>
        <v/>
      </c>
      <c r="O927">
        <f>_xlfn.XLOOKUP(tbl_MTG_Set[[#This Row],[Type Name]], tbl_MTG_Set_Type[Set Type], tbl_MTG_Set_Type[Heavy Printing Window Month Start], "(Set Type not found)", 0, 1)</f>
        <v/>
      </c>
      <c r="P927" s="3">
        <f>tbl_MTG_Set[[#This Row],[Released On]]+tbl_MTG_Set[[#This Row],[Heavy Printing Window Month Start]]*365.25/12</f>
        <v/>
      </c>
      <c r="Q927">
        <f>_xlfn.XLOOKUP(tbl_MTG_Set[[#This Row],[Type Name]], tbl_MTG_Set_Type[Set Type], tbl_MTG_Set_Type[Heavy Printing Window Month End], "(Set Type not found)", 0, 1)</f>
        <v/>
      </c>
      <c r="R927" s="3">
        <f>tbl_MTG_Set[[#This Row],[Released On]]+tbl_MTG_Set[[#This Row],[Heavy Printing Window Month End]]*365.25/12</f>
        <v/>
      </c>
      <c r="S927" s="3">
        <f>AND(NOW()&gt;=tbl_MTG_Set[[#This Row],[Heavy Printing Window Start]], NOW()&lt;=tbl_MTG_Set[[#This Row],[Heavy Printing Window End]])</f>
        <v/>
      </c>
      <c r="T927">
        <f>_xlfn.XLOOKUP(tbl_MTG_Set[[#This Row],[Type Name]], tbl_MTG_Set_Type[Set Type], tbl_MTG_Set_Type[Sell Window Month Start], "(Set Type not found)", 0, 1)</f>
        <v/>
      </c>
      <c r="U927" s="3">
        <f>tbl_MTG_Set[[#This Row],[Released On]]+tbl_MTG_Set[[#This Row],[Sell Window Month Start]]*365.25/12</f>
        <v/>
      </c>
      <c r="V927">
        <f>_xlfn.XLOOKUP(tbl_MTG_Set[[#This Row],[Type Name]], tbl_MTG_Set_Type[Set Type], tbl_MTG_Set_Type[Sell Window Month End], "(Set Type not found)", 0, 1)</f>
        <v/>
      </c>
      <c r="W927" s="3">
        <f>tbl_MTG_Set[[#This Row],[Released On]]+tbl_MTG_Set[[#This Row],[Sell Window Month End]]*365.25/12</f>
        <v/>
      </c>
      <c r="X927" s="3">
        <f>AND(NOW()&gt;=tbl_MTG_Set[[#This Row],[Sell Window Start]], NOW()&lt;=tbl_MTG_Set[[#This Row],[Sell Window End]])</f>
        <v/>
      </c>
      <c r="AG927" s="10" t="n"/>
      <c r="AH927" s="10" t="n"/>
      <c r="AM927" s="10">
        <f t="array" ref="AM9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7" s="10">
        <f t="array" ref="AN9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7" s="4">
        <f>_xlfn.XLOOKUP(tbl_MTG_Set[[#This Row],[Play Booster Box Product Id]], tbl_Product[Product Id], tbl_Product[Pack Size])</f>
        <v/>
      </c>
      <c r="AP927" s="10">
        <f>(tbl_MTG_Set[[#This Row],[Play Booster Box Cost]]+v_Item_Shipping_Cost_In)/tbl_MTG_Set[[#This Row],[Play Booster Box Size]]</f>
        <v/>
      </c>
      <c r="AQ927" s="10">
        <f t="array" ref="AQ92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7" s="10" t="n"/>
      <c r="AS927" s="10" t="n"/>
      <c r="AT927" s="17">
        <f>tbl_MTG_Set[[#This Row],[Play Booster CardMarket Profit]]/tbl_MTG_Set[[#This Row],[Play Booster Cost]]</f>
        <v/>
      </c>
      <c r="AU927" s="10">
        <f>_xlfn.XLOOKUP(tbl_MTG_Set[[#This Row],[Collector Booster Box Product Id]], tbl_Product[Product Id], tbl_Product[Min Cost])</f>
        <v/>
      </c>
      <c r="AV927" s="10">
        <f>_xlfn.XLOOKUP(tbl_MTG_Set[[#This Row],[Collector Booster Box Product Id]], tbl_Product[Product Id], tbl_Product[Best Source])</f>
        <v/>
      </c>
      <c r="AW927" s="4">
        <f>_xlfn.XLOOKUP(tbl_MTG_Set[[#This Row],[Collector Booster Box Product Id]], tbl_Product[Product Id], tbl_Product[Pack Size])</f>
        <v/>
      </c>
      <c r="AX927" s="10">
        <f>(tbl_MTG_Set[[#This Row],[Collector Booster Box Cost]] + v_Item_Shipping_Cost_In) / tbl_MTG_Set[[#This Row],[Collector Booster Box Size]]</f>
        <v/>
      </c>
      <c r="AY927" s="10">
        <f t="array" ref="AY92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7" s="10" t="n"/>
      <c r="BA9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7" s="17">
        <f>tbl_MTG_Set[[#This Row],[Collector Booster CardMarket Profit]]/tbl_MTG_Set[[#This Row],[Collector Booster Cost]]</f>
        <v/>
      </c>
      <c r="BC927" s="10" t="n"/>
      <c r="BF927" s="10">
        <f>tbl_MTG_Set[[#This Row],[Play Booster Sell Price CardMarket]]*tbl_MTG_Set[[#This Row],[Play Booster Expected Market Value]]/tbl_MTG_Set[[#This Row],[Play Boost Sealed Market Value]]</f>
        <v/>
      </c>
      <c r="BG9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7" s="10">
        <f>tbl_MTG_Set[[#This Row],[Play Singles CardMarket Profit]]/tbl_MTG_Set[[#This Row],[Play Booster Cost]]</f>
        <v/>
      </c>
      <c r="BI927" s="10">
        <f>tbl_MTG_Set[[#This Row],[Play Singles CardMarket Profit]]&gt;0</f>
        <v/>
      </c>
      <c r="BJ927" s="10" t="n"/>
      <c r="BK927" s="10" t="n"/>
      <c r="BL927" s="10">
        <f>tbl_MTG_Set[[#This Row],[Collector Booster Sell Price CardMarket]]*tbl_MTG_Set[[#This Row],[Collector Booster Expected Market Value]]/tbl_MTG_Set[[#This Row],[Collector Boost Sealed Market Value]]</f>
        <v/>
      </c>
      <c r="BM9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7" s="10">
        <f>tbl_MTG_Set[[#This Row],[Collector Singles CardMarket Profit]]/tbl_MTG_Set[[#This Row],[Collector Booster Cost]]</f>
        <v/>
      </c>
      <c r="BO927" s="10">
        <f>tbl_MTG_Set[[#This Row],[Collector Singles CardMarket Profit]]&gt;0</f>
        <v/>
      </c>
      <c r="BP9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8">
      <c r="A928" t="n">
        <v>926</v>
      </c>
      <c r="B928" t="inlineStr">
        <is>
          <t>Seventh Edition 7ED</t>
        </is>
      </c>
      <c r="C928" t="n">
        <v>708</v>
      </c>
      <c r="D928" s="3" t="n">
        <v>36992</v>
      </c>
      <c r="F928" t="inlineStr">
        <is>
          <t>en es fr de it pt ja ko ru 汉语 漢語</t>
        </is>
      </c>
      <c r="G928" t="n">
        <v>1798</v>
      </c>
      <c r="H928">
        <f>MONTH(NOW())+12*YEAR(NOW())-MONTH(tbl_MTG_Set[[#This Row],[Released On]])-12*YEAR(tbl_MTG_Set[[#This Row],[Released On]])</f>
        <v/>
      </c>
      <c r="I928">
        <f>_xlfn.XLOOKUP(tbl_MTG_Set[[#This Row],[Type Name]], tbl_MTG_Set_Type[Set Type], tbl_MTG_Set_Type[Index], "(Set Type not found)")</f>
        <v/>
      </c>
      <c r="J928">
        <f>_xlfn.XLOOKUP(tbl_MTG_Set[[#This Row],[Type Name]], tbl_MTG_Set_Type[Set Type], tbl_MTG_Set_Type[Buy Window Month Start], "(Set Type not found)")</f>
        <v/>
      </c>
      <c r="K928" s="3">
        <f>tbl_MTG_Set[[#This Row],[Released On]]+tbl_MTG_Set[[#This Row],[Buy Window Month Start]]*365.25/12</f>
        <v/>
      </c>
      <c r="L928">
        <f>_xlfn.XLOOKUP(tbl_MTG_Set[[#This Row],[Type Name]], tbl_MTG_Set_Type[Set Type], tbl_MTG_Set_Type[Buy Window Month End], "(Set Type not found)", 0, 1)</f>
        <v/>
      </c>
      <c r="M928" s="3">
        <f>tbl_MTG_Set[[#This Row],[Released On]]+tbl_MTG_Set[[#This Row],[Buy Window Month End]]*365.25/12</f>
        <v/>
      </c>
      <c r="N928" s="3">
        <f>AND(NOW()&gt;=tbl_MTG_Set[[#This Row],[Buy Window Start]], NOW()&lt;=tbl_MTG_Set[[#This Row],[Buy Window End]])</f>
        <v/>
      </c>
      <c r="O928">
        <f>_xlfn.XLOOKUP(tbl_MTG_Set[[#This Row],[Type Name]], tbl_MTG_Set_Type[Set Type], tbl_MTG_Set_Type[Heavy Printing Window Month Start], "(Set Type not found)", 0, 1)</f>
        <v/>
      </c>
      <c r="P928" s="3">
        <f>tbl_MTG_Set[[#This Row],[Released On]]+tbl_MTG_Set[[#This Row],[Heavy Printing Window Month Start]]*365.25/12</f>
        <v/>
      </c>
      <c r="Q928">
        <f>_xlfn.XLOOKUP(tbl_MTG_Set[[#This Row],[Type Name]], tbl_MTG_Set_Type[Set Type], tbl_MTG_Set_Type[Heavy Printing Window Month End], "(Set Type not found)", 0, 1)</f>
        <v/>
      </c>
      <c r="R928" s="3">
        <f>tbl_MTG_Set[[#This Row],[Released On]]+tbl_MTG_Set[[#This Row],[Heavy Printing Window Month End]]*365.25/12</f>
        <v/>
      </c>
      <c r="S928" s="3">
        <f>AND(NOW()&gt;=tbl_MTG_Set[[#This Row],[Heavy Printing Window Start]], NOW()&lt;=tbl_MTG_Set[[#This Row],[Heavy Printing Window End]])</f>
        <v/>
      </c>
      <c r="T928">
        <f>_xlfn.XLOOKUP(tbl_MTG_Set[[#This Row],[Type Name]], tbl_MTG_Set_Type[Set Type], tbl_MTG_Set_Type[Sell Window Month Start], "(Set Type not found)", 0, 1)</f>
        <v/>
      </c>
      <c r="U928" s="3">
        <f>tbl_MTG_Set[[#This Row],[Released On]]+tbl_MTG_Set[[#This Row],[Sell Window Month Start]]*365.25/12</f>
        <v/>
      </c>
      <c r="V928">
        <f>_xlfn.XLOOKUP(tbl_MTG_Set[[#This Row],[Type Name]], tbl_MTG_Set_Type[Set Type], tbl_MTG_Set_Type[Sell Window Month End], "(Set Type not found)", 0, 1)</f>
        <v/>
      </c>
      <c r="W928" s="3">
        <f>tbl_MTG_Set[[#This Row],[Released On]]+tbl_MTG_Set[[#This Row],[Sell Window Month End]]*365.25/12</f>
        <v/>
      </c>
      <c r="X928" s="3">
        <f>AND(NOW()&gt;=tbl_MTG_Set[[#This Row],[Sell Window Start]], NOW()&lt;=tbl_MTG_Set[[#This Row],[Sell Window End]])</f>
        <v/>
      </c>
      <c r="AG928" s="10" t="n"/>
      <c r="AH928" s="10" t="n"/>
      <c r="AM928" s="10">
        <f t="array" ref="AM9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8" s="10">
        <f t="array" ref="AN9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8" s="4">
        <f>_xlfn.XLOOKUP(tbl_MTG_Set[[#This Row],[Play Booster Box Product Id]], tbl_Product[Product Id], tbl_Product[Pack Size])</f>
        <v/>
      </c>
      <c r="AP928" s="10">
        <f>(tbl_MTG_Set[[#This Row],[Play Booster Box Cost]]+v_Item_Shipping_Cost_In)/tbl_MTG_Set[[#This Row],[Play Booster Box Size]]</f>
        <v/>
      </c>
      <c r="AQ928" s="10">
        <f t="array" ref="AQ92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8" s="10" t="n"/>
      <c r="AS928" s="10" t="n"/>
      <c r="AT928" s="17">
        <f>tbl_MTG_Set[[#This Row],[Play Booster CardMarket Profit]]/tbl_MTG_Set[[#This Row],[Play Booster Cost]]</f>
        <v/>
      </c>
      <c r="AU928" s="10">
        <f>_xlfn.XLOOKUP(tbl_MTG_Set[[#This Row],[Collector Booster Box Product Id]], tbl_Product[Product Id], tbl_Product[Min Cost])</f>
        <v/>
      </c>
      <c r="AV928" s="10">
        <f>_xlfn.XLOOKUP(tbl_MTG_Set[[#This Row],[Collector Booster Box Product Id]], tbl_Product[Product Id], tbl_Product[Best Source])</f>
        <v/>
      </c>
      <c r="AW928" s="4">
        <f>_xlfn.XLOOKUP(tbl_MTG_Set[[#This Row],[Collector Booster Box Product Id]], tbl_Product[Product Id], tbl_Product[Pack Size])</f>
        <v/>
      </c>
      <c r="AX928" s="10">
        <f>(tbl_MTG_Set[[#This Row],[Collector Booster Box Cost]] + v_Item_Shipping_Cost_In) / tbl_MTG_Set[[#This Row],[Collector Booster Box Size]]</f>
        <v/>
      </c>
      <c r="AY928" s="10">
        <f t="array" ref="AY92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8" s="10" t="n"/>
      <c r="BA9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8" s="17">
        <f>tbl_MTG_Set[[#This Row],[Collector Booster CardMarket Profit]]/tbl_MTG_Set[[#This Row],[Collector Booster Cost]]</f>
        <v/>
      </c>
      <c r="BC928" s="10" t="n"/>
      <c r="BF928" s="10">
        <f>tbl_MTG_Set[[#This Row],[Play Booster Sell Price CardMarket]]*tbl_MTG_Set[[#This Row],[Play Booster Expected Market Value]]/tbl_MTG_Set[[#This Row],[Play Boost Sealed Market Value]]</f>
        <v/>
      </c>
      <c r="BG9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8" s="10">
        <f>tbl_MTG_Set[[#This Row],[Play Singles CardMarket Profit]]/tbl_MTG_Set[[#This Row],[Play Booster Cost]]</f>
        <v/>
      </c>
      <c r="BI928" s="10">
        <f>tbl_MTG_Set[[#This Row],[Play Singles CardMarket Profit]]&gt;0</f>
        <v/>
      </c>
      <c r="BJ928" s="10" t="n"/>
      <c r="BK928" s="10" t="n"/>
      <c r="BL928" s="10">
        <f>tbl_MTG_Set[[#This Row],[Collector Booster Sell Price CardMarket]]*tbl_MTG_Set[[#This Row],[Collector Booster Expected Market Value]]/tbl_MTG_Set[[#This Row],[Collector Boost Sealed Market Value]]</f>
        <v/>
      </c>
      <c r="BM9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8" s="10">
        <f>tbl_MTG_Set[[#This Row],[Collector Singles CardMarket Profit]]/tbl_MTG_Set[[#This Row],[Collector Booster Cost]]</f>
        <v/>
      </c>
      <c r="BO928" s="10">
        <f>tbl_MTG_Set[[#This Row],[Collector Singles CardMarket Profit]]&gt;0</f>
        <v/>
      </c>
      <c r="BP9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9">
      <c r="A929" t="n">
        <v>927</v>
      </c>
      <c r="B929" t="inlineStr">
        <is>
          <t>Planeshift PLS</t>
        </is>
      </c>
      <c r="C929" t="n">
        <v>146</v>
      </c>
      <c r="D929" s="3" t="n">
        <v>36927</v>
      </c>
      <c r="F929" t="inlineStr">
        <is>
          <t>en es fr de it pt ja ko ru 汉语 漢語</t>
        </is>
      </c>
      <c r="G929" t="n">
        <v>1800</v>
      </c>
      <c r="H929">
        <f>MONTH(NOW())+12*YEAR(NOW())-MONTH(tbl_MTG_Set[[#This Row],[Released On]])-12*YEAR(tbl_MTG_Set[[#This Row],[Released On]])</f>
        <v/>
      </c>
      <c r="I929">
        <f>_xlfn.XLOOKUP(tbl_MTG_Set[[#This Row],[Type Name]], tbl_MTG_Set_Type[Set Type], tbl_MTG_Set_Type[Index], "(Set Type not found)")</f>
        <v/>
      </c>
      <c r="J929">
        <f>_xlfn.XLOOKUP(tbl_MTG_Set[[#This Row],[Type Name]], tbl_MTG_Set_Type[Set Type], tbl_MTG_Set_Type[Buy Window Month Start], "(Set Type not found)")</f>
        <v/>
      </c>
      <c r="K929" s="3">
        <f>tbl_MTG_Set[[#This Row],[Released On]]+tbl_MTG_Set[[#This Row],[Buy Window Month Start]]*365.25/12</f>
        <v/>
      </c>
      <c r="L929">
        <f>_xlfn.XLOOKUP(tbl_MTG_Set[[#This Row],[Type Name]], tbl_MTG_Set_Type[Set Type], tbl_MTG_Set_Type[Buy Window Month End], "(Set Type not found)", 0, 1)</f>
        <v/>
      </c>
      <c r="M929" s="3">
        <f>tbl_MTG_Set[[#This Row],[Released On]]+tbl_MTG_Set[[#This Row],[Buy Window Month End]]*365.25/12</f>
        <v/>
      </c>
      <c r="N929" s="3">
        <f>AND(NOW()&gt;=tbl_MTG_Set[[#This Row],[Buy Window Start]], NOW()&lt;=tbl_MTG_Set[[#This Row],[Buy Window End]])</f>
        <v/>
      </c>
      <c r="O929">
        <f>_xlfn.XLOOKUP(tbl_MTG_Set[[#This Row],[Type Name]], tbl_MTG_Set_Type[Set Type], tbl_MTG_Set_Type[Heavy Printing Window Month Start], "(Set Type not found)", 0, 1)</f>
        <v/>
      </c>
      <c r="P929" s="3">
        <f>tbl_MTG_Set[[#This Row],[Released On]]+tbl_MTG_Set[[#This Row],[Heavy Printing Window Month Start]]*365.25/12</f>
        <v/>
      </c>
      <c r="Q929">
        <f>_xlfn.XLOOKUP(tbl_MTG_Set[[#This Row],[Type Name]], tbl_MTG_Set_Type[Set Type], tbl_MTG_Set_Type[Heavy Printing Window Month End], "(Set Type not found)", 0, 1)</f>
        <v/>
      </c>
      <c r="R929" s="3">
        <f>tbl_MTG_Set[[#This Row],[Released On]]+tbl_MTG_Set[[#This Row],[Heavy Printing Window Month End]]*365.25/12</f>
        <v/>
      </c>
      <c r="S929" s="3">
        <f>AND(NOW()&gt;=tbl_MTG_Set[[#This Row],[Heavy Printing Window Start]], NOW()&lt;=tbl_MTG_Set[[#This Row],[Heavy Printing Window End]])</f>
        <v/>
      </c>
      <c r="T929">
        <f>_xlfn.XLOOKUP(tbl_MTG_Set[[#This Row],[Type Name]], tbl_MTG_Set_Type[Set Type], tbl_MTG_Set_Type[Sell Window Month Start], "(Set Type not found)", 0, 1)</f>
        <v/>
      </c>
      <c r="U929" s="3">
        <f>tbl_MTG_Set[[#This Row],[Released On]]+tbl_MTG_Set[[#This Row],[Sell Window Month Start]]*365.25/12</f>
        <v/>
      </c>
      <c r="V929">
        <f>_xlfn.XLOOKUP(tbl_MTG_Set[[#This Row],[Type Name]], tbl_MTG_Set_Type[Set Type], tbl_MTG_Set_Type[Sell Window Month End], "(Set Type not found)", 0, 1)</f>
        <v/>
      </c>
      <c r="W929" s="3">
        <f>tbl_MTG_Set[[#This Row],[Released On]]+tbl_MTG_Set[[#This Row],[Sell Window Month End]]*365.25/12</f>
        <v/>
      </c>
      <c r="X929" s="3">
        <f>AND(NOW()&gt;=tbl_MTG_Set[[#This Row],[Sell Window Start]], NOW()&lt;=tbl_MTG_Set[[#This Row],[Sell Window End]])</f>
        <v/>
      </c>
      <c r="AG929" s="10" t="n"/>
      <c r="AH929" s="10" t="n"/>
      <c r="AM929" s="10">
        <f t="array" ref="AM9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9" s="10">
        <f t="array" ref="AN9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9" s="4">
        <f>_xlfn.XLOOKUP(tbl_MTG_Set[[#This Row],[Play Booster Box Product Id]], tbl_Product[Product Id], tbl_Product[Pack Size])</f>
        <v/>
      </c>
      <c r="AP929" s="10">
        <f>(tbl_MTG_Set[[#This Row],[Play Booster Box Cost]]+v_Item_Shipping_Cost_In)/tbl_MTG_Set[[#This Row],[Play Booster Box Size]]</f>
        <v/>
      </c>
      <c r="AQ929" s="10">
        <f t="array" ref="AQ92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29" s="10" t="n"/>
      <c r="AS929" s="10" t="n"/>
      <c r="AT929" s="17">
        <f>tbl_MTG_Set[[#This Row],[Play Booster CardMarket Profit]]/tbl_MTG_Set[[#This Row],[Play Booster Cost]]</f>
        <v/>
      </c>
      <c r="AU929" s="10">
        <f>_xlfn.XLOOKUP(tbl_MTG_Set[[#This Row],[Collector Booster Box Product Id]], tbl_Product[Product Id], tbl_Product[Min Cost])</f>
        <v/>
      </c>
      <c r="AV929" s="10">
        <f>_xlfn.XLOOKUP(tbl_MTG_Set[[#This Row],[Collector Booster Box Product Id]], tbl_Product[Product Id], tbl_Product[Best Source])</f>
        <v/>
      </c>
      <c r="AW929" s="4">
        <f>_xlfn.XLOOKUP(tbl_MTG_Set[[#This Row],[Collector Booster Box Product Id]], tbl_Product[Product Id], tbl_Product[Pack Size])</f>
        <v/>
      </c>
      <c r="AX929" s="10">
        <f>(tbl_MTG_Set[[#This Row],[Collector Booster Box Cost]] + v_Item_Shipping_Cost_In) / tbl_MTG_Set[[#This Row],[Collector Booster Box Size]]</f>
        <v/>
      </c>
      <c r="AY929" s="10">
        <f t="array" ref="AY92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29" s="10" t="n"/>
      <c r="BA9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9" s="17">
        <f>tbl_MTG_Set[[#This Row],[Collector Booster CardMarket Profit]]/tbl_MTG_Set[[#This Row],[Collector Booster Cost]]</f>
        <v/>
      </c>
      <c r="BC929" s="10" t="n"/>
      <c r="BF929" s="10">
        <f>tbl_MTG_Set[[#This Row],[Play Booster Sell Price CardMarket]]*tbl_MTG_Set[[#This Row],[Play Booster Expected Market Value]]/tbl_MTG_Set[[#This Row],[Play Boost Sealed Market Value]]</f>
        <v/>
      </c>
      <c r="BG9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9" s="10">
        <f>tbl_MTG_Set[[#This Row],[Play Singles CardMarket Profit]]/tbl_MTG_Set[[#This Row],[Play Booster Cost]]</f>
        <v/>
      </c>
      <c r="BI929" s="10">
        <f>tbl_MTG_Set[[#This Row],[Play Singles CardMarket Profit]]&gt;0</f>
        <v/>
      </c>
      <c r="BJ929" s="10" t="n"/>
      <c r="BK929" s="10" t="n"/>
      <c r="BL929" s="10">
        <f>tbl_MTG_Set[[#This Row],[Collector Booster Sell Price CardMarket]]*tbl_MTG_Set[[#This Row],[Collector Booster Expected Market Value]]/tbl_MTG_Set[[#This Row],[Collector Boost Sealed Market Value]]</f>
        <v/>
      </c>
      <c r="BM9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9" s="10">
        <f>tbl_MTG_Set[[#This Row],[Collector Singles CardMarket Profit]]/tbl_MTG_Set[[#This Row],[Collector Booster Cost]]</f>
        <v/>
      </c>
      <c r="BO929" s="10">
        <f>tbl_MTG_Set[[#This Row],[Collector Singles CardMarket Profit]]&gt;0</f>
        <v/>
      </c>
      <c r="BP9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0">
      <c r="A930" t="n">
        <v>928</v>
      </c>
      <c r="B930" t="inlineStr">
        <is>
          <t>Planeshift Promos PPLS</t>
        </is>
      </c>
      <c r="C930" t="n">
        <v>1</v>
      </c>
      <c r="D930" s="3" t="n">
        <v>36927</v>
      </c>
      <c r="F930" t="inlineStr">
        <is>
          <t>en es fr de it pt ja ko ru 汉语 漢語</t>
        </is>
      </c>
      <c r="G930" t="n">
        <v>1802</v>
      </c>
      <c r="H930">
        <f>MONTH(NOW())+12*YEAR(NOW())-MONTH(tbl_MTG_Set[[#This Row],[Released On]])-12*YEAR(tbl_MTG_Set[[#This Row],[Released On]])</f>
        <v/>
      </c>
      <c r="I930">
        <f>_xlfn.XLOOKUP(tbl_MTG_Set[[#This Row],[Type Name]], tbl_MTG_Set_Type[Set Type], tbl_MTG_Set_Type[Index], "(Set Type not found)")</f>
        <v/>
      </c>
      <c r="J930">
        <f>_xlfn.XLOOKUP(tbl_MTG_Set[[#This Row],[Type Name]], tbl_MTG_Set_Type[Set Type], tbl_MTG_Set_Type[Buy Window Month Start], "(Set Type not found)")</f>
        <v/>
      </c>
      <c r="K930" s="3">
        <f>tbl_MTG_Set[[#This Row],[Released On]]+tbl_MTG_Set[[#This Row],[Buy Window Month Start]]*365.25/12</f>
        <v/>
      </c>
      <c r="L930">
        <f>_xlfn.XLOOKUP(tbl_MTG_Set[[#This Row],[Type Name]], tbl_MTG_Set_Type[Set Type], tbl_MTG_Set_Type[Buy Window Month End], "(Set Type not found)", 0, 1)</f>
        <v/>
      </c>
      <c r="M930" s="3">
        <f>tbl_MTG_Set[[#This Row],[Released On]]+tbl_MTG_Set[[#This Row],[Buy Window Month End]]*365.25/12</f>
        <v/>
      </c>
      <c r="N930" s="3">
        <f>AND(NOW()&gt;=tbl_MTG_Set[[#This Row],[Buy Window Start]], NOW()&lt;=tbl_MTG_Set[[#This Row],[Buy Window End]])</f>
        <v/>
      </c>
      <c r="O930">
        <f>_xlfn.XLOOKUP(tbl_MTG_Set[[#This Row],[Type Name]], tbl_MTG_Set_Type[Set Type], tbl_MTG_Set_Type[Heavy Printing Window Month Start], "(Set Type not found)", 0, 1)</f>
        <v/>
      </c>
      <c r="P930" s="3">
        <f>tbl_MTG_Set[[#This Row],[Released On]]+tbl_MTG_Set[[#This Row],[Heavy Printing Window Month Start]]*365.25/12</f>
        <v/>
      </c>
      <c r="Q930">
        <f>_xlfn.XLOOKUP(tbl_MTG_Set[[#This Row],[Type Name]], tbl_MTG_Set_Type[Set Type], tbl_MTG_Set_Type[Heavy Printing Window Month End], "(Set Type not found)", 0, 1)</f>
        <v/>
      </c>
      <c r="R930" s="3">
        <f>tbl_MTG_Set[[#This Row],[Released On]]+tbl_MTG_Set[[#This Row],[Heavy Printing Window Month End]]*365.25/12</f>
        <v/>
      </c>
      <c r="S930" s="3">
        <f>AND(NOW()&gt;=tbl_MTG_Set[[#This Row],[Heavy Printing Window Start]], NOW()&lt;=tbl_MTG_Set[[#This Row],[Heavy Printing Window End]])</f>
        <v/>
      </c>
      <c r="T930">
        <f>_xlfn.XLOOKUP(tbl_MTG_Set[[#This Row],[Type Name]], tbl_MTG_Set_Type[Set Type], tbl_MTG_Set_Type[Sell Window Month Start], "(Set Type not found)", 0, 1)</f>
        <v/>
      </c>
      <c r="U930" s="3">
        <f>tbl_MTG_Set[[#This Row],[Released On]]+tbl_MTG_Set[[#This Row],[Sell Window Month Start]]*365.25/12</f>
        <v/>
      </c>
      <c r="V930">
        <f>_xlfn.XLOOKUP(tbl_MTG_Set[[#This Row],[Type Name]], tbl_MTG_Set_Type[Set Type], tbl_MTG_Set_Type[Sell Window Month End], "(Set Type not found)", 0, 1)</f>
        <v/>
      </c>
      <c r="W930" s="3">
        <f>tbl_MTG_Set[[#This Row],[Released On]]+tbl_MTG_Set[[#This Row],[Sell Window Month End]]*365.25/12</f>
        <v/>
      </c>
      <c r="X930" s="3">
        <f>AND(NOW()&gt;=tbl_MTG_Set[[#This Row],[Sell Window Start]], NOW()&lt;=tbl_MTG_Set[[#This Row],[Sell Window End]])</f>
        <v/>
      </c>
      <c r="AG930" s="10" t="n"/>
      <c r="AH930" s="10" t="n"/>
      <c r="AM930" s="10">
        <f t="array" ref="AM9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0" s="10">
        <f t="array" ref="AN9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0" s="4">
        <f>_xlfn.XLOOKUP(tbl_MTG_Set[[#This Row],[Play Booster Box Product Id]], tbl_Product[Product Id], tbl_Product[Pack Size])</f>
        <v/>
      </c>
      <c r="AP930" s="10">
        <f>(tbl_MTG_Set[[#This Row],[Play Booster Box Cost]]+v_Item_Shipping_Cost_In)/tbl_MTG_Set[[#This Row],[Play Booster Box Size]]</f>
        <v/>
      </c>
      <c r="AQ930" s="10">
        <f t="array" ref="AQ93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0" s="10" t="n"/>
      <c r="AS930" s="10" t="n"/>
      <c r="AT930" s="17">
        <f>tbl_MTG_Set[[#This Row],[Play Booster CardMarket Profit]]/tbl_MTG_Set[[#This Row],[Play Booster Cost]]</f>
        <v/>
      </c>
      <c r="AU930" s="10">
        <f>_xlfn.XLOOKUP(tbl_MTG_Set[[#This Row],[Collector Booster Box Product Id]], tbl_Product[Product Id], tbl_Product[Min Cost])</f>
        <v/>
      </c>
      <c r="AV930" s="10">
        <f>_xlfn.XLOOKUP(tbl_MTG_Set[[#This Row],[Collector Booster Box Product Id]], tbl_Product[Product Id], tbl_Product[Best Source])</f>
        <v/>
      </c>
      <c r="AW930" s="4">
        <f>_xlfn.XLOOKUP(tbl_MTG_Set[[#This Row],[Collector Booster Box Product Id]], tbl_Product[Product Id], tbl_Product[Pack Size])</f>
        <v/>
      </c>
      <c r="AX930" s="10">
        <f>(tbl_MTG_Set[[#This Row],[Collector Booster Box Cost]] + v_Item_Shipping_Cost_In) / tbl_MTG_Set[[#This Row],[Collector Booster Box Size]]</f>
        <v/>
      </c>
      <c r="AY930" s="10">
        <f t="array" ref="AY93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0" s="10" t="n"/>
      <c r="BA9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0" s="17">
        <f>tbl_MTG_Set[[#This Row],[Collector Booster CardMarket Profit]]/tbl_MTG_Set[[#This Row],[Collector Booster Cost]]</f>
        <v/>
      </c>
      <c r="BC930" s="10" t="n"/>
      <c r="BF930" s="10">
        <f>tbl_MTG_Set[[#This Row],[Play Booster Sell Price CardMarket]]*tbl_MTG_Set[[#This Row],[Play Booster Expected Market Value]]/tbl_MTG_Set[[#This Row],[Play Boost Sealed Market Value]]</f>
        <v/>
      </c>
      <c r="BG9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0" s="10">
        <f>tbl_MTG_Set[[#This Row],[Play Singles CardMarket Profit]]/tbl_MTG_Set[[#This Row],[Play Booster Cost]]</f>
        <v/>
      </c>
      <c r="BI930" s="10">
        <f>tbl_MTG_Set[[#This Row],[Play Singles CardMarket Profit]]&gt;0</f>
        <v/>
      </c>
      <c r="BJ930" s="10" t="n"/>
      <c r="BK930" s="10" t="n"/>
      <c r="BL930" s="10">
        <f>tbl_MTG_Set[[#This Row],[Collector Booster Sell Price CardMarket]]*tbl_MTG_Set[[#This Row],[Collector Booster Expected Market Value]]/tbl_MTG_Set[[#This Row],[Collector Boost Sealed Market Value]]</f>
        <v/>
      </c>
      <c r="BM9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0" s="10">
        <f>tbl_MTG_Set[[#This Row],[Collector Singles CardMarket Profit]]/tbl_MTG_Set[[#This Row],[Collector Booster Cost]]</f>
        <v/>
      </c>
      <c r="BO930" s="10">
        <f>tbl_MTG_Set[[#This Row],[Collector Singles CardMarket Profit]]&gt;0</f>
        <v/>
      </c>
      <c r="BP9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1">
      <c r="A931" t="n">
        <v>929</v>
      </c>
      <c r="B931" t="inlineStr">
        <is>
          <t>Arena League 2001 PAL01</t>
        </is>
      </c>
      <c r="C931" t="n">
        <v>12</v>
      </c>
      <c r="D931" s="3" t="n">
        <v>36892</v>
      </c>
      <c r="F931" t="inlineStr">
        <is>
          <t>en es fr de it pt ja ko ru 汉语 漢語</t>
        </is>
      </c>
      <c r="G931" t="n">
        <v>1804</v>
      </c>
      <c r="H931">
        <f>MONTH(NOW())+12*YEAR(NOW())-MONTH(tbl_MTG_Set[[#This Row],[Released On]])-12*YEAR(tbl_MTG_Set[[#This Row],[Released On]])</f>
        <v/>
      </c>
      <c r="I931">
        <f>_xlfn.XLOOKUP(tbl_MTG_Set[[#This Row],[Type Name]], tbl_MTG_Set_Type[Set Type], tbl_MTG_Set_Type[Index], "(Set Type not found)")</f>
        <v/>
      </c>
      <c r="J931">
        <f>_xlfn.XLOOKUP(tbl_MTG_Set[[#This Row],[Type Name]], tbl_MTG_Set_Type[Set Type], tbl_MTG_Set_Type[Buy Window Month Start], "(Set Type not found)")</f>
        <v/>
      </c>
      <c r="K931" s="3">
        <f>tbl_MTG_Set[[#This Row],[Released On]]+tbl_MTG_Set[[#This Row],[Buy Window Month Start]]*365.25/12</f>
        <v/>
      </c>
      <c r="L931">
        <f>_xlfn.XLOOKUP(tbl_MTG_Set[[#This Row],[Type Name]], tbl_MTG_Set_Type[Set Type], tbl_MTG_Set_Type[Buy Window Month End], "(Set Type not found)", 0, 1)</f>
        <v/>
      </c>
      <c r="M931" s="3">
        <f>tbl_MTG_Set[[#This Row],[Released On]]+tbl_MTG_Set[[#This Row],[Buy Window Month End]]*365.25/12</f>
        <v/>
      </c>
      <c r="N931" s="3">
        <f>AND(NOW()&gt;=tbl_MTG_Set[[#This Row],[Buy Window Start]], NOW()&lt;=tbl_MTG_Set[[#This Row],[Buy Window End]])</f>
        <v/>
      </c>
      <c r="O931">
        <f>_xlfn.XLOOKUP(tbl_MTG_Set[[#This Row],[Type Name]], tbl_MTG_Set_Type[Set Type], tbl_MTG_Set_Type[Heavy Printing Window Month Start], "(Set Type not found)", 0, 1)</f>
        <v/>
      </c>
      <c r="P931" s="3">
        <f>tbl_MTG_Set[[#This Row],[Released On]]+tbl_MTG_Set[[#This Row],[Heavy Printing Window Month Start]]*365.25/12</f>
        <v/>
      </c>
      <c r="Q931">
        <f>_xlfn.XLOOKUP(tbl_MTG_Set[[#This Row],[Type Name]], tbl_MTG_Set_Type[Set Type], tbl_MTG_Set_Type[Heavy Printing Window Month End], "(Set Type not found)", 0, 1)</f>
        <v/>
      </c>
      <c r="R931" s="3">
        <f>tbl_MTG_Set[[#This Row],[Released On]]+tbl_MTG_Set[[#This Row],[Heavy Printing Window Month End]]*365.25/12</f>
        <v/>
      </c>
      <c r="S931" s="3">
        <f>AND(NOW()&gt;=tbl_MTG_Set[[#This Row],[Heavy Printing Window Start]], NOW()&lt;=tbl_MTG_Set[[#This Row],[Heavy Printing Window End]])</f>
        <v/>
      </c>
      <c r="T931">
        <f>_xlfn.XLOOKUP(tbl_MTG_Set[[#This Row],[Type Name]], tbl_MTG_Set_Type[Set Type], tbl_MTG_Set_Type[Sell Window Month Start], "(Set Type not found)", 0, 1)</f>
        <v/>
      </c>
      <c r="U931" s="3">
        <f>tbl_MTG_Set[[#This Row],[Released On]]+tbl_MTG_Set[[#This Row],[Sell Window Month Start]]*365.25/12</f>
        <v/>
      </c>
      <c r="V931">
        <f>_xlfn.XLOOKUP(tbl_MTG_Set[[#This Row],[Type Name]], tbl_MTG_Set_Type[Set Type], tbl_MTG_Set_Type[Sell Window Month End], "(Set Type not found)", 0, 1)</f>
        <v/>
      </c>
      <c r="W931" s="3">
        <f>tbl_MTG_Set[[#This Row],[Released On]]+tbl_MTG_Set[[#This Row],[Sell Window Month End]]*365.25/12</f>
        <v/>
      </c>
      <c r="X931" s="3">
        <f>AND(NOW()&gt;=tbl_MTG_Set[[#This Row],[Sell Window Start]], NOW()&lt;=tbl_MTG_Set[[#This Row],[Sell Window End]])</f>
        <v/>
      </c>
      <c r="AG931" s="10" t="n"/>
      <c r="AH931" s="10" t="n"/>
      <c r="AM931" s="10">
        <f t="array" ref="AM9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1" s="10">
        <f t="array" ref="AN9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1" s="4">
        <f>_xlfn.XLOOKUP(tbl_MTG_Set[[#This Row],[Play Booster Box Product Id]], tbl_Product[Product Id], tbl_Product[Pack Size])</f>
        <v/>
      </c>
      <c r="AP931" s="10">
        <f>(tbl_MTG_Set[[#This Row],[Play Booster Box Cost]]+v_Item_Shipping_Cost_In)/tbl_MTG_Set[[#This Row],[Play Booster Box Size]]</f>
        <v/>
      </c>
      <c r="AQ931" s="10">
        <f t="array" ref="AQ93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1" s="10" t="n"/>
      <c r="AS931" s="10" t="n"/>
      <c r="AT931" s="17">
        <f>tbl_MTG_Set[[#This Row],[Play Booster CardMarket Profit]]/tbl_MTG_Set[[#This Row],[Play Booster Cost]]</f>
        <v/>
      </c>
      <c r="AU931" s="10">
        <f>_xlfn.XLOOKUP(tbl_MTG_Set[[#This Row],[Collector Booster Box Product Id]], tbl_Product[Product Id], tbl_Product[Min Cost])</f>
        <v/>
      </c>
      <c r="AV931" s="10">
        <f>_xlfn.XLOOKUP(tbl_MTG_Set[[#This Row],[Collector Booster Box Product Id]], tbl_Product[Product Id], tbl_Product[Best Source])</f>
        <v/>
      </c>
      <c r="AW931" s="4">
        <f>_xlfn.XLOOKUP(tbl_MTG_Set[[#This Row],[Collector Booster Box Product Id]], tbl_Product[Product Id], tbl_Product[Pack Size])</f>
        <v/>
      </c>
      <c r="AX931" s="10">
        <f>(tbl_MTG_Set[[#This Row],[Collector Booster Box Cost]] + v_Item_Shipping_Cost_In) / tbl_MTG_Set[[#This Row],[Collector Booster Box Size]]</f>
        <v/>
      </c>
      <c r="AY931" s="10">
        <f t="array" ref="AY93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1" s="10" t="n"/>
      <c r="BA9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1" s="17">
        <f>tbl_MTG_Set[[#This Row],[Collector Booster CardMarket Profit]]/tbl_MTG_Set[[#This Row],[Collector Booster Cost]]</f>
        <v/>
      </c>
      <c r="BC931" s="10" t="n"/>
      <c r="BF931" s="10">
        <f>tbl_MTG_Set[[#This Row],[Play Booster Sell Price CardMarket]]*tbl_MTG_Set[[#This Row],[Play Booster Expected Market Value]]/tbl_MTG_Set[[#This Row],[Play Boost Sealed Market Value]]</f>
        <v/>
      </c>
      <c r="BG9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1" s="10">
        <f>tbl_MTG_Set[[#This Row],[Play Singles CardMarket Profit]]/tbl_MTG_Set[[#This Row],[Play Booster Cost]]</f>
        <v/>
      </c>
      <c r="BI931" s="10">
        <f>tbl_MTG_Set[[#This Row],[Play Singles CardMarket Profit]]&gt;0</f>
        <v/>
      </c>
      <c r="BJ931" s="10" t="n"/>
      <c r="BK931" s="10" t="n"/>
      <c r="BL931" s="10">
        <f>tbl_MTG_Set[[#This Row],[Collector Booster Sell Price CardMarket]]*tbl_MTG_Set[[#This Row],[Collector Booster Expected Market Value]]/tbl_MTG_Set[[#This Row],[Collector Boost Sealed Market Value]]</f>
        <v/>
      </c>
      <c r="BM9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1" s="10">
        <f>tbl_MTG_Set[[#This Row],[Collector Singles CardMarket Profit]]/tbl_MTG_Set[[#This Row],[Collector Booster Cost]]</f>
        <v/>
      </c>
      <c r="BO931" s="10">
        <f>tbl_MTG_Set[[#This Row],[Collector Singles CardMarket Profit]]&gt;0</f>
        <v/>
      </c>
      <c r="BP9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2">
      <c r="A932" t="n">
        <v>930</v>
      </c>
      <c r="B932" t="inlineStr">
        <is>
          <t>Magic Player Rewards 2001 MPR</t>
        </is>
      </c>
      <c r="C932" t="n">
        <v>8</v>
      </c>
      <c r="D932" s="3" t="n">
        <v>36892</v>
      </c>
      <c r="F932" t="inlineStr">
        <is>
          <t>en es fr de it pt ja ko ru 汉语 漢語</t>
        </is>
      </c>
      <c r="G932" t="n">
        <v>1806</v>
      </c>
      <c r="H932">
        <f>MONTH(NOW())+12*YEAR(NOW())-MONTH(tbl_MTG_Set[[#This Row],[Released On]])-12*YEAR(tbl_MTG_Set[[#This Row],[Released On]])</f>
        <v/>
      </c>
      <c r="I932">
        <f>_xlfn.XLOOKUP(tbl_MTG_Set[[#This Row],[Type Name]], tbl_MTG_Set_Type[Set Type], tbl_MTG_Set_Type[Index], "(Set Type not found)")</f>
        <v/>
      </c>
      <c r="J932">
        <f>_xlfn.XLOOKUP(tbl_MTG_Set[[#This Row],[Type Name]], tbl_MTG_Set_Type[Set Type], tbl_MTG_Set_Type[Buy Window Month Start], "(Set Type not found)")</f>
        <v/>
      </c>
      <c r="K932" s="3">
        <f>tbl_MTG_Set[[#This Row],[Released On]]+tbl_MTG_Set[[#This Row],[Buy Window Month Start]]*365.25/12</f>
        <v/>
      </c>
      <c r="L932">
        <f>_xlfn.XLOOKUP(tbl_MTG_Set[[#This Row],[Type Name]], tbl_MTG_Set_Type[Set Type], tbl_MTG_Set_Type[Buy Window Month End], "(Set Type not found)", 0, 1)</f>
        <v/>
      </c>
      <c r="M932" s="3">
        <f>tbl_MTG_Set[[#This Row],[Released On]]+tbl_MTG_Set[[#This Row],[Buy Window Month End]]*365.25/12</f>
        <v/>
      </c>
      <c r="N932" s="3">
        <f>AND(NOW()&gt;=tbl_MTG_Set[[#This Row],[Buy Window Start]], NOW()&lt;=tbl_MTG_Set[[#This Row],[Buy Window End]])</f>
        <v/>
      </c>
      <c r="O932">
        <f>_xlfn.XLOOKUP(tbl_MTG_Set[[#This Row],[Type Name]], tbl_MTG_Set_Type[Set Type], tbl_MTG_Set_Type[Heavy Printing Window Month Start], "(Set Type not found)", 0, 1)</f>
        <v/>
      </c>
      <c r="P932" s="3">
        <f>tbl_MTG_Set[[#This Row],[Released On]]+tbl_MTG_Set[[#This Row],[Heavy Printing Window Month Start]]*365.25/12</f>
        <v/>
      </c>
      <c r="Q932">
        <f>_xlfn.XLOOKUP(tbl_MTG_Set[[#This Row],[Type Name]], tbl_MTG_Set_Type[Set Type], tbl_MTG_Set_Type[Heavy Printing Window Month End], "(Set Type not found)", 0, 1)</f>
        <v/>
      </c>
      <c r="R932" s="3">
        <f>tbl_MTG_Set[[#This Row],[Released On]]+tbl_MTG_Set[[#This Row],[Heavy Printing Window Month End]]*365.25/12</f>
        <v/>
      </c>
      <c r="S932" s="3">
        <f>AND(NOW()&gt;=tbl_MTG_Set[[#This Row],[Heavy Printing Window Start]], NOW()&lt;=tbl_MTG_Set[[#This Row],[Heavy Printing Window End]])</f>
        <v/>
      </c>
      <c r="T932">
        <f>_xlfn.XLOOKUP(tbl_MTG_Set[[#This Row],[Type Name]], tbl_MTG_Set_Type[Set Type], tbl_MTG_Set_Type[Sell Window Month Start], "(Set Type not found)", 0, 1)</f>
        <v/>
      </c>
      <c r="U932" s="3">
        <f>tbl_MTG_Set[[#This Row],[Released On]]+tbl_MTG_Set[[#This Row],[Sell Window Month Start]]*365.25/12</f>
        <v/>
      </c>
      <c r="V932">
        <f>_xlfn.XLOOKUP(tbl_MTG_Set[[#This Row],[Type Name]], tbl_MTG_Set_Type[Set Type], tbl_MTG_Set_Type[Sell Window Month End], "(Set Type not found)", 0, 1)</f>
        <v/>
      </c>
      <c r="W932" s="3">
        <f>tbl_MTG_Set[[#This Row],[Released On]]+tbl_MTG_Set[[#This Row],[Sell Window Month End]]*365.25/12</f>
        <v/>
      </c>
      <c r="X932" s="3">
        <f>AND(NOW()&gt;=tbl_MTG_Set[[#This Row],[Sell Window Start]], NOW()&lt;=tbl_MTG_Set[[#This Row],[Sell Window End]])</f>
        <v/>
      </c>
      <c r="AG932" s="10" t="n"/>
      <c r="AH932" s="10" t="n"/>
      <c r="AM932" s="10">
        <f t="array" ref="AM9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2" s="10">
        <f t="array" ref="AN9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2" s="4">
        <f>_xlfn.XLOOKUP(tbl_MTG_Set[[#This Row],[Play Booster Box Product Id]], tbl_Product[Product Id], tbl_Product[Pack Size])</f>
        <v/>
      </c>
      <c r="AP932" s="10">
        <f>(tbl_MTG_Set[[#This Row],[Play Booster Box Cost]]+v_Item_Shipping_Cost_In)/tbl_MTG_Set[[#This Row],[Play Booster Box Size]]</f>
        <v/>
      </c>
      <c r="AQ932" s="10">
        <f t="array" ref="AQ93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2" s="10" t="n"/>
      <c r="AS932" s="10" t="n"/>
      <c r="AT932" s="17">
        <f>tbl_MTG_Set[[#This Row],[Play Booster CardMarket Profit]]/tbl_MTG_Set[[#This Row],[Play Booster Cost]]</f>
        <v/>
      </c>
      <c r="AU932" s="10">
        <f>_xlfn.XLOOKUP(tbl_MTG_Set[[#This Row],[Collector Booster Box Product Id]], tbl_Product[Product Id], tbl_Product[Min Cost])</f>
        <v/>
      </c>
      <c r="AV932" s="10">
        <f>_xlfn.XLOOKUP(tbl_MTG_Set[[#This Row],[Collector Booster Box Product Id]], tbl_Product[Product Id], tbl_Product[Best Source])</f>
        <v/>
      </c>
      <c r="AW932" s="4">
        <f>_xlfn.XLOOKUP(tbl_MTG_Set[[#This Row],[Collector Booster Box Product Id]], tbl_Product[Product Id], tbl_Product[Pack Size])</f>
        <v/>
      </c>
      <c r="AX932" s="10">
        <f>(tbl_MTG_Set[[#This Row],[Collector Booster Box Cost]] + v_Item_Shipping_Cost_In) / tbl_MTG_Set[[#This Row],[Collector Booster Box Size]]</f>
        <v/>
      </c>
      <c r="AY932" s="10">
        <f t="array" ref="AY93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2" s="10" t="n"/>
      <c r="BA9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2" s="17">
        <f>tbl_MTG_Set[[#This Row],[Collector Booster CardMarket Profit]]/tbl_MTG_Set[[#This Row],[Collector Booster Cost]]</f>
        <v/>
      </c>
      <c r="BC932" s="10" t="n"/>
      <c r="BF932" s="10">
        <f>tbl_MTG_Set[[#This Row],[Play Booster Sell Price CardMarket]]*tbl_MTG_Set[[#This Row],[Play Booster Expected Market Value]]/tbl_MTG_Set[[#This Row],[Play Boost Sealed Market Value]]</f>
        <v/>
      </c>
      <c r="BG9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2" s="10">
        <f>tbl_MTG_Set[[#This Row],[Play Singles CardMarket Profit]]/tbl_MTG_Set[[#This Row],[Play Booster Cost]]</f>
        <v/>
      </c>
      <c r="BI932" s="10">
        <f>tbl_MTG_Set[[#This Row],[Play Singles CardMarket Profit]]&gt;0</f>
        <v/>
      </c>
      <c r="BJ932" s="10" t="n"/>
      <c r="BK932" s="10" t="n"/>
      <c r="BL932" s="10">
        <f>tbl_MTG_Set[[#This Row],[Collector Booster Sell Price CardMarket]]*tbl_MTG_Set[[#This Row],[Collector Booster Expected Market Value]]/tbl_MTG_Set[[#This Row],[Collector Boost Sealed Market Value]]</f>
        <v/>
      </c>
      <c r="BM9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2" s="10">
        <f>tbl_MTG_Set[[#This Row],[Collector Singles CardMarket Profit]]/tbl_MTG_Set[[#This Row],[Collector Booster Cost]]</f>
        <v/>
      </c>
      <c r="BO932" s="10">
        <f>tbl_MTG_Set[[#This Row],[Collector Singles CardMarket Profit]]&gt;0</f>
        <v/>
      </c>
      <c r="BP9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3">
      <c r="A933" t="n">
        <v>931</v>
      </c>
      <c r="B933" t="inlineStr">
        <is>
          <t>Judge Gift Cards 2001 G01</t>
        </is>
      </c>
      <c r="C933" t="n">
        <v>2</v>
      </c>
      <c r="D933" s="3" t="n">
        <v>36892</v>
      </c>
      <c r="F933" t="inlineStr">
        <is>
          <t>en es fr de it pt ja ko ru 汉语 漢語</t>
        </is>
      </c>
      <c r="G933" t="n">
        <v>1808</v>
      </c>
      <c r="H933">
        <f>MONTH(NOW())+12*YEAR(NOW())-MONTH(tbl_MTG_Set[[#This Row],[Released On]])-12*YEAR(tbl_MTG_Set[[#This Row],[Released On]])</f>
        <v/>
      </c>
      <c r="I933">
        <f>_xlfn.XLOOKUP(tbl_MTG_Set[[#This Row],[Type Name]], tbl_MTG_Set_Type[Set Type], tbl_MTG_Set_Type[Index], "(Set Type not found)")</f>
        <v/>
      </c>
      <c r="J933">
        <f>_xlfn.XLOOKUP(tbl_MTG_Set[[#This Row],[Type Name]], tbl_MTG_Set_Type[Set Type], tbl_MTG_Set_Type[Buy Window Month Start], "(Set Type not found)")</f>
        <v/>
      </c>
      <c r="K933" s="3">
        <f>tbl_MTG_Set[[#This Row],[Released On]]+tbl_MTG_Set[[#This Row],[Buy Window Month Start]]*365.25/12</f>
        <v/>
      </c>
      <c r="L933">
        <f>_xlfn.XLOOKUP(tbl_MTG_Set[[#This Row],[Type Name]], tbl_MTG_Set_Type[Set Type], tbl_MTG_Set_Type[Buy Window Month End], "(Set Type not found)", 0, 1)</f>
        <v/>
      </c>
      <c r="M933" s="3">
        <f>tbl_MTG_Set[[#This Row],[Released On]]+tbl_MTG_Set[[#This Row],[Buy Window Month End]]*365.25/12</f>
        <v/>
      </c>
      <c r="N933" s="3">
        <f>AND(NOW()&gt;=tbl_MTG_Set[[#This Row],[Buy Window Start]], NOW()&lt;=tbl_MTG_Set[[#This Row],[Buy Window End]])</f>
        <v/>
      </c>
      <c r="O933">
        <f>_xlfn.XLOOKUP(tbl_MTG_Set[[#This Row],[Type Name]], tbl_MTG_Set_Type[Set Type], tbl_MTG_Set_Type[Heavy Printing Window Month Start], "(Set Type not found)", 0, 1)</f>
        <v/>
      </c>
      <c r="P933" s="3">
        <f>tbl_MTG_Set[[#This Row],[Released On]]+tbl_MTG_Set[[#This Row],[Heavy Printing Window Month Start]]*365.25/12</f>
        <v/>
      </c>
      <c r="Q933">
        <f>_xlfn.XLOOKUP(tbl_MTG_Set[[#This Row],[Type Name]], tbl_MTG_Set_Type[Set Type], tbl_MTG_Set_Type[Heavy Printing Window Month End], "(Set Type not found)", 0, 1)</f>
        <v/>
      </c>
      <c r="R933" s="3">
        <f>tbl_MTG_Set[[#This Row],[Released On]]+tbl_MTG_Set[[#This Row],[Heavy Printing Window Month End]]*365.25/12</f>
        <v/>
      </c>
      <c r="S933" s="3">
        <f>AND(NOW()&gt;=tbl_MTG_Set[[#This Row],[Heavy Printing Window Start]], NOW()&lt;=tbl_MTG_Set[[#This Row],[Heavy Printing Window End]])</f>
        <v/>
      </c>
      <c r="T933">
        <f>_xlfn.XLOOKUP(tbl_MTG_Set[[#This Row],[Type Name]], tbl_MTG_Set_Type[Set Type], tbl_MTG_Set_Type[Sell Window Month Start], "(Set Type not found)", 0, 1)</f>
        <v/>
      </c>
      <c r="U933" s="3">
        <f>tbl_MTG_Set[[#This Row],[Released On]]+tbl_MTG_Set[[#This Row],[Sell Window Month Start]]*365.25/12</f>
        <v/>
      </c>
      <c r="V933">
        <f>_xlfn.XLOOKUP(tbl_MTG_Set[[#This Row],[Type Name]], tbl_MTG_Set_Type[Set Type], tbl_MTG_Set_Type[Sell Window Month End], "(Set Type not found)", 0, 1)</f>
        <v/>
      </c>
      <c r="W933" s="3">
        <f>tbl_MTG_Set[[#This Row],[Released On]]+tbl_MTG_Set[[#This Row],[Sell Window Month End]]*365.25/12</f>
        <v/>
      </c>
      <c r="X933" s="3">
        <f>AND(NOW()&gt;=tbl_MTG_Set[[#This Row],[Sell Window Start]], NOW()&lt;=tbl_MTG_Set[[#This Row],[Sell Window End]])</f>
        <v/>
      </c>
      <c r="AG933" s="10" t="n"/>
      <c r="AH933" s="10" t="n"/>
      <c r="AM933" s="10">
        <f t="array" ref="AM9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3" s="10">
        <f t="array" ref="AN9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3" s="4">
        <f>_xlfn.XLOOKUP(tbl_MTG_Set[[#This Row],[Play Booster Box Product Id]], tbl_Product[Product Id], tbl_Product[Pack Size])</f>
        <v/>
      </c>
      <c r="AP933" s="10">
        <f>(tbl_MTG_Set[[#This Row],[Play Booster Box Cost]]+v_Item_Shipping_Cost_In)/tbl_MTG_Set[[#This Row],[Play Booster Box Size]]</f>
        <v/>
      </c>
      <c r="AQ933" s="10">
        <f t="array" ref="AQ93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3" s="10" t="n"/>
      <c r="AS933" s="10" t="n"/>
      <c r="AT933" s="17">
        <f>tbl_MTG_Set[[#This Row],[Play Booster CardMarket Profit]]/tbl_MTG_Set[[#This Row],[Play Booster Cost]]</f>
        <v/>
      </c>
      <c r="AU933" s="10">
        <f>_xlfn.XLOOKUP(tbl_MTG_Set[[#This Row],[Collector Booster Box Product Id]], tbl_Product[Product Id], tbl_Product[Min Cost])</f>
        <v/>
      </c>
      <c r="AV933" s="10">
        <f>_xlfn.XLOOKUP(tbl_MTG_Set[[#This Row],[Collector Booster Box Product Id]], tbl_Product[Product Id], tbl_Product[Best Source])</f>
        <v/>
      </c>
      <c r="AW933" s="4">
        <f>_xlfn.XLOOKUP(tbl_MTG_Set[[#This Row],[Collector Booster Box Product Id]], tbl_Product[Product Id], tbl_Product[Pack Size])</f>
        <v/>
      </c>
      <c r="AX933" s="10">
        <f>(tbl_MTG_Set[[#This Row],[Collector Booster Box Cost]] + v_Item_Shipping_Cost_In) / tbl_MTG_Set[[#This Row],[Collector Booster Box Size]]</f>
        <v/>
      </c>
      <c r="AY933" s="10">
        <f t="array" ref="AY93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3" s="10" t="n"/>
      <c r="BA9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3" s="17">
        <f>tbl_MTG_Set[[#This Row],[Collector Booster CardMarket Profit]]/tbl_MTG_Set[[#This Row],[Collector Booster Cost]]</f>
        <v/>
      </c>
      <c r="BC933" s="10" t="n"/>
      <c r="BF933" s="10">
        <f>tbl_MTG_Set[[#This Row],[Play Booster Sell Price CardMarket]]*tbl_MTG_Set[[#This Row],[Play Booster Expected Market Value]]/tbl_MTG_Set[[#This Row],[Play Boost Sealed Market Value]]</f>
        <v/>
      </c>
      <c r="BG9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3" s="10">
        <f>tbl_MTG_Set[[#This Row],[Play Singles CardMarket Profit]]/tbl_MTG_Set[[#This Row],[Play Booster Cost]]</f>
        <v/>
      </c>
      <c r="BI933" s="10">
        <f>tbl_MTG_Set[[#This Row],[Play Singles CardMarket Profit]]&gt;0</f>
        <v/>
      </c>
      <c r="BJ933" s="10" t="n"/>
      <c r="BK933" s="10" t="n"/>
      <c r="BL933" s="10">
        <f>tbl_MTG_Set[[#This Row],[Collector Booster Sell Price CardMarket]]*tbl_MTG_Set[[#This Row],[Collector Booster Expected Market Value]]/tbl_MTG_Set[[#This Row],[Collector Boost Sealed Market Value]]</f>
        <v/>
      </c>
      <c r="BM9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3" s="10">
        <f>tbl_MTG_Set[[#This Row],[Collector Singles CardMarket Profit]]/tbl_MTG_Set[[#This Row],[Collector Booster Cost]]</f>
        <v/>
      </c>
      <c r="BO933" s="10">
        <f>tbl_MTG_Set[[#This Row],[Collector Singles CardMarket Profit]]&gt;0</f>
        <v/>
      </c>
      <c r="BP9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4">
      <c r="A934" t="n">
        <v>932</v>
      </c>
      <c r="B934" t="inlineStr">
        <is>
          <t>Friday Night Magic 2001 F01</t>
        </is>
      </c>
      <c r="C934" t="n">
        <v>7</v>
      </c>
      <c r="D934" s="3" t="n">
        <v>36892</v>
      </c>
      <c r="F934" t="inlineStr">
        <is>
          <t>en es fr de it pt ja ko ru 汉语 漢語</t>
        </is>
      </c>
      <c r="G934" t="n">
        <v>1810</v>
      </c>
      <c r="H934">
        <f>MONTH(NOW())+12*YEAR(NOW())-MONTH(tbl_MTG_Set[[#This Row],[Released On]])-12*YEAR(tbl_MTG_Set[[#This Row],[Released On]])</f>
        <v/>
      </c>
      <c r="I934">
        <f>_xlfn.XLOOKUP(tbl_MTG_Set[[#This Row],[Type Name]], tbl_MTG_Set_Type[Set Type], tbl_MTG_Set_Type[Index], "(Set Type not found)")</f>
        <v/>
      </c>
      <c r="J934">
        <f>_xlfn.XLOOKUP(tbl_MTG_Set[[#This Row],[Type Name]], tbl_MTG_Set_Type[Set Type], tbl_MTG_Set_Type[Buy Window Month Start], "(Set Type not found)")</f>
        <v/>
      </c>
      <c r="K934" s="3">
        <f>tbl_MTG_Set[[#This Row],[Released On]]+tbl_MTG_Set[[#This Row],[Buy Window Month Start]]*365.25/12</f>
        <v/>
      </c>
      <c r="L934">
        <f>_xlfn.XLOOKUP(tbl_MTG_Set[[#This Row],[Type Name]], tbl_MTG_Set_Type[Set Type], tbl_MTG_Set_Type[Buy Window Month End], "(Set Type not found)", 0, 1)</f>
        <v/>
      </c>
      <c r="M934" s="3">
        <f>tbl_MTG_Set[[#This Row],[Released On]]+tbl_MTG_Set[[#This Row],[Buy Window Month End]]*365.25/12</f>
        <v/>
      </c>
      <c r="N934" s="3">
        <f>AND(NOW()&gt;=tbl_MTG_Set[[#This Row],[Buy Window Start]], NOW()&lt;=tbl_MTG_Set[[#This Row],[Buy Window End]])</f>
        <v/>
      </c>
      <c r="O934">
        <f>_xlfn.XLOOKUP(tbl_MTG_Set[[#This Row],[Type Name]], tbl_MTG_Set_Type[Set Type], tbl_MTG_Set_Type[Heavy Printing Window Month Start], "(Set Type not found)", 0, 1)</f>
        <v/>
      </c>
      <c r="P934" s="3">
        <f>tbl_MTG_Set[[#This Row],[Released On]]+tbl_MTG_Set[[#This Row],[Heavy Printing Window Month Start]]*365.25/12</f>
        <v/>
      </c>
      <c r="Q934">
        <f>_xlfn.XLOOKUP(tbl_MTG_Set[[#This Row],[Type Name]], tbl_MTG_Set_Type[Set Type], tbl_MTG_Set_Type[Heavy Printing Window Month End], "(Set Type not found)", 0, 1)</f>
        <v/>
      </c>
      <c r="R934" s="3">
        <f>tbl_MTG_Set[[#This Row],[Released On]]+tbl_MTG_Set[[#This Row],[Heavy Printing Window Month End]]*365.25/12</f>
        <v/>
      </c>
      <c r="S934" s="3">
        <f>AND(NOW()&gt;=tbl_MTG_Set[[#This Row],[Heavy Printing Window Start]], NOW()&lt;=tbl_MTG_Set[[#This Row],[Heavy Printing Window End]])</f>
        <v/>
      </c>
      <c r="T934">
        <f>_xlfn.XLOOKUP(tbl_MTG_Set[[#This Row],[Type Name]], tbl_MTG_Set_Type[Set Type], tbl_MTG_Set_Type[Sell Window Month Start], "(Set Type not found)", 0, 1)</f>
        <v/>
      </c>
      <c r="U934" s="3">
        <f>tbl_MTG_Set[[#This Row],[Released On]]+tbl_MTG_Set[[#This Row],[Sell Window Month Start]]*365.25/12</f>
        <v/>
      </c>
      <c r="V934">
        <f>_xlfn.XLOOKUP(tbl_MTG_Set[[#This Row],[Type Name]], tbl_MTG_Set_Type[Set Type], tbl_MTG_Set_Type[Sell Window Month End], "(Set Type not found)", 0, 1)</f>
        <v/>
      </c>
      <c r="W934" s="3">
        <f>tbl_MTG_Set[[#This Row],[Released On]]+tbl_MTG_Set[[#This Row],[Sell Window Month End]]*365.25/12</f>
        <v/>
      </c>
      <c r="X934" s="3">
        <f>AND(NOW()&gt;=tbl_MTG_Set[[#This Row],[Sell Window Start]], NOW()&lt;=tbl_MTG_Set[[#This Row],[Sell Window End]])</f>
        <v/>
      </c>
      <c r="AG934" s="10" t="n"/>
      <c r="AH934" s="10" t="n"/>
      <c r="AM934" s="10">
        <f t="array" ref="AM9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4" s="10">
        <f t="array" ref="AN9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4" s="4">
        <f>_xlfn.XLOOKUP(tbl_MTG_Set[[#This Row],[Play Booster Box Product Id]], tbl_Product[Product Id], tbl_Product[Pack Size])</f>
        <v/>
      </c>
      <c r="AP934" s="10">
        <f>(tbl_MTG_Set[[#This Row],[Play Booster Box Cost]]+v_Item_Shipping_Cost_In)/tbl_MTG_Set[[#This Row],[Play Booster Box Size]]</f>
        <v/>
      </c>
      <c r="AQ934" s="10">
        <f t="array" ref="AQ93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4" s="10" t="n"/>
      <c r="AS934" s="10" t="n"/>
      <c r="AT934" s="17">
        <f>tbl_MTG_Set[[#This Row],[Play Booster CardMarket Profit]]/tbl_MTG_Set[[#This Row],[Play Booster Cost]]</f>
        <v/>
      </c>
      <c r="AU934" s="10">
        <f>_xlfn.XLOOKUP(tbl_MTG_Set[[#This Row],[Collector Booster Box Product Id]], tbl_Product[Product Id], tbl_Product[Min Cost])</f>
        <v/>
      </c>
      <c r="AV934" s="10">
        <f>_xlfn.XLOOKUP(tbl_MTG_Set[[#This Row],[Collector Booster Box Product Id]], tbl_Product[Product Id], tbl_Product[Best Source])</f>
        <v/>
      </c>
      <c r="AW934" s="4">
        <f>_xlfn.XLOOKUP(tbl_MTG_Set[[#This Row],[Collector Booster Box Product Id]], tbl_Product[Product Id], tbl_Product[Pack Size])</f>
        <v/>
      </c>
      <c r="AX934" s="10">
        <f>(tbl_MTG_Set[[#This Row],[Collector Booster Box Cost]] + v_Item_Shipping_Cost_In) / tbl_MTG_Set[[#This Row],[Collector Booster Box Size]]</f>
        <v/>
      </c>
      <c r="AY934" s="10">
        <f t="array" ref="AY93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4" s="10" t="n"/>
      <c r="BA9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4" s="17">
        <f>tbl_MTG_Set[[#This Row],[Collector Booster CardMarket Profit]]/tbl_MTG_Set[[#This Row],[Collector Booster Cost]]</f>
        <v/>
      </c>
      <c r="BC934" s="10" t="n"/>
      <c r="BF934" s="10">
        <f>tbl_MTG_Set[[#This Row],[Play Booster Sell Price CardMarket]]*tbl_MTG_Set[[#This Row],[Play Booster Expected Market Value]]/tbl_MTG_Set[[#This Row],[Play Boost Sealed Market Value]]</f>
        <v/>
      </c>
      <c r="BG9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4" s="10">
        <f>tbl_MTG_Set[[#This Row],[Play Singles CardMarket Profit]]/tbl_MTG_Set[[#This Row],[Play Booster Cost]]</f>
        <v/>
      </c>
      <c r="BI934" s="10">
        <f>tbl_MTG_Set[[#This Row],[Play Singles CardMarket Profit]]&gt;0</f>
        <v/>
      </c>
      <c r="BJ934" s="10" t="n"/>
      <c r="BK934" s="10" t="n"/>
      <c r="BL934" s="10">
        <f>tbl_MTG_Set[[#This Row],[Collector Booster Sell Price CardMarket]]*tbl_MTG_Set[[#This Row],[Collector Booster Expected Market Value]]/tbl_MTG_Set[[#This Row],[Collector Boost Sealed Market Value]]</f>
        <v/>
      </c>
      <c r="BM9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4" s="10">
        <f>tbl_MTG_Set[[#This Row],[Collector Singles CardMarket Profit]]/tbl_MTG_Set[[#This Row],[Collector Booster Cost]]</f>
        <v/>
      </c>
      <c r="BO934" s="10">
        <f>tbl_MTG_Set[[#This Row],[Collector Singles CardMarket Profit]]&gt;0</f>
        <v/>
      </c>
      <c r="BP9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5">
      <c r="A935" t="n">
        <v>933</v>
      </c>
      <c r="B935" t="inlineStr">
        <is>
          <t>Invasion INV</t>
        </is>
      </c>
      <c r="C935" t="n">
        <v>354</v>
      </c>
      <c r="D935" s="3" t="n">
        <v>36801</v>
      </c>
      <c r="F935" t="inlineStr">
        <is>
          <t>en es fr de it pt ja ko ru 汉语 漢語</t>
        </is>
      </c>
      <c r="G935" t="n">
        <v>1812</v>
      </c>
      <c r="H935">
        <f>MONTH(NOW())+12*YEAR(NOW())-MONTH(tbl_MTG_Set[[#This Row],[Released On]])-12*YEAR(tbl_MTG_Set[[#This Row],[Released On]])</f>
        <v/>
      </c>
      <c r="I935">
        <f>_xlfn.XLOOKUP(tbl_MTG_Set[[#This Row],[Type Name]], tbl_MTG_Set_Type[Set Type], tbl_MTG_Set_Type[Index], "(Set Type not found)")</f>
        <v/>
      </c>
      <c r="J935">
        <f>_xlfn.XLOOKUP(tbl_MTG_Set[[#This Row],[Type Name]], tbl_MTG_Set_Type[Set Type], tbl_MTG_Set_Type[Buy Window Month Start], "(Set Type not found)")</f>
        <v/>
      </c>
      <c r="K935" s="3">
        <f>tbl_MTG_Set[[#This Row],[Released On]]+tbl_MTG_Set[[#This Row],[Buy Window Month Start]]*365.25/12</f>
        <v/>
      </c>
      <c r="L935">
        <f>_xlfn.XLOOKUP(tbl_MTG_Set[[#This Row],[Type Name]], tbl_MTG_Set_Type[Set Type], tbl_MTG_Set_Type[Buy Window Month End], "(Set Type not found)", 0, 1)</f>
        <v/>
      </c>
      <c r="M935" s="3">
        <f>tbl_MTG_Set[[#This Row],[Released On]]+tbl_MTG_Set[[#This Row],[Buy Window Month End]]*365.25/12</f>
        <v/>
      </c>
      <c r="N935" s="3">
        <f>AND(NOW()&gt;=tbl_MTG_Set[[#This Row],[Buy Window Start]], NOW()&lt;=tbl_MTG_Set[[#This Row],[Buy Window End]])</f>
        <v/>
      </c>
      <c r="O935">
        <f>_xlfn.XLOOKUP(tbl_MTG_Set[[#This Row],[Type Name]], tbl_MTG_Set_Type[Set Type], tbl_MTG_Set_Type[Heavy Printing Window Month Start], "(Set Type not found)", 0, 1)</f>
        <v/>
      </c>
      <c r="P935" s="3">
        <f>tbl_MTG_Set[[#This Row],[Released On]]+tbl_MTG_Set[[#This Row],[Heavy Printing Window Month Start]]*365.25/12</f>
        <v/>
      </c>
      <c r="Q935">
        <f>_xlfn.XLOOKUP(tbl_MTG_Set[[#This Row],[Type Name]], tbl_MTG_Set_Type[Set Type], tbl_MTG_Set_Type[Heavy Printing Window Month End], "(Set Type not found)", 0, 1)</f>
        <v/>
      </c>
      <c r="R935" s="3">
        <f>tbl_MTG_Set[[#This Row],[Released On]]+tbl_MTG_Set[[#This Row],[Heavy Printing Window Month End]]*365.25/12</f>
        <v/>
      </c>
      <c r="S935" s="3">
        <f>AND(NOW()&gt;=tbl_MTG_Set[[#This Row],[Heavy Printing Window Start]], NOW()&lt;=tbl_MTG_Set[[#This Row],[Heavy Printing Window End]])</f>
        <v/>
      </c>
      <c r="T935">
        <f>_xlfn.XLOOKUP(tbl_MTG_Set[[#This Row],[Type Name]], tbl_MTG_Set_Type[Set Type], tbl_MTG_Set_Type[Sell Window Month Start], "(Set Type not found)", 0, 1)</f>
        <v/>
      </c>
      <c r="U935" s="3">
        <f>tbl_MTG_Set[[#This Row],[Released On]]+tbl_MTG_Set[[#This Row],[Sell Window Month Start]]*365.25/12</f>
        <v/>
      </c>
      <c r="V935">
        <f>_xlfn.XLOOKUP(tbl_MTG_Set[[#This Row],[Type Name]], tbl_MTG_Set_Type[Set Type], tbl_MTG_Set_Type[Sell Window Month End], "(Set Type not found)", 0, 1)</f>
        <v/>
      </c>
      <c r="W935" s="3">
        <f>tbl_MTG_Set[[#This Row],[Released On]]+tbl_MTG_Set[[#This Row],[Sell Window Month End]]*365.25/12</f>
        <v/>
      </c>
      <c r="X935" s="3">
        <f>AND(NOW()&gt;=tbl_MTG_Set[[#This Row],[Sell Window Start]], NOW()&lt;=tbl_MTG_Set[[#This Row],[Sell Window End]])</f>
        <v/>
      </c>
      <c r="AG935" s="10" t="n"/>
      <c r="AH935" s="10" t="n"/>
      <c r="AM935" s="10">
        <f t="array" ref="AM9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5" s="10">
        <f t="array" ref="AN9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5" s="4">
        <f>_xlfn.XLOOKUP(tbl_MTG_Set[[#This Row],[Play Booster Box Product Id]], tbl_Product[Product Id], tbl_Product[Pack Size])</f>
        <v/>
      </c>
      <c r="AP935" s="10">
        <f>(tbl_MTG_Set[[#This Row],[Play Booster Box Cost]]+v_Item_Shipping_Cost_In)/tbl_MTG_Set[[#This Row],[Play Booster Box Size]]</f>
        <v/>
      </c>
      <c r="AQ935" s="10">
        <f t="array" ref="AQ93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5" s="10" t="n"/>
      <c r="AS935" s="10" t="n"/>
      <c r="AT935" s="17">
        <f>tbl_MTG_Set[[#This Row],[Play Booster CardMarket Profit]]/tbl_MTG_Set[[#This Row],[Play Booster Cost]]</f>
        <v/>
      </c>
      <c r="AU935" s="10">
        <f>_xlfn.XLOOKUP(tbl_MTG_Set[[#This Row],[Collector Booster Box Product Id]], tbl_Product[Product Id], tbl_Product[Min Cost])</f>
        <v/>
      </c>
      <c r="AV935" s="10">
        <f>_xlfn.XLOOKUP(tbl_MTG_Set[[#This Row],[Collector Booster Box Product Id]], tbl_Product[Product Id], tbl_Product[Best Source])</f>
        <v/>
      </c>
      <c r="AW935" s="4">
        <f>_xlfn.XLOOKUP(tbl_MTG_Set[[#This Row],[Collector Booster Box Product Id]], tbl_Product[Product Id], tbl_Product[Pack Size])</f>
        <v/>
      </c>
      <c r="AX935" s="10">
        <f>(tbl_MTG_Set[[#This Row],[Collector Booster Box Cost]] + v_Item_Shipping_Cost_In) / tbl_MTG_Set[[#This Row],[Collector Booster Box Size]]</f>
        <v/>
      </c>
      <c r="AY935" s="10">
        <f t="array" ref="AY93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5" s="10" t="n"/>
      <c r="BA9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5" s="17">
        <f>tbl_MTG_Set[[#This Row],[Collector Booster CardMarket Profit]]/tbl_MTG_Set[[#This Row],[Collector Booster Cost]]</f>
        <v/>
      </c>
      <c r="BC935" s="10" t="n"/>
      <c r="BF935" s="10">
        <f>tbl_MTG_Set[[#This Row],[Play Booster Sell Price CardMarket]]*tbl_MTG_Set[[#This Row],[Play Booster Expected Market Value]]/tbl_MTG_Set[[#This Row],[Play Boost Sealed Market Value]]</f>
        <v/>
      </c>
      <c r="BG9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5" s="10">
        <f>tbl_MTG_Set[[#This Row],[Play Singles CardMarket Profit]]/tbl_MTG_Set[[#This Row],[Play Booster Cost]]</f>
        <v/>
      </c>
      <c r="BI935" s="10">
        <f>tbl_MTG_Set[[#This Row],[Play Singles CardMarket Profit]]&gt;0</f>
        <v/>
      </c>
      <c r="BJ935" s="10" t="n"/>
      <c r="BK935" s="10" t="n"/>
      <c r="BL935" s="10">
        <f>tbl_MTG_Set[[#This Row],[Collector Booster Sell Price CardMarket]]*tbl_MTG_Set[[#This Row],[Collector Booster Expected Market Value]]/tbl_MTG_Set[[#This Row],[Collector Boost Sealed Market Value]]</f>
        <v/>
      </c>
      <c r="BM9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5" s="10">
        <f>tbl_MTG_Set[[#This Row],[Collector Singles CardMarket Profit]]/tbl_MTG_Set[[#This Row],[Collector Booster Cost]]</f>
        <v/>
      </c>
      <c r="BO935" s="10">
        <f>tbl_MTG_Set[[#This Row],[Collector Singles CardMarket Profit]]&gt;0</f>
        <v/>
      </c>
      <c r="BP9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6">
      <c r="A936" t="n">
        <v>934</v>
      </c>
      <c r="B936" t="inlineStr">
        <is>
          <t>Invasion Promos PINV</t>
        </is>
      </c>
      <c r="C936" t="n">
        <v>1</v>
      </c>
      <c r="D936" s="3" t="n">
        <v>36801</v>
      </c>
      <c r="F936" t="inlineStr">
        <is>
          <t>en es fr de it pt ja ko ru 汉语 漢語</t>
        </is>
      </c>
      <c r="G936" t="n">
        <v>1814</v>
      </c>
      <c r="H936">
        <f>MONTH(NOW())+12*YEAR(NOW())-MONTH(tbl_MTG_Set[[#This Row],[Released On]])-12*YEAR(tbl_MTG_Set[[#This Row],[Released On]])</f>
        <v/>
      </c>
      <c r="I936">
        <f>_xlfn.XLOOKUP(tbl_MTG_Set[[#This Row],[Type Name]], tbl_MTG_Set_Type[Set Type], tbl_MTG_Set_Type[Index], "(Set Type not found)")</f>
        <v/>
      </c>
      <c r="J936">
        <f>_xlfn.XLOOKUP(tbl_MTG_Set[[#This Row],[Type Name]], tbl_MTG_Set_Type[Set Type], tbl_MTG_Set_Type[Buy Window Month Start], "(Set Type not found)")</f>
        <v/>
      </c>
      <c r="K936" s="3">
        <f>tbl_MTG_Set[[#This Row],[Released On]]+tbl_MTG_Set[[#This Row],[Buy Window Month Start]]*365.25/12</f>
        <v/>
      </c>
      <c r="L936">
        <f>_xlfn.XLOOKUP(tbl_MTG_Set[[#This Row],[Type Name]], tbl_MTG_Set_Type[Set Type], tbl_MTG_Set_Type[Buy Window Month End], "(Set Type not found)", 0, 1)</f>
        <v/>
      </c>
      <c r="M936" s="3">
        <f>tbl_MTG_Set[[#This Row],[Released On]]+tbl_MTG_Set[[#This Row],[Buy Window Month End]]*365.25/12</f>
        <v/>
      </c>
      <c r="N936" s="3">
        <f>AND(NOW()&gt;=tbl_MTG_Set[[#This Row],[Buy Window Start]], NOW()&lt;=tbl_MTG_Set[[#This Row],[Buy Window End]])</f>
        <v/>
      </c>
      <c r="O936">
        <f>_xlfn.XLOOKUP(tbl_MTG_Set[[#This Row],[Type Name]], tbl_MTG_Set_Type[Set Type], tbl_MTG_Set_Type[Heavy Printing Window Month Start], "(Set Type not found)", 0, 1)</f>
        <v/>
      </c>
      <c r="P936" s="3">
        <f>tbl_MTG_Set[[#This Row],[Released On]]+tbl_MTG_Set[[#This Row],[Heavy Printing Window Month Start]]*365.25/12</f>
        <v/>
      </c>
      <c r="Q936">
        <f>_xlfn.XLOOKUP(tbl_MTG_Set[[#This Row],[Type Name]], tbl_MTG_Set_Type[Set Type], tbl_MTG_Set_Type[Heavy Printing Window Month End], "(Set Type not found)", 0, 1)</f>
        <v/>
      </c>
      <c r="R936" s="3">
        <f>tbl_MTG_Set[[#This Row],[Released On]]+tbl_MTG_Set[[#This Row],[Heavy Printing Window Month End]]*365.25/12</f>
        <v/>
      </c>
      <c r="S936" s="3">
        <f>AND(NOW()&gt;=tbl_MTG_Set[[#This Row],[Heavy Printing Window Start]], NOW()&lt;=tbl_MTG_Set[[#This Row],[Heavy Printing Window End]])</f>
        <v/>
      </c>
      <c r="T936">
        <f>_xlfn.XLOOKUP(tbl_MTG_Set[[#This Row],[Type Name]], tbl_MTG_Set_Type[Set Type], tbl_MTG_Set_Type[Sell Window Month Start], "(Set Type not found)", 0, 1)</f>
        <v/>
      </c>
      <c r="U936" s="3">
        <f>tbl_MTG_Set[[#This Row],[Released On]]+tbl_MTG_Set[[#This Row],[Sell Window Month Start]]*365.25/12</f>
        <v/>
      </c>
      <c r="V936">
        <f>_xlfn.XLOOKUP(tbl_MTG_Set[[#This Row],[Type Name]], tbl_MTG_Set_Type[Set Type], tbl_MTG_Set_Type[Sell Window Month End], "(Set Type not found)", 0, 1)</f>
        <v/>
      </c>
      <c r="W936" s="3">
        <f>tbl_MTG_Set[[#This Row],[Released On]]+tbl_MTG_Set[[#This Row],[Sell Window Month End]]*365.25/12</f>
        <v/>
      </c>
      <c r="X936" s="3">
        <f>AND(NOW()&gt;=tbl_MTG_Set[[#This Row],[Sell Window Start]], NOW()&lt;=tbl_MTG_Set[[#This Row],[Sell Window End]])</f>
        <v/>
      </c>
      <c r="AG936" s="10" t="n"/>
      <c r="AH936" s="10" t="n"/>
      <c r="AM936" s="10">
        <f t="array" ref="AM9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6" s="10">
        <f t="array" ref="AN9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6" s="4">
        <f>_xlfn.XLOOKUP(tbl_MTG_Set[[#This Row],[Play Booster Box Product Id]], tbl_Product[Product Id], tbl_Product[Pack Size])</f>
        <v/>
      </c>
      <c r="AP936" s="10">
        <f>(tbl_MTG_Set[[#This Row],[Play Booster Box Cost]]+v_Item_Shipping_Cost_In)/tbl_MTG_Set[[#This Row],[Play Booster Box Size]]</f>
        <v/>
      </c>
      <c r="AQ936" s="10">
        <f t="array" ref="AQ93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6" s="10" t="n"/>
      <c r="AS936" s="10" t="n"/>
      <c r="AT936" s="17">
        <f>tbl_MTG_Set[[#This Row],[Play Booster CardMarket Profit]]/tbl_MTG_Set[[#This Row],[Play Booster Cost]]</f>
        <v/>
      </c>
      <c r="AU936" s="10">
        <f>_xlfn.XLOOKUP(tbl_MTG_Set[[#This Row],[Collector Booster Box Product Id]], tbl_Product[Product Id], tbl_Product[Min Cost])</f>
        <v/>
      </c>
      <c r="AV936" s="10">
        <f>_xlfn.XLOOKUP(tbl_MTG_Set[[#This Row],[Collector Booster Box Product Id]], tbl_Product[Product Id], tbl_Product[Best Source])</f>
        <v/>
      </c>
      <c r="AW936" s="4">
        <f>_xlfn.XLOOKUP(tbl_MTG_Set[[#This Row],[Collector Booster Box Product Id]], tbl_Product[Product Id], tbl_Product[Pack Size])</f>
        <v/>
      </c>
      <c r="AX936" s="10">
        <f>(tbl_MTG_Set[[#This Row],[Collector Booster Box Cost]] + v_Item_Shipping_Cost_In) / tbl_MTG_Set[[#This Row],[Collector Booster Box Size]]</f>
        <v/>
      </c>
      <c r="AY936" s="10">
        <f t="array" ref="AY93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6" s="10" t="n"/>
      <c r="BA9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6" s="17">
        <f>tbl_MTG_Set[[#This Row],[Collector Booster CardMarket Profit]]/tbl_MTG_Set[[#This Row],[Collector Booster Cost]]</f>
        <v/>
      </c>
      <c r="BC936" s="10" t="n"/>
      <c r="BF936" s="10">
        <f>tbl_MTG_Set[[#This Row],[Play Booster Sell Price CardMarket]]*tbl_MTG_Set[[#This Row],[Play Booster Expected Market Value]]/tbl_MTG_Set[[#This Row],[Play Boost Sealed Market Value]]</f>
        <v/>
      </c>
      <c r="BG9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6" s="10">
        <f>tbl_MTG_Set[[#This Row],[Play Singles CardMarket Profit]]/tbl_MTG_Set[[#This Row],[Play Booster Cost]]</f>
        <v/>
      </c>
      <c r="BI936" s="10">
        <f>tbl_MTG_Set[[#This Row],[Play Singles CardMarket Profit]]&gt;0</f>
        <v/>
      </c>
      <c r="BJ936" s="10" t="n"/>
      <c r="BK936" s="10" t="n"/>
      <c r="BL936" s="10">
        <f>tbl_MTG_Set[[#This Row],[Collector Booster Sell Price CardMarket]]*tbl_MTG_Set[[#This Row],[Collector Booster Expected Market Value]]/tbl_MTG_Set[[#This Row],[Collector Boost Sealed Market Value]]</f>
        <v/>
      </c>
      <c r="BM9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6" s="10">
        <f>tbl_MTG_Set[[#This Row],[Collector Singles CardMarket Profit]]/tbl_MTG_Set[[#This Row],[Collector Booster Cost]]</f>
        <v/>
      </c>
      <c r="BO936" s="10">
        <f>tbl_MTG_Set[[#This Row],[Collector Singles CardMarket Profit]]&gt;0</f>
        <v/>
      </c>
      <c r="BP9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7">
      <c r="A937" t="n">
        <v>935</v>
      </c>
      <c r="B937" t="inlineStr">
        <is>
          <t>Beatdown Box Set BTD</t>
        </is>
      </c>
      <c r="C937" t="n">
        <v>90</v>
      </c>
      <c r="D937" s="3" t="n">
        <v>36800</v>
      </c>
      <c r="F937" t="inlineStr">
        <is>
          <t>en es fr de it pt ja ko ru 汉语 漢語</t>
        </is>
      </c>
      <c r="G937" t="n">
        <v>1816</v>
      </c>
      <c r="H937">
        <f>MONTH(NOW())+12*YEAR(NOW())-MONTH(tbl_MTG_Set[[#This Row],[Released On]])-12*YEAR(tbl_MTG_Set[[#This Row],[Released On]])</f>
        <v/>
      </c>
      <c r="I937">
        <f>_xlfn.XLOOKUP(tbl_MTG_Set[[#This Row],[Type Name]], tbl_MTG_Set_Type[Set Type], tbl_MTG_Set_Type[Index], "(Set Type not found)")</f>
        <v/>
      </c>
      <c r="J937">
        <f>_xlfn.XLOOKUP(tbl_MTG_Set[[#This Row],[Type Name]], tbl_MTG_Set_Type[Set Type], tbl_MTG_Set_Type[Buy Window Month Start], "(Set Type not found)")</f>
        <v/>
      </c>
      <c r="K937" s="3">
        <f>tbl_MTG_Set[[#This Row],[Released On]]+tbl_MTG_Set[[#This Row],[Buy Window Month Start]]*365.25/12</f>
        <v/>
      </c>
      <c r="L937">
        <f>_xlfn.XLOOKUP(tbl_MTG_Set[[#This Row],[Type Name]], tbl_MTG_Set_Type[Set Type], tbl_MTG_Set_Type[Buy Window Month End], "(Set Type not found)", 0, 1)</f>
        <v/>
      </c>
      <c r="M937" s="3">
        <f>tbl_MTG_Set[[#This Row],[Released On]]+tbl_MTG_Set[[#This Row],[Buy Window Month End]]*365.25/12</f>
        <v/>
      </c>
      <c r="N937" s="3">
        <f>AND(NOW()&gt;=tbl_MTG_Set[[#This Row],[Buy Window Start]], NOW()&lt;=tbl_MTG_Set[[#This Row],[Buy Window End]])</f>
        <v/>
      </c>
      <c r="O937">
        <f>_xlfn.XLOOKUP(tbl_MTG_Set[[#This Row],[Type Name]], tbl_MTG_Set_Type[Set Type], tbl_MTG_Set_Type[Heavy Printing Window Month Start], "(Set Type not found)", 0, 1)</f>
        <v/>
      </c>
      <c r="P937" s="3">
        <f>tbl_MTG_Set[[#This Row],[Released On]]+tbl_MTG_Set[[#This Row],[Heavy Printing Window Month Start]]*365.25/12</f>
        <v/>
      </c>
      <c r="Q937">
        <f>_xlfn.XLOOKUP(tbl_MTG_Set[[#This Row],[Type Name]], tbl_MTG_Set_Type[Set Type], tbl_MTG_Set_Type[Heavy Printing Window Month End], "(Set Type not found)", 0, 1)</f>
        <v/>
      </c>
      <c r="R937" s="3">
        <f>tbl_MTG_Set[[#This Row],[Released On]]+tbl_MTG_Set[[#This Row],[Heavy Printing Window Month End]]*365.25/12</f>
        <v/>
      </c>
      <c r="S937" s="3">
        <f>AND(NOW()&gt;=tbl_MTG_Set[[#This Row],[Heavy Printing Window Start]], NOW()&lt;=tbl_MTG_Set[[#This Row],[Heavy Printing Window End]])</f>
        <v/>
      </c>
      <c r="T937">
        <f>_xlfn.XLOOKUP(tbl_MTG_Set[[#This Row],[Type Name]], tbl_MTG_Set_Type[Set Type], tbl_MTG_Set_Type[Sell Window Month Start], "(Set Type not found)", 0, 1)</f>
        <v/>
      </c>
      <c r="U937" s="3">
        <f>tbl_MTG_Set[[#This Row],[Released On]]+tbl_MTG_Set[[#This Row],[Sell Window Month Start]]*365.25/12</f>
        <v/>
      </c>
      <c r="V937">
        <f>_xlfn.XLOOKUP(tbl_MTG_Set[[#This Row],[Type Name]], tbl_MTG_Set_Type[Set Type], tbl_MTG_Set_Type[Sell Window Month End], "(Set Type not found)", 0, 1)</f>
        <v/>
      </c>
      <c r="W937" s="3">
        <f>tbl_MTG_Set[[#This Row],[Released On]]+tbl_MTG_Set[[#This Row],[Sell Window Month End]]*365.25/12</f>
        <v/>
      </c>
      <c r="X937" s="3">
        <f>AND(NOW()&gt;=tbl_MTG_Set[[#This Row],[Sell Window Start]], NOW()&lt;=tbl_MTG_Set[[#This Row],[Sell Window End]])</f>
        <v/>
      </c>
      <c r="AG937" s="10" t="n"/>
      <c r="AH937" s="10" t="n"/>
      <c r="AM937" s="10">
        <f t="array" ref="AM9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7" s="10">
        <f t="array" ref="AN9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7" s="4">
        <f>_xlfn.XLOOKUP(tbl_MTG_Set[[#This Row],[Play Booster Box Product Id]], tbl_Product[Product Id], tbl_Product[Pack Size])</f>
        <v/>
      </c>
      <c r="AP937" s="10">
        <f>(tbl_MTG_Set[[#This Row],[Play Booster Box Cost]]+v_Item_Shipping_Cost_In)/tbl_MTG_Set[[#This Row],[Play Booster Box Size]]</f>
        <v/>
      </c>
      <c r="AQ937" s="10">
        <f t="array" ref="AQ93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7" s="10" t="n"/>
      <c r="AS937" s="10" t="n"/>
      <c r="AT937" s="17">
        <f>tbl_MTG_Set[[#This Row],[Play Booster CardMarket Profit]]/tbl_MTG_Set[[#This Row],[Play Booster Cost]]</f>
        <v/>
      </c>
      <c r="AU937" s="10">
        <f>_xlfn.XLOOKUP(tbl_MTG_Set[[#This Row],[Collector Booster Box Product Id]], tbl_Product[Product Id], tbl_Product[Min Cost])</f>
        <v/>
      </c>
      <c r="AV937" s="10">
        <f>_xlfn.XLOOKUP(tbl_MTG_Set[[#This Row],[Collector Booster Box Product Id]], tbl_Product[Product Id], tbl_Product[Best Source])</f>
        <v/>
      </c>
      <c r="AW937" s="4">
        <f>_xlfn.XLOOKUP(tbl_MTG_Set[[#This Row],[Collector Booster Box Product Id]], tbl_Product[Product Id], tbl_Product[Pack Size])</f>
        <v/>
      </c>
      <c r="AX937" s="10">
        <f>(tbl_MTG_Set[[#This Row],[Collector Booster Box Cost]] + v_Item_Shipping_Cost_In) / tbl_MTG_Set[[#This Row],[Collector Booster Box Size]]</f>
        <v/>
      </c>
      <c r="AY937" s="10">
        <f t="array" ref="AY93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7" s="10" t="n"/>
      <c r="BA9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7" s="17">
        <f>tbl_MTG_Set[[#This Row],[Collector Booster CardMarket Profit]]/tbl_MTG_Set[[#This Row],[Collector Booster Cost]]</f>
        <v/>
      </c>
      <c r="BC937" s="10" t="n"/>
      <c r="BF937" s="10">
        <f>tbl_MTG_Set[[#This Row],[Play Booster Sell Price CardMarket]]*tbl_MTG_Set[[#This Row],[Play Booster Expected Market Value]]/tbl_MTG_Set[[#This Row],[Play Boost Sealed Market Value]]</f>
        <v/>
      </c>
      <c r="BG9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7" s="10">
        <f>tbl_MTG_Set[[#This Row],[Play Singles CardMarket Profit]]/tbl_MTG_Set[[#This Row],[Play Booster Cost]]</f>
        <v/>
      </c>
      <c r="BI937" s="10">
        <f>tbl_MTG_Set[[#This Row],[Play Singles CardMarket Profit]]&gt;0</f>
        <v/>
      </c>
      <c r="BJ937" s="10" t="n"/>
      <c r="BK937" s="10" t="n"/>
      <c r="BL937" s="10">
        <f>tbl_MTG_Set[[#This Row],[Collector Booster Sell Price CardMarket]]*tbl_MTG_Set[[#This Row],[Collector Booster Expected Market Value]]/tbl_MTG_Set[[#This Row],[Collector Boost Sealed Market Value]]</f>
        <v/>
      </c>
      <c r="BM9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7" s="10">
        <f>tbl_MTG_Set[[#This Row],[Collector Singles CardMarket Profit]]/tbl_MTG_Set[[#This Row],[Collector Booster Cost]]</f>
        <v/>
      </c>
      <c r="BO937" s="10">
        <f>tbl_MTG_Set[[#This Row],[Collector Singles CardMarket Profit]]&gt;0</f>
        <v/>
      </c>
      <c r="BP9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8">
      <c r="A938" t="n">
        <v>936</v>
      </c>
      <c r="B938" t="inlineStr">
        <is>
          <t>World Championship Decks 2000 WC00</t>
        </is>
      </c>
      <c r="C938" t="n">
        <v>117</v>
      </c>
      <c r="D938" s="3" t="n">
        <v>36740</v>
      </c>
      <c r="F938" t="inlineStr">
        <is>
          <t>en es fr de it pt ja ko ru 汉语 漢語</t>
        </is>
      </c>
      <c r="G938" t="n">
        <v>1818</v>
      </c>
      <c r="H938">
        <f>MONTH(NOW())+12*YEAR(NOW())-MONTH(tbl_MTG_Set[[#This Row],[Released On]])-12*YEAR(tbl_MTG_Set[[#This Row],[Released On]])</f>
        <v/>
      </c>
      <c r="I938">
        <f>_xlfn.XLOOKUP(tbl_MTG_Set[[#This Row],[Type Name]], tbl_MTG_Set_Type[Set Type], tbl_MTG_Set_Type[Index], "(Set Type not found)")</f>
        <v/>
      </c>
      <c r="J938">
        <f>_xlfn.XLOOKUP(tbl_MTG_Set[[#This Row],[Type Name]], tbl_MTG_Set_Type[Set Type], tbl_MTG_Set_Type[Buy Window Month Start], "(Set Type not found)")</f>
        <v/>
      </c>
      <c r="K938" s="3">
        <f>tbl_MTG_Set[[#This Row],[Released On]]+tbl_MTG_Set[[#This Row],[Buy Window Month Start]]*365.25/12</f>
        <v/>
      </c>
      <c r="L938">
        <f>_xlfn.XLOOKUP(tbl_MTG_Set[[#This Row],[Type Name]], tbl_MTG_Set_Type[Set Type], tbl_MTG_Set_Type[Buy Window Month End], "(Set Type not found)", 0, 1)</f>
        <v/>
      </c>
      <c r="M938" s="3">
        <f>tbl_MTG_Set[[#This Row],[Released On]]+tbl_MTG_Set[[#This Row],[Buy Window Month End]]*365.25/12</f>
        <v/>
      </c>
      <c r="N938" s="3">
        <f>AND(NOW()&gt;=tbl_MTG_Set[[#This Row],[Buy Window Start]], NOW()&lt;=tbl_MTG_Set[[#This Row],[Buy Window End]])</f>
        <v/>
      </c>
      <c r="O938">
        <f>_xlfn.XLOOKUP(tbl_MTG_Set[[#This Row],[Type Name]], tbl_MTG_Set_Type[Set Type], tbl_MTG_Set_Type[Heavy Printing Window Month Start], "(Set Type not found)", 0, 1)</f>
        <v/>
      </c>
      <c r="P938" s="3">
        <f>tbl_MTG_Set[[#This Row],[Released On]]+tbl_MTG_Set[[#This Row],[Heavy Printing Window Month Start]]*365.25/12</f>
        <v/>
      </c>
      <c r="Q938">
        <f>_xlfn.XLOOKUP(tbl_MTG_Set[[#This Row],[Type Name]], tbl_MTG_Set_Type[Set Type], tbl_MTG_Set_Type[Heavy Printing Window Month End], "(Set Type not found)", 0, 1)</f>
        <v/>
      </c>
      <c r="R938" s="3">
        <f>tbl_MTG_Set[[#This Row],[Released On]]+tbl_MTG_Set[[#This Row],[Heavy Printing Window Month End]]*365.25/12</f>
        <v/>
      </c>
      <c r="S938" s="3">
        <f>AND(NOW()&gt;=tbl_MTG_Set[[#This Row],[Heavy Printing Window Start]], NOW()&lt;=tbl_MTG_Set[[#This Row],[Heavy Printing Window End]])</f>
        <v/>
      </c>
      <c r="T938">
        <f>_xlfn.XLOOKUP(tbl_MTG_Set[[#This Row],[Type Name]], tbl_MTG_Set_Type[Set Type], tbl_MTG_Set_Type[Sell Window Month Start], "(Set Type not found)", 0, 1)</f>
        <v/>
      </c>
      <c r="U938" s="3">
        <f>tbl_MTG_Set[[#This Row],[Released On]]+tbl_MTG_Set[[#This Row],[Sell Window Month Start]]*365.25/12</f>
        <v/>
      </c>
      <c r="V938">
        <f>_xlfn.XLOOKUP(tbl_MTG_Set[[#This Row],[Type Name]], tbl_MTG_Set_Type[Set Type], tbl_MTG_Set_Type[Sell Window Month End], "(Set Type not found)", 0, 1)</f>
        <v/>
      </c>
      <c r="W938" s="3">
        <f>tbl_MTG_Set[[#This Row],[Released On]]+tbl_MTG_Set[[#This Row],[Sell Window Month End]]*365.25/12</f>
        <v/>
      </c>
      <c r="X938" s="3">
        <f>AND(NOW()&gt;=tbl_MTG_Set[[#This Row],[Sell Window Start]], NOW()&lt;=tbl_MTG_Set[[#This Row],[Sell Window End]])</f>
        <v/>
      </c>
      <c r="AG938" s="10" t="n"/>
      <c r="AH938" s="10" t="n"/>
      <c r="AM938" s="10">
        <f t="array" ref="AM9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8" s="10">
        <f t="array" ref="AN9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8" s="4">
        <f>_xlfn.XLOOKUP(tbl_MTG_Set[[#This Row],[Play Booster Box Product Id]], tbl_Product[Product Id], tbl_Product[Pack Size])</f>
        <v/>
      </c>
      <c r="AP938" s="10">
        <f>(tbl_MTG_Set[[#This Row],[Play Booster Box Cost]]+v_Item_Shipping_Cost_In)/tbl_MTG_Set[[#This Row],[Play Booster Box Size]]</f>
        <v/>
      </c>
      <c r="AQ938" s="10">
        <f t="array" ref="AQ93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8" s="10" t="n"/>
      <c r="AS938" s="10" t="n"/>
      <c r="AT938" s="17">
        <f>tbl_MTG_Set[[#This Row],[Play Booster CardMarket Profit]]/tbl_MTG_Set[[#This Row],[Play Booster Cost]]</f>
        <v/>
      </c>
      <c r="AU938" s="10">
        <f>_xlfn.XLOOKUP(tbl_MTG_Set[[#This Row],[Collector Booster Box Product Id]], tbl_Product[Product Id], tbl_Product[Min Cost])</f>
        <v/>
      </c>
      <c r="AV938" s="10">
        <f>_xlfn.XLOOKUP(tbl_MTG_Set[[#This Row],[Collector Booster Box Product Id]], tbl_Product[Product Id], tbl_Product[Best Source])</f>
        <v/>
      </c>
      <c r="AW938" s="4">
        <f>_xlfn.XLOOKUP(tbl_MTG_Set[[#This Row],[Collector Booster Box Product Id]], tbl_Product[Product Id], tbl_Product[Pack Size])</f>
        <v/>
      </c>
      <c r="AX938" s="10">
        <f>(tbl_MTG_Set[[#This Row],[Collector Booster Box Cost]] + v_Item_Shipping_Cost_In) / tbl_MTG_Set[[#This Row],[Collector Booster Box Size]]</f>
        <v/>
      </c>
      <c r="AY938" s="10">
        <f t="array" ref="AY93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8" s="10" t="n"/>
      <c r="BA9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8" s="17">
        <f>tbl_MTG_Set[[#This Row],[Collector Booster CardMarket Profit]]/tbl_MTG_Set[[#This Row],[Collector Booster Cost]]</f>
        <v/>
      </c>
      <c r="BC938" s="10" t="n"/>
      <c r="BF938" s="10">
        <f>tbl_MTG_Set[[#This Row],[Play Booster Sell Price CardMarket]]*tbl_MTG_Set[[#This Row],[Play Booster Expected Market Value]]/tbl_MTG_Set[[#This Row],[Play Boost Sealed Market Value]]</f>
        <v/>
      </c>
      <c r="BG9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8" s="10">
        <f>tbl_MTG_Set[[#This Row],[Play Singles CardMarket Profit]]/tbl_MTG_Set[[#This Row],[Play Booster Cost]]</f>
        <v/>
      </c>
      <c r="BI938" s="10">
        <f>tbl_MTG_Set[[#This Row],[Play Singles CardMarket Profit]]&gt;0</f>
        <v/>
      </c>
      <c r="BJ938" s="10" t="n"/>
      <c r="BK938" s="10" t="n"/>
      <c r="BL938" s="10">
        <f>tbl_MTG_Set[[#This Row],[Collector Booster Sell Price CardMarket]]*tbl_MTG_Set[[#This Row],[Collector Booster Expected Market Value]]/tbl_MTG_Set[[#This Row],[Collector Boost Sealed Market Value]]</f>
        <v/>
      </c>
      <c r="BM9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8" s="10">
        <f>tbl_MTG_Set[[#This Row],[Collector Singles CardMarket Profit]]/tbl_MTG_Set[[#This Row],[Collector Booster Cost]]</f>
        <v/>
      </c>
      <c r="BO938" s="10">
        <f>tbl_MTG_Set[[#This Row],[Collector Singles CardMarket Profit]]&gt;0</f>
        <v/>
      </c>
      <c r="BP9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9">
      <c r="A939" t="n">
        <v>937</v>
      </c>
      <c r="B939" t="inlineStr">
        <is>
          <t>Prophecy PCY</t>
        </is>
      </c>
      <c r="C939" t="n">
        <v>144</v>
      </c>
      <c r="D939" s="3" t="n">
        <v>36682</v>
      </c>
      <c r="F939" t="inlineStr">
        <is>
          <t>en es fr de it pt ja ko ru 汉语 漢語</t>
        </is>
      </c>
      <c r="G939" t="n">
        <v>1820</v>
      </c>
      <c r="H939">
        <f>MONTH(NOW())+12*YEAR(NOW())-MONTH(tbl_MTG_Set[[#This Row],[Released On]])-12*YEAR(tbl_MTG_Set[[#This Row],[Released On]])</f>
        <v/>
      </c>
      <c r="I939">
        <f>_xlfn.XLOOKUP(tbl_MTG_Set[[#This Row],[Type Name]], tbl_MTG_Set_Type[Set Type], tbl_MTG_Set_Type[Index], "(Set Type not found)")</f>
        <v/>
      </c>
      <c r="J939">
        <f>_xlfn.XLOOKUP(tbl_MTG_Set[[#This Row],[Type Name]], tbl_MTG_Set_Type[Set Type], tbl_MTG_Set_Type[Buy Window Month Start], "(Set Type not found)")</f>
        <v/>
      </c>
      <c r="K939" s="3">
        <f>tbl_MTG_Set[[#This Row],[Released On]]+tbl_MTG_Set[[#This Row],[Buy Window Month Start]]*365.25/12</f>
        <v/>
      </c>
      <c r="L939">
        <f>_xlfn.XLOOKUP(tbl_MTG_Set[[#This Row],[Type Name]], tbl_MTG_Set_Type[Set Type], tbl_MTG_Set_Type[Buy Window Month End], "(Set Type not found)", 0, 1)</f>
        <v/>
      </c>
      <c r="M939" s="3">
        <f>tbl_MTG_Set[[#This Row],[Released On]]+tbl_MTG_Set[[#This Row],[Buy Window Month End]]*365.25/12</f>
        <v/>
      </c>
      <c r="N939" s="3">
        <f>AND(NOW()&gt;=tbl_MTG_Set[[#This Row],[Buy Window Start]], NOW()&lt;=tbl_MTG_Set[[#This Row],[Buy Window End]])</f>
        <v/>
      </c>
      <c r="O939">
        <f>_xlfn.XLOOKUP(tbl_MTG_Set[[#This Row],[Type Name]], tbl_MTG_Set_Type[Set Type], tbl_MTG_Set_Type[Heavy Printing Window Month Start], "(Set Type not found)", 0, 1)</f>
        <v/>
      </c>
      <c r="P939" s="3">
        <f>tbl_MTG_Set[[#This Row],[Released On]]+tbl_MTG_Set[[#This Row],[Heavy Printing Window Month Start]]*365.25/12</f>
        <v/>
      </c>
      <c r="Q939">
        <f>_xlfn.XLOOKUP(tbl_MTG_Set[[#This Row],[Type Name]], tbl_MTG_Set_Type[Set Type], tbl_MTG_Set_Type[Heavy Printing Window Month End], "(Set Type not found)", 0, 1)</f>
        <v/>
      </c>
      <c r="R939" s="3">
        <f>tbl_MTG_Set[[#This Row],[Released On]]+tbl_MTG_Set[[#This Row],[Heavy Printing Window Month End]]*365.25/12</f>
        <v/>
      </c>
      <c r="S939" s="3">
        <f>AND(NOW()&gt;=tbl_MTG_Set[[#This Row],[Heavy Printing Window Start]], NOW()&lt;=tbl_MTG_Set[[#This Row],[Heavy Printing Window End]])</f>
        <v/>
      </c>
      <c r="T939">
        <f>_xlfn.XLOOKUP(tbl_MTG_Set[[#This Row],[Type Name]], tbl_MTG_Set_Type[Set Type], tbl_MTG_Set_Type[Sell Window Month Start], "(Set Type not found)", 0, 1)</f>
        <v/>
      </c>
      <c r="U939" s="3">
        <f>tbl_MTG_Set[[#This Row],[Released On]]+tbl_MTG_Set[[#This Row],[Sell Window Month Start]]*365.25/12</f>
        <v/>
      </c>
      <c r="V939">
        <f>_xlfn.XLOOKUP(tbl_MTG_Set[[#This Row],[Type Name]], tbl_MTG_Set_Type[Set Type], tbl_MTG_Set_Type[Sell Window Month End], "(Set Type not found)", 0, 1)</f>
        <v/>
      </c>
      <c r="W939" s="3">
        <f>tbl_MTG_Set[[#This Row],[Released On]]+tbl_MTG_Set[[#This Row],[Sell Window Month End]]*365.25/12</f>
        <v/>
      </c>
      <c r="X939" s="3">
        <f>AND(NOW()&gt;=tbl_MTG_Set[[#This Row],[Sell Window Start]], NOW()&lt;=tbl_MTG_Set[[#This Row],[Sell Window End]])</f>
        <v/>
      </c>
      <c r="AG939" s="10" t="n"/>
      <c r="AH939" s="10" t="n"/>
      <c r="AM939" s="10">
        <f t="array" ref="AM9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9" s="10">
        <f t="array" ref="AN9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9" s="4">
        <f>_xlfn.XLOOKUP(tbl_MTG_Set[[#This Row],[Play Booster Box Product Id]], tbl_Product[Product Id], tbl_Product[Pack Size])</f>
        <v/>
      </c>
      <c r="AP939" s="10">
        <f>(tbl_MTG_Set[[#This Row],[Play Booster Box Cost]]+v_Item_Shipping_Cost_In)/tbl_MTG_Set[[#This Row],[Play Booster Box Size]]</f>
        <v/>
      </c>
      <c r="AQ939" s="10">
        <f t="array" ref="AQ93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39" s="10" t="n"/>
      <c r="AS939" s="10" t="n"/>
      <c r="AT939" s="17">
        <f>tbl_MTG_Set[[#This Row],[Play Booster CardMarket Profit]]/tbl_MTG_Set[[#This Row],[Play Booster Cost]]</f>
        <v/>
      </c>
      <c r="AU939" s="10">
        <f>_xlfn.XLOOKUP(tbl_MTG_Set[[#This Row],[Collector Booster Box Product Id]], tbl_Product[Product Id], tbl_Product[Min Cost])</f>
        <v/>
      </c>
      <c r="AV939" s="10">
        <f>_xlfn.XLOOKUP(tbl_MTG_Set[[#This Row],[Collector Booster Box Product Id]], tbl_Product[Product Id], tbl_Product[Best Source])</f>
        <v/>
      </c>
      <c r="AW939" s="4">
        <f>_xlfn.XLOOKUP(tbl_MTG_Set[[#This Row],[Collector Booster Box Product Id]], tbl_Product[Product Id], tbl_Product[Pack Size])</f>
        <v/>
      </c>
      <c r="AX939" s="10">
        <f>(tbl_MTG_Set[[#This Row],[Collector Booster Box Cost]] + v_Item_Shipping_Cost_In) / tbl_MTG_Set[[#This Row],[Collector Booster Box Size]]</f>
        <v/>
      </c>
      <c r="AY939" s="10">
        <f t="array" ref="AY93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39" s="10" t="n"/>
      <c r="BA9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9" s="17">
        <f>tbl_MTG_Set[[#This Row],[Collector Booster CardMarket Profit]]/tbl_MTG_Set[[#This Row],[Collector Booster Cost]]</f>
        <v/>
      </c>
      <c r="BC939" s="10" t="n"/>
      <c r="BF939" s="10">
        <f>tbl_MTG_Set[[#This Row],[Play Booster Sell Price CardMarket]]*tbl_MTG_Set[[#This Row],[Play Booster Expected Market Value]]/tbl_MTG_Set[[#This Row],[Play Boost Sealed Market Value]]</f>
        <v/>
      </c>
      <c r="BG9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9" s="10">
        <f>tbl_MTG_Set[[#This Row],[Play Singles CardMarket Profit]]/tbl_MTG_Set[[#This Row],[Play Booster Cost]]</f>
        <v/>
      </c>
      <c r="BI939" s="10">
        <f>tbl_MTG_Set[[#This Row],[Play Singles CardMarket Profit]]&gt;0</f>
        <v/>
      </c>
      <c r="BJ939" s="10" t="n"/>
      <c r="BK939" s="10" t="n"/>
      <c r="BL939" s="10">
        <f>tbl_MTG_Set[[#This Row],[Collector Booster Sell Price CardMarket]]*tbl_MTG_Set[[#This Row],[Collector Booster Expected Market Value]]/tbl_MTG_Set[[#This Row],[Collector Boost Sealed Market Value]]</f>
        <v/>
      </c>
      <c r="BM9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9" s="10">
        <f>tbl_MTG_Set[[#This Row],[Collector Singles CardMarket Profit]]/tbl_MTG_Set[[#This Row],[Collector Booster Cost]]</f>
        <v/>
      </c>
      <c r="BO939" s="10">
        <f>tbl_MTG_Set[[#This Row],[Collector Singles CardMarket Profit]]&gt;0</f>
        <v/>
      </c>
      <c r="BP9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0">
      <c r="A940" t="n">
        <v>938</v>
      </c>
      <c r="B940" t="inlineStr">
        <is>
          <t>Prophecy Promos PPCY</t>
        </is>
      </c>
      <c r="C940" t="n">
        <v>1</v>
      </c>
      <c r="D940" s="3" t="n">
        <v>36682</v>
      </c>
      <c r="F940" t="inlineStr">
        <is>
          <t>en es fr de it pt ja ko ru 汉语 漢語</t>
        </is>
      </c>
      <c r="G940" t="n">
        <v>1822</v>
      </c>
      <c r="H940">
        <f>MONTH(NOW())+12*YEAR(NOW())-MONTH(tbl_MTG_Set[[#This Row],[Released On]])-12*YEAR(tbl_MTG_Set[[#This Row],[Released On]])</f>
        <v/>
      </c>
      <c r="I940">
        <f>_xlfn.XLOOKUP(tbl_MTG_Set[[#This Row],[Type Name]], tbl_MTG_Set_Type[Set Type], tbl_MTG_Set_Type[Index], "(Set Type not found)")</f>
        <v/>
      </c>
      <c r="J940">
        <f>_xlfn.XLOOKUP(tbl_MTG_Set[[#This Row],[Type Name]], tbl_MTG_Set_Type[Set Type], tbl_MTG_Set_Type[Buy Window Month Start], "(Set Type not found)")</f>
        <v/>
      </c>
      <c r="K940" s="3">
        <f>tbl_MTG_Set[[#This Row],[Released On]]+tbl_MTG_Set[[#This Row],[Buy Window Month Start]]*365.25/12</f>
        <v/>
      </c>
      <c r="L940">
        <f>_xlfn.XLOOKUP(tbl_MTG_Set[[#This Row],[Type Name]], tbl_MTG_Set_Type[Set Type], tbl_MTG_Set_Type[Buy Window Month End], "(Set Type not found)", 0, 1)</f>
        <v/>
      </c>
      <c r="M940" s="3">
        <f>tbl_MTG_Set[[#This Row],[Released On]]+tbl_MTG_Set[[#This Row],[Buy Window Month End]]*365.25/12</f>
        <v/>
      </c>
      <c r="N940" s="3">
        <f>AND(NOW()&gt;=tbl_MTG_Set[[#This Row],[Buy Window Start]], NOW()&lt;=tbl_MTG_Set[[#This Row],[Buy Window End]])</f>
        <v/>
      </c>
      <c r="O940">
        <f>_xlfn.XLOOKUP(tbl_MTG_Set[[#This Row],[Type Name]], tbl_MTG_Set_Type[Set Type], tbl_MTG_Set_Type[Heavy Printing Window Month Start], "(Set Type not found)", 0, 1)</f>
        <v/>
      </c>
      <c r="P940" s="3">
        <f>tbl_MTG_Set[[#This Row],[Released On]]+tbl_MTG_Set[[#This Row],[Heavy Printing Window Month Start]]*365.25/12</f>
        <v/>
      </c>
      <c r="Q940">
        <f>_xlfn.XLOOKUP(tbl_MTG_Set[[#This Row],[Type Name]], tbl_MTG_Set_Type[Set Type], tbl_MTG_Set_Type[Heavy Printing Window Month End], "(Set Type not found)", 0, 1)</f>
        <v/>
      </c>
      <c r="R940" s="3">
        <f>tbl_MTG_Set[[#This Row],[Released On]]+tbl_MTG_Set[[#This Row],[Heavy Printing Window Month End]]*365.25/12</f>
        <v/>
      </c>
      <c r="S940" s="3">
        <f>AND(NOW()&gt;=tbl_MTG_Set[[#This Row],[Heavy Printing Window Start]], NOW()&lt;=tbl_MTG_Set[[#This Row],[Heavy Printing Window End]])</f>
        <v/>
      </c>
      <c r="T940">
        <f>_xlfn.XLOOKUP(tbl_MTG_Set[[#This Row],[Type Name]], tbl_MTG_Set_Type[Set Type], tbl_MTG_Set_Type[Sell Window Month Start], "(Set Type not found)", 0, 1)</f>
        <v/>
      </c>
      <c r="U940" s="3">
        <f>tbl_MTG_Set[[#This Row],[Released On]]+tbl_MTG_Set[[#This Row],[Sell Window Month Start]]*365.25/12</f>
        <v/>
      </c>
      <c r="V940">
        <f>_xlfn.XLOOKUP(tbl_MTG_Set[[#This Row],[Type Name]], tbl_MTG_Set_Type[Set Type], tbl_MTG_Set_Type[Sell Window Month End], "(Set Type not found)", 0, 1)</f>
        <v/>
      </c>
      <c r="W940" s="3">
        <f>tbl_MTG_Set[[#This Row],[Released On]]+tbl_MTG_Set[[#This Row],[Sell Window Month End]]*365.25/12</f>
        <v/>
      </c>
      <c r="X940" s="3">
        <f>AND(NOW()&gt;=tbl_MTG_Set[[#This Row],[Sell Window Start]], NOW()&lt;=tbl_MTG_Set[[#This Row],[Sell Window End]])</f>
        <v/>
      </c>
      <c r="AG940" s="10" t="n"/>
      <c r="AH940" s="10" t="n"/>
      <c r="AM940" s="10">
        <f t="array" ref="AM9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0" s="10">
        <f t="array" ref="AN9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0" s="4">
        <f>_xlfn.XLOOKUP(tbl_MTG_Set[[#This Row],[Play Booster Box Product Id]], tbl_Product[Product Id], tbl_Product[Pack Size])</f>
        <v/>
      </c>
      <c r="AP940" s="10">
        <f>(tbl_MTG_Set[[#This Row],[Play Booster Box Cost]]+v_Item_Shipping_Cost_In)/tbl_MTG_Set[[#This Row],[Play Booster Box Size]]</f>
        <v/>
      </c>
      <c r="AQ940" s="10">
        <f t="array" ref="AQ94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0" s="10" t="n"/>
      <c r="AS940" s="10" t="n"/>
      <c r="AT940" s="17">
        <f>tbl_MTG_Set[[#This Row],[Play Booster CardMarket Profit]]/tbl_MTG_Set[[#This Row],[Play Booster Cost]]</f>
        <v/>
      </c>
      <c r="AU940" s="10">
        <f>_xlfn.XLOOKUP(tbl_MTG_Set[[#This Row],[Collector Booster Box Product Id]], tbl_Product[Product Id], tbl_Product[Min Cost])</f>
        <v/>
      </c>
      <c r="AV940" s="10">
        <f>_xlfn.XLOOKUP(tbl_MTG_Set[[#This Row],[Collector Booster Box Product Id]], tbl_Product[Product Id], tbl_Product[Best Source])</f>
        <v/>
      </c>
      <c r="AW940" s="4">
        <f>_xlfn.XLOOKUP(tbl_MTG_Set[[#This Row],[Collector Booster Box Product Id]], tbl_Product[Product Id], tbl_Product[Pack Size])</f>
        <v/>
      </c>
      <c r="AX940" s="10">
        <f>(tbl_MTG_Set[[#This Row],[Collector Booster Box Cost]] + v_Item_Shipping_Cost_In) / tbl_MTG_Set[[#This Row],[Collector Booster Box Size]]</f>
        <v/>
      </c>
      <c r="AY940" s="10">
        <f t="array" ref="AY94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0" s="10" t="n"/>
      <c r="BA9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0" s="17">
        <f>tbl_MTG_Set[[#This Row],[Collector Booster CardMarket Profit]]/tbl_MTG_Set[[#This Row],[Collector Booster Cost]]</f>
        <v/>
      </c>
      <c r="BC940" s="10" t="n"/>
      <c r="BF940" s="10">
        <f>tbl_MTG_Set[[#This Row],[Play Booster Sell Price CardMarket]]*tbl_MTG_Set[[#This Row],[Play Booster Expected Market Value]]/tbl_MTG_Set[[#This Row],[Play Boost Sealed Market Value]]</f>
        <v/>
      </c>
      <c r="BG9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0" s="10">
        <f>tbl_MTG_Set[[#This Row],[Play Singles CardMarket Profit]]/tbl_MTG_Set[[#This Row],[Play Booster Cost]]</f>
        <v/>
      </c>
      <c r="BI940" s="10">
        <f>tbl_MTG_Set[[#This Row],[Play Singles CardMarket Profit]]&gt;0</f>
        <v/>
      </c>
      <c r="BJ940" s="10" t="n"/>
      <c r="BK940" s="10" t="n"/>
      <c r="BL940" s="10">
        <f>tbl_MTG_Set[[#This Row],[Collector Booster Sell Price CardMarket]]*tbl_MTG_Set[[#This Row],[Collector Booster Expected Market Value]]/tbl_MTG_Set[[#This Row],[Collector Boost Sealed Market Value]]</f>
        <v/>
      </c>
      <c r="BM9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0" s="10">
        <f>tbl_MTG_Set[[#This Row],[Collector Singles CardMarket Profit]]/tbl_MTG_Set[[#This Row],[Collector Booster Cost]]</f>
        <v/>
      </c>
      <c r="BO940" s="10">
        <f>tbl_MTG_Set[[#This Row],[Collector Singles CardMarket Profit]]&gt;0</f>
        <v/>
      </c>
      <c r="BP9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1">
      <c r="A941" t="n">
        <v>939</v>
      </c>
      <c r="B941" t="inlineStr">
        <is>
          <t>Starter 2000 S00</t>
        </is>
      </c>
      <c r="C941" t="n">
        <v>20</v>
      </c>
      <c r="D941" s="3" t="n">
        <v>36617</v>
      </c>
      <c r="F941" t="inlineStr">
        <is>
          <t>en es fr de it pt ja ko ru 汉语 漢語</t>
        </is>
      </c>
      <c r="G941" t="n">
        <v>1824</v>
      </c>
      <c r="H941">
        <f>MONTH(NOW())+12*YEAR(NOW())-MONTH(tbl_MTG_Set[[#This Row],[Released On]])-12*YEAR(tbl_MTG_Set[[#This Row],[Released On]])</f>
        <v/>
      </c>
      <c r="I941">
        <f>_xlfn.XLOOKUP(tbl_MTG_Set[[#This Row],[Type Name]], tbl_MTG_Set_Type[Set Type], tbl_MTG_Set_Type[Index], "(Set Type not found)")</f>
        <v/>
      </c>
      <c r="J941">
        <f>_xlfn.XLOOKUP(tbl_MTG_Set[[#This Row],[Type Name]], tbl_MTG_Set_Type[Set Type], tbl_MTG_Set_Type[Buy Window Month Start], "(Set Type not found)")</f>
        <v/>
      </c>
      <c r="K941" s="3">
        <f>tbl_MTG_Set[[#This Row],[Released On]]+tbl_MTG_Set[[#This Row],[Buy Window Month Start]]*365.25/12</f>
        <v/>
      </c>
      <c r="L941">
        <f>_xlfn.XLOOKUP(tbl_MTG_Set[[#This Row],[Type Name]], tbl_MTG_Set_Type[Set Type], tbl_MTG_Set_Type[Buy Window Month End], "(Set Type not found)", 0, 1)</f>
        <v/>
      </c>
      <c r="M941" s="3">
        <f>tbl_MTG_Set[[#This Row],[Released On]]+tbl_MTG_Set[[#This Row],[Buy Window Month End]]*365.25/12</f>
        <v/>
      </c>
      <c r="N941" s="3">
        <f>AND(NOW()&gt;=tbl_MTG_Set[[#This Row],[Buy Window Start]], NOW()&lt;=tbl_MTG_Set[[#This Row],[Buy Window End]])</f>
        <v/>
      </c>
      <c r="O941">
        <f>_xlfn.XLOOKUP(tbl_MTG_Set[[#This Row],[Type Name]], tbl_MTG_Set_Type[Set Type], tbl_MTG_Set_Type[Heavy Printing Window Month Start], "(Set Type not found)", 0, 1)</f>
        <v/>
      </c>
      <c r="P941" s="3">
        <f>tbl_MTG_Set[[#This Row],[Released On]]+tbl_MTG_Set[[#This Row],[Heavy Printing Window Month Start]]*365.25/12</f>
        <v/>
      </c>
      <c r="Q941">
        <f>_xlfn.XLOOKUP(tbl_MTG_Set[[#This Row],[Type Name]], tbl_MTG_Set_Type[Set Type], tbl_MTG_Set_Type[Heavy Printing Window Month End], "(Set Type not found)", 0, 1)</f>
        <v/>
      </c>
      <c r="R941" s="3">
        <f>tbl_MTG_Set[[#This Row],[Released On]]+tbl_MTG_Set[[#This Row],[Heavy Printing Window Month End]]*365.25/12</f>
        <v/>
      </c>
      <c r="S941" s="3">
        <f>AND(NOW()&gt;=tbl_MTG_Set[[#This Row],[Heavy Printing Window Start]], NOW()&lt;=tbl_MTG_Set[[#This Row],[Heavy Printing Window End]])</f>
        <v/>
      </c>
      <c r="T941">
        <f>_xlfn.XLOOKUP(tbl_MTG_Set[[#This Row],[Type Name]], tbl_MTG_Set_Type[Set Type], tbl_MTG_Set_Type[Sell Window Month Start], "(Set Type not found)", 0, 1)</f>
        <v/>
      </c>
      <c r="U941" s="3">
        <f>tbl_MTG_Set[[#This Row],[Released On]]+tbl_MTG_Set[[#This Row],[Sell Window Month Start]]*365.25/12</f>
        <v/>
      </c>
      <c r="V941">
        <f>_xlfn.XLOOKUP(tbl_MTG_Set[[#This Row],[Type Name]], tbl_MTG_Set_Type[Set Type], tbl_MTG_Set_Type[Sell Window Month End], "(Set Type not found)", 0, 1)</f>
        <v/>
      </c>
      <c r="W941" s="3">
        <f>tbl_MTG_Set[[#This Row],[Released On]]+tbl_MTG_Set[[#This Row],[Sell Window Month End]]*365.25/12</f>
        <v/>
      </c>
      <c r="X941" s="3">
        <f>AND(NOW()&gt;=tbl_MTG_Set[[#This Row],[Sell Window Start]], NOW()&lt;=tbl_MTG_Set[[#This Row],[Sell Window End]])</f>
        <v/>
      </c>
      <c r="AG941" s="10" t="n"/>
      <c r="AH941" s="10" t="n"/>
      <c r="AM941" s="10">
        <f t="array" ref="AM9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1" s="10">
        <f t="array" ref="AN9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1" s="4">
        <f>_xlfn.XLOOKUP(tbl_MTG_Set[[#This Row],[Play Booster Box Product Id]], tbl_Product[Product Id], tbl_Product[Pack Size])</f>
        <v/>
      </c>
      <c r="AP941" s="10">
        <f>(tbl_MTG_Set[[#This Row],[Play Booster Box Cost]]+v_Item_Shipping_Cost_In)/tbl_MTG_Set[[#This Row],[Play Booster Box Size]]</f>
        <v/>
      </c>
      <c r="AQ941" s="10">
        <f t="array" ref="AQ94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1" s="10" t="n"/>
      <c r="AS941" s="10" t="n"/>
      <c r="AT941" s="17">
        <f>tbl_MTG_Set[[#This Row],[Play Booster CardMarket Profit]]/tbl_MTG_Set[[#This Row],[Play Booster Cost]]</f>
        <v/>
      </c>
      <c r="AU941" s="10">
        <f>_xlfn.XLOOKUP(tbl_MTG_Set[[#This Row],[Collector Booster Box Product Id]], tbl_Product[Product Id], tbl_Product[Min Cost])</f>
        <v/>
      </c>
      <c r="AV941" s="10">
        <f>_xlfn.XLOOKUP(tbl_MTG_Set[[#This Row],[Collector Booster Box Product Id]], tbl_Product[Product Id], tbl_Product[Best Source])</f>
        <v/>
      </c>
      <c r="AW941" s="4">
        <f>_xlfn.XLOOKUP(tbl_MTG_Set[[#This Row],[Collector Booster Box Product Id]], tbl_Product[Product Id], tbl_Product[Pack Size])</f>
        <v/>
      </c>
      <c r="AX941" s="10">
        <f>(tbl_MTG_Set[[#This Row],[Collector Booster Box Cost]] + v_Item_Shipping_Cost_In) / tbl_MTG_Set[[#This Row],[Collector Booster Box Size]]</f>
        <v/>
      </c>
      <c r="AY941" s="10">
        <f t="array" ref="AY94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1" s="10" t="n"/>
      <c r="BA9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1" s="17">
        <f>tbl_MTG_Set[[#This Row],[Collector Booster CardMarket Profit]]/tbl_MTG_Set[[#This Row],[Collector Booster Cost]]</f>
        <v/>
      </c>
      <c r="BC941" s="10" t="n"/>
      <c r="BF941" s="10">
        <f>tbl_MTG_Set[[#This Row],[Play Booster Sell Price CardMarket]]*tbl_MTG_Set[[#This Row],[Play Booster Expected Market Value]]/tbl_MTG_Set[[#This Row],[Play Boost Sealed Market Value]]</f>
        <v/>
      </c>
      <c r="BG9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1" s="10">
        <f>tbl_MTG_Set[[#This Row],[Play Singles CardMarket Profit]]/tbl_MTG_Set[[#This Row],[Play Booster Cost]]</f>
        <v/>
      </c>
      <c r="BI941" s="10">
        <f>tbl_MTG_Set[[#This Row],[Play Singles CardMarket Profit]]&gt;0</f>
        <v/>
      </c>
      <c r="BJ941" s="10" t="n"/>
      <c r="BK941" s="10" t="n"/>
      <c r="BL941" s="10">
        <f>tbl_MTG_Set[[#This Row],[Collector Booster Sell Price CardMarket]]*tbl_MTG_Set[[#This Row],[Collector Booster Expected Market Value]]/tbl_MTG_Set[[#This Row],[Collector Boost Sealed Market Value]]</f>
        <v/>
      </c>
      <c r="BM9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1" s="10">
        <f>tbl_MTG_Set[[#This Row],[Collector Singles CardMarket Profit]]/tbl_MTG_Set[[#This Row],[Collector Booster Cost]]</f>
        <v/>
      </c>
      <c r="BO941" s="10">
        <f>tbl_MTG_Set[[#This Row],[Collector Singles CardMarket Profit]]&gt;0</f>
        <v/>
      </c>
      <c r="BP9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2">
      <c r="A942" t="n">
        <v>940</v>
      </c>
      <c r="B942" t="inlineStr">
        <is>
          <t>Nemesis NEM</t>
        </is>
      </c>
      <c r="C942" t="n">
        <v>143</v>
      </c>
      <c r="D942" s="3" t="n">
        <v>36570</v>
      </c>
      <c r="F942" t="inlineStr">
        <is>
          <t>en es fr de it pt ja ko ru 汉语 漢語</t>
        </is>
      </c>
      <c r="G942" t="n">
        <v>1826</v>
      </c>
      <c r="H942">
        <f>MONTH(NOW())+12*YEAR(NOW())-MONTH(tbl_MTG_Set[[#This Row],[Released On]])-12*YEAR(tbl_MTG_Set[[#This Row],[Released On]])</f>
        <v/>
      </c>
      <c r="I942">
        <f>_xlfn.XLOOKUP(tbl_MTG_Set[[#This Row],[Type Name]], tbl_MTG_Set_Type[Set Type], tbl_MTG_Set_Type[Index], "(Set Type not found)")</f>
        <v/>
      </c>
      <c r="J942">
        <f>_xlfn.XLOOKUP(tbl_MTG_Set[[#This Row],[Type Name]], tbl_MTG_Set_Type[Set Type], tbl_MTG_Set_Type[Buy Window Month Start], "(Set Type not found)")</f>
        <v/>
      </c>
      <c r="K942" s="3">
        <f>tbl_MTG_Set[[#This Row],[Released On]]+tbl_MTG_Set[[#This Row],[Buy Window Month Start]]*365.25/12</f>
        <v/>
      </c>
      <c r="L942">
        <f>_xlfn.XLOOKUP(tbl_MTG_Set[[#This Row],[Type Name]], tbl_MTG_Set_Type[Set Type], tbl_MTG_Set_Type[Buy Window Month End], "(Set Type not found)", 0, 1)</f>
        <v/>
      </c>
      <c r="M942" s="3">
        <f>tbl_MTG_Set[[#This Row],[Released On]]+tbl_MTG_Set[[#This Row],[Buy Window Month End]]*365.25/12</f>
        <v/>
      </c>
      <c r="N942" s="3">
        <f>AND(NOW()&gt;=tbl_MTG_Set[[#This Row],[Buy Window Start]], NOW()&lt;=tbl_MTG_Set[[#This Row],[Buy Window End]])</f>
        <v/>
      </c>
      <c r="O942">
        <f>_xlfn.XLOOKUP(tbl_MTG_Set[[#This Row],[Type Name]], tbl_MTG_Set_Type[Set Type], tbl_MTG_Set_Type[Heavy Printing Window Month Start], "(Set Type not found)", 0, 1)</f>
        <v/>
      </c>
      <c r="P942" s="3">
        <f>tbl_MTG_Set[[#This Row],[Released On]]+tbl_MTG_Set[[#This Row],[Heavy Printing Window Month Start]]*365.25/12</f>
        <v/>
      </c>
      <c r="Q942">
        <f>_xlfn.XLOOKUP(tbl_MTG_Set[[#This Row],[Type Name]], tbl_MTG_Set_Type[Set Type], tbl_MTG_Set_Type[Heavy Printing Window Month End], "(Set Type not found)", 0, 1)</f>
        <v/>
      </c>
      <c r="R942" s="3">
        <f>tbl_MTG_Set[[#This Row],[Released On]]+tbl_MTG_Set[[#This Row],[Heavy Printing Window Month End]]*365.25/12</f>
        <v/>
      </c>
      <c r="S942" s="3">
        <f>AND(NOW()&gt;=tbl_MTG_Set[[#This Row],[Heavy Printing Window Start]], NOW()&lt;=tbl_MTG_Set[[#This Row],[Heavy Printing Window End]])</f>
        <v/>
      </c>
      <c r="T942">
        <f>_xlfn.XLOOKUP(tbl_MTG_Set[[#This Row],[Type Name]], tbl_MTG_Set_Type[Set Type], tbl_MTG_Set_Type[Sell Window Month Start], "(Set Type not found)", 0, 1)</f>
        <v/>
      </c>
      <c r="U942" s="3">
        <f>tbl_MTG_Set[[#This Row],[Released On]]+tbl_MTG_Set[[#This Row],[Sell Window Month Start]]*365.25/12</f>
        <v/>
      </c>
      <c r="V942">
        <f>_xlfn.XLOOKUP(tbl_MTG_Set[[#This Row],[Type Name]], tbl_MTG_Set_Type[Set Type], tbl_MTG_Set_Type[Sell Window Month End], "(Set Type not found)", 0, 1)</f>
        <v/>
      </c>
      <c r="W942" s="3">
        <f>tbl_MTG_Set[[#This Row],[Released On]]+tbl_MTG_Set[[#This Row],[Sell Window Month End]]*365.25/12</f>
        <v/>
      </c>
      <c r="X942" s="3">
        <f>AND(NOW()&gt;=tbl_MTG_Set[[#This Row],[Sell Window Start]], NOW()&lt;=tbl_MTG_Set[[#This Row],[Sell Window End]])</f>
        <v/>
      </c>
      <c r="AG942" s="10" t="n"/>
      <c r="AH942" s="10" t="n"/>
      <c r="AM942" s="10">
        <f t="array" ref="AM9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2" s="10">
        <f t="array" ref="AN9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2" s="4">
        <f>_xlfn.XLOOKUP(tbl_MTG_Set[[#This Row],[Play Booster Box Product Id]], tbl_Product[Product Id], tbl_Product[Pack Size])</f>
        <v/>
      </c>
      <c r="AP942" s="10">
        <f>(tbl_MTG_Set[[#This Row],[Play Booster Box Cost]]+v_Item_Shipping_Cost_In)/tbl_MTG_Set[[#This Row],[Play Booster Box Size]]</f>
        <v/>
      </c>
      <c r="AQ942" s="10">
        <f t="array" ref="AQ94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2" s="10" t="n"/>
      <c r="AS942" s="10" t="n"/>
      <c r="AT942" s="17">
        <f>tbl_MTG_Set[[#This Row],[Play Booster CardMarket Profit]]/tbl_MTG_Set[[#This Row],[Play Booster Cost]]</f>
        <v/>
      </c>
      <c r="AU942" s="10">
        <f>_xlfn.XLOOKUP(tbl_MTG_Set[[#This Row],[Collector Booster Box Product Id]], tbl_Product[Product Id], tbl_Product[Min Cost])</f>
        <v/>
      </c>
      <c r="AV942" s="10">
        <f>_xlfn.XLOOKUP(tbl_MTG_Set[[#This Row],[Collector Booster Box Product Id]], tbl_Product[Product Id], tbl_Product[Best Source])</f>
        <v/>
      </c>
      <c r="AW942" s="4">
        <f>_xlfn.XLOOKUP(tbl_MTG_Set[[#This Row],[Collector Booster Box Product Id]], tbl_Product[Product Id], tbl_Product[Pack Size])</f>
        <v/>
      </c>
      <c r="AX942" s="10">
        <f>(tbl_MTG_Set[[#This Row],[Collector Booster Box Cost]] + v_Item_Shipping_Cost_In) / tbl_MTG_Set[[#This Row],[Collector Booster Box Size]]</f>
        <v/>
      </c>
      <c r="AY942" s="10">
        <f t="array" ref="AY94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2" s="10" t="n"/>
      <c r="BA9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2" s="17">
        <f>tbl_MTG_Set[[#This Row],[Collector Booster CardMarket Profit]]/tbl_MTG_Set[[#This Row],[Collector Booster Cost]]</f>
        <v/>
      </c>
      <c r="BC942" s="10" t="n"/>
      <c r="BF942" s="10">
        <f>tbl_MTG_Set[[#This Row],[Play Booster Sell Price CardMarket]]*tbl_MTG_Set[[#This Row],[Play Booster Expected Market Value]]/tbl_MTG_Set[[#This Row],[Play Boost Sealed Market Value]]</f>
        <v/>
      </c>
      <c r="BG9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2" s="10">
        <f>tbl_MTG_Set[[#This Row],[Play Singles CardMarket Profit]]/tbl_MTG_Set[[#This Row],[Play Booster Cost]]</f>
        <v/>
      </c>
      <c r="BI942" s="10">
        <f>tbl_MTG_Set[[#This Row],[Play Singles CardMarket Profit]]&gt;0</f>
        <v/>
      </c>
      <c r="BJ942" s="10" t="n"/>
      <c r="BK942" s="10" t="n"/>
      <c r="BL942" s="10">
        <f>tbl_MTG_Set[[#This Row],[Collector Booster Sell Price CardMarket]]*tbl_MTG_Set[[#This Row],[Collector Booster Expected Market Value]]/tbl_MTG_Set[[#This Row],[Collector Boost Sealed Market Value]]</f>
        <v/>
      </c>
      <c r="BM9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2" s="10">
        <f>tbl_MTG_Set[[#This Row],[Collector Singles CardMarket Profit]]/tbl_MTG_Set[[#This Row],[Collector Booster Cost]]</f>
        <v/>
      </c>
      <c r="BO942" s="10">
        <f>tbl_MTG_Set[[#This Row],[Collector Singles CardMarket Profit]]&gt;0</f>
        <v/>
      </c>
      <c r="BP9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3">
      <c r="A943" t="n">
        <v>941</v>
      </c>
      <c r="B943" t="inlineStr">
        <is>
          <t>Nemesis Promos PNEM</t>
        </is>
      </c>
      <c r="C943" t="n">
        <v>1</v>
      </c>
      <c r="D943" s="3" t="n">
        <v>36570</v>
      </c>
      <c r="F943" t="inlineStr">
        <is>
          <t>en es fr de it pt ja ko ru 汉语 漢語</t>
        </is>
      </c>
      <c r="G943" t="n">
        <v>1828</v>
      </c>
      <c r="H943">
        <f>MONTH(NOW())+12*YEAR(NOW())-MONTH(tbl_MTG_Set[[#This Row],[Released On]])-12*YEAR(tbl_MTG_Set[[#This Row],[Released On]])</f>
        <v/>
      </c>
      <c r="I943">
        <f>_xlfn.XLOOKUP(tbl_MTG_Set[[#This Row],[Type Name]], tbl_MTG_Set_Type[Set Type], tbl_MTG_Set_Type[Index], "(Set Type not found)")</f>
        <v/>
      </c>
      <c r="J943">
        <f>_xlfn.XLOOKUP(tbl_MTG_Set[[#This Row],[Type Name]], tbl_MTG_Set_Type[Set Type], tbl_MTG_Set_Type[Buy Window Month Start], "(Set Type not found)")</f>
        <v/>
      </c>
      <c r="K943" s="3">
        <f>tbl_MTG_Set[[#This Row],[Released On]]+tbl_MTG_Set[[#This Row],[Buy Window Month Start]]*365.25/12</f>
        <v/>
      </c>
      <c r="L943">
        <f>_xlfn.XLOOKUP(tbl_MTG_Set[[#This Row],[Type Name]], tbl_MTG_Set_Type[Set Type], tbl_MTG_Set_Type[Buy Window Month End], "(Set Type not found)", 0, 1)</f>
        <v/>
      </c>
      <c r="M943" s="3">
        <f>tbl_MTG_Set[[#This Row],[Released On]]+tbl_MTG_Set[[#This Row],[Buy Window Month End]]*365.25/12</f>
        <v/>
      </c>
      <c r="N943" s="3">
        <f>AND(NOW()&gt;=tbl_MTG_Set[[#This Row],[Buy Window Start]], NOW()&lt;=tbl_MTG_Set[[#This Row],[Buy Window End]])</f>
        <v/>
      </c>
      <c r="O943">
        <f>_xlfn.XLOOKUP(tbl_MTG_Set[[#This Row],[Type Name]], tbl_MTG_Set_Type[Set Type], tbl_MTG_Set_Type[Heavy Printing Window Month Start], "(Set Type not found)", 0, 1)</f>
        <v/>
      </c>
      <c r="P943" s="3">
        <f>tbl_MTG_Set[[#This Row],[Released On]]+tbl_MTG_Set[[#This Row],[Heavy Printing Window Month Start]]*365.25/12</f>
        <v/>
      </c>
      <c r="Q943">
        <f>_xlfn.XLOOKUP(tbl_MTG_Set[[#This Row],[Type Name]], tbl_MTG_Set_Type[Set Type], tbl_MTG_Set_Type[Heavy Printing Window Month End], "(Set Type not found)", 0, 1)</f>
        <v/>
      </c>
      <c r="R943" s="3">
        <f>tbl_MTG_Set[[#This Row],[Released On]]+tbl_MTG_Set[[#This Row],[Heavy Printing Window Month End]]*365.25/12</f>
        <v/>
      </c>
      <c r="S943" s="3">
        <f>AND(NOW()&gt;=tbl_MTG_Set[[#This Row],[Heavy Printing Window Start]], NOW()&lt;=tbl_MTG_Set[[#This Row],[Heavy Printing Window End]])</f>
        <v/>
      </c>
      <c r="T943">
        <f>_xlfn.XLOOKUP(tbl_MTG_Set[[#This Row],[Type Name]], tbl_MTG_Set_Type[Set Type], tbl_MTG_Set_Type[Sell Window Month Start], "(Set Type not found)", 0, 1)</f>
        <v/>
      </c>
      <c r="U943" s="3">
        <f>tbl_MTG_Set[[#This Row],[Released On]]+tbl_MTG_Set[[#This Row],[Sell Window Month Start]]*365.25/12</f>
        <v/>
      </c>
      <c r="V943">
        <f>_xlfn.XLOOKUP(tbl_MTG_Set[[#This Row],[Type Name]], tbl_MTG_Set_Type[Set Type], tbl_MTG_Set_Type[Sell Window Month End], "(Set Type not found)", 0, 1)</f>
        <v/>
      </c>
      <c r="W943" s="3">
        <f>tbl_MTG_Set[[#This Row],[Released On]]+tbl_MTG_Set[[#This Row],[Sell Window Month End]]*365.25/12</f>
        <v/>
      </c>
      <c r="X943" s="3">
        <f>AND(NOW()&gt;=tbl_MTG_Set[[#This Row],[Sell Window Start]], NOW()&lt;=tbl_MTG_Set[[#This Row],[Sell Window End]])</f>
        <v/>
      </c>
      <c r="AG943" s="10" t="n"/>
      <c r="AH943" s="10" t="n"/>
      <c r="AM943" s="10">
        <f t="array" ref="AM9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3" s="10">
        <f t="array" ref="AN9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3" s="4">
        <f>_xlfn.XLOOKUP(tbl_MTG_Set[[#This Row],[Play Booster Box Product Id]], tbl_Product[Product Id], tbl_Product[Pack Size])</f>
        <v/>
      </c>
      <c r="AP943" s="10">
        <f>(tbl_MTG_Set[[#This Row],[Play Booster Box Cost]]+v_Item_Shipping_Cost_In)/tbl_MTG_Set[[#This Row],[Play Booster Box Size]]</f>
        <v/>
      </c>
      <c r="AQ943" s="10">
        <f t="array" ref="AQ94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3" s="10" t="n"/>
      <c r="AS943" s="10" t="n"/>
      <c r="AT943" s="17">
        <f>tbl_MTG_Set[[#This Row],[Play Booster CardMarket Profit]]/tbl_MTG_Set[[#This Row],[Play Booster Cost]]</f>
        <v/>
      </c>
      <c r="AU943" s="10">
        <f>_xlfn.XLOOKUP(tbl_MTG_Set[[#This Row],[Collector Booster Box Product Id]], tbl_Product[Product Id], tbl_Product[Min Cost])</f>
        <v/>
      </c>
      <c r="AV943" s="10">
        <f>_xlfn.XLOOKUP(tbl_MTG_Set[[#This Row],[Collector Booster Box Product Id]], tbl_Product[Product Id], tbl_Product[Best Source])</f>
        <v/>
      </c>
      <c r="AW943" s="4">
        <f>_xlfn.XLOOKUP(tbl_MTG_Set[[#This Row],[Collector Booster Box Product Id]], tbl_Product[Product Id], tbl_Product[Pack Size])</f>
        <v/>
      </c>
      <c r="AX943" s="10">
        <f>(tbl_MTG_Set[[#This Row],[Collector Booster Box Cost]] + v_Item_Shipping_Cost_In) / tbl_MTG_Set[[#This Row],[Collector Booster Box Size]]</f>
        <v/>
      </c>
      <c r="AY943" s="10">
        <f t="array" ref="AY94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3" s="10" t="n"/>
      <c r="BA9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3" s="17">
        <f>tbl_MTG_Set[[#This Row],[Collector Booster CardMarket Profit]]/tbl_MTG_Set[[#This Row],[Collector Booster Cost]]</f>
        <v/>
      </c>
      <c r="BC943" s="10" t="n"/>
      <c r="BF943" s="10">
        <f>tbl_MTG_Set[[#This Row],[Play Booster Sell Price CardMarket]]*tbl_MTG_Set[[#This Row],[Play Booster Expected Market Value]]/tbl_MTG_Set[[#This Row],[Play Boost Sealed Market Value]]</f>
        <v/>
      </c>
      <c r="BG9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3" s="10">
        <f>tbl_MTG_Set[[#This Row],[Play Singles CardMarket Profit]]/tbl_MTG_Set[[#This Row],[Play Booster Cost]]</f>
        <v/>
      </c>
      <c r="BI943" s="10">
        <f>tbl_MTG_Set[[#This Row],[Play Singles CardMarket Profit]]&gt;0</f>
        <v/>
      </c>
      <c r="BJ943" s="10" t="n"/>
      <c r="BK943" s="10" t="n"/>
      <c r="BL943" s="10">
        <f>tbl_MTG_Set[[#This Row],[Collector Booster Sell Price CardMarket]]*tbl_MTG_Set[[#This Row],[Collector Booster Expected Market Value]]/tbl_MTG_Set[[#This Row],[Collector Boost Sealed Market Value]]</f>
        <v/>
      </c>
      <c r="BM9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3" s="10">
        <f>tbl_MTG_Set[[#This Row],[Collector Singles CardMarket Profit]]/tbl_MTG_Set[[#This Row],[Collector Booster Cost]]</f>
        <v/>
      </c>
      <c r="BO943" s="10">
        <f>tbl_MTG_Set[[#This Row],[Collector Singles CardMarket Profit]]&gt;0</f>
        <v/>
      </c>
      <c r="BP9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4">
      <c r="A944" t="n">
        <v>942</v>
      </c>
      <c r="B944" t="inlineStr">
        <is>
          <t>European Land Program PELP</t>
        </is>
      </c>
      <c r="C944" t="n">
        <v>15</v>
      </c>
      <c r="D944" s="3" t="n">
        <v>36561</v>
      </c>
      <c r="F944" t="inlineStr">
        <is>
          <t>en es fr de it pt ja ko ru 汉语 漢語</t>
        </is>
      </c>
      <c r="G944" t="n">
        <v>1830</v>
      </c>
      <c r="H944">
        <f>MONTH(NOW())+12*YEAR(NOW())-MONTH(tbl_MTG_Set[[#This Row],[Released On]])-12*YEAR(tbl_MTG_Set[[#This Row],[Released On]])</f>
        <v/>
      </c>
      <c r="I944">
        <f>_xlfn.XLOOKUP(tbl_MTG_Set[[#This Row],[Type Name]], tbl_MTG_Set_Type[Set Type], tbl_MTG_Set_Type[Index], "(Set Type not found)")</f>
        <v/>
      </c>
      <c r="J944">
        <f>_xlfn.XLOOKUP(tbl_MTG_Set[[#This Row],[Type Name]], tbl_MTG_Set_Type[Set Type], tbl_MTG_Set_Type[Buy Window Month Start], "(Set Type not found)")</f>
        <v/>
      </c>
      <c r="K944" s="3">
        <f>tbl_MTG_Set[[#This Row],[Released On]]+tbl_MTG_Set[[#This Row],[Buy Window Month Start]]*365.25/12</f>
        <v/>
      </c>
      <c r="L944">
        <f>_xlfn.XLOOKUP(tbl_MTG_Set[[#This Row],[Type Name]], tbl_MTG_Set_Type[Set Type], tbl_MTG_Set_Type[Buy Window Month End], "(Set Type not found)", 0, 1)</f>
        <v/>
      </c>
      <c r="M944" s="3">
        <f>tbl_MTG_Set[[#This Row],[Released On]]+tbl_MTG_Set[[#This Row],[Buy Window Month End]]*365.25/12</f>
        <v/>
      </c>
      <c r="N944" s="3">
        <f>AND(NOW()&gt;=tbl_MTG_Set[[#This Row],[Buy Window Start]], NOW()&lt;=tbl_MTG_Set[[#This Row],[Buy Window End]])</f>
        <v/>
      </c>
      <c r="O944">
        <f>_xlfn.XLOOKUP(tbl_MTG_Set[[#This Row],[Type Name]], tbl_MTG_Set_Type[Set Type], tbl_MTG_Set_Type[Heavy Printing Window Month Start], "(Set Type not found)", 0, 1)</f>
        <v/>
      </c>
      <c r="P944" s="3">
        <f>tbl_MTG_Set[[#This Row],[Released On]]+tbl_MTG_Set[[#This Row],[Heavy Printing Window Month Start]]*365.25/12</f>
        <v/>
      </c>
      <c r="Q944">
        <f>_xlfn.XLOOKUP(tbl_MTG_Set[[#This Row],[Type Name]], tbl_MTG_Set_Type[Set Type], tbl_MTG_Set_Type[Heavy Printing Window Month End], "(Set Type not found)", 0, 1)</f>
        <v/>
      </c>
      <c r="R944" s="3">
        <f>tbl_MTG_Set[[#This Row],[Released On]]+tbl_MTG_Set[[#This Row],[Heavy Printing Window Month End]]*365.25/12</f>
        <v/>
      </c>
      <c r="S944" s="3">
        <f>AND(NOW()&gt;=tbl_MTG_Set[[#This Row],[Heavy Printing Window Start]], NOW()&lt;=tbl_MTG_Set[[#This Row],[Heavy Printing Window End]])</f>
        <v/>
      </c>
      <c r="T944">
        <f>_xlfn.XLOOKUP(tbl_MTG_Set[[#This Row],[Type Name]], tbl_MTG_Set_Type[Set Type], tbl_MTG_Set_Type[Sell Window Month Start], "(Set Type not found)", 0, 1)</f>
        <v/>
      </c>
      <c r="U944" s="3">
        <f>tbl_MTG_Set[[#This Row],[Released On]]+tbl_MTG_Set[[#This Row],[Sell Window Month Start]]*365.25/12</f>
        <v/>
      </c>
      <c r="V944">
        <f>_xlfn.XLOOKUP(tbl_MTG_Set[[#This Row],[Type Name]], tbl_MTG_Set_Type[Set Type], tbl_MTG_Set_Type[Sell Window Month End], "(Set Type not found)", 0, 1)</f>
        <v/>
      </c>
      <c r="W944" s="3">
        <f>tbl_MTG_Set[[#This Row],[Released On]]+tbl_MTG_Set[[#This Row],[Sell Window Month End]]*365.25/12</f>
        <v/>
      </c>
      <c r="X944" s="3">
        <f>AND(NOW()&gt;=tbl_MTG_Set[[#This Row],[Sell Window Start]], NOW()&lt;=tbl_MTG_Set[[#This Row],[Sell Window End]])</f>
        <v/>
      </c>
      <c r="AG944" s="10" t="n"/>
      <c r="AH944" s="10" t="n"/>
      <c r="AM944" s="10">
        <f t="array" ref="AM9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4" s="10">
        <f t="array" ref="AN9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4" s="4">
        <f>_xlfn.XLOOKUP(tbl_MTG_Set[[#This Row],[Play Booster Box Product Id]], tbl_Product[Product Id], tbl_Product[Pack Size])</f>
        <v/>
      </c>
      <c r="AP944" s="10">
        <f>(tbl_MTG_Set[[#This Row],[Play Booster Box Cost]]+v_Item_Shipping_Cost_In)/tbl_MTG_Set[[#This Row],[Play Booster Box Size]]</f>
        <v/>
      </c>
      <c r="AQ944" s="10">
        <f t="array" ref="AQ94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4" s="10" t="n"/>
      <c r="AS944" s="10" t="n"/>
      <c r="AT944" s="17">
        <f>tbl_MTG_Set[[#This Row],[Play Booster CardMarket Profit]]/tbl_MTG_Set[[#This Row],[Play Booster Cost]]</f>
        <v/>
      </c>
      <c r="AU944" s="10">
        <f>_xlfn.XLOOKUP(tbl_MTG_Set[[#This Row],[Collector Booster Box Product Id]], tbl_Product[Product Id], tbl_Product[Min Cost])</f>
        <v/>
      </c>
      <c r="AV944" s="10">
        <f>_xlfn.XLOOKUP(tbl_MTG_Set[[#This Row],[Collector Booster Box Product Id]], tbl_Product[Product Id], tbl_Product[Best Source])</f>
        <v/>
      </c>
      <c r="AW944" s="4">
        <f>_xlfn.XLOOKUP(tbl_MTG_Set[[#This Row],[Collector Booster Box Product Id]], tbl_Product[Product Id], tbl_Product[Pack Size])</f>
        <v/>
      </c>
      <c r="AX944" s="10">
        <f>(tbl_MTG_Set[[#This Row],[Collector Booster Box Cost]] + v_Item_Shipping_Cost_In) / tbl_MTG_Set[[#This Row],[Collector Booster Box Size]]</f>
        <v/>
      </c>
      <c r="AY944" s="10">
        <f t="array" ref="AY94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4" s="10" t="n"/>
      <c r="BA9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4" s="17">
        <f>tbl_MTG_Set[[#This Row],[Collector Booster CardMarket Profit]]/tbl_MTG_Set[[#This Row],[Collector Booster Cost]]</f>
        <v/>
      </c>
      <c r="BC944" s="10" t="n"/>
      <c r="BF944" s="10">
        <f>tbl_MTG_Set[[#This Row],[Play Booster Sell Price CardMarket]]*tbl_MTG_Set[[#This Row],[Play Booster Expected Market Value]]/tbl_MTG_Set[[#This Row],[Play Boost Sealed Market Value]]</f>
        <v/>
      </c>
      <c r="BG9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4" s="10">
        <f>tbl_MTG_Set[[#This Row],[Play Singles CardMarket Profit]]/tbl_MTG_Set[[#This Row],[Play Booster Cost]]</f>
        <v/>
      </c>
      <c r="BI944" s="10">
        <f>tbl_MTG_Set[[#This Row],[Play Singles CardMarket Profit]]&gt;0</f>
        <v/>
      </c>
      <c r="BJ944" s="10" t="n"/>
      <c r="BK944" s="10" t="n"/>
      <c r="BL944" s="10">
        <f>tbl_MTG_Set[[#This Row],[Collector Booster Sell Price CardMarket]]*tbl_MTG_Set[[#This Row],[Collector Booster Expected Market Value]]/tbl_MTG_Set[[#This Row],[Collector Boost Sealed Market Value]]</f>
        <v/>
      </c>
      <c r="BM9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4" s="10">
        <f>tbl_MTG_Set[[#This Row],[Collector Singles CardMarket Profit]]/tbl_MTG_Set[[#This Row],[Collector Booster Cost]]</f>
        <v/>
      </c>
      <c r="BO944" s="10">
        <f>tbl_MTG_Set[[#This Row],[Collector Singles CardMarket Profit]]&gt;0</f>
        <v/>
      </c>
      <c r="BP9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5">
      <c r="A945" t="n">
        <v>943</v>
      </c>
      <c r="B945" t="inlineStr">
        <is>
          <t>Arena League 2000 PAL00</t>
        </is>
      </c>
      <c r="C945" t="n">
        <v>11</v>
      </c>
      <c r="D945" s="3" t="n">
        <v>36526</v>
      </c>
      <c r="F945" t="inlineStr">
        <is>
          <t>en es fr de it pt ja ko ru 汉语 漢語</t>
        </is>
      </c>
      <c r="G945" t="n">
        <v>1832</v>
      </c>
      <c r="H945">
        <f>MONTH(NOW())+12*YEAR(NOW())-MONTH(tbl_MTG_Set[[#This Row],[Released On]])-12*YEAR(tbl_MTG_Set[[#This Row],[Released On]])</f>
        <v/>
      </c>
      <c r="I945">
        <f>_xlfn.XLOOKUP(tbl_MTG_Set[[#This Row],[Type Name]], tbl_MTG_Set_Type[Set Type], tbl_MTG_Set_Type[Index], "(Set Type not found)")</f>
        <v/>
      </c>
      <c r="J945">
        <f>_xlfn.XLOOKUP(tbl_MTG_Set[[#This Row],[Type Name]], tbl_MTG_Set_Type[Set Type], tbl_MTG_Set_Type[Buy Window Month Start], "(Set Type not found)")</f>
        <v/>
      </c>
      <c r="K945" s="3">
        <f>tbl_MTG_Set[[#This Row],[Released On]]+tbl_MTG_Set[[#This Row],[Buy Window Month Start]]*365.25/12</f>
        <v/>
      </c>
      <c r="L945">
        <f>_xlfn.XLOOKUP(tbl_MTG_Set[[#This Row],[Type Name]], tbl_MTG_Set_Type[Set Type], tbl_MTG_Set_Type[Buy Window Month End], "(Set Type not found)", 0, 1)</f>
        <v/>
      </c>
      <c r="M945" s="3">
        <f>tbl_MTG_Set[[#This Row],[Released On]]+tbl_MTG_Set[[#This Row],[Buy Window Month End]]*365.25/12</f>
        <v/>
      </c>
      <c r="N945" s="3">
        <f>AND(NOW()&gt;=tbl_MTG_Set[[#This Row],[Buy Window Start]], NOW()&lt;=tbl_MTG_Set[[#This Row],[Buy Window End]])</f>
        <v/>
      </c>
      <c r="O945">
        <f>_xlfn.XLOOKUP(tbl_MTG_Set[[#This Row],[Type Name]], tbl_MTG_Set_Type[Set Type], tbl_MTG_Set_Type[Heavy Printing Window Month Start], "(Set Type not found)", 0, 1)</f>
        <v/>
      </c>
      <c r="P945" s="3">
        <f>tbl_MTG_Set[[#This Row],[Released On]]+tbl_MTG_Set[[#This Row],[Heavy Printing Window Month Start]]*365.25/12</f>
        <v/>
      </c>
      <c r="Q945">
        <f>_xlfn.XLOOKUP(tbl_MTG_Set[[#This Row],[Type Name]], tbl_MTG_Set_Type[Set Type], tbl_MTG_Set_Type[Heavy Printing Window Month End], "(Set Type not found)", 0, 1)</f>
        <v/>
      </c>
      <c r="R945" s="3">
        <f>tbl_MTG_Set[[#This Row],[Released On]]+tbl_MTG_Set[[#This Row],[Heavy Printing Window Month End]]*365.25/12</f>
        <v/>
      </c>
      <c r="S945" s="3">
        <f>AND(NOW()&gt;=tbl_MTG_Set[[#This Row],[Heavy Printing Window Start]], NOW()&lt;=tbl_MTG_Set[[#This Row],[Heavy Printing Window End]])</f>
        <v/>
      </c>
      <c r="T945">
        <f>_xlfn.XLOOKUP(tbl_MTG_Set[[#This Row],[Type Name]], tbl_MTG_Set_Type[Set Type], tbl_MTG_Set_Type[Sell Window Month Start], "(Set Type not found)", 0, 1)</f>
        <v/>
      </c>
      <c r="U945" s="3">
        <f>tbl_MTG_Set[[#This Row],[Released On]]+tbl_MTG_Set[[#This Row],[Sell Window Month Start]]*365.25/12</f>
        <v/>
      </c>
      <c r="V945">
        <f>_xlfn.XLOOKUP(tbl_MTG_Set[[#This Row],[Type Name]], tbl_MTG_Set_Type[Set Type], tbl_MTG_Set_Type[Sell Window Month End], "(Set Type not found)", 0, 1)</f>
        <v/>
      </c>
      <c r="W945" s="3">
        <f>tbl_MTG_Set[[#This Row],[Released On]]+tbl_MTG_Set[[#This Row],[Sell Window Month End]]*365.25/12</f>
        <v/>
      </c>
      <c r="X945" s="3">
        <f>AND(NOW()&gt;=tbl_MTG_Set[[#This Row],[Sell Window Start]], NOW()&lt;=tbl_MTG_Set[[#This Row],[Sell Window End]])</f>
        <v/>
      </c>
      <c r="AG945" s="10" t="n"/>
      <c r="AH945" s="10" t="n"/>
      <c r="AM945" s="10">
        <f t="array" ref="AM9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5" s="10">
        <f t="array" ref="AN9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5" s="4">
        <f>_xlfn.XLOOKUP(tbl_MTG_Set[[#This Row],[Play Booster Box Product Id]], tbl_Product[Product Id], tbl_Product[Pack Size])</f>
        <v/>
      </c>
      <c r="AP945" s="10">
        <f>(tbl_MTG_Set[[#This Row],[Play Booster Box Cost]]+v_Item_Shipping_Cost_In)/tbl_MTG_Set[[#This Row],[Play Booster Box Size]]</f>
        <v/>
      </c>
      <c r="AQ945" s="10">
        <f t="array" ref="AQ94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5" s="10" t="n"/>
      <c r="AS945" s="10" t="n"/>
      <c r="AT945" s="17">
        <f>tbl_MTG_Set[[#This Row],[Play Booster CardMarket Profit]]/tbl_MTG_Set[[#This Row],[Play Booster Cost]]</f>
        <v/>
      </c>
      <c r="AU945" s="10">
        <f>_xlfn.XLOOKUP(tbl_MTG_Set[[#This Row],[Collector Booster Box Product Id]], tbl_Product[Product Id], tbl_Product[Min Cost])</f>
        <v/>
      </c>
      <c r="AV945" s="10">
        <f>_xlfn.XLOOKUP(tbl_MTG_Set[[#This Row],[Collector Booster Box Product Id]], tbl_Product[Product Id], tbl_Product[Best Source])</f>
        <v/>
      </c>
      <c r="AW945" s="4">
        <f>_xlfn.XLOOKUP(tbl_MTG_Set[[#This Row],[Collector Booster Box Product Id]], tbl_Product[Product Id], tbl_Product[Pack Size])</f>
        <v/>
      </c>
      <c r="AX945" s="10">
        <f>(tbl_MTG_Set[[#This Row],[Collector Booster Box Cost]] + v_Item_Shipping_Cost_In) / tbl_MTG_Set[[#This Row],[Collector Booster Box Size]]</f>
        <v/>
      </c>
      <c r="AY945" s="10">
        <f t="array" ref="AY94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5" s="10" t="n"/>
      <c r="BA9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5" s="17">
        <f>tbl_MTG_Set[[#This Row],[Collector Booster CardMarket Profit]]/tbl_MTG_Set[[#This Row],[Collector Booster Cost]]</f>
        <v/>
      </c>
      <c r="BC945" s="10" t="n"/>
      <c r="BF945" s="10">
        <f>tbl_MTG_Set[[#This Row],[Play Booster Sell Price CardMarket]]*tbl_MTG_Set[[#This Row],[Play Booster Expected Market Value]]/tbl_MTG_Set[[#This Row],[Play Boost Sealed Market Value]]</f>
        <v/>
      </c>
      <c r="BG9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5" s="10">
        <f>tbl_MTG_Set[[#This Row],[Play Singles CardMarket Profit]]/tbl_MTG_Set[[#This Row],[Play Booster Cost]]</f>
        <v/>
      </c>
      <c r="BI945" s="10">
        <f>tbl_MTG_Set[[#This Row],[Play Singles CardMarket Profit]]&gt;0</f>
        <v/>
      </c>
      <c r="BJ945" s="10" t="n"/>
      <c r="BK945" s="10" t="n"/>
      <c r="BL945" s="10">
        <f>tbl_MTG_Set[[#This Row],[Collector Booster Sell Price CardMarket]]*tbl_MTG_Set[[#This Row],[Collector Booster Expected Market Value]]/tbl_MTG_Set[[#This Row],[Collector Boost Sealed Market Value]]</f>
        <v/>
      </c>
      <c r="BM9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5" s="10">
        <f>tbl_MTG_Set[[#This Row],[Collector Singles CardMarket Profit]]/tbl_MTG_Set[[#This Row],[Collector Booster Cost]]</f>
        <v/>
      </c>
      <c r="BO945" s="10">
        <f>tbl_MTG_Set[[#This Row],[Collector Singles CardMarket Profit]]&gt;0</f>
        <v/>
      </c>
      <c r="BP9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6">
      <c r="A946" t="n">
        <v>944</v>
      </c>
      <c r="B946" t="inlineStr">
        <is>
          <t>Judge Gift Cards 2000 G00</t>
        </is>
      </c>
      <c r="C946" t="n">
        <v>2</v>
      </c>
      <c r="D946" s="3" t="n">
        <v>36526</v>
      </c>
      <c r="F946" t="inlineStr">
        <is>
          <t>en es fr de it pt ja ko ru 汉语 漢語</t>
        </is>
      </c>
      <c r="G946" t="n">
        <v>1834</v>
      </c>
      <c r="H946">
        <f>MONTH(NOW())+12*YEAR(NOW())-MONTH(tbl_MTG_Set[[#This Row],[Released On]])-12*YEAR(tbl_MTG_Set[[#This Row],[Released On]])</f>
        <v/>
      </c>
      <c r="I946">
        <f>_xlfn.XLOOKUP(tbl_MTG_Set[[#This Row],[Type Name]], tbl_MTG_Set_Type[Set Type], tbl_MTG_Set_Type[Index], "(Set Type not found)")</f>
        <v/>
      </c>
      <c r="J946">
        <f>_xlfn.XLOOKUP(tbl_MTG_Set[[#This Row],[Type Name]], tbl_MTG_Set_Type[Set Type], tbl_MTG_Set_Type[Buy Window Month Start], "(Set Type not found)")</f>
        <v/>
      </c>
      <c r="K946" s="3">
        <f>tbl_MTG_Set[[#This Row],[Released On]]+tbl_MTG_Set[[#This Row],[Buy Window Month Start]]*365.25/12</f>
        <v/>
      </c>
      <c r="L946">
        <f>_xlfn.XLOOKUP(tbl_MTG_Set[[#This Row],[Type Name]], tbl_MTG_Set_Type[Set Type], tbl_MTG_Set_Type[Buy Window Month End], "(Set Type not found)", 0, 1)</f>
        <v/>
      </c>
      <c r="M946" s="3">
        <f>tbl_MTG_Set[[#This Row],[Released On]]+tbl_MTG_Set[[#This Row],[Buy Window Month End]]*365.25/12</f>
        <v/>
      </c>
      <c r="N946" s="3">
        <f>AND(NOW()&gt;=tbl_MTG_Set[[#This Row],[Buy Window Start]], NOW()&lt;=tbl_MTG_Set[[#This Row],[Buy Window End]])</f>
        <v/>
      </c>
      <c r="O946">
        <f>_xlfn.XLOOKUP(tbl_MTG_Set[[#This Row],[Type Name]], tbl_MTG_Set_Type[Set Type], tbl_MTG_Set_Type[Heavy Printing Window Month Start], "(Set Type not found)", 0, 1)</f>
        <v/>
      </c>
      <c r="P946" s="3">
        <f>tbl_MTG_Set[[#This Row],[Released On]]+tbl_MTG_Set[[#This Row],[Heavy Printing Window Month Start]]*365.25/12</f>
        <v/>
      </c>
      <c r="Q946">
        <f>_xlfn.XLOOKUP(tbl_MTG_Set[[#This Row],[Type Name]], tbl_MTG_Set_Type[Set Type], tbl_MTG_Set_Type[Heavy Printing Window Month End], "(Set Type not found)", 0, 1)</f>
        <v/>
      </c>
      <c r="R946" s="3">
        <f>tbl_MTG_Set[[#This Row],[Released On]]+tbl_MTG_Set[[#This Row],[Heavy Printing Window Month End]]*365.25/12</f>
        <v/>
      </c>
      <c r="S946" s="3">
        <f>AND(NOW()&gt;=tbl_MTG_Set[[#This Row],[Heavy Printing Window Start]], NOW()&lt;=tbl_MTG_Set[[#This Row],[Heavy Printing Window End]])</f>
        <v/>
      </c>
      <c r="T946">
        <f>_xlfn.XLOOKUP(tbl_MTG_Set[[#This Row],[Type Name]], tbl_MTG_Set_Type[Set Type], tbl_MTG_Set_Type[Sell Window Month Start], "(Set Type not found)", 0, 1)</f>
        <v/>
      </c>
      <c r="U946" s="3">
        <f>tbl_MTG_Set[[#This Row],[Released On]]+tbl_MTG_Set[[#This Row],[Sell Window Month Start]]*365.25/12</f>
        <v/>
      </c>
      <c r="V946">
        <f>_xlfn.XLOOKUP(tbl_MTG_Set[[#This Row],[Type Name]], tbl_MTG_Set_Type[Set Type], tbl_MTG_Set_Type[Sell Window Month End], "(Set Type not found)", 0, 1)</f>
        <v/>
      </c>
      <c r="W946" s="3">
        <f>tbl_MTG_Set[[#This Row],[Released On]]+tbl_MTG_Set[[#This Row],[Sell Window Month End]]*365.25/12</f>
        <v/>
      </c>
      <c r="X946" s="3">
        <f>AND(NOW()&gt;=tbl_MTG_Set[[#This Row],[Sell Window Start]], NOW()&lt;=tbl_MTG_Set[[#This Row],[Sell Window End]])</f>
        <v/>
      </c>
      <c r="AG946" s="10" t="n"/>
      <c r="AH946" s="10" t="n"/>
      <c r="AM946" s="10">
        <f t="array" ref="AM9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6" s="10">
        <f t="array" ref="AN9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6" s="4">
        <f>_xlfn.XLOOKUP(tbl_MTG_Set[[#This Row],[Play Booster Box Product Id]], tbl_Product[Product Id], tbl_Product[Pack Size])</f>
        <v/>
      </c>
      <c r="AP946" s="10">
        <f>(tbl_MTG_Set[[#This Row],[Play Booster Box Cost]]+v_Item_Shipping_Cost_In)/tbl_MTG_Set[[#This Row],[Play Booster Box Size]]</f>
        <v/>
      </c>
      <c r="AQ946" s="10">
        <f t="array" ref="AQ94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6" s="10" t="n"/>
      <c r="AS946" s="10" t="n"/>
      <c r="AT946" s="17">
        <f>tbl_MTG_Set[[#This Row],[Play Booster CardMarket Profit]]/tbl_MTG_Set[[#This Row],[Play Booster Cost]]</f>
        <v/>
      </c>
      <c r="AU946" s="10">
        <f>_xlfn.XLOOKUP(tbl_MTG_Set[[#This Row],[Collector Booster Box Product Id]], tbl_Product[Product Id], tbl_Product[Min Cost])</f>
        <v/>
      </c>
      <c r="AV946" s="10">
        <f>_xlfn.XLOOKUP(tbl_MTG_Set[[#This Row],[Collector Booster Box Product Id]], tbl_Product[Product Id], tbl_Product[Best Source])</f>
        <v/>
      </c>
      <c r="AW946" s="4">
        <f>_xlfn.XLOOKUP(tbl_MTG_Set[[#This Row],[Collector Booster Box Product Id]], tbl_Product[Product Id], tbl_Product[Pack Size])</f>
        <v/>
      </c>
      <c r="AX946" s="10">
        <f>(tbl_MTG_Set[[#This Row],[Collector Booster Box Cost]] + v_Item_Shipping_Cost_In) / tbl_MTG_Set[[#This Row],[Collector Booster Box Size]]</f>
        <v/>
      </c>
      <c r="AY946" s="10">
        <f t="array" ref="AY94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6" s="10" t="n"/>
      <c r="BA9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6" s="17">
        <f>tbl_MTG_Set[[#This Row],[Collector Booster CardMarket Profit]]/tbl_MTG_Set[[#This Row],[Collector Booster Cost]]</f>
        <v/>
      </c>
      <c r="BC946" s="10" t="n"/>
      <c r="BF946" s="10">
        <f>tbl_MTG_Set[[#This Row],[Play Booster Sell Price CardMarket]]*tbl_MTG_Set[[#This Row],[Play Booster Expected Market Value]]/tbl_MTG_Set[[#This Row],[Play Boost Sealed Market Value]]</f>
        <v/>
      </c>
      <c r="BG9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6" s="10">
        <f>tbl_MTG_Set[[#This Row],[Play Singles CardMarket Profit]]/tbl_MTG_Set[[#This Row],[Play Booster Cost]]</f>
        <v/>
      </c>
      <c r="BI946" s="10">
        <f>tbl_MTG_Set[[#This Row],[Play Singles CardMarket Profit]]&gt;0</f>
        <v/>
      </c>
      <c r="BJ946" s="10" t="n"/>
      <c r="BK946" s="10" t="n"/>
      <c r="BL946" s="10">
        <f>tbl_MTG_Set[[#This Row],[Collector Booster Sell Price CardMarket]]*tbl_MTG_Set[[#This Row],[Collector Booster Expected Market Value]]/tbl_MTG_Set[[#This Row],[Collector Boost Sealed Market Value]]</f>
        <v/>
      </c>
      <c r="BM9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6" s="10">
        <f>tbl_MTG_Set[[#This Row],[Collector Singles CardMarket Profit]]/tbl_MTG_Set[[#This Row],[Collector Booster Cost]]</f>
        <v/>
      </c>
      <c r="BO946" s="10">
        <f>tbl_MTG_Set[[#This Row],[Collector Singles CardMarket Profit]]&gt;0</f>
        <v/>
      </c>
      <c r="BP9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7">
      <c r="A947" t="n">
        <v>945</v>
      </c>
      <c r="B947" t="inlineStr">
        <is>
          <t>Friday Night Magic 2000 FNM</t>
        </is>
      </c>
      <c r="C947" t="n">
        <v>11</v>
      </c>
      <c r="D947" s="3" t="n">
        <v>36526</v>
      </c>
      <c r="F947" t="inlineStr">
        <is>
          <t>en es fr de it pt ja ko ru 汉语 漢語</t>
        </is>
      </c>
      <c r="G947" t="n">
        <v>1836</v>
      </c>
      <c r="H947">
        <f>MONTH(NOW())+12*YEAR(NOW())-MONTH(tbl_MTG_Set[[#This Row],[Released On]])-12*YEAR(tbl_MTG_Set[[#This Row],[Released On]])</f>
        <v/>
      </c>
      <c r="I947">
        <f>_xlfn.XLOOKUP(tbl_MTG_Set[[#This Row],[Type Name]], tbl_MTG_Set_Type[Set Type], tbl_MTG_Set_Type[Index], "(Set Type not found)")</f>
        <v/>
      </c>
      <c r="J947">
        <f>_xlfn.XLOOKUP(tbl_MTG_Set[[#This Row],[Type Name]], tbl_MTG_Set_Type[Set Type], tbl_MTG_Set_Type[Buy Window Month Start], "(Set Type not found)")</f>
        <v/>
      </c>
      <c r="K947" s="3">
        <f>tbl_MTG_Set[[#This Row],[Released On]]+tbl_MTG_Set[[#This Row],[Buy Window Month Start]]*365.25/12</f>
        <v/>
      </c>
      <c r="L947">
        <f>_xlfn.XLOOKUP(tbl_MTG_Set[[#This Row],[Type Name]], tbl_MTG_Set_Type[Set Type], tbl_MTG_Set_Type[Buy Window Month End], "(Set Type not found)", 0, 1)</f>
        <v/>
      </c>
      <c r="M947" s="3">
        <f>tbl_MTG_Set[[#This Row],[Released On]]+tbl_MTG_Set[[#This Row],[Buy Window Month End]]*365.25/12</f>
        <v/>
      </c>
      <c r="N947" s="3">
        <f>AND(NOW()&gt;=tbl_MTG_Set[[#This Row],[Buy Window Start]], NOW()&lt;=tbl_MTG_Set[[#This Row],[Buy Window End]])</f>
        <v/>
      </c>
      <c r="O947">
        <f>_xlfn.XLOOKUP(tbl_MTG_Set[[#This Row],[Type Name]], tbl_MTG_Set_Type[Set Type], tbl_MTG_Set_Type[Heavy Printing Window Month Start], "(Set Type not found)", 0, 1)</f>
        <v/>
      </c>
      <c r="P947" s="3">
        <f>tbl_MTG_Set[[#This Row],[Released On]]+tbl_MTG_Set[[#This Row],[Heavy Printing Window Month Start]]*365.25/12</f>
        <v/>
      </c>
      <c r="Q947">
        <f>_xlfn.XLOOKUP(tbl_MTG_Set[[#This Row],[Type Name]], tbl_MTG_Set_Type[Set Type], tbl_MTG_Set_Type[Heavy Printing Window Month End], "(Set Type not found)", 0, 1)</f>
        <v/>
      </c>
      <c r="R947" s="3">
        <f>tbl_MTG_Set[[#This Row],[Released On]]+tbl_MTG_Set[[#This Row],[Heavy Printing Window Month End]]*365.25/12</f>
        <v/>
      </c>
      <c r="S947" s="3">
        <f>AND(NOW()&gt;=tbl_MTG_Set[[#This Row],[Heavy Printing Window Start]], NOW()&lt;=tbl_MTG_Set[[#This Row],[Heavy Printing Window End]])</f>
        <v/>
      </c>
      <c r="T947">
        <f>_xlfn.XLOOKUP(tbl_MTG_Set[[#This Row],[Type Name]], tbl_MTG_Set_Type[Set Type], tbl_MTG_Set_Type[Sell Window Month Start], "(Set Type not found)", 0, 1)</f>
        <v/>
      </c>
      <c r="U947" s="3">
        <f>tbl_MTG_Set[[#This Row],[Released On]]+tbl_MTG_Set[[#This Row],[Sell Window Month Start]]*365.25/12</f>
        <v/>
      </c>
      <c r="V947">
        <f>_xlfn.XLOOKUP(tbl_MTG_Set[[#This Row],[Type Name]], tbl_MTG_Set_Type[Set Type], tbl_MTG_Set_Type[Sell Window Month End], "(Set Type not found)", 0, 1)</f>
        <v/>
      </c>
      <c r="W947" s="3">
        <f>tbl_MTG_Set[[#This Row],[Released On]]+tbl_MTG_Set[[#This Row],[Sell Window Month End]]*365.25/12</f>
        <v/>
      </c>
      <c r="X947" s="3">
        <f>AND(NOW()&gt;=tbl_MTG_Set[[#This Row],[Sell Window Start]], NOW()&lt;=tbl_MTG_Set[[#This Row],[Sell Window End]])</f>
        <v/>
      </c>
      <c r="AG947" s="10" t="n"/>
      <c r="AH947" s="10" t="n"/>
      <c r="AM947" s="10">
        <f t="array" ref="AM9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7" s="10">
        <f t="array" ref="AN9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7" s="4">
        <f>_xlfn.XLOOKUP(tbl_MTG_Set[[#This Row],[Play Booster Box Product Id]], tbl_Product[Product Id], tbl_Product[Pack Size])</f>
        <v/>
      </c>
      <c r="AP947" s="10">
        <f>(tbl_MTG_Set[[#This Row],[Play Booster Box Cost]]+v_Item_Shipping_Cost_In)/tbl_MTG_Set[[#This Row],[Play Booster Box Size]]</f>
        <v/>
      </c>
      <c r="AQ947" s="10">
        <f t="array" ref="AQ94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7" s="10" t="n"/>
      <c r="AS947" s="10" t="n"/>
      <c r="AT947" s="17">
        <f>tbl_MTG_Set[[#This Row],[Play Booster CardMarket Profit]]/tbl_MTG_Set[[#This Row],[Play Booster Cost]]</f>
        <v/>
      </c>
      <c r="AU947" s="10">
        <f>_xlfn.XLOOKUP(tbl_MTG_Set[[#This Row],[Collector Booster Box Product Id]], tbl_Product[Product Id], tbl_Product[Min Cost])</f>
        <v/>
      </c>
      <c r="AV947" s="10">
        <f>_xlfn.XLOOKUP(tbl_MTG_Set[[#This Row],[Collector Booster Box Product Id]], tbl_Product[Product Id], tbl_Product[Best Source])</f>
        <v/>
      </c>
      <c r="AW947" s="4">
        <f>_xlfn.XLOOKUP(tbl_MTG_Set[[#This Row],[Collector Booster Box Product Id]], tbl_Product[Product Id], tbl_Product[Pack Size])</f>
        <v/>
      </c>
      <c r="AX947" s="10">
        <f>(tbl_MTG_Set[[#This Row],[Collector Booster Box Cost]] + v_Item_Shipping_Cost_In) / tbl_MTG_Set[[#This Row],[Collector Booster Box Size]]</f>
        <v/>
      </c>
      <c r="AY947" s="10">
        <f t="array" ref="AY94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7" s="10" t="n"/>
      <c r="BA9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7" s="17">
        <f>tbl_MTG_Set[[#This Row],[Collector Booster CardMarket Profit]]/tbl_MTG_Set[[#This Row],[Collector Booster Cost]]</f>
        <v/>
      </c>
      <c r="BC947" s="10" t="n"/>
      <c r="BF947" s="10">
        <f>tbl_MTG_Set[[#This Row],[Play Booster Sell Price CardMarket]]*tbl_MTG_Set[[#This Row],[Play Booster Expected Market Value]]/tbl_MTG_Set[[#This Row],[Play Boost Sealed Market Value]]</f>
        <v/>
      </c>
      <c r="BG9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7" s="10">
        <f>tbl_MTG_Set[[#This Row],[Play Singles CardMarket Profit]]/tbl_MTG_Set[[#This Row],[Play Booster Cost]]</f>
        <v/>
      </c>
      <c r="BI947" s="10">
        <f>tbl_MTG_Set[[#This Row],[Play Singles CardMarket Profit]]&gt;0</f>
        <v/>
      </c>
      <c r="BJ947" s="10" t="n"/>
      <c r="BK947" s="10" t="n"/>
      <c r="BL947" s="10">
        <f>tbl_MTG_Set[[#This Row],[Collector Booster Sell Price CardMarket]]*tbl_MTG_Set[[#This Row],[Collector Booster Expected Market Value]]/tbl_MTG_Set[[#This Row],[Collector Boost Sealed Market Value]]</f>
        <v/>
      </c>
      <c r="BM9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7" s="10">
        <f>tbl_MTG_Set[[#This Row],[Collector Singles CardMarket Profit]]/tbl_MTG_Set[[#This Row],[Collector Booster Cost]]</f>
        <v/>
      </c>
      <c r="BO947" s="10">
        <f>tbl_MTG_Set[[#This Row],[Collector Singles CardMarket Profit]]&gt;0</f>
        <v/>
      </c>
      <c r="BP9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8">
      <c r="A948" t="n">
        <v>946</v>
      </c>
      <c r="B948" t="inlineStr">
        <is>
          <t>Junior Super Series PSUS</t>
        </is>
      </c>
      <c r="C948" t="n">
        <v>18</v>
      </c>
      <c r="D948" s="3" t="n">
        <v>36495</v>
      </c>
      <c r="F948" t="inlineStr">
        <is>
          <t>en es fr de it pt ja ko ru 汉语 漢語</t>
        </is>
      </c>
      <c r="G948" t="n">
        <v>1838</v>
      </c>
      <c r="H948">
        <f>MONTH(NOW())+12*YEAR(NOW())-MONTH(tbl_MTG_Set[[#This Row],[Released On]])-12*YEAR(tbl_MTG_Set[[#This Row],[Released On]])</f>
        <v/>
      </c>
      <c r="I948">
        <f>_xlfn.XLOOKUP(tbl_MTG_Set[[#This Row],[Type Name]], tbl_MTG_Set_Type[Set Type], tbl_MTG_Set_Type[Index], "(Set Type not found)")</f>
        <v/>
      </c>
      <c r="J948">
        <f>_xlfn.XLOOKUP(tbl_MTG_Set[[#This Row],[Type Name]], tbl_MTG_Set_Type[Set Type], tbl_MTG_Set_Type[Buy Window Month Start], "(Set Type not found)")</f>
        <v/>
      </c>
      <c r="K948" s="3">
        <f>tbl_MTG_Set[[#This Row],[Released On]]+tbl_MTG_Set[[#This Row],[Buy Window Month Start]]*365.25/12</f>
        <v/>
      </c>
      <c r="L948">
        <f>_xlfn.XLOOKUP(tbl_MTG_Set[[#This Row],[Type Name]], tbl_MTG_Set_Type[Set Type], tbl_MTG_Set_Type[Buy Window Month End], "(Set Type not found)", 0, 1)</f>
        <v/>
      </c>
      <c r="M948" s="3">
        <f>tbl_MTG_Set[[#This Row],[Released On]]+tbl_MTG_Set[[#This Row],[Buy Window Month End]]*365.25/12</f>
        <v/>
      </c>
      <c r="N948" s="3">
        <f>AND(NOW()&gt;=tbl_MTG_Set[[#This Row],[Buy Window Start]], NOW()&lt;=tbl_MTG_Set[[#This Row],[Buy Window End]])</f>
        <v/>
      </c>
      <c r="O948">
        <f>_xlfn.XLOOKUP(tbl_MTG_Set[[#This Row],[Type Name]], tbl_MTG_Set_Type[Set Type], tbl_MTG_Set_Type[Heavy Printing Window Month Start], "(Set Type not found)", 0, 1)</f>
        <v/>
      </c>
      <c r="P948" s="3">
        <f>tbl_MTG_Set[[#This Row],[Released On]]+tbl_MTG_Set[[#This Row],[Heavy Printing Window Month Start]]*365.25/12</f>
        <v/>
      </c>
      <c r="Q948">
        <f>_xlfn.XLOOKUP(tbl_MTG_Set[[#This Row],[Type Name]], tbl_MTG_Set_Type[Set Type], tbl_MTG_Set_Type[Heavy Printing Window Month End], "(Set Type not found)", 0, 1)</f>
        <v/>
      </c>
      <c r="R948" s="3">
        <f>tbl_MTG_Set[[#This Row],[Released On]]+tbl_MTG_Set[[#This Row],[Heavy Printing Window Month End]]*365.25/12</f>
        <v/>
      </c>
      <c r="S948" s="3">
        <f>AND(NOW()&gt;=tbl_MTG_Set[[#This Row],[Heavy Printing Window Start]], NOW()&lt;=tbl_MTG_Set[[#This Row],[Heavy Printing Window End]])</f>
        <v/>
      </c>
      <c r="T948">
        <f>_xlfn.XLOOKUP(tbl_MTG_Set[[#This Row],[Type Name]], tbl_MTG_Set_Type[Set Type], tbl_MTG_Set_Type[Sell Window Month Start], "(Set Type not found)", 0, 1)</f>
        <v/>
      </c>
      <c r="U948" s="3">
        <f>tbl_MTG_Set[[#This Row],[Released On]]+tbl_MTG_Set[[#This Row],[Sell Window Month Start]]*365.25/12</f>
        <v/>
      </c>
      <c r="V948">
        <f>_xlfn.XLOOKUP(tbl_MTG_Set[[#This Row],[Type Name]], tbl_MTG_Set_Type[Set Type], tbl_MTG_Set_Type[Sell Window Month End], "(Set Type not found)", 0, 1)</f>
        <v/>
      </c>
      <c r="W948" s="3">
        <f>tbl_MTG_Set[[#This Row],[Released On]]+tbl_MTG_Set[[#This Row],[Sell Window Month End]]*365.25/12</f>
        <v/>
      </c>
      <c r="X948" s="3">
        <f>AND(NOW()&gt;=tbl_MTG_Set[[#This Row],[Sell Window Start]], NOW()&lt;=tbl_MTG_Set[[#This Row],[Sell Window End]])</f>
        <v/>
      </c>
      <c r="AG948" s="10" t="n"/>
      <c r="AH948" s="10" t="n"/>
      <c r="AM948" s="10">
        <f t="array" ref="AM9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8" s="10">
        <f t="array" ref="AN9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8" s="4">
        <f>_xlfn.XLOOKUP(tbl_MTG_Set[[#This Row],[Play Booster Box Product Id]], tbl_Product[Product Id], tbl_Product[Pack Size])</f>
        <v/>
      </c>
      <c r="AP948" s="10">
        <f>(tbl_MTG_Set[[#This Row],[Play Booster Box Cost]]+v_Item_Shipping_Cost_In)/tbl_MTG_Set[[#This Row],[Play Booster Box Size]]</f>
        <v/>
      </c>
      <c r="AQ948" s="10">
        <f t="array" ref="AQ94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8" s="10" t="n"/>
      <c r="AS948" s="10" t="n"/>
      <c r="AT948" s="17">
        <f>tbl_MTG_Set[[#This Row],[Play Booster CardMarket Profit]]/tbl_MTG_Set[[#This Row],[Play Booster Cost]]</f>
        <v/>
      </c>
      <c r="AU948" s="10">
        <f>_xlfn.XLOOKUP(tbl_MTG_Set[[#This Row],[Collector Booster Box Product Id]], tbl_Product[Product Id], tbl_Product[Min Cost])</f>
        <v/>
      </c>
      <c r="AV948" s="10">
        <f>_xlfn.XLOOKUP(tbl_MTG_Set[[#This Row],[Collector Booster Box Product Id]], tbl_Product[Product Id], tbl_Product[Best Source])</f>
        <v/>
      </c>
      <c r="AW948" s="4">
        <f>_xlfn.XLOOKUP(tbl_MTG_Set[[#This Row],[Collector Booster Box Product Id]], tbl_Product[Product Id], tbl_Product[Pack Size])</f>
        <v/>
      </c>
      <c r="AX948" s="10">
        <f>(tbl_MTG_Set[[#This Row],[Collector Booster Box Cost]] + v_Item_Shipping_Cost_In) / tbl_MTG_Set[[#This Row],[Collector Booster Box Size]]</f>
        <v/>
      </c>
      <c r="AY948" s="10">
        <f t="array" ref="AY94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8" s="10" t="n"/>
      <c r="BA9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8" s="17">
        <f>tbl_MTG_Set[[#This Row],[Collector Booster CardMarket Profit]]/tbl_MTG_Set[[#This Row],[Collector Booster Cost]]</f>
        <v/>
      </c>
      <c r="BC948" s="10" t="n"/>
      <c r="BF948" s="10">
        <f>tbl_MTG_Set[[#This Row],[Play Booster Sell Price CardMarket]]*tbl_MTG_Set[[#This Row],[Play Booster Expected Market Value]]/tbl_MTG_Set[[#This Row],[Play Boost Sealed Market Value]]</f>
        <v/>
      </c>
      <c r="BG9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8" s="10">
        <f>tbl_MTG_Set[[#This Row],[Play Singles CardMarket Profit]]/tbl_MTG_Set[[#This Row],[Play Booster Cost]]</f>
        <v/>
      </c>
      <c r="BI948" s="10">
        <f>tbl_MTG_Set[[#This Row],[Play Singles CardMarket Profit]]&gt;0</f>
        <v/>
      </c>
      <c r="BJ948" s="10" t="n"/>
      <c r="BK948" s="10" t="n"/>
      <c r="BL948" s="10">
        <f>tbl_MTG_Set[[#This Row],[Collector Booster Sell Price CardMarket]]*tbl_MTG_Set[[#This Row],[Collector Booster Expected Market Value]]/tbl_MTG_Set[[#This Row],[Collector Boost Sealed Market Value]]</f>
        <v/>
      </c>
      <c r="BM9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8" s="10">
        <f>tbl_MTG_Set[[#This Row],[Collector Singles CardMarket Profit]]/tbl_MTG_Set[[#This Row],[Collector Booster Cost]]</f>
        <v/>
      </c>
      <c r="BO948" s="10">
        <f>tbl_MTG_Set[[#This Row],[Collector Singles CardMarket Profit]]&gt;0</f>
        <v/>
      </c>
      <c r="BP9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9">
      <c r="A949" t="n">
        <v>947</v>
      </c>
      <c r="B949" t="inlineStr">
        <is>
          <t>Battle Royale Box Set BRB</t>
        </is>
      </c>
      <c r="C949" t="n">
        <v>136</v>
      </c>
      <c r="D949" s="3" t="n">
        <v>36476</v>
      </c>
      <c r="F949" t="inlineStr">
        <is>
          <t>en es fr de it pt ja ko ru 汉语 漢語</t>
        </is>
      </c>
      <c r="G949" t="n">
        <v>1840</v>
      </c>
      <c r="H949">
        <f>MONTH(NOW())+12*YEAR(NOW())-MONTH(tbl_MTG_Set[[#This Row],[Released On]])-12*YEAR(tbl_MTG_Set[[#This Row],[Released On]])</f>
        <v/>
      </c>
      <c r="I949">
        <f>_xlfn.XLOOKUP(tbl_MTG_Set[[#This Row],[Type Name]], tbl_MTG_Set_Type[Set Type], tbl_MTG_Set_Type[Index], "(Set Type not found)")</f>
        <v/>
      </c>
      <c r="J949">
        <f>_xlfn.XLOOKUP(tbl_MTG_Set[[#This Row],[Type Name]], tbl_MTG_Set_Type[Set Type], tbl_MTG_Set_Type[Buy Window Month Start], "(Set Type not found)")</f>
        <v/>
      </c>
      <c r="K949" s="3">
        <f>tbl_MTG_Set[[#This Row],[Released On]]+tbl_MTG_Set[[#This Row],[Buy Window Month Start]]*365.25/12</f>
        <v/>
      </c>
      <c r="L949">
        <f>_xlfn.XLOOKUP(tbl_MTG_Set[[#This Row],[Type Name]], tbl_MTG_Set_Type[Set Type], tbl_MTG_Set_Type[Buy Window Month End], "(Set Type not found)", 0, 1)</f>
        <v/>
      </c>
      <c r="M949" s="3">
        <f>tbl_MTG_Set[[#This Row],[Released On]]+tbl_MTG_Set[[#This Row],[Buy Window Month End]]*365.25/12</f>
        <v/>
      </c>
      <c r="N949" s="3">
        <f>AND(NOW()&gt;=tbl_MTG_Set[[#This Row],[Buy Window Start]], NOW()&lt;=tbl_MTG_Set[[#This Row],[Buy Window End]])</f>
        <v/>
      </c>
      <c r="O949">
        <f>_xlfn.XLOOKUP(tbl_MTG_Set[[#This Row],[Type Name]], tbl_MTG_Set_Type[Set Type], tbl_MTG_Set_Type[Heavy Printing Window Month Start], "(Set Type not found)", 0, 1)</f>
        <v/>
      </c>
      <c r="P949" s="3">
        <f>tbl_MTG_Set[[#This Row],[Released On]]+tbl_MTG_Set[[#This Row],[Heavy Printing Window Month Start]]*365.25/12</f>
        <v/>
      </c>
      <c r="Q949">
        <f>_xlfn.XLOOKUP(tbl_MTG_Set[[#This Row],[Type Name]], tbl_MTG_Set_Type[Set Type], tbl_MTG_Set_Type[Heavy Printing Window Month End], "(Set Type not found)", 0, 1)</f>
        <v/>
      </c>
      <c r="R949" s="3">
        <f>tbl_MTG_Set[[#This Row],[Released On]]+tbl_MTG_Set[[#This Row],[Heavy Printing Window Month End]]*365.25/12</f>
        <v/>
      </c>
      <c r="S949" s="3">
        <f>AND(NOW()&gt;=tbl_MTG_Set[[#This Row],[Heavy Printing Window Start]], NOW()&lt;=tbl_MTG_Set[[#This Row],[Heavy Printing Window End]])</f>
        <v/>
      </c>
      <c r="T949">
        <f>_xlfn.XLOOKUP(tbl_MTG_Set[[#This Row],[Type Name]], tbl_MTG_Set_Type[Set Type], tbl_MTG_Set_Type[Sell Window Month Start], "(Set Type not found)", 0, 1)</f>
        <v/>
      </c>
      <c r="U949" s="3">
        <f>tbl_MTG_Set[[#This Row],[Released On]]+tbl_MTG_Set[[#This Row],[Sell Window Month Start]]*365.25/12</f>
        <v/>
      </c>
      <c r="V949">
        <f>_xlfn.XLOOKUP(tbl_MTG_Set[[#This Row],[Type Name]], tbl_MTG_Set_Type[Set Type], tbl_MTG_Set_Type[Sell Window Month End], "(Set Type not found)", 0, 1)</f>
        <v/>
      </c>
      <c r="W949" s="3">
        <f>tbl_MTG_Set[[#This Row],[Released On]]+tbl_MTG_Set[[#This Row],[Sell Window Month End]]*365.25/12</f>
        <v/>
      </c>
      <c r="X949" s="3">
        <f>AND(NOW()&gt;=tbl_MTG_Set[[#This Row],[Sell Window Start]], NOW()&lt;=tbl_MTG_Set[[#This Row],[Sell Window End]])</f>
        <v/>
      </c>
      <c r="AG949" s="10" t="n"/>
      <c r="AH949" s="10" t="n"/>
      <c r="AM949" s="10">
        <f t="array" ref="AM9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9" s="10">
        <f t="array" ref="AN9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9" s="4">
        <f>_xlfn.XLOOKUP(tbl_MTG_Set[[#This Row],[Play Booster Box Product Id]], tbl_Product[Product Id], tbl_Product[Pack Size])</f>
        <v/>
      </c>
      <c r="AP949" s="10">
        <f>(tbl_MTG_Set[[#This Row],[Play Booster Box Cost]]+v_Item_Shipping_Cost_In)/tbl_MTG_Set[[#This Row],[Play Booster Box Size]]</f>
        <v/>
      </c>
      <c r="AQ949" s="10">
        <f t="array" ref="AQ94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49" s="10" t="n"/>
      <c r="AS949" s="10" t="n"/>
      <c r="AT949" s="17">
        <f>tbl_MTG_Set[[#This Row],[Play Booster CardMarket Profit]]/tbl_MTG_Set[[#This Row],[Play Booster Cost]]</f>
        <v/>
      </c>
      <c r="AU949" s="10">
        <f>_xlfn.XLOOKUP(tbl_MTG_Set[[#This Row],[Collector Booster Box Product Id]], tbl_Product[Product Id], tbl_Product[Min Cost])</f>
        <v/>
      </c>
      <c r="AV949" s="10">
        <f>_xlfn.XLOOKUP(tbl_MTG_Set[[#This Row],[Collector Booster Box Product Id]], tbl_Product[Product Id], tbl_Product[Best Source])</f>
        <v/>
      </c>
      <c r="AW949" s="4">
        <f>_xlfn.XLOOKUP(tbl_MTG_Set[[#This Row],[Collector Booster Box Product Id]], tbl_Product[Product Id], tbl_Product[Pack Size])</f>
        <v/>
      </c>
      <c r="AX949" s="10">
        <f>(tbl_MTG_Set[[#This Row],[Collector Booster Box Cost]] + v_Item_Shipping_Cost_In) / tbl_MTG_Set[[#This Row],[Collector Booster Box Size]]</f>
        <v/>
      </c>
      <c r="AY949" s="10">
        <f t="array" ref="AY94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49" s="10" t="n"/>
      <c r="BA9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9" s="17">
        <f>tbl_MTG_Set[[#This Row],[Collector Booster CardMarket Profit]]/tbl_MTG_Set[[#This Row],[Collector Booster Cost]]</f>
        <v/>
      </c>
      <c r="BC949" s="10" t="n"/>
      <c r="BF949" s="10">
        <f>tbl_MTG_Set[[#This Row],[Play Booster Sell Price CardMarket]]*tbl_MTG_Set[[#This Row],[Play Booster Expected Market Value]]/tbl_MTG_Set[[#This Row],[Play Boost Sealed Market Value]]</f>
        <v/>
      </c>
      <c r="BG9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9" s="10">
        <f>tbl_MTG_Set[[#This Row],[Play Singles CardMarket Profit]]/tbl_MTG_Set[[#This Row],[Play Booster Cost]]</f>
        <v/>
      </c>
      <c r="BI949" s="10">
        <f>tbl_MTG_Set[[#This Row],[Play Singles CardMarket Profit]]&gt;0</f>
        <v/>
      </c>
      <c r="BJ949" s="10" t="n"/>
      <c r="BK949" s="10" t="n"/>
      <c r="BL949" s="10">
        <f>tbl_MTG_Set[[#This Row],[Collector Booster Sell Price CardMarket]]*tbl_MTG_Set[[#This Row],[Collector Booster Expected Market Value]]/tbl_MTG_Set[[#This Row],[Collector Boost Sealed Market Value]]</f>
        <v/>
      </c>
      <c r="BM9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9" s="10">
        <f>tbl_MTG_Set[[#This Row],[Collector Singles CardMarket Profit]]/tbl_MTG_Set[[#This Row],[Collector Booster Cost]]</f>
        <v/>
      </c>
      <c r="BO949" s="10">
        <f>tbl_MTG_Set[[#This Row],[Collector Singles CardMarket Profit]]&gt;0</f>
        <v/>
      </c>
      <c r="BP9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0">
      <c r="A950" t="n">
        <v>948</v>
      </c>
      <c r="B950" t="inlineStr">
        <is>
          <t>Mercadian Masques MMQ</t>
        </is>
      </c>
      <c r="C950" t="n">
        <v>350</v>
      </c>
      <c r="D950" s="3" t="n">
        <v>36437</v>
      </c>
      <c r="F950" t="inlineStr">
        <is>
          <t>en es fr de it pt ja ko ru 汉语 漢語</t>
        </is>
      </c>
      <c r="G950" t="n">
        <v>1842</v>
      </c>
      <c r="H950">
        <f>MONTH(NOW())+12*YEAR(NOW())-MONTH(tbl_MTG_Set[[#This Row],[Released On]])-12*YEAR(tbl_MTG_Set[[#This Row],[Released On]])</f>
        <v/>
      </c>
      <c r="I950">
        <f>_xlfn.XLOOKUP(tbl_MTG_Set[[#This Row],[Type Name]], tbl_MTG_Set_Type[Set Type], tbl_MTG_Set_Type[Index], "(Set Type not found)")</f>
        <v/>
      </c>
      <c r="J950">
        <f>_xlfn.XLOOKUP(tbl_MTG_Set[[#This Row],[Type Name]], tbl_MTG_Set_Type[Set Type], tbl_MTG_Set_Type[Buy Window Month Start], "(Set Type not found)")</f>
        <v/>
      </c>
      <c r="K950" s="3">
        <f>tbl_MTG_Set[[#This Row],[Released On]]+tbl_MTG_Set[[#This Row],[Buy Window Month Start]]*365.25/12</f>
        <v/>
      </c>
      <c r="L950">
        <f>_xlfn.XLOOKUP(tbl_MTG_Set[[#This Row],[Type Name]], tbl_MTG_Set_Type[Set Type], tbl_MTG_Set_Type[Buy Window Month End], "(Set Type not found)", 0, 1)</f>
        <v/>
      </c>
      <c r="M950" s="3">
        <f>tbl_MTG_Set[[#This Row],[Released On]]+tbl_MTG_Set[[#This Row],[Buy Window Month End]]*365.25/12</f>
        <v/>
      </c>
      <c r="N950" s="3">
        <f>AND(NOW()&gt;=tbl_MTG_Set[[#This Row],[Buy Window Start]], NOW()&lt;=tbl_MTG_Set[[#This Row],[Buy Window End]])</f>
        <v/>
      </c>
      <c r="O950">
        <f>_xlfn.XLOOKUP(tbl_MTG_Set[[#This Row],[Type Name]], tbl_MTG_Set_Type[Set Type], tbl_MTG_Set_Type[Heavy Printing Window Month Start], "(Set Type not found)", 0, 1)</f>
        <v/>
      </c>
      <c r="P950" s="3">
        <f>tbl_MTG_Set[[#This Row],[Released On]]+tbl_MTG_Set[[#This Row],[Heavy Printing Window Month Start]]*365.25/12</f>
        <v/>
      </c>
      <c r="Q950">
        <f>_xlfn.XLOOKUP(tbl_MTG_Set[[#This Row],[Type Name]], tbl_MTG_Set_Type[Set Type], tbl_MTG_Set_Type[Heavy Printing Window Month End], "(Set Type not found)", 0, 1)</f>
        <v/>
      </c>
      <c r="R950" s="3">
        <f>tbl_MTG_Set[[#This Row],[Released On]]+tbl_MTG_Set[[#This Row],[Heavy Printing Window Month End]]*365.25/12</f>
        <v/>
      </c>
      <c r="S950" s="3">
        <f>AND(NOW()&gt;=tbl_MTG_Set[[#This Row],[Heavy Printing Window Start]], NOW()&lt;=tbl_MTG_Set[[#This Row],[Heavy Printing Window End]])</f>
        <v/>
      </c>
      <c r="T950">
        <f>_xlfn.XLOOKUP(tbl_MTG_Set[[#This Row],[Type Name]], tbl_MTG_Set_Type[Set Type], tbl_MTG_Set_Type[Sell Window Month Start], "(Set Type not found)", 0, 1)</f>
        <v/>
      </c>
      <c r="U950" s="3">
        <f>tbl_MTG_Set[[#This Row],[Released On]]+tbl_MTG_Set[[#This Row],[Sell Window Month Start]]*365.25/12</f>
        <v/>
      </c>
      <c r="V950">
        <f>_xlfn.XLOOKUP(tbl_MTG_Set[[#This Row],[Type Name]], tbl_MTG_Set_Type[Set Type], tbl_MTG_Set_Type[Sell Window Month End], "(Set Type not found)", 0, 1)</f>
        <v/>
      </c>
      <c r="W950" s="3">
        <f>tbl_MTG_Set[[#This Row],[Released On]]+tbl_MTG_Set[[#This Row],[Sell Window Month End]]*365.25/12</f>
        <v/>
      </c>
      <c r="X950" s="3">
        <f>AND(NOW()&gt;=tbl_MTG_Set[[#This Row],[Sell Window Start]], NOW()&lt;=tbl_MTG_Set[[#This Row],[Sell Window End]])</f>
        <v/>
      </c>
      <c r="AG950" s="10" t="n"/>
      <c r="AH950" s="10" t="n"/>
      <c r="AM950" s="10">
        <f t="array" ref="AM9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0" s="10">
        <f t="array" ref="AN9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0" s="4">
        <f>_xlfn.XLOOKUP(tbl_MTG_Set[[#This Row],[Play Booster Box Product Id]], tbl_Product[Product Id], tbl_Product[Pack Size])</f>
        <v/>
      </c>
      <c r="AP950" s="10">
        <f>(tbl_MTG_Set[[#This Row],[Play Booster Box Cost]]+v_Item_Shipping_Cost_In)/tbl_MTG_Set[[#This Row],[Play Booster Box Size]]</f>
        <v/>
      </c>
      <c r="AQ950" s="10">
        <f t="array" ref="AQ95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0" s="10" t="n"/>
      <c r="AS950" s="10" t="n"/>
      <c r="AT950" s="17">
        <f>tbl_MTG_Set[[#This Row],[Play Booster CardMarket Profit]]/tbl_MTG_Set[[#This Row],[Play Booster Cost]]</f>
        <v/>
      </c>
      <c r="AU950" s="10">
        <f>_xlfn.XLOOKUP(tbl_MTG_Set[[#This Row],[Collector Booster Box Product Id]], tbl_Product[Product Id], tbl_Product[Min Cost])</f>
        <v/>
      </c>
      <c r="AV950" s="10">
        <f>_xlfn.XLOOKUP(tbl_MTG_Set[[#This Row],[Collector Booster Box Product Id]], tbl_Product[Product Id], tbl_Product[Best Source])</f>
        <v/>
      </c>
      <c r="AW950" s="4">
        <f>_xlfn.XLOOKUP(tbl_MTG_Set[[#This Row],[Collector Booster Box Product Id]], tbl_Product[Product Id], tbl_Product[Pack Size])</f>
        <v/>
      </c>
      <c r="AX950" s="10">
        <f>(tbl_MTG_Set[[#This Row],[Collector Booster Box Cost]] + v_Item_Shipping_Cost_In) / tbl_MTG_Set[[#This Row],[Collector Booster Box Size]]</f>
        <v/>
      </c>
      <c r="AY950" s="10">
        <f t="array" ref="AY95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0" s="10" t="n"/>
      <c r="BA9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0" s="17">
        <f>tbl_MTG_Set[[#This Row],[Collector Booster CardMarket Profit]]/tbl_MTG_Set[[#This Row],[Collector Booster Cost]]</f>
        <v/>
      </c>
      <c r="BC950" s="10" t="n"/>
      <c r="BF950" s="10">
        <f>tbl_MTG_Set[[#This Row],[Play Booster Sell Price CardMarket]]*tbl_MTG_Set[[#This Row],[Play Booster Expected Market Value]]/tbl_MTG_Set[[#This Row],[Play Boost Sealed Market Value]]</f>
        <v/>
      </c>
      <c r="BG9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0" s="10">
        <f>tbl_MTG_Set[[#This Row],[Play Singles CardMarket Profit]]/tbl_MTG_Set[[#This Row],[Play Booster Cost]]</f>
        <v/>
      </c>
      <c r="BI950" s="10">
        <f>tbl_MTG_Set[[#This Row],[Play Singles CardMarket Profit]]&gt;0</f>
        <v/>
      </c>
      <c r="BJ950" s="10" t="n"/>
      <c r="BK950" s="10" t="n"/>
      <c r="BL950" s="10">
        <f>tbl_MTG_Set[[#This Row],[Collector Booster Sell Price CardMarket]]*tbl_MTG_Set[[#This Row],[Collector Booster Expected Market Value]]/tbl_MTG_Set[[#This Row],[Collector Boost Sealed Market Value]]</f>
        <v/>
      </c>
      <c r="BM9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0" s="10">
        <f>tbl_MTG_Set[[#This Row],[Collector Singles CardMarket Profit]]/tbl_MTG_Set[[#This Row],[Collector Booster Cost]]</f>
        <v/>
      </c>
      <c r="BO950" s="10">
        <f>tbl_MTG_Set[[#This Row],[Collector Singles CardMarket Profit]]&gt;0</f>
        <v/>
      </c>
      <c r="BP9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1">
      <c r="A951" t="n">
        <v>949</v>
      </c>
      <c r="B951" t="inlineStr">
        <is>
          <t>Mercadian Masques Promos PMMQ</t>
        </is>
      </c>
      <c r="C951" t="n">
        <v>1</v>
      </c>
      <c r="D951" s="3" t="n">
        <v>36437</v>
      </c>
      <c r="F951" t="inlineStr">
        <is>
          <t>en es fr de it pt ja ko ru 汉语 漢語</t>
        </is>
      </c>
      <c r="G951" t="n">
        <v>1844</v>
      </c>
      <c r="H951">
        <f>MONTH(NOW())+12*YEAR(NOW())-MONTH(tbl_MTG_Set[[#This Row],[Released On]])-12*YEAR(tbl_MTG_Set[[#This Row],[Released On]])</f>
        <v/>
      </c>
      <c r="I951">
        <f>_xlfn.XLOOKUP(tbl_MTG_Set[[#This Row],[Type Name]], tbl_MTG_Set_Type[Set Type], tbl_MTG_Set_Type[Index], "(Set Type not found)")</f>
        <v/>
      </c>
      <c r="J951">
        <f>_xlfn.XLOOKUP(tbl_MTG_Set[[#This Row],[Type Name]], tbl_MTG_Set_Type[Set Type], tbl_MTG_Set_Type[Buy Window Month Start], "(Set Type not found)")</f>
        <v/>
      </c>
      <c r="K951" s="3">
        <f>tbl_MTG_Set[[#This Row],[Released On]]+tbl_MTG_Set[[#This Row],[Buy Window Month Start]]*365.25/12</f>
        <v/>
      </c>
      <c r="L951">
        <f>_xlfn.XLOOKUP(tbl_MTG_Set[[#This Row],[Type Name]], tbl_MTG_Set_Type[Set Type], tbl_MTG_Set_Type[Buy Window Month End], "(Set Type not found)", 0, 1)</f>
        <v/>
      </c>
      <c r="M951" s="3">
        <f>tbl_MTG_Set[[#This Row],[Released On]]+tbl_MTG_Set[[#This Row],[Buy Window Month End]]*365.25/12</f>
        <v/>
      </c>
      <c r="N951" s="3">
        <f>AND(NOW()&gt;=tbl_MTG_Set[[#This Row],[Buy Window Start]], NOW()&lt;=tbl_MTG_Set[[#This Row],[Buy Window End]])</f>
        <v/>
      </c>
      <c r="O951">
        <f>_xlfn.XLOOKUP(tbl_MTG_Set[[#This Row],[Type Name]], tbl_MTG_Set_Type[Set Type], tbl_MTG_Set_Type[Heavy Printing Window Month Start], "(Set Type not found)", 0, 1)</f>
        <v/>
      </c>
      <c r="P951" s="3">
        <f>tbl_MTG_Set[[#This Row],[Released On]]+tbl_MTG_Set[[#This Row],[Heavy Printing Window Month Start]]*365.25/12</f>
        <v/>
      </c>
      <c r="Q951">
        <f>_xlfn.XLOOKUP(tbl_MTG_Set[[#This Row],[Type Name]], tbl_MTG_Set_Type[Set Type], tbl_MTG_Set_Type[Heavy Printing Window Month End], "(Set Type not found)", 0, 1)</f>
        <v/>
      </c>
      <c r="R951" s="3">
        <f>tbl_MTG_Set[[#This Row],[Released On]]+tbl_MTG_Set[[#This Row],[Heavy Printing Window Month End]]*365.25/12</f>
        <v/>
      </c>
      <c r="S951" s="3">
        <f>AND(NOW()&gt;=tbl_MTG_Set[[#This Row],[Heavy Printing Window Start]], NOW()&lt;=tbl_MTG_Set[[#This Row],[Heavy Printing Window End]])</f>
        <v/>
      </c>
      <c r="T951">
        <f>_xlfn.XLOOKUP(tbl_MTG_Set[[#This Row],[Type Name]], tbl_MTG_Set_Type[Set Type], tbl_MTG_Set_Type[Sell Window Month Start], "(Set Type not found)", 0, 1)</f>
        <v/>
      </c>
      <c r="U951" s="3">
        <f>tbl_MTG_Set[[#This Row],[Released On]]+tbl_MTG_Set[[#This Row],[Sell Window Month Start]]*365.25/12</f>
        <v/>
      </c>
      <c r="V951">
        <f>_xlfn.XLOOKUP(tbl_MTG_Set[[#This Row],[Type Name]], tbl_MTG_Set_Type[Set Type], tbl_MTG_Set_Type[Sell Window Month End], "(Set Type not found)", 0, 1)</f>
        <v/>
      </c>
      <c r="W951" s="3">
        <f>tbl_MTG_Set[[#This Row],[Released On]]+tbl_MTG_Set[[#This Row],[Sell Window Month End]]*365.25/12</f>
        <v/>
      </c>
      <c r="X951" s="3">
        <f>AND(NOW()&gt;=tbl_MTG_Set[[#This Row],[Sell Window Start]], NOW()&lt;=tbl_MTG_Set[[#This Row],[Sell Window End]])</f>
        <v/>
      </c>
      <c r="AG951" s="10" t="n"/>
      <c r="AH951" s="10" t="n"/>
      <c r="AM951" s="10">
        <f t="array" ref="AM9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1" s="10">
        <f t="array" ref="AN9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1" s="4">
        <f>_xlfn.XLOOKUP(tbl_MTG_Set[[#This Row],[Play Booster Box Product Id]], tbl_Product[Product Id], tbl_Product[Pack Size])</f>
        <v/>
      </c>
      <c r="AP951" s="10">
        <f>(tbl_MTG_Set[[#This Row],[Play Booster Box Cost]]+v_Item_Shipping_Cost_In)/tbl_MTG_Set[[#This Row],[Play Booster Box Size]]</f>
        <v/>
      </c>
      <c r="AQ951" s="10">
        <f t="array" ref="AQ95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1" s="10" t="n"/>
      <c r="AS951" s="10" t="n"/>
      <c r="AT951" s="17">
        <f>tbl_MTG_Set[[#This Row],[Play Booster CardMarket Profit]]/tbl_MTG_Set[[#This Row],[Play Booster Cost]]</f>
        <v/>
      </c>
      <c r="AU951" s="10">
        <f>_xlfn.XLOOKUP(tbl_MTG_Set[[#This Row],[Collector Booster Box Product Id]], tbl_Product[Product Id], tbl_Product[Min Cost])</f>
        <v/>
      </c>
      <c r="AV951" s="10">
        <f>_xlfn.XLOOKUP(tbl_MTG_Set[[#This Row],[Collector Booster Box Product Id]], tbl_Product[Product Id], tbl_Product[Best Source])</f>
        <v/>
      </c>
      <c r="AW951" s="4">
        <f>_xlfn.XLOOKUP(tbl_MTG_Set[[#This Row],[Collector Booster Box Product Id]], tbl_Product[Product Id], tbl_Product[Pack Size])</f>
        <v/>
      </c>
      <c r="AX951" s="10">
        <f>(tbl_MTG_Set[[#This Row],[Collector Booster Box Cost]] + v_Item_Shipping_Cost_In) / tbl_MTG_Set[[#This Row],[Collector Booster Box Size]]</f>
        <v/>
      </c>
      <c r="AY951" s="10">
        <f t="array" ref="AY95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1" s="10" t="n"/>
      <c r="BA9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1" s="17">
        <f>tbl_MTG_Set[[#This Row],[Collector Booster CardMarket Profit]]/tbl_MTG_Set[[#This Row],[Collector Booster Cost]]</f>
        <v/>
      </c>
      <c r="BC951" s="10" t="n"/>
      <c r="BF951" s="10">
        <f>tbl_MTG_Set[[#This Row],[Play Booster Sell Price CardMarket]]*tbl_MTG_Set[[#This Row],[Play Booster Expected Market Value]]/tbl_MTG_Set[[#This Row],[Play Boost Sealed Market Value]]</f>
        <v/>
      </c>
      <c r="BG9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1" s="10">
        <f>tbl_MTG_Set[[#This Row],[Play Singles CardMarket Profit]]/tbl_MTG_Set[[#This Row],[Play Booster Cost]]</f>
        <v/>
      </c>
      <c r="BI951" s="10">
        <f>tbl_MTG_Set[[#This Row],[Play Singles CardMarket Profit]]&gt;0</f>
        <v/>
      </c>
      <c r="BJ951" s="10" t="n"/>
      <c r="BK951" s="10" t="n"/>
      <c r="BL951" s="10">
        <f>tbl_MTG_Set[[#This Row],[Collector Booster Sell Price CardMarket]]*tbl_MTG_Set[[#This Row],[Collector Booster Expected Market Value]]/tbl_MTG_Set[[#This Row],[Collector Boost Sealed Market Value]]</f>
        <v/>
      </c>
      <c r="BM9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1" s="10">
        <f>tbl_MTG_Set[[#This Row],[Collector Singles CardMarket Profit]]/tbl_MTG_Set[[#This Row],[Collector Booster Cost]]</f>
        <v/>
      </c>
      <c r="BO951" s="10">
        <f>tbl_MTG_Set[[#This Row],[Collector Singles CardMarket Profit]]&gt;0</f>
        <v/>
      </c>
      <c r="BP9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2">
      <c r="A952" t="n">
        <v>950</v>
      </c>
      <c r="B952" t="inlineStr">
        <is>
          <t>Wizards of the Coast Online Store PWOS</t>
        </is>
      </c>
      <c r="C952" t="n">
        <v>1</v>
      </c>
      <c r="D952" s="3" t="n">
        <v>36407</v>
      </c>
      <c r="F952" t="inlineStr">
        <is>
          <t>en es fr de it pt ja ko ru 汉语 漢語</t>
        </is>
      </c>
      <c r="G952" t="n">
        <v>1846</v>
      </c>
      <c r="H952">
        <f>MONTH(NOW())+12*YEAR(NOW())-MONTH(tbl_MTG_Set[[#This Row],[Released On]])-12*YEAR(tbl_MTG_Set[[#This Row],[Released On]])</f>
        <v/>
      </c>
      <c r="I952">
        <f>_xlfn.XLOOKUP(tbl_MTG_Set[[#This Row],[Type Name]], tbl_MTG_Set_Type[Set Type], tbl_MTG_Set_Type[Index], "(Set Type not found)")</f>
        <v/>
      </c>
      <c r="J952">
        <f>_xlfn.XLOOKUP(tbl_MTG_Set[[#This Row],[Type Name]], tbl_MTG_Set_Type[Set Type], tbl_MTG_Set_Type[Buy Window Month Start], "(Set Type not found)")</f>
        <v/>
      </c>
      <c r="K952" s="3">
        <f>tbl_MTG_Set[[#This Row],[Released On]]+tbl_MTG_Set[[#This Row],[Buy Window Month Start]]*365.25/12</f>
        <v/>
      </c>
      <c r="L952">
        <f>_xlfn.XLOOKUP(tbl_MTG_Set[[#This Row],[Type Name]], tbl_MTG_Set_Type[Set Type], tbl_MTG_Set_Type[Buy Window Month End], "(Set Type not found)", 0, 1)</f>
        <v/>
      </c>
      <c r="M952" s="3">
        <f>tbl_MTG_Set[[#This Row],[Released On]]+tbl_MTG_Set[[#This Row],[Buy Window Month End]]*365.25/12</f>
        <v/>
      </c>
      <c r="N952" s="3">
        <f>AND(NOW()&gt;=tbl_MTG_Set[[#This Row],[Buy Window Start]], NOW()&lt;=tbl_MTG_Set[[#This Row],[Buy Window End]])</f>
        <v/>
      </c>
      <c r="O952">
        <f>_xlfn.XLOOKUP(tbl_MTG_Set[[#This Row],[Type Name]], tbl_MTG_Set_Type[Set Type], tbl_MTG_Set_Type[Heavy Printing Window Month Start], "(Set Type not found)", 0, 1)</f>
        <v/>
      </c>
      <c r="P952" s="3">
        <f>tbl_MTG_Set[[#This Row],[Released On]]+tbl_MTG_Set[[#This Row],[Heavy Printing Window Month Start]]*365.25/12</f>
        <v/>
      </c>
      <c r="Q952">
        <f>_xlfn.XLOOKUP(tbl_MTG_Set[[#This Row],[Type Name]], tbl_MTG_Set_Type[Set Type], tbl_MTG_Set_Type[Heavy Printing Window Month End], "(Set Type not found)", 0, 1)</f>
        <v/>
      </c>
      <c r="R952" s="3">
        <f>tbl_MTG_Set[[#This Row],[Released On]]+tbl_MTG_Set[[#This Row],[Heavy Printing Window Month End]]*365.25/12</f>
        <v/>
      </c>
      <c r="S952" s="3">
        <f>AND(NOW()&gt;=tbl_MTG_Set[[#This Row],[Heavy Printing Window Start]], NOW()&lt;=tbl_MTG_Set[[#This Row],[Heavy Printing Window End]])</f>
        <v/>
      </c>
      <c r="T952">
        <f>_xlfn.XLOOKUP(tbl_MTG_Set[[#This Row],[Type Name]], tbl_MTG_Set_Type[Set Type], tbl_MTG_Set_Type[Sell Window Month Start], "(Set Type not found)", 0, 1)</f>
        <v/>
      </c>
      <c r="U952" s="3">
        <f>tbl_MTG_Set[[#This Row],[Released On]]+tbl_MTG_Set[[#This Row],[Sell Window Month Start]]*365.25/12</f>
        <v/>
      </c>
      <c r="V952">
        <f>_xlfn.XLOOKUP(tbl_MTG_Set[[#This Row],[Type Name]], tbl_MTG_Set_Type[Set Type], tbl_MTG_Set_Type[Sell Window Month End], "(Set Type not found)", 0, 1)</f>
        <v/>
      </c>
      <c r="W952" s="3">
        <f>tbl_MTG_Set[[#This Row],[Released On]]+tbl_MTG_Set[[#This Row],[Sell Window Month End]]*365.25/12</f>
        <v/>
      </c>
      <c r="X952" s="3">
        <f>AND(NOW()&gt;=tbl_MTG_Set[[#This Row],[Sell Window Start]], NOW()&lt;=tbl_MTG_Set[[#This Row],[Sell Window End]])</f>
        <v/>
      </c>
      <c r="AG952" s="10" t="n"/>
      <c r="AH952" s="10" t="n"/>
      <c r="AM952" s="10">
        <f t="array" ref="AM9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2" s="10">
        <f t="array" ref="AN9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2" s="4">
        <f>_xlfn.XLOOKUP(tbl_MTG_Set[[#This Row],[Play Booster Box Product Id]], tbl_Product[Product Id], tbl_Product[Pack Size])</f>
        <v/>
      </c>
      <c r="AP952" s="10">
        <f>(tbl_MTG_Set[[#This Row],[Play Booster Box Cost]]+v_Item_Shipping_Cost_In)/tbl_MTG_Set[[#This Row],[Play Booster Box Size]]</f>
        <v/>
      </c>
      <c r="AQ952" s="10">
        <f t="array" ref="AQ95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2" s="10" t="n"/>
      <c r="AS952" s="10" t="n"/>
      <c r="AT952" s="17">
        <f>tbl_MTG_Set[[#This Row],[Play Booster CardMarket Profit]]/tbl_MTG_Set[[#This Row],[Play Booster Cost]]</f>
        <v/>
      </c>
      <c r="AU952" s="10">
        <f>_xlfn.XLOOKUP(tbl_MTG_Set[[#This Row],[Collector Booster Box Product Id]], tbl_Product[Product Id], tbl_Product[Min Cost])</f>
        <v/>
      </c>
      <c r="AV952" s="10">
        <f>_xlfn.XLOOKUP(tbl_MTG_Set[[#This Row],[Collector Booster Box Product Id]], tbl_Product[Product Id], tbl_Product[Best Source])</f>
        <v/>
      </c>
      <c r="AW952" s="4">
        <f>_xlfn.XLOOKUP(tbl_MTG_Set[[#This Row],[Collector Booster Box Product Id]], tbl_Product[Product Id], tbl_Product[Pack Size])</f>
        <v/>
      </c>
      <c r="AX952" s="10">
        <f>(tbl_MTG_Set[[#This Row],[Collector Booster Box Cost]] + v_Item_Shipping_Cost_In) / tbl_MTG_Set[[#This Row],[Collector Booster Box Size]]</f>
        <v/>
      </c>
      <c r="AY952" s="10">
        <f t="array" ref="AY95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2" s="10" t="n"/>
      <c r="BA9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2" s="17">
        <f>tbl_MTG_Set[[#This Row],[Collector Booster CardMarket Profit]]/tbl_MTG_Set[[#This Row],[Collector Booster Cost]]</f>
        <v/>
      </c>
      <c r="BC952" s="10" t="n"/>
      <c r="BF952" s="10">
        <f>tbl_MTG_Set[[#This Row],[Play Booster Sell Price CardMarket]]*tbl_MTG_Set[[#This Row],[Play Booster Expected Market Value]]/tbl_MTG_Set[[#This Row],[Play Boost Sealed Market Value]]</f>
        <v/>
      </c>
      <c r="BG9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2" s="10">
        <f>tbl_MTG_Set[[#This Row],[Play Singles CardMarket Profit]]/tbl_MTG_Set[[#This Row],[Play Booster Cost]]</f>
        <v/>
      </c>
      <c r="BI952" s="10">
        <f>tbl_MTG_Set[[#This Row],[Play Singles CardMarket Profit]]&gt;0</f>
        <v/>
      </c>
      <c r="BJ952" s="10" t="n"/>
      <c r="BK952" s="10" t="n"/>
      <c r="BL952" s="10">
        <f>tbl_MTG_Set[[#This Row],[Collector Booster Sell Price CardMarket]]*tbl_MTG_Set[[#This Row],[Collector Booster Expected Market Value]]/tbl_MTG_Set[[#This Row],[Collector Boost Sealed Market Value]]</f>
        <v/>
      </c>
      <c r="BM9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2" s="10">
        <f>tbl_MTG_Set[[#This Row],[Collector Singles CardMarket Profit]]/tbl_MTG_Set[[#This Row],[Collector Booster Cost]]</f>
        <v/>
      </c>
      <c r="BO952" s="10">
        <f>tbl_MTG_Set[[#This Row],[Collector Singles CardMarket Profit]]&gt;0</f>
        <v/>
      </c>
      <c r="BP9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3">
      <c r="A953" t="n">
        <v>951</v>
      </c>
      <c r="B953" t="inlineStr">
        <is>
          <t>World Championship Decks 1999 WC99</t>
        </is>
      </c>
      <c r="C953" t="n">
        <v>111</v>
      </c>
      <c r="D953" s="3" t="n">
        <v>36376</v>
      </c>
      <c r="F953" t="inlineStr">
        <is>
          <t>en es fr de it pt ja ko ru 汉语 漢語</t>
        </is>
      </c>
      <c r="G953" t="n">
        <v>1848</v>
      </c>
      <c r="H953">
        <f>MONTH(NOW())+12*YEAR(NOW())-MONTH(tbl_MTG_Set[[#This Row],[Released On]])-12*YEAR(tbl_MTG_Set[[#This Row],[Released On]])</f>
        <v/>
      </c>
      <c r="I953">
        <f>_xlfn.XLOOKUP(tbl_MTG_Set[[#This Row],[Type Name]], tbl_MTG_Set_Type[Set Type], tbl_MTG_Set_Type[Index], "(Set Type not found)")</f>
        <v/>
      </c>
      <c r="J953">
        <f>_xlfn.XLOOKUP(tbl_MTG_Set[[#This Row],[Type Name]], tbl_MTG_Set_Type[Set Type], tbl_MTG_Set_Type[Buy Window Month Start], "(Set Type not found)")</f>
        <v/>
      </c>
      <c r="K953" s="3">
        <f>tbl_MTG_Set[[#This Row],[Released On]]+tbl_MTG_Set[[#This Row],[Buy Window Month Start]]*365.25/12</f>
        <v/>
      </c>
      <c r="L953">
        <f>_xlfn.XLOOKUP(tbl_MTG_Set[[#This Row],[Type Name]], tbl_MTG_Set_Type[Set Type], tbl_MTG_Set_Type[Buy Window Month End], "(Set Type not found)", 0, 1)</f>
        <v/>
      </c>
      <c r="M953" s="3">
        <f>tbl_MTG_Set[[#This Row],[Released On]]+tbl_MTG_Set[[#This Row],[Buy Window Month End]]*365.25/12</f>
        <v/>
      </c>
      <c r="N953" s="3">
        <f>AND(NOW()&gt;=tbl_MTG_Set[[#This Row],[Buy Window Start]], NOW()&lt;=tbl_MTG_Set[[#This Row],[Buy Window End]])</f>
        <v/>
      </c>
      <c r="O953">
        <f>_xlfn.XLOOKUP(tbl_MTG_Set[[#This Row],[Type Name]], tbl_MTG_Set_Type[Set Type], tbl_MTG_Set_Type[Heavy Printing Window Month Start], "(Set Type not found)", 0, 1)</f>
        <v/>
      </c>
      <c r="P953" s="3">
        <f>tbl_MTG_Set[[#This Row],[Released On]]+tbl_MTG_Set[[#This Row],[Heavy Printing Window Month Start]]*365.25/12</f>
        <v/>
      </c>
      <c r="Q953">
        <f>_xlfn.XLOOKUP(tbl_MTG_Set[[#This Row],[Type Name]], tbl_MTG_Set_Type[Set Type], tbl_MTG_Set_Type[Heavy Printing Window Month End], "(Set Type not found)", 0, 1)</f>
        <v/>
      </c>
      <c r="R953" s="3">
        <f>tbl_MTG_Set[[#This Row],[Released On]]+tbl_MTG_Set[[#This Row],[Heavy Printing Window Month End]]*365.25/12</f>
        <v/>
      </c>
      <c r="S953" s="3">
        <f>AND(NOW()&gt;=tbl_MTG_Set[[#This Row],[Heavy Printing Window Start]], NOW()&lt;=tbl_MTG_Set[[#This Row],[Heavy Printing Window End]])</f>
        <v/>
      </c>
      <c r="T953">
        <f>_xlfn.XLOOKUP(tbl_MTG_Set[[#This Row],[Type Name]], tbl_MTG_Set_Type[Set Type], tbl_MTG_Set_Type[Sell Window Month Start], "(Set Type not found)", 0, 1)</f>
        <v/>
      </c>
      <c r="U953" s="3">
        <f>tbl_MTG_Set[[#This Row],[Released On]]+tbl_MTG_Set[[#This Row],[Sell Window Month Start]]*365.25/12</f>
        <v/>
      </c>
      <c r="V953">
        <f>_xlfn.XLOOKUP(tbl_MTG_Set[[#This Row],[Type Name]], tbl_MTG_Set_Type[Set Type], tbl_MTG_Set_Type[Sell Window Month End], "(Set Type not found)", 0, 1)</f>
        <v/>
      </c>
      <c r="W953" s="3">
        <f>tbl_MTG_Set[[#This Row],[Released On]]+tbl_MTG_Set[[#This Row],[Sell Window Month End]]*365.25/12</f>
        <v/>
      </c>
      <c r="X953" s="3">
        <f>AND(NOW()&gt;=tbl_MTG_Set[[#This Row],[Sell Window Start]], NOW()&lt;=tbl_MTG_Set[[#This Row],[Sell Window End]])</f>
        <v/>
      </c>
      <c r="AG953" s="10" t="n"/>
      <c r="AH953" s="10" t="n"/>
      <c r="AM953" s="10">
        <f t="array" ref="AM9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3" s="10">
        <f t="array" ref="AN9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3" s="4">
        <f>_xlfn.XLOOKUP(tbl_MTG_Set[[#This Row],[Play Booster Box Product Id]], tbl_Product[Product Id], tbl_Product[Pack Size])</f>
        <v/>
      </c>
      <c r="AP953" s="10">
        <f>(tbl_MTG_Set[[#This Row],[Play Booster Box Cost]]+v_Item_Shipping_Cost_In)/tbl_MTG_Set[[#This Row],[Play Booster Box Size]]</f>
        <v/>
      </c>
      <c r="AQ953" s="10">
        <f t="array" ref="AQ95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3" s="10" t="n"/>
      <c r="AS953" s="10" t="n"/>
      <c r="AT953" s="17">
        <f>tbl_MTG_Set[[#This Row],[Play Booster CardMarket Profit]]/tbl_MTG_Set[[#This Row],[Play Booster Cost]]</f>
        <v/>
      </c>
      <c r="AU953" s="10">
        <f>_xlfn.XLOOKUP(tbl_MTG_Set[[#This Row],[Collector Booster Box Product Id]], tbl_Product[Product Id], tbl_Product[Min Cost])</f>
        <v/>
      </c>
      <c r="AV953" s="10">
        <f>_xlfn.XLOOKUP(tbl_MTG_Set[[#This Row],[Collector Booster Box Product Id]], tbl_Product[Product Id], tbl_Product[Best Source])</f>
        <v/>
      </c>
      <c r="AW953" s="4">
        <f>_xlfn.XLOOKUP(tbl_MTG_Set[[#This Row],[Collector Booster Box Product Id]], tbl_Product[Product Id], tbl_Product[Pack Size])</f>
        <v/>
      </c>
      <c r="AX953" s="10">
        <f>(tbl_MTG_Set[[#This Row],[Collector Booster Box Cost]] + v_Item_Shipping_Cost_In) / tbl_MTG_Set[[#This Row],[Collector Booster Box Size]]</f>
        <v/>
      </c>
      <c r="AY953" s="10">
        <f t="array" ref="AY95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3" s="10" t="n"/>
      <c r="BA9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3" s="17">
        <f>tbl_MTG_Set[[#This Row],[Collector Booster CardMarket Profit]]/tbl_MTG_Set[[#This Row],[Collector Booster Cost]]</f>
        <v/>
      </c>
      <c r="BC953" s="10" t="n"/>
      <c r="BF953" s="10">
        <f>tbl_MTG_Set[[#This Row],[Play Booster Sell Price CardMarket]]*tbl_MTG_Set[[#This Row],[Play Booster Expected Market Value]]/tbl_MTG_Set[[#This Row],[Play Boost Sealed Market Value]]</f>
        <v/>
      </c>
      <c r="BG9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3" s="10">
        <f>tbl_MTG_Set[[#This Row],[Play Singles CardMarket Profit]]/tbl_MTG_Set[[#This Row],[Play Booster Cost]]</f>
        <v/>
      </c>
      <c r="BI953" s="10">
        <f>tbl_MTG_Set[[#This Row],[Play Singles CardMarket Profit]]&gt;0</f>
        <v/>
      </c>
      <c r="BJ953" s="10" t="n"/>
      <c r="BK953" s="10" t="n"/>
      <c r="BL953" s="10">
        <f>tbl_MTG_Set[[#This Row],[Collector Booster Sell Price CardMarket]]*tbl_MTG_Set[[#This Row],[Collector Booster Expected Market Value]]/tbl_MTG_Set[[#This Row],[Collector Boost Sealed Market Value]]</f>
        <v/>
      </c>
      <c r="BM9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3" s="10">
        <f>tbl_MTG_Set[[#This Row],[Collector Singles CardMarket Profit]]/tbl_MTG_Set[[#This Row],[Collector Booster Cost]]</f>
        <v/>
      </c>
      <c r="BO953" s="10">
        <f>tbl_MTG_Set[[#This Row],[Collector Singles CardMarket Profit]]&gt;0</f>
        <v/>
      </c>
      <c r="BP9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4">
      <c r="A954" t="n">
        <v>952</v>
      </c>
      <c r="B954" t="inlineStr">
        <is>
          <t>World Championship Promos PWOR</t>
        </is>
      </c>
      <c r="C954" t="n">
        <v>2</v>
      </c>
      <c r="D954" s="3" t="n">
        <v>36376</v>
      </c>
      <c r="F954" t="inlineStr">
        <is>
          <t>en es fr de it pt ja ko ru 汉语 漢語</t>
        </is>
      </c>
      <c r="G954" t="n">
        <v>1850</v>
      </c>
      <c r="H954">
        <f>MONTH(NOW())+12*YEAR(NOW())-MONTH(tbl_MTG_Set[[#This Row],[Released On]])-12*YEAR(tbl_MTG_Set[[#This Row],[Released On]])</f>
        <v/>
      </c>
      <c r="I954">
        <f>_xlfn.XLOOKUP(tbl_MTG_Set[[#This Row],[Type Name]], tbl_MTG_Set_Type[Set Type], tbl_MTG_Set_Type[Index], "(Set Type not found)")</f>
        <v/>
      </c>
      <c r="J954">
        <f>_xlfn.XLOOKUP(tbl_MTG_Set[[#This Row],[Type Name]], tbl_MTG_Set_Type[Set Type], tbl_MTG_Set_Type[Buy Window Month Start], "(Set Type not found)")</f>
        <v/>
      </c>
      <c r="K954" s="3">
        <f>tbl_MTG_Set[[#This Row],[Released On]]+tbl_MTG_Set[[#This Row],[Buy Window Month Start]]*365.25/12</f>
        <v/>
      </c>
      <c r="L954">
        <f>_xlfn.XLOOKUP(tbl_MTG_Set[[#This Row],[Type Name]], tbl_MTG_Set_Type[Set Type], tbl_MTG_Set_Type[Buy Window Month End], "(Set Type not found)", 0, 1)</f>
        <v/>
      </c>
      <c r="M954" s="3">
        <f>tbl_MTG_Set[[#This Row],[Released On]]+tbl_MTG_Set[[#This Row],[Buy Window Month End]]*365.25/12</f>
        <v/>
      </c>
      <c r="N954" s="3">
        <f>AND(NOW()&gt;=tbl_MTG_Set[[#This Row],[Buy Window Start]], NOW()&lt;=tbl_MTG_Set[[#This Row],[Buy Window End]])</f>
        <v/>
      </c>
      <c r="O954">
        <f>_xlfn.XLOOKUP(tbl_MTG_Set[[#This Row],[Type Name]], tbl_MTG_Set_Type[Set Type], tbl_MTG_Set_Type[Heavy Printing Window Month Start], "(Set Type not found)", 0, 1)</f>
        <v/>
      </c>
      <c r="P954" s="3">
        <f>tbl_MTG_Set[[#This Row],[Released On]]+tbl_MTG_Set[[#This Row],[Heavy Printing Window Month Start]]*365.25/12</f>
        <v/>
      </c>
      <c r="Q954">
        <f>_xlfn.XLOOKUP(tbl_MTG_Set[[#This Row],[Type Name]], tbl_MTG_Set_Type[Set Type], tbl_MTG_Set_Type[Heavy Printing Window Month End], "(Set Type not found)", 0, 1)</f>
        <v/>
      </c>
      <c r="R954" s="3">
        <f>tbl_MTG_Set[[#This Row],[Released On]]+tbl_MTG_Set[[#This Row],[Heavy Printing Window Month End]]*365.25/12</f>
        <v/>
      </c>
      <c r="S954" s="3">
        <f>AND(NOW()&gt;=tbl_MTG_Set[[#This Row],[Heavy Printing Window Start]], NOW()&lt;=tbl_MTG_Set[[#This Row],[Heavy Printing Window End]])</f>
        <v/>
      </c>
      <c r="T954">
        <f>_xlfn.XLOOKUP(tbl_MTG_Set[[#This Row],[Type Name]], tbl_MTG_Set_Type[Set Type], tbl_MTG_Set_Type[Sell Window Month Start], "(Set Type not found)", 0, 1)</f>
        <v/>
      </c>
      <c r="U954" s="3">
        <f>tbl_MTG_Set[[#This Row],[Released On]]+tbl_MTG_Set[[#This Row],[Sell Window Month Start]]*365.25/12</f>
        <v/>
      </c>
      <c r="V954">
        <f>_xlfn.XLOOKUP(tbl_MTG_Set[[#This Row],[Type Name]], tbl_MTG_Set_Type[Set Type], tbl_MTG_Set_Type[Sell Window Month End], "(Set Type not found)", 0, 1)</f>
        <v/>
      </c>
      <c r="W954" s="3">
        <f>tbl_MTG_Set[[#This Row],[Released On]]+tbl_MTG_Set[[#This Row],[Sell Window Month End]]*365.25/12</f>
        <v/>
      </c>
      <c r="X954" s="3">
        <f>AND(NOW()&gt;=tbl_MTG_Set[[#This Row],[Sell Window Start]], NOW()&lt;=tbl_MTG_Set[[#This Row],[Sell Window End]])</f>
        <v/>
      </c>
      <c r="AG954" s="10" t="n"/>
      <c r="AH954" s="10" t="n"/>
      <c r="AM954" s="10">
        <f t="array" ref="AM9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4" s="10">
        <f t="array" ref="AN9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4" s="4">
        <f>_xlfn.XLOOKUP(tbl_MTG_Set[[#This Row],[Play Booster Box Product Id]], tbl_Product[Product Id], tbl_Product[Pack Size])</f>
        <v/>
      </c>
      <c r="AP954" s="10">
        <f>(tbl_MTG_Set[[#This Row],[Play Booster Box Cost]]+v_Item_Shipping_Cost_In)/tbl_MTG_Set[[#This Row],[Play Booster Box Size]]</f>
        <v/>
      </c>
      <c r="AQ954" s="10">
        <f t="array" ref="AQ95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4" s="10" t="n"/>
      <c r="AS954" s="10" t="n"/>
      <c r="AT954" s="17">
        <f>tbl_MTG_Set[[#This Row],[Play Booster CardMarket Profit]]/tbl_MTG_Set[[#This Row],[Play Booster Cost]]</f>
        <v/>
      </c>
      <c r="AU954" s="10">
        <f>_xlfn.XLOOKUP(tbl_MTG_Set[[#This Row],[Collector Booster Box Product Id]], tbl_Product[Product Id], tbl_Product[Min Cost])</f>
        <v/>
      </c>
      <c r="AV954" s="10">
        <f>_xlfn.XLOOKUP(tbl_MTG_Set[[#This Row],[Collector Booster Box Product Id]], tbl_Product[Product Id], tbl_Product[Best Source])</f>
        <v/>
      </c>
      <c r="AW954" s="4">
        <f>_xlfn.XLOOKUP(tbl_MTG_Set[[#This Row],[Collector Booster Box Product Id]], tbl_Product[Product Id], tbl_Product[Pack Size])</f>
        <v/>
      </c>
      <c r="AX954" s="10">
        <f>(tbl_MTG_Set[[#This Row],[Collector Booster Box Cost]] + v_Item_Shipping_Cost_In) / tbl_MTG_Set[[#This Row],[Collector Booster Box Size]]</f>
        <v/>
      </c>
      <c r="AY954" s="10">
        <f t="array" ref="AY95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4" s="10" t="n"/>
      <c r="BA9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4" s="17">
        <f>tbl_MTG_Set[[#This Row],[Collector Booster CardMarket Profit]]/tbl_MTG_Set[[#This Row],[Collector Booster Cost]]</f>
        <v/>
      </c>
      <c r="BC954" s="10" t="n"/>
      <c r="BF954" s="10">
        <f>tbl_MTG_Set[[#This Row],[Play Booster Sell Price CardMarket]]*tbl_MTG_Set[[#This Row],[Play Booster Expected Market Value]]/tbl_MTG_Set[[#This Row],[Play Boost Sealed Market Value]]</f>
        <v/>
      </c>
      <c r="BG9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4" s="10">
        <f>tbl_MTG_Set[[#This Row],[Play Singles CardMarket Profit]]/tbl_MTG_Set[[#This Row],[Play Booster Cost]]</f>
        <v/>
      </c>
      <c r="BI954" s="10">
        <f>tbl_MTG_Set[[#This Row],[Play Singles CardMarket Profit]]&gt;0</f>
        <v/>
      </c>
      <c r="BJ954" s="10" t="n"/>
      <c r="BK954" s="10" t="n"/>
      <c r="BL954" s="10">
        <f>tbl_MTG_Set[[#This Row],[Collector Booster Sell Price CardMarket]]*tbl_MTG_Set[[#This Row],[Collector Booster Expected Market Value]]/tbl_MTG_Set[[#This Row],[Collector Boost Sealed Market Value]]</f>
        <v/>
      </c>
      <c r="BM9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4" s="10">
        <f>tbl_MTG_Set[[#This Row],[Collector Singles CardMarket Profit]]/tbl_MTG_Set[[#This Row],[Collector Booster Cost]]</f>
        <v/>
      </c>
      <c r="BO954" s="10">
        <f>tbl_MTG_Set[[#This Row],[Collector Singles CardMarket Profit]]&gt;0</f>
        <v/>
      </c>
      <c r="BP9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5">
      <c r="A955" t="n">
        <v>953</v>
      </c>
      <c r="B955" t="inlineStr">
        <is>
          <t>Guru PGRU</t>
        </is>
      </c>
      <c r="C955" t="n">
        <v>5</v>
      </c>
      <c r="D955" s="3" t="n">
        <v>36353</v>
      </c>
      <c r="F955" t="inlineStr">
        <is>
          <t>en es fr de it pt ja ko ru 汉语 漢語</t>
        </is>
      </c>
      <c r="G955" t="n">
        <v>1852</v>
      </c>
      <c r="H955">
        <f>MONTH(NOW())+12*YEAR(NOW())-MONTH(tbl_MTG_Set[[#This Row],[Released On]])-12*YEAR(tbl_MTG_Set[[#This Row],[Released On]])</f>
        <v/>
      </c>
      <c r="I955">
        <f>_xlfn.XLOOKUP(tbl_MTG_Set[[#This Row],[Type Name]], tbl_MTG_Set_Type[Set Type], tbl_MTG_Set_Type[Index], "(Set Type not found)")</f>
        <v/>
      </c>
      <c r="J955">
        <f>_xlfn.XLOOKUP(tbl_MTG_Set[[#This Row],[Type Name]], tbl_MTG_Set_Type[Set Type], tbl_MTG_Set_Type[Buy Window Month Start], "(Set Type not found)")</f>
        <v/>
      </c>
      <c r="K955" s="3">
        <f>tbl_MTG_Set[[#This Row],[Released On]]+tbl_MTG_Set[[#This Row],[Buy Window Month Start]]*365.25/12</f>
        <v/>
      </c>
      <c r="L955">
        <f>_xlfn.XLOOKUP(tbl_MTG_Set[[#This Row],[Type Name]], tbl_MTG_Set_Type[Set Type], tbl_MTG_Set_Type[Buy Window Month End], "(Set Type not found)", 0, 1)</f>
        <v/>
      </c>
      <c r="M955" s="3">
        <f>tbl_MTG_Set[[#This Row],[Released On]]+tbl_MTG_Set[[#This Row],[Buy Window Month End]]*365.25/12</f>
        <v/>
      </c>
      <c r="N955" s="3">
        <f>AND(NOW()&gt;=tbl_MTG_Set[[#This Row],[Buy Window Start]], NOW()&lt;=tbl_MTG_Set[[#This Row],[Buy Window End]])</f>
        <v/>
      </c>
      <c r="O955">
        <f>_xlfn.XLOOKUP(tbl_MTG_Set[[#This Row],[Type Name]], tbl_MTG_Set_Type[Set Type], tbl_MTG_Set_Type[Heavy Printing Window Month Start], "(Set Type not found)", 0, 1)</f>
        <v/>
      </c>
      <c r="P955" s="3">
        <f>tbl_MTG_Set[[#This Row],[Released On]]+tbl_MTG_Set[[#This Row],[Heavy Printing Window Month Start]]*365.25/12</f>
        <v/>
      </c>
      <c r="Q955">
        <f>_xlfn.XLOOKUP(tbl_MTG_Set[[#This Row],[Type Name]], tbl_MTG_Set_Type[Set Type], tbl_MTG_Set_Type[Heavy Printing Window Month End], "(Set Type not found)", 0, 1)</f>
        <v/>
      </c>
      <c r="R955" s="3">
        <f>tbl_MTG_Set[[#This Row],[Released On]]+tbl_MTG_Set[[#This Row],[Heavy Printing Window Month End]]*365.25/12</f>
        <v/>
      </c>
      <c r="S955" s="3">
        <f>AND(NOW()&gt;=tbl_MTG_Set[[#This Row],[Heavy Printing Window Start]], NOW()&lt;=tbl_MTG_Set[[#This Row],[Heavy Printing Window End]])</f>
        <v/>
      </c>
      <c r="T955">
        <f>_xlfn.XLOOKUP(tbl_MTG_Set[[#This Row],[Type Name]], tbl_MTG_Set_Type[Set Type], tbl_MTG_Set_Type[Sell Window Month Start], "(Set Type not found)", 0, 1)</f>
        <v/>
      </c>
      <c r="U955" s="3">
        <f>tbl_MTG_Set[[#This Row],[Released On]]+tbl_MTG_Set[[#This Row],[Sell Window Month Start]]*365.25/12</f>
        <v/>
      </c>
      <c r="V955">
        <f>_xlfn.XLOOKUP(tbl_MTG_Set[[#This Row],[Type Name]], tbl_MTG_Set_Type[Set Type], tbl_MTG_Set_Type[Sell Window Month End], "(Set Type not found)", 0, 1)</f>
        <v/>
      </c>
      <c r="W955" s="3">
        <f>tbl_MTG_Set[[#This Row],[Released On]]+tbl_MTG_Set[[#This Row],[Sell Window Month End]]*365.25/12</f>
        <v/>
      </c>
      <c r="X955" s="3">
        <f>AND(NOW()&gt;=tbl_MTG_Set[[#This Row],[Sell Window Start]], NOW()&lt;=tbl_MTG_Set[[#This Row],[Sell Window End]])</f>
        <v/>
      </c>
      <c r="AG955" s="10" t="n"/>
      <c r="AH955" s="10" t="n"/>
      <c r="AM955" s="10">
        <f t="array" ref="AM9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5" s="10">
        <f t="array" ref="AN9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5" s="4">
        <f>_xlfn.XLOOKUP(tbl_MTG_Set[[#This Row],[Play Booster Box Product Id]], tbl_Product[Product Id], tbl_Product[Pack Size])</f>
        <v/>
      </c>
      <c r="AP955" s="10">
        <f>(tbl_MTG_Set[[#This Row],[Play Booster Box Cost]]+v_Item_Shipping_Cost_In)/tbl_MTG_Set[[#This Row],[Play Booster Box Size]]</f>
        <v/>
      </c>
      <c r="AQ955" s="10">
        <f t="array" ref="AQ95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5" s="10" t="n"/>
      <c r="AS955" s="10" t="n"/>
      <c r="AT955" s="17">
        <f>tbl_MTG_Set[[#This Row],[Play Booster CardMarket Profit]]/tbl_MTG_Set[[#This Row],[Play Booster Cost]]</f>
        <v/>
      </c>
      <c r="AU955" s="10">
        <f>_xlfn.XLOOKUP(tbl_MTG_Set[[#This Row],[Collector Booster Box Product Id]], tbl_Product[Product Id], tbl_Product[Min Cost])</f>
        <v/>
      </c>
      <c r="AV955" s="10">
        <f>_xlfn.XLOOKUP(tbl_MTG_Set[[#This Row],[Collector Booster Box Product Id]], tbl_Product[Product Id], tbl_Product[Best Source])</f>
        <v/>
      </c>
      <c r="AW955" s="4">
        <f>_xlfn.XLOOKUP(tbl_MTG_Set[[#This Row],[Collector Booster Box Product Id]], tbl_Product[Product Id], tbl_Product[Pack Size])</f>
        <v/>
      </c>
      <c r="AX955" s="10">
        <f>(tbl_MTG_Set[[#This Row],[Collector Booster Box Cost]] + v_Item_Shipping_Cost_In) / tbl_MTG_Set[[#This Row],[Collector Booster Box Size]]</f>
        <v/>
      </c>
      <c r="AY955" s="10">
        <f t="array" ref="AY95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5" s="10" t="n"/>
      <c r="BA9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5" s="17">
        <f>tbl_MTG_Set[[#This Row],[Collector Booster CardMarket Profit]]/tbl_MTG_Set[[#This Row],[Collector Booster Cost]]</f>
        <v/>
      </c>
      <c r="BC955" s="10" t="n"/>
      <c r="BF955" s="10">
        <f>tbl_MTG_Set[[#This Row],[Play Booster Sell Price CardMarket]]*tbl_MTG_Set[[#This Row],[Play Booster Expected Market Value]]/tbl_MTG_Set[[#This Row],[Play Boost Sealed Market Value]]</f>
        <v/>
      </c>
      <c r="BG9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5" s="10">
        <f>tbl_MTG_Set[[#This Row],[Play Singles CardMarket Profit]]/tbl_MTG_Set[[#This Row],[Play Booster Cost]]</f>
        <v/>
      </c>
      <c r="BI955" s="10">
        <f>tbl_MTG_Set[[#This Row],[Play Singles CardMarket Profit]]&gt;0</f>
        <v/>
      </c>
      <c r="BJ955" s="10" t="n"/>
      <c r="BK955" s="10" t="n"/>
      <c r="BL955" s="10">
        <f>tbl_MTG_Set[[#This Row],[Collector Booster Sell Price CardMarket]]*tbl_MTG_Set[[#This Row],[Collector Booster Expected Market Value]]/tbl_MTG_Set[[#This Row],[Collector Boost Sealed Market Value]]</f>
        <v/>
      </c>
      <c r="BM9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5" s="10">
        <f>tbl_MTG_Set[[#This Row],[Collector Singles CardMarket Profit]]/tbl_MTG_Set[[#This Row],[Collector Booster Cost]]</f>
        <v/>
      </c>
      <c r="BO955" s="10">
        <f>tbl_MTG_Set[[#This Row],[Collector Singles CardMarket Profit]]&gt;0</f>
        <v/>
      </c>
      <c r="BP9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6">
      <c r="A956" t="n">
        <v>954</v>
      </c>
      <c r="B956" t="inlineStr">
        <is>
          <t>Starter 1999 S99</t>
        </is>
      </c>
      <c r="C956" t="n">
        <v>173</v>
      </c>
      <c r="D956" s="3" t="n">
        <v>36342</v>
      </c>
      <c r="F956" t="inlineStr">
        <is>
          <t>en es fr de it pt ja ko ru 汉语 漢語</t>
        </is>
      </c>
      <c r="G956" t="n">
        <v>1854</v>
      </c>
      <c r="H956">
        <f>MONTH(NOW())+12*YEAR(NOW())-MONTH(tbl_MTG_Set[[#This Row],[Released On]])-12*YEAR(tbl_MTG_Set[[#This Row],[Released On]])</f>
        <v/>
      </c>
      <c r="I956">
        <f>_xlfn.XLOOKUP(tbl_MTG_Set[[#This Row],[Type Name]], tbl_MTG_Set_Type[Set Type], tbl_MTG_Set_Type[Index], "(Set Type not found)")</f>
        <v/>
      </c>
      <c r="J956">
        <f>_xlfn.XLOOKUP(tbl_MTG_Set[[#This Row],[Type Name]], tbl_MTG_Set_Type[Set Type], tbl_MTG_Set_Type[Buy Window Month Start], "(Set Type not found)")</f>
        <v/>
      </c>
      <c r="K956" s="3">
        <f>tbl_MTG_Set[[#This Row],[Released On]]+tbl_MTG_Set[[#This Row],[Buy Window Month Start]]*365.25/12</f>
        <v/>
      </c>
      <c r="L956">
        <f>_xlfn.XLOOKUP(tbl_MTG_Set[[#This Row],[Type Name]], tbl_MTG_Set_Type[Set Type], tbl_MTG_Set_Type[Buy Window Month End], "(Set Type not found)", 0, 1)</f>
        <v/>
      </c>
      <c r="M956" s="3">
        <f>tbl_MTG_Set[[#This Row],[Released On]]+tbl_MTG_Set[[#This Row],[Buy Window Month End]]*365.25/12</f>
        <v/>
      </c>
      <c r="N956" s="3">
        <f>AND(NOW()&gt;=tbl_MTG_Set[[#This Row],[Buy Window Start]], NOW()&lt;=tbl_MTG_Set[[#This Row],[Buy Window End]])</f>
        <v/>
      </c>
      <c r="O956">
        <f>_xlfn.XLOOKUP(tbl_MTG_Set[[#This Row],[Type Name]], tbl_MTG_Set_Type[Set Type], tbl_MTG_Set_Type[Heavy Printing Window Month Start], "(Set Type not found)", 0, 1)</f>
        <v/>
      </c>
      <c r="P956" s="3">
        <f>tbl_MTG_Set[[#This Row],[Released On]]+tbl_MTG_Set[[#This Row],[Heavy Printing Window Month Start]]*365.25/12</f>
        <v/>
      </c>
      <c r="Q956">
        <f>_xlfn.XLOOKUP(tbl_MTG_Set[[#This Row],[Type Name]], tbl_MTG_Set_Type[Set Type], tbl_MTG_Set_Type[Heavy Printing Window Month End], "(Set Type not found)", 0, 1)</f>
        <v/>
      </c>
      <c r="R956" s="3">
        <f>tbl_MTG_Set[[#This Row],[Released On]]+tbl_MTG_Set[[#This Row],[Heavy Printing Window Month End]]*365.25/12</f>
        <v/>
      </c>
      <c r="S956" s="3">
        <f>AND(NOW()&gt;=tbl_MTG_Set[[#This Row],[Heavy Printing Window Start]], NOW()&lt;=tbl_MTG_Set[[#This Row],[Heavy Printing Window End]])</f>
        <v/>
      </c>
      <c r="T956">
        <f>_xlfn.XLOOKUP(tbl_MTG_Set[[#This Row],[Type Name]], tbl_MTG_Set_Type[Set Type], tbl_MTG_Set_Type[Sell Window Month Start], "(Set Type not found)", 0, 1)</f>
        <v/>
      </c>
      <c r="U956" s="3">
        <f>tbl_MTG_Set[[#This Row],[Released On]]+tbl_MTG_Set[[#This Row],[Sell Window Month Start]]*365.25/12</f>
        <v/>
      </c>
      <c r="V956">
        <f>_xlfn.XLOOKUP(tbl_MTG_Set[[#This Row],[Type Name]], tbl_MTG_Set_Type[Set Type], tbl_MTG_Set_Type[Sell Window Month End], "(Set Type not found)", 0, 1)</f>
        <v/>
      </c>
      <c r="W956" s="3">
        <f>tbl_MTG_Set[[#This Row],[Released On]]+tbl_MTG_Set[[#This Row],[Sell Window Month End]]*365.25/12</f>
        <v/>
      </c>
      <c r="X956" s="3">
        <f>AND(NOW()&gt;=tbl_MTG_Set[[#This Row],[Sell Window Start]], NOW()&lt;=tbl_MTG_Set[[#This Row],[Sell Window End]])</f>
        <v/>
      </c>
      <c r="AG956" s="10" t="n"/>
      <c r="AH956" s="10" t="n"/>
      <c r="AM956" s="10">
        <f t="array" ref="AM9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6" s="10">
        <f t="array" ref="AN9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6" s="4">
        <f>_xlfn.XLOOKUP(tbl_MTG_Set[[#This Row],[Play Booster Box Product Id]], tbl_Product[Product Id], tbl_Product[Pack Size])</f>
        <v/>
      </c>
      <c r="AP956" s="10">
        <f>(tbl_MTG_Set[[#This Row],[Play Booster Box Cost]]+v_Item_Shipping_Cost_In)/tbl_MTG_Set[[#This Row],[Play Booster Box Size]]</f>
        <v/>
      </c>
      <c r="AQ956" s="10">
        <f t="array" ref="AQ95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6" s="10" t="n"/>
      <c r="AS956" s="10" t="n"/>
      <c r="AT956" s="17">
        <f>tbl_MTG_Set[[#This Row],[Play Booster CardMarket Profit]]/tbl_MTG_Set[[#This Row],[Play Booster Cost]]</f>
        <v/>
      </c>
      <c r="AU956" s="10">
        <f>_xlfn.XLOOKUP(tbl_MTG_Set[[#This Row],[Collector Booster Box Product Id]], tbl_Product[Product Id], tbl_Product[Min Cost])</f>
        <v/>
      </c>
      <c r="AV956" s="10">
        <f>_xlfn.XLOOKUP(tbl_MTG_Set[[#This Row],[Collector Booster Box Product Id]], tbl_Product[Product Id], tbl_Product[Best Source])</f>
        <v/>
      </c>
      <c r="AW956" s="4">
        <f>_xlfn.XLOOKUP(tbl_MTG_Set[[#This Row],[Collector Booster Box Product Id]], tbl_Product[Product Id], tbl_Product[Pack Size])</f>
        <v/>
      </c>
      <c r="AX956" s="10">
        <f>(tbl_MTG_Set[[#This Row],[Collector Booster Box Cost]] + v_Item_Shipping_Cost_In) / tbl_MTG_Set[[#This Row],[Collector Booster Box Size]]</f>
        <v/>
      </c>
      <c r="AY956" s="10">
        <f t="array" ref="AY95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6" s="10" t="n"/>
      <c r="BA9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6" s="17">
        <f>tbl_MTG_Set[[#This Row],[Collector Booster CardMarket Profit]]/tbl_MTG_Set[[#This Row],[Collector Booster Cost]]</f>
        <v/>
      </c>
      <c r="BC956" s="10" t="n"/>
      <c r="BF956" s="10">
        <f>tbl_MTG_Set[[#This Row],[Play Booster Sell Price CardMarket]]*tbl_MTG_Set[[#This Row],[Play Booster Expected Market Value]]/tbl_MTG_Set[[#This Row],[Play Boost Sealed Market Value]]</f>
        <v/>
      </c>
      <c r="BG9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6" s="10">
        <f>tbl_MTG_Set[[#This Row],[Play Singles CardMarket Profit]]/tbl_MTG_Set[[#This Row],[Play Booster Cost]]</f>
        <v/>
      </c>
      <c r="BI956" s="10">
        <f>tbl_MTG_Set[[#This Row],[Play Singles CardMarket Profit]]&gt;0</f>
        <v/>
      </c>
      <c r="BJ956" s="10" t="n"/>
      <c r="BK956" s="10" t="n"/>
      <c r="BL956" s="10">
        <f>tbl_MTG_Set[[#This Row],[Collector Booster Sell Price CardMarket]]*tbl_MTG_Set[[#This Row],[Collector Booster Expected Market Value]]/tbl_MTG_Set[[#This Row],[Collector Boost Sealed Market Value]]</f>
        <v/>
      </c>
      <c r="BM9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6" s="10">
        <f>tbl_MTG_Set[[#This Row],[Collector Singles CardMarket Profit]]/tbl_MTG_Set[[#This Row],[Collector Booster Cost]]</f>
        <v/>
      </c>
      <c r="BO956" s="10">
        <f>tbl_MTG_Set[[#This Row],[Collector Singles CardMarket Profit]]&gt;0</f>
        <v/>
      </c>
      <c r="BP9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7">
      <c r="A957" t="n">
        <v>955</v>
      </c>
      <c r="B957" t="inlineStr">
        <is>
          <t>Urza's Destiny UDS</t>
        </is>
      </c>
      <c r="C957" t="n">
        <v>143</v>
      </c>
      <c r="D957" s="3" t="n">
        <v>36318</v>
      </c>
      <c r="F957" t="inlineStr">
        <is>
          <t>en es fr de it pt ja ko ru 汉语 漢語</t>
        </is>
      </c>
      <c r="G957" t="n">
        <v>1856</v>
      </c>
      <c r="H957">
        <f>MONTH(NOW())+12*YEAR(NOW())-MONTH(tbl_MTG_Set[[#This Row],[Released On]])-12*YEAR(tbl_MTG_Set[[#This Row],[Released On]])</f>
        <v/>
      </c>
      <c r="I957">
        <f>_xlfn.XLOOKUP(tbl_MTG_Set[[#This Row],[Type Name]], tbl_MTG_Set_Type[Set Type], tbl_MTG_Set_Type[Index], "(Set Type not found)")</f>
        <v/>
      </c>
      <c r="J957">
        <f>_xlfn.XLOOKUP(tbl_MTG_Set[[#This Row],[Type Name]], tbl_MTG_Set_Type[Set Type], tbl_MTG_Set_Type[Buy Window Month Start], "(Set Type not found)")</f>
        <v/>
      </c>
      <c r="K957" s="3">
        <f>tbl_MTG_Set[[#This Row],[Released On]]+tbl_MTG_Set[[#This Row],[Buy Window Month Start]]*365.25/12</f>
        <v/>
      </c>
      <c r="L957">
        <f>_xlfn.XLOOKUP(tbl_MTG_Set[[#This Row],[Type Name]], tbl_MTG_Set_Type[Set Type], tbl_MTG_Set_Type[Buy Window Month End], "(Set Type not found)", 0, 1)</f>
        <v/>
      </c>
      <c r="M957" s="3">
        <f>tbl_MTG_Set[[#This Row],[Released On]]+tbl_MTG_Set[[#This Row],[Buy Window Month End]]*365.25/12</f>
        <v/>
      </c>
      <c r="N957" s="3">
        <f>AND(NOW()&gt;=tbl_MTG_Set[[#This Row],[Buy Window Start]], NOW()&lt;=tbl_MTG_Set[[#This Row],[Buy Window End]])</f>
        <v/>
      </c>
      <c r="O957">
        <f>_xlfn.XLOOKUP(tbl_MTG_Set[[#This Row],[Type Name]], tbl_MTG_Set_Type[Set Type], tbl_MTG_Set_Type[Heavy Printing Window Month Start], "(Set Type not found)", 0, 1)</f>
        <v/>
      </c>
      <c r="P957" s="3">
        <f>tbl_MTG_Set[[#This Row],[Released On]]+tbl_MTG_Set[[#This Row],[Heavy Printing Window Month Start]]*365.25/12</f>
        <v/>
      </c>
      <c r="Q957">
        <f>_xlfn.XLOOKUP(tbl_MTG_Set[[#This Row],[Type Name]], tbl_MTG_Set_Type[Set Type], tbl_MTG_Set_Type[Heavy Printing Window Month End], "(Set Type not found)", 0, 1)</f>
        <v/>
      </c>
      <c r="R957" s="3">
        <f>tbl_MTG_Set[[#This Row],[Released On]]+tbl_MTG_Set[[#This Row],[Heavy Printing Window Month End]]*365.25/12</f>
        <v/>
      </c>
      <c r="S957" s="3">
        <f>AND(NOW()&gt;=tbl_MTG_Set[[#This Row],[Heavy Printing Window Start]], NOW()&lt;=tbl_MTG_Set[[#This Row],[Heavy Printing Window End]])</f>
        <v/>
      </c>
      <c r="T957">
        <f>_xlfn.XLOOKUP(tbl_MTG_Set[[#This Row],[Type Name]], tbl_MTG_Set_Type[Set Type], tbl_MTG_Set_Type[Sell Window Month Start], "(Set Type not found)", 0, 1)</f>
        <v/>
      </c>
      <c r="U957" s="3">
        <f>tbl_MTG_Set[[#This Row],[Released On]]+tbl_MTG_Set[[#This Row],[Sell Window Month Start]]*365.25/12</f>
        <v/>
      </c>
      <c r="V957">
        <f>_xlfn.XLOOKUP(tbl_MTG_Set[[#This Row],[Type Name]], tbl_MTG_Set_Type[Set Type], tbl_MTG_Set_Type[Sell Window Month End], "(Set Type not found)", 0, 1)</f>
        <v/>
      </c>
      <c r="W957" s="3">
        <f>tbl_MTG_Set[[#This Row],[Released On]]+tbl_MTG_Set[[#This Row],[Sell Window Month End]]*365.25/12</f>
        <v/>
      </c>
      <c r="X957" s="3">
        <f>AND(NOW()&gt;=tbl_MTG_Set[[#This Row],[Sell Window Start]], NOW()&lt;=tbl_MTG_Set[[#This Row],[Sell Window End]])</f>
        <v/>
      </c>
      <c r="AG957" s="10" t="n"/>
      <c r="AH957" s="10" t="n"/>
      <c r="AM957" s="10">
        <f t="array" ref="AM9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7" s="10">
        <f t="array" ref="AN9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7" s="4">
        <f>_xlfn.XLOOKUP(tbl_MTG_Set[[#This Row],[Play Booster Box Product Id]], tbl_Product[Product Id], tbl_Product[Pack Size])</f>
        <v/>
      </c>
      <c r="AP957" s="10">
        <f>(tbl_MTG_Set[[#This Row],[Play Booster Box Cost]]+v_Item_Shipping_Cost_In)/tbl_MTG_Set[[#This Row],[Play Booster Box Size]]</f>
        <v/>
      </c>
      <c r="AQ957" s="10">
        <f t="array" ref="AQ95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7" s="10" t="n"/>
      <c r="AS957" s="10" t="n"/>
      <c r="AT957" s="17">
        <f>tbl_MTG_Set[[#This Row],[Play Booster CardMarket Profit]]/tbl_MTG_Set[[#This Row],[Play Booster Cost]]</f>
        <v/>
      </c>
      <c r="AU957" s="10">
        <f>_xlfn.XLOOKUP(tbl_MTG_Set[[#This Row],[Collector Booster Box Product Id]], tbl_Product[Product Id], tbl_Product[Min Cost])</f>
        <v/>
      </c>
      <c r="AV957" s="10">
        <f>_xlfn.XLOOKUP(tbl_MTG_Set[[#This Row],[Collector Booster Box Product Id]], tbl_Product[Product Id], tbl_Product[Best Source])</f>
        <v/>
      </c>
      <c r="AW957" s="4">
        <f>_xlfn.XLOOKUP(tbl_MTG_Set[[#This Row],[Collector Booster Box Product Id]], tbl_Product[Product Id], tbl_Product[Pack Size])</f>
        <v/>
      </c>
      <c r="AX957" s="10">
        <f>(tbl_MTG_Set[[#This Row],[Collector Booster Box Cost]] + v_Item_Shipping_Cost_In) / tbl_MTG_Set[[#This Row],[Collector Booster Box Size]]</f>
        <v/>
      </c>
      <c r="AY957" s="10">
        <f t="array" ref="AY95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7" s="10" t="n"/>
      <c r="BA9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7" s="17">
        <f>tbl_MTG_Set[[#This Row],[Collector Booster CardMarket Profit]]/tbl_MTG_Set[[#This Row],[Collector Booster Cost]]</f>
        <v/>
      </c>
      <c r="BC957" s="10" t="n"/>
      <c r="BF957" s="10">
        <f>tbl_MTG_Set[[#This Row],[Play Booster Sell Price CardMarket]]*tbl_MTG_Set[[#This Row],[Play Booster Expected Market Value]]/tbl_MTG_Set[[#This Row],[Play Boost Sealed Market Value]]</f>
        <v/>
      </c>
      <c r="BG9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7" s="10">
        <f>tbl_MTG_Set[[#This Row],[Play Singles CardMarket Profit]]/tbl_MTG_Set[[#This Row],[Play Booster Cost]]</f>
        <v/>
      </c>
      <c r="BI957" s="10">
        <f>tbl_MTG_Set[[#This Row],[Play Singles CardMarket Profit]]&gt;0</f>
        <v/>
      </c>
      <c r="BJ957" s="10" t="n"/>
      <c r="BK957" s="10" t="n"/>
      <c r="BL957" s="10">
        <f>tbl_MTG_Set[[#This Row],[Collector Booster Sell Price CardMarket]]*tbl_MTG_Set[[#This Row],[Collector Booster Expected Market Value]]/tbl_MTG_Set[[#This Row],[Collector Boost Sealed Market Value]]</f>
        <v/>
      </c>
      <c r="BM9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7" s="10">
        <f>tbl_MTG_Set[[#This Row],[Collector Singles CardMarket Profit]]/tbl_MTG_Set[[#This Row],[Collector Booster Cost]]</f>
        <v/>
      </c>
      <c r="BO957" s="10">
        <f>tbl_MTG_Set[[#This Row],[Collector Singles CardMarket Profit]]&gt;0</f>
        <v/>
      </c>
      <c r="BP9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8">
      <c r="A958" t="n">
        <v>956</v>
      </c>
      <c r="B958" t="inlineStr">
        <is>
          <t>Urza's Destiny Promos PUDS</t>
        </is>
      </c>
      <c r="C958" t="n">
        <v>1</v>
      </c>
      <c r="D958" s="3" t="n">
        <v>36318</v>
      </c>
      <c r="F958" t="inlineStr">
        <is>
          <t>en es fr de it pt ja ko ru 汉语 漢語</t>
        </is>
      </c>
      <c r="G958" t="n">
        <v>1858</v>
      </c>
      <c r="H958">
        <f>MONTH(NOW())+12*YEAR(NOW())-MONTH(tbl_MTG_Set[[#This Row],[Released On]])-12*YEAR(tbl_MTG_Set[[#This Row],[Released On]])</f>
        <v/>
      </c>
      <c r="I958">
        <f>_xlfn.XLOOKUP(tbl_MTG_Set[[#This Row],[Type Name]], tbl_MTG_Set_Type[Set Type], tbl_MTG_Set_Type[Index], "(Set Type not found)")</f>
        <v/>
      </c>
      <c r="J958">
        <f>_xlfn.XLOOKUP(tbl_MTG_Set[[#This Row],[Type Name]], tbl_MTG_Set_Type[Set Type], tbl_MTG_Set_Type[Buy Window Month Start], "(Set Type not found)")</f>
        <v/>
      </c>
      <c r="K958" s="3">
        <f>tbl_MTG_Set[[#This Row],[Released On]]+tbl_MTG_Set[[#This Row],[Buy Window Month Start]]*365.25/12</f>
        <v/>
      </c>
      <c r="L958">
        <f>_xlfn.XLOOKUP(tbl_MTG_Set[[#This Row],[Type Name]], tbl_MTG_Set_Type[Set Type], tbl_MTG_Set_Type[Buy Window Month End], "(Set Type not found)", 0, 1)</f>
        <v/>
      </c>
      <c r="M958" s="3">
        <f>tbl_MTG_Set[[#This Row],[Released On]]+tbl_MTG_Set[[#This Row],[Buy Window Month End]]*365.25/12</f>
        <v/>
      </c>
      <c r="N958" s="3">
        <f>AND(NOW()&gt;=tbl_MTG_Set[[#This Row],[Buy Window Start]], NOW()&lt;=tbl_MTG_Set[[#This Row],[Buy Window End]])</f>
        <v/>
      </c>
      <c r="O958">
        <f>_xlfn.XLOOKUP(tbl_MTG_Set[[#This Row],[Type Name]], tbl_MTG_Set_Type[Set Type], tbl_MTG_Set_Type[Heavy Printing Window Month Start], "(Set Type not found)", 0, 1)</f>
        <v/>
      </c>
      <c r="P958" s="3">
        <f>tbl_MTG_Set[[#This Row],[Released On]]+tbl_MTG_Set[[#This Row],[Heavy Printing Window Month Start]]*365.25/12</f>
        <v/>
      </c>
      <c r="Q958">
        <f>_xlfn.XLOOKUP(tbl_MTG_Set[[#This Row],[Type Name]], tbl_MTG_Set_Type[Set Type], tbl_MTG_Set_Type[Heavy Printing Window Month End], "(Set Type not found)", 0, 1)</f>
        <v/>
      </c>
      <c r="R958" s="3">
        <f>tbl_MTG_Set[[#This Row],[Released On]]+tbl_MTG_Set[[#This Row],[Heavy Printing Window Month End]]*365.25/12</f>
        <v/>
      </c>
      <c r="S958" s="3">
        <f>AND(NOW()&gt;=tbl_MTG_Set[[#This Row],[Heavy Printing Window Start]], NOW()&lt;=tbl_MTG_Set[[#This Row],[Heavy Printing Window End]])</f>
        <v/>
      </c>
      <c r="T958">
        <f>_xlfn.XLOOKUP(tbl_MTG_Set[[#This Row],[Type Name]], tbl_MTG_Set_Type[Set Type], tbl_MTG_Set_Type[Sell Window Month Start], "(Set Type not found)", 0, 1)</f>
        <v/>
      </c>
      <c r="U958" s="3">
        <f>tbl_MTG_Set[[#This Row],[Released On]]+tbl_MTG_Set[[#This Row],[Sell Window Month Start]]*365.25/12</f>
        <v/>
      </c>
      <c r="V958">
        <f>_xlfn.XLOOKUP(tbl_MTG_Set[[#This Row],[Type Name]], tbl_MTG_Set_Type[Set Type], tbl_MTG_Set_Type[Sell Window Month End], "(Set Type not found)", 0, 1)</f>
        <v/>
      </c>
      <c r="W958" s="3">
        <f>tbl_MTG_Set[[#This Row],[Released On]]+tbl_MTG_Set[[#This Row],[Sell Window Month End]]*365.25/12</f>
        <v/>
      </c>
      <c r="X958" s="3">
        <f>AND(NOW()&gt;=tbl_MTG_Set[[#This Row],[Sell Window Start]], NOW()&lt;=tbl_MTG_Set[[#This Row],[Sell Window End]])</f>
        <v/>
      </c>
      <c r="AG958" s="10" t="n"/>
      <c r="AH958" s="10" t="n"/>
      <c r="AM958" s="10">
        <f t="array" ref="AM9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8" s="10">
        <f t="array" ref="AN9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8" s="4">
        <f>_xlfn.XLOOKUP(tbl_MTG_Set[[#This Row],[Play Booster Box Product Id]], tbl_Product[Product Id], tbl_Product[Pack Size])</f>
        <v/>
      </c>
      <c r="AP958" s="10">
        <f>(tbl_MTG_Set[[#This Row],[Play Booster Box Cost]]+v_Item_Shipping_Cost_In)/tbl_MTG_Set[[#This Row],[Play Booster Box Size]]</f>
        <v/>
      </c>
      <c r="AQ958" s="10">
        <f t="array" ref="AQ95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8" s="10" t="n"/>
      <c r="AS958" s="10" t="n"/>
      <c r="AT958" s="17">
        <f>tbl_MTG_Set[[#This Row],[Play Booster CardMarket Profit]]/tbl_MTG_Set[[#This Row],[Play Booster Cost]]</f>
        <v/>
      </c>
      <c r="AU958" s="10">
        <f>_xlfn.XLOOKUP(tbl_MTG_Set[[#This Row],[Collector Booster Box Product Id]], tbl_Product[Product Id], tbl_Product[Min Cost])</f>
        <v/>
      </c>
      <c r="AV958" s="10">
        <f>_xlfn.XLOOKUP(tbl_MTG_Set[[#This Row],[Collector Booster Box Product Id]], tbl_Product[Product Id], tbl_Product[Best Source])</f>
        <v/>
      </c>
      <c r="AW958" s="4">
        <f>_xlfn.XLOOKUP(tbl_MTG_Set[[#This Row],[Collector Booster Box Product Id]], tbl_Product[Product Id], tbl_Product[Pack Size])</f>
        <v/>
      </c>
      <c r="AX958" s="10">
        <f>(tbl_MTG_Set[[#This Row],[Collector Booster Box Cost]] + v_Item_Shipping_Cost_In) / tbl_MTG_Set[[#This Row],[Collector Booster Box Size]]</f>
        <v/>
      </c>
      <c r="AY958" s="10">
        <f t="array" ref="AY95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8" s="10" t="n"/>
      <c r="BA9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8" s="17">
        <f>tbl_MTG_Set[[#This Row],[Collector Booster CardMarket Profit]]/tbl_MTG_Set[[#This Row],[Collector Booster Cost]]</f>
        <v/>
      </c>
      <c r="BC958" s="10" t="n"/>
      <c r="BF958" s="10">
        <f>tbl_MTG_Set[[#This Row],[Play Booster Sell Price CardMarket]]*tbl_MTG_Set[[#This Row],[Play Booster Expected Market Value]]/tbl_MTG_Set[[#This Row],[Play Boost Sealed Market Value]]</f>
        <v/>
      </c>
      <c r="BG9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8" s="10">
        <f>tbl_MTG_Set[[#This Row],[Play Singles CardMarket Profit]]/tbl_MTG_Set[[#This Row],[Play Booster Cost]]</f>
        <v/>
      </c>
      <c r="BI958" s="10">
        <f>tbl_MTG_Set[[#This Row],[Play Singles CardMarket Profit]]&gt;0</f>
        <v/>
      </c>
      <c r="BJ958" s="10" t="n"/>
      <c r="BK958" s="10" t="n"/>
      <c r="BL958" s="10">
        <f>tbl_MTG_Set[[#This Row],[Collector Booster Sell Price CardMarket]]*tbl_MTG_Set[[#This Row],[Collector Booster Expected Market Value]]/tbl_MTG_Set[[#This Row],[Collector Boost Sealed Market Value]]</f>
        <v/>
      </c>
      <c r="BM9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8" s="10">
        <f>tbl_MTG_Set[[#This Row],[Collector Singles CardMarket Profit]]/tbl_MTG_Set[[#This Row],[Collector Booster Cost]]</f>
        <v/>
      </c>
      <c r="BO958" s="10">
        <f>tbl_MTG_Set[[#This Row],[Collector Singles CardMarket Profit]]&gt;0</f>
        <v/>
      </c>
      <c r="BP9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9">
      <c r="A959" t="n">
        <v>957</v>
      </c>
      <c r="B959" t="inlineStr">
        <is>
          <t>Portal Three Kingdoms PTK</t>
        </is>
      </c>
      <c r="C959" t="n">
        <v>180</v>
      </c>
      <c r="D959" s="3" t="n">
        <v>36281</v>
      </c>
      <c r="F959" t="inlineStr">
        <is>
          <t>en es fr de it pt ja ko ru 汉语 漢語</t>
        </is>
      </c>
      <c r="G959" t="n">
        <v>1860</v>
      </c>
      <c r="H959">
        <f>MONTH(NOW())+12*YEAR(NOW())-MONTH(tbl_MTG_Set[[#This Row],[Released On]])-12*YEAR(tbl_MTG_Set[[#This Row],[Released On]])</f>
        <v/>
      </c>
      <c r="I959">
        <f>_xlfn.XLOOKUP(tbl_MTG_Set[[#This Row],[Type Name]], tbl_MTG_Set_Type[Set Type], tbl_MTG_Set_Type[Index], "(Set Type not found)")</f>
        <v/>
      </c>
      <c r="J959">
        <f>_xlfn.XLOOKUP(tbl_MTG_Set[[#This Row],[Type Name]], tbl_MTG_Set_Type[Set Type], tbl_MTG_Set_Type[Buy Window Month Start], "(Set Type not found)")</f>
        <v/>
      </c>
      <c r="K959" s="3">
        <f>tbl_MTG_Set[[#This Row],[Released On]]+tbl_MTG_Set[[#This Row],[Buy Window Month Start]]*365.25/12</f>
        <v/>
      </c>
      <c r="L959">
        <f>_xlfn.XLOOKUP(tbl_MTG_Set[[#This Row],[Type Name]], tbl_MTG_Set_Type[Set Type], tbl_MTG_Set_Type[Buy Window Month End], "(Set Type not found)", 0, 1)</f>
        <v/>
      </c>
      <c r="M959" s="3">
        <f>tbl_MTG_Set[[#This Row],[Released On]]+tbl_MTG_Set[[#This Row],[Buy Window Month End]]*365.25/12</f>
        <v/>
      </c>
      <c r="N959" s="3">
        <f>AND(NOW()&gt;=tbl_MTG_Set[[#This Row],[Buy Window Start]], NOW()&lt;=tbl_MTG_Set[[#This Row],[Buy Window End]])</f>
        <v/>
      </c>
      <c r="O959">
        <f>_xlfn.XLOOKUP(tbl_MTG_Set[[#This Row],[Type Name]], tbl_MTG_Set_Type[Set Type], tbl_MTG_Set_Type[Heavy Printing Window Month Start], "(Set Type not found)", 0, 1)</f>
        <v/>
      </c>
      <c r="P959" s="3">
        <f>tbl_MTG_Set[[#This Row],[Released On]]+tbl_MTG_Set[[#This Row],[Heavy Printing Window Month Start]]*365.25/12</f>
        <v/>
      </c>
      <c r="Q959">
        <f>_xlfn.XLOOKUP(tbl_MTG_Set[[#This Row],[Type Name]], tbl_MTG_Set_Type[Set Type], tbl_MTG_Set_Type[Heavy Printing Window Month End], "(Set Type not found)", 0, 1)</f>
        <v/>
      </c>
      <c r="R959" s="3">
        <f>tbl_MTG_Set[[#This Row],[Released On]]+tbl_MTG_Set[[#This Row],[Heavy Printing Window Month End]]*365.25/12</f>
        <v/>
      </c>
      <c r="S959" s="3">
        <f>AND(NOW()&gt;=tbl_MTG_Set[[#This Row],[Heavy Printing Window Start]], NOW()&lt;=tbl_MTG_Set[[#This Row],[Heavy Printing Window End]])</f>
        <v/>
      </c>
      <c r="T959">
        <f>_xlfn.XLOOKUP(tbl_MTG_Set[[#This Row],[Type Name]], tbl_MTG_Set_Type[Set Type], tbl_MTG_Set_Type[Sell Window Month Start], "(Set Type not found)", 0, 1)</f>
        <v/>
      </c>
      <c r="U959" s="3">
        <f>tbl_MTG_Set[[#This Row],[Released On]]+tbl_MTG_Set[[#This Row],[Sell Window Month Start]]*365.25/12</f>
        <v/>
      </c>
      <c r="V959">
        <f>_xlfn.XLOOKUP(tbl_MTG_Set[[#This Row],[Type Name]], tbl_MTG_Set_Type[Set Type], tbl_MTG_Set_Type[Sell Window Month End], "(Set Type not found)", 0, 1)</f>
        <v/>
      </c>
      <c r="W959" s="3">
        <f>tbl_MTG_Set[[#This Row],[Released On]]+tbl_MTG_Set[[#This Row],[Sell Window Month End]]*365.25/12</f>
        <v/>
      </c>
      <c r="X959" s="3">
        <f>AND(NOW()&gt;=tbl_MTG_Set[[#This Row],[Sell Window Start]], NOW()&lt;=tbl_MTG_Set[[#This Row],[Sell Window End]])</f>
        <v/>
      </c>
      <c r="AG959" s="10" t="n"/>
      <c r="AH959" s="10" t="n"/>
      <c r="AM959" s="10">
        <f t="array" ref="AM9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9" s="10">
        <f t="array" ref="AN9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9" s="4">
        <f>_xlfn.XLOOKUP(tbl_MTG_Set[[#This Row],[Play Booster Box Product Id]], tbl_Product[Product Id], tbl_Product[Pack Size])</f>
        <v/>
      </c>
      <c r="AP959" s="10">
        <f>(tbl_MTG_Set[[#This Row],[Play Booster Box Cost]]+v_Item_Shipping_Cost_In)/tbl_MTG_Set[[#This Row],[Play Booster Box Size]]</f>
        <v/>
      </c>
      <c r="AQ959" s="10">
        <f t="array" ref="AQ95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59" s="10" t="n"/>
      <c r="AS959" s="10" t="n"/>
      <c r="AT959" s="17">
        <f>tbl_MTG_Set[[#This Row],[Play Booster CardMarket Profit]]/tbl_MTG_Set[[#This Row],[Play Booster Cost]]</f>
        <v/>
      </c>
      <c r="AU959" s="10">
        <f>_xlfn.XLOOKUP(tbl_MTG_Set[[#This Row],[Collector Booster Box Product Id]], tbl_Product[Product Id], tbl_Product[Min Cost])</f>
        <v/>
      </c>
      <c r="AV959" s="10">
        <f>_xlfn.XLOOKUP(tbl_MTG_Set[[#This Row],[Collector Booster Box Product Id]], tbl_Product[Product Id], tbl_Product[Best Source])</f>
        <v/>
      </c>
      <c r="AW959" s="4">
        <f>_xlfn.XLOOKUP(tbl_MTG_Set[[#This Row],[Collector Booster Box Product Id]], tbl_Product[Product Id], tbl_Product[Pack Size])</f>
        <v/>
      </c>
      <c r="AX959" s="10">
        <f>(tbl_MTG_Set[[#This Row],[Collector Booster Box Cost]] + v_Item_Shipping_Cost_In) / tbl_MTG_Set[[#This Row],[Collector Booster Box Size]]</f>
        <v/>
      </c>
      <c r="AY959" s="10">
        <f t="array" ref="AY95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59" s="10" t="n"/>
      <c r="BA9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9" s="17">
        <f>tbl_MTG_Set[[#This Row],[Collector Booster CardMarket Profit]]/tbl_MTG_Set[[#This Row],[Collector Booster Cost]]</f>
        <v/>
      </c>
      <c r="BC959" s="10" t="n"/>
      <c r="BF959" s="10">
        <f>tbl_MTG_Set[[#This Row],[Play Booster Sell Price CardMarket]]*tbl_MTG_Set[[#This Row],[Play Booster Expected Market Value]]/tbl_MTG_Set[[#This Row],[Play Boost Sealed Market Value]]</f>
        <v/>
      </c>
      <c r="BG9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9" s="10">
        <f>tbl_MTG_Set[[#This Row],[Play Singles CardMarket Profit]]/tbl_MTG_Set[[#This Row],[Play Booster Cost]]</f>
        <v/>
      </c>
      <c r="BI959" s="10">
        <f>tbl_MTG_Set[[#This Row],[Play Singles CardMarket Profit]]&gt;0</f>
        <v/>
      </c>
      <c r="BJ959" s="10" t="n"/>
      <c r="BK959" s="10" t="n"/>
      <c r="BL959" s="10">
        <f>tbl_MTG_Set[[#This Row],[Collector Booster Sell Price CardMarket]]*tbl_MTG_Set[[#This Row],[Collector Booster Expected Market Value]]/tbl_MTG_Set[[#This Row],[Collector Boost Sealed Market Value]]</f>
        <v/>
      </c>
      <c r="BM9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9" s="10">
        <f>tbl_MTG_Set[[#This Row],[Collector Singles CardMarket Profit]]/tbl_MTG_Set[[#This Row],[Collector Booster Cost]]</f>
        <v/>
      </c>
      <c r="BO959" s="10">
        <f>tbl_MTG_Set[[#This Row],[Collector Singles CardMarket Profit]]&gt;0</f>
        <v/>
      </c>
      <c r="BP9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0">
      <c r="A960" t="n">
        <v>958</v>
      </c>
      <c r="B960" t="inlineStr">
        <is>
          <t>Portal: Three Kingdoms Promos PPTK</t>
        </is>
      </c>
      <c r="C960" t="n">
        <v>2</v>
      </c>
      <c r="D960" s="3" t="n">
        <v>36281</v>
      </c>
      <c r="F960" t="inlineStr">
        <is>
          <t>en es fr de it pt ja ko ru 汉语 漢語</t>
        </is>
      </c>
      <c r="G960" t="n">
        <v>1862</v>
      </c>
      <c r="H960">
        <f>MONTH(NOW())+12*YEAR(NOW())-MONTH(tbl_MTG_Set[[#This Row],[Released On]])-12*YEAR(tbl_MTG_Set[[#This Row],[Released On]])</f>
        <v/>
      </c>
      <c r="I960">
        <f>_xlfn.XLOOKUP(tbl_MTG_Set[[#This Row],[Type Name]], tbl_MTG_Set_Type[Set Type], tbl_MTG_Set_Type[Index], "(Set Type not found)")</f>
        <v/>
      </c>
      <c r="J960">
        <f>_xlfn.XLOOKUP(tbl_MTG_Set[[#This Row],[Type Name]], tbl_MTG_Set_Type[Set Type], tbl_MTG_Set_Type[Buy Window Month Start], "(Set Type not found)")</f>
        <v/>
      </c>
      <c r="K960" s="3">
        <f>tbl_MTG_Set[[#This Row],[Released On]]+tbl_MTG_Set[[#This Row],[Buy Window Month Start]]*365.25/12</f>
        <v/>
      </c>
      <c r="L960">
        <f>_xlfn.XLOOKUP(tbl_MTG_Set[[#This Row],[Type Name]], tbl_MTG_Set_Type[Set Type], tbl_MTG_Set_Type[Buy Window Month End], "(Set Type not found)", 0, 1)</f>
        <v/>
      </c>
      <c r="M960" s="3">
        <f>tbl_MTG_Set[[#This Row],[Released On]]+tbl_MTG_Set[[#This Row],[Buy Window Month End]]*365.25/12</f>
        <v/>
      </c>
      <c r="N960" s="3">
        <f>AND(NOW()&gt;=tbl_MTG_Set[[#This Row],[Buy Window Start]], NOW()&lt;=tbl_MTG_Set[[#This Row],[Buy Window End]])</f>
        <v/>
      </c>
      <c r="O960">
        <f>_xlfn.XLOOKUP(tbl_MTG_Set[[#This Row],[Type Name]], tbl_MTG_Set_Type[Set Type], tbl_MTG_Set_Type[Heavy Printing Window Month Start], "(Set Type not found)", 0, 1)</f>
        <v/>
      </c>
      <c r="P960" s="3">
        <f>tbl_MTG_Set[[#This Row],[Released On]]+tbl_MTG_Set[[#This Row],[Heavy Printing Window Month Start]]*365.25/12</f>
        <v/>
      </c>
      <c r="Q960">
        <f>_xlfn.XLOOKUP(tbl_MTG_Set[[#This Row],[Type Name]], tbl_MTG_Set_Type[Set Type], tbl_MTG_Set_Type[Heavy Printing Window Month End], "(Set Type not found)", 0, 1)</f>
        <v/>
      </c>
      <c r="R960" s="3">
        <f>tbl_MTG_Set[[#This Row],[Released On]]+tbl_MTG_Set[[#This Row],[Heavy Printing Window Month End]]*365.25/12</f>
        <v/>
      </c>
      <c r="S960" s="3">
        <f>AND(NOW()&gt;=tbl_MTG_Set[[#This Row],[Heavy Printing Window Start]], NOW()&lt;=tbl_MTG_Set[[#This Row],[Heavy Printing Window End]])</f>
        <v/>
      </c>
      <c r="T960">
        <f>_xlfn.XLOOKUP(tbl_MTG_Set[[#This Row],[Type Name]], tbl_MTG_Set_Type[Set Type], tbl_MTG_Set_Type[Sell Window Month Start], "(Set Type not found)", 0, 1)</f>
        <v/>
      </c>
      <c r="U960" s="3">
        <f>tbl_MTG_Set[[#This Row],[Released On]]+tbl_MTG_Set[[#This Row],[Sell Window Month Start]]*365.25/12</f>
        <v/>
      </c>
      <c r="V960">
        <f>_xlfn.XLOOKUP(tbl_MTG_Set[[#This Row],[Type Name]], tbl_MTG_Set_Type[Set Type], tbl_MTG_Set_Type[Sell Window Month End], "(Set Type not found)", 0, 1)</f>
        <v/>
      </c>
      <c r="W960" s="3">
        <f>tbl_MTG_Set[[#This Row],[Released On]]+tbl_MTG_Set[[#This Row],[Sell Window Month End]]*365.25/12</f>
        <v/>
      </c>
      <c r="X960" s="3">
        <f>AND(NOW()&gt;=tbl_MTG_Set[[#This Row],[Sell Window Start]], NOW()&lt;=tbl_MTG_Set[[#This Row],[Sell Window End]])</f>
        <v/>
      </c>
      <c r="AG960" s="10" t="n"/>
      <c r="AH960" s="10" t="n"/>
      <c r="AM960" s="10">
        <f t="array" ref="AM9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0" s="10">
        <f t="array" ref="AN9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0" s="4">
        <f>_xlfn.XLOOKUP(tbl_MTG_Set[[#This Row],[Play Booster Box Product Id]], tbl_Product[Product Id], tbl_Product[Pack Size])</f>
        <v/>
      </c>
      <c r="AP960" s="10">
        <f>(tbl_MTG_Set[[#This Row],[Play Booster Box Cost]]+v_Item_Shipping_Cost_In)/tbl_MTG_Set[[#This Row],[Play Booster Box Size]]</f>
        <v/>
      </c>
      <c r="AQ960" s="10">
        <f t="array" ref="AQ96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0" s="10" t="n"/>
      <c r="AS960" s="10" t="n"/>
      <c r="AT960" s="17">
        <f>tbl_MTG_Set[[#This Row],[Play Booster CardMarket Profit]]/tbl_MTG_Set[[#This Row],[Play Booster Cost]]</f>
        <v/>
      </c>
      <c r="AU960" s="10">
        <f>_xlfn.XLOOKUP(tbl_MTG_Set[[#This Row],[Collector Booster Box Product Id]], tbl_Product[Product Id], tbl_Product[Min Cost])</f>
        <v/>
      </c>
      <c r="AV960" s="10">
        <f>_xlfn.XLOOKUP(tbl_MTG_Set[[#This Row],[Collector Booster Box Product Id]], tbl_Product[Product Id], tbl_Product[Best Source])</f>
        <v/>
      </c>
      <c r="AW960" s="4">
        <f>_xlfn.XLOOKUP(tbl_MTG_Set[[#This Row],[Collector Booster Box Product Id]], tbl_Product[Product Id], tbl_Product[Pack Size])</f>
        <v/>
      </c>
      <c r="AX960" s="10">
        <f>(tbl_MTG_Set[[#This Row],[Collector Booster Box Cost]] + v_Item_Shipping_Cost_In) / tbl_MTG_Set[[#This Row],[Collector Booster Box Size]]</f>
        <v/>
      </c>
      <c r="AY960" s="10">
        <f t="array" ref="AY96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0" s="10" t="n"/>
      <c r="BA9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0" s="17">
        <f>tbl_MTG_Set[[#This Row],[Collector Booster CardMarket Profit]]/tbl_MTG_Set[[#This Row],[Collector Booster Cost]]</f>
        <v/>
      </c>
      <c r="BC960" s="10" t="n"/>
      <c r="BF960" s="10">
        <f>tbl_MTG_Set[[#This Row],[Play Booster Sell Price CardMarket]]*tbl_MTG_Set[[#This Row],[Play Booster Expected Market Value]]/tbl_MTG_Set[[#This Row],[Play Boost Sealed Market Value]]</f>
        <v/>
      </c>
      <c r="BG9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0" s="10">
        <f>tbl_MTG_Set[[#This Row],[Play Singles CardMarket Profit]]/tbl_MTG_Set[[#This Row],[Play Booster Cost]]</f>
        <v/>
      </c>
      <c r="BI960" s="10">
        <f>tbl_MTG_Set[[#This Row],[Play Singles CardMarket Profit]]&gt;0</f>
        <v/>
      </c>
      <c r="BJ960" s="10" t="n"/>
      <c r="BK960" s="10" t="n"/>
      <c r="BL960" s="10">
        <f>tbl_MTG_Set[[#This Row],[Collector Booster Sell Price CardMarket]]*tbl_MTG_Set[[#This Row],[Collector Booster Expected Market Value]]/tbl_MTG_Set[[#This Row],[Collector Boost Sealed Market Value]]</f>
        <v/>
      </c>
      <c r="BM9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0" s="10">
        <f>tbl_MTG_Set[[#This Row],[Collector Singles CardMarket Profit]]/tbl_MTG_Set[[#This Row],[Collector Booster Cost]]</f>
        <v/>
      </c>
      <c r="BO960" s="10">
        <f>tbl_MTG_Set[[#This Row],[Collector Singles CardMarket Profit]]&gt;0</f>
        <v/>
      </c>
      <c r="BP9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1">
      <c r="A961" t="n">
        <v>959</v>
      </c>
      <c r="B961" t="inlineStr">
        <is>
          <t>Classic Sixth Edition 6ED</t>
        </is>
      </c>
      <c r="C961" t="n">
        <v>351</v>
      </c>
      <c r="D961" s="3" t="n">
        <v>36271</v>
      </c>
      <c r="F961" t="inlineStr">
        <is>
          <t>en es fr de it pt ja ko ru 汉语 漢語</t>
        </is>
      </c>
      <c r="G961" t="n">
        <v>1864</v>
      </c>
      <c r="H961">
        <f>MONTH(NOW())+12*YEAR(NOW())-MONTH(tbl_MTG_Set[[#This Row],[Released On]])-12*YEAR(tbl_MTG_Set[[#This Row],[Released On]])</f>
        <v/>
      </c>
      <c r="I961">
        <f>_xlfn.XLOOKUP(tbl_MTG_Set[[#This Row],[Type Name]], tbl_MTG_Set_Type[Set Type], tbl_MTG_Set_Type[Index], "(Set Type not found)")</f>
        <v/>
      </c>
      <c r="J961">
        <f>_xlfn.XLOOKUP(tbl_MTG_Set[[#This Row],[Type Name]], tbl_MTG_Set_Type[Set Type], tbl_MTG_Set_Type[Buy Window Month Start], "(Set Type not found)")</f>
        <v/>
      </c>
      <c r="K961" s="3">
        <f>tbl_MTG_Set[[#This Row],[Released On]]+tbl_MTG_Set[[#This Row],[Buy Window Month Start]]*365.25/12</f>
        <v/>
      </c>
      <c r="L961">
        <f>_xlfn.XLOOKUP(tbl_MTG_Set[[#This Row],[Type Name]], tbl_MTG_Set_Type[Set Type], tbl_MTG_Set_Type[Buy Window Month End], "(Set Type not found)", 0, 1)</f>
        <v/>
      </c>
      <c r="M961" s="3">
        <f>tbl_MTG_Set[[#This Row],[Released On]]+tbl_MTG_Set[[#This Row],[Buy Window Month End]]*365.25/12</f>
        <v/>
      </c>
      <c r="N961" s="3">
        <f>AND(NOW()&gt;=tbl_MTG_Set[[#This Row],[Buy Window Start]], NOW()&lt;=tbl_MTG_Set[[#This Row],[Buy Window End]])</f>
        <v/>
      </c>
      <c r="O961">
        <f>_xlfn.XLOOKUP(tbl_MTG_Set[[#This Row],[Type Name]], tbl_MTG_Set_Type[Set Type], tbl_MTG_Set_Type[Heavy Printing Window Month Start], "(Set Type not found)", 0, 1)</f>
        <v/>
      </c>
      <c r="P961" s="3">
        <f>tbl_MTG_Set[[#This Row],[Released On]]+tbl_MTG_Set[[#This Row],[Heavy Printing Window Month Start]]*365.25/12</f>
        <v/>
      </c>
      <c r="Q961">
        <f>_xlfn.XLOOKUP(tbl_MTG_Set[[#This Row],[Type Name]], tbl_MTG_Set_Type[Set Type], tbl_MTG_Set_Type[Heavy Printing Window Month End], "(Set Type not found)", 0, 1)</f>
        <v/>
      </c>
      <c r="R961" s="3">
        <f>tbl_MTG_Set[[#This Row],[Released On]]+tbl_MTG_Set[[#This Row],[Heavy Printing Window Month End]]*365.25/12</f>
        <v/>
      </c>
      <c r="S961" s="3">
        <f>AND(NOW()&gt;=tbl_MTG_Set[[#This Row],[Heavy Printing Window Start]], NOW()&lt;=tbl_MTG_Set[[#This Row],[Heavy Printing Window End]])</f>
        <v/>
      </c>
      <c r="T961">
        <f>_xlfn.XLOOKUP(tbl_MTG_Set[[#This Row],[Type Name]], tbl_MTG_Set_Type[Set Type], tbl_MTG_Set_Type[Sell Window Month Start], "(Set Type not found)", 0, 1)</f>
        <v/>
      </c>
      <c r="U961" s="3">
        <f>tbl_MTG_Set[[#This Row],[Released On]]+tbl_MTG_Set[[#This Row],[Sell Window Month Start]]*365.25/12</f>
        <v/>
      </c>
      <c r="V961">
        <f>_xlfn.XLOOKUP(tbl_MTG_Set[[#This Row],[Type Name]], tbl_MTG_Set_Type[Set Type], tbl_MTG_Set_Type[Sell Window Month End], "(Set Type not found)", 0, 1)</f>
        <v/>
      </c>
      <c r="W961" s="3">
        <f>tbl_MTG_Set[[#This Row],[Released On]]+tbl_MTG_Set[[#This Row],[Sell Window Month End]]*365.25/12</f>
        <v/>
      </c>
      <c r="X961" s="3">
        <f>AND(NOW()&gt;=tbl_MTG_Set[[#This Row],[Sell Window Start]], NOW()&lt;=tbl_MTG_Set[[#This Row],[Sell Window End]])</f>
        <v/>
      </c>
      <c r="AG961" s="10" t="n"/>
      <c r="AH961" s="10" t="n"/>
      <c r="AM961" s="10">
        <f t="array" ref="AM9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1" s="10">
        <f t="array" ref="AN9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1" s="4">
        <f>_xlfn.XLOOKUP(tbl_MTG_Set[[#This Row],[Play Booster Box Product Id]], tbl_Product[Product Id], tbl_Product[Pack Size])</f>
        <v/>
      </c>
      <c r="AP961" s="10">
        <f>(tbl_MTG_Set[[#This Row],[Play Booster Box Cost]]+v_Item_Shipping_Cost_In)/tbl_MTG_Set[[#This Row],[Play Booster Box Size]]</f>
        <v/>
      </c>
      <c r="AQ961" s="10">
        <f t="array" ref="AQ96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1" s="10" t="n"/>
      <c r="AS961" s="10" t="n"/>
      <c r="AT961" s="17">
        <f>tbl_MTG_Set[[#This Row],[Play Booster CardMarket Profit]]/tbl_MTG_Set[[#This Row],[Play Booster Cost]]</f>
        <v/>
      </c>
      <c r="AU961" s="10">
        <f>_xlfn.XLOOKUP(tbl_MTG_Set[[#This Row],[Collector Booster Box Product Id]], tbl_Product[Product Id], tbl_Product[Min Cost])</f>
        <v/>
      </c>
      <c r="AV961" s="10">
        <f>_xlfn.XLOOKUP(tbl_MTG_Set[[#This Row],[Collector Booster Box Product Id]], tbl_Product[Product Id], tbl_Product[Best Source])</f>
        <v/>
      </c>
      <c r="AW961" s="4">
        <f>_xlfn.XLOOKUP(tbl_MTG_Set[[#This Row],[Collector Booster Box Product Id]], tbl_Product[Product Id], tbl_Product[Pack Size])</f>
        <v/>
      </c>
      <c r="AX961" s="10">
        <f>(tbl_MTG_Set[[#This Row],[Collector Booster Box Cost]] + v_Item_Shipping_Cost_In) / tbl_MTG_Set[[#This Row],[Collector Booster Box Size]]</f>
        <v/>
      </c>
      <c r="AY961" s="10">
        <f t="array" ref="AY96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1" s="10" t="n"/>
      <c r="BA9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1" s="17">
        <f>tbl_MTG_Set[[#This Row],[Collector Booster CardMarket Profit]]/tbl_MTG_Set[[#This Row],[Collector Booster Cost]]</f>
        <v/>
      </c>
      <c r="BC961" s="10" t="n"/>
      <c r="BF961" s="10">
        <f>tbl_MTG_Set[[#This Row],[Play Booster Sell Price CardMarket]]*tbl_MTG_Set[[#This Row],[Play Booster Expected Market Value]]/tbl_MTG_Set[[#This Row],[Play Boost Sealed Market Value]]</f>
        <v/>
      </c>
      <c r="BG9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1" s="10">
        <f>tbl_MTG_Set[[#This Row],[Play Singles CardMarket Profit]]/tbl_MTG_Set[[#This Row],[Play Booster Cost]]</f>
        <v/>
      </c>
      <c r="BI961" s="10">
        <f>tbl_MTG_Set[[#This Row],[Play Singles CardMarket Profit]]&gt;0</f>
        <v/>
      </c>
      <c r="BJ961" s="10" t="n"/>
      <c r="BK961" s="10" t="n"/>
      <c r="BL961" s="10">
        <f>tbl_MTG_Set[[#This Row],[Collector Booster Sell Price CardMarket]]*tbl_MTG_Set[[#This Row],[Collector Booster Expected Market Value]]/tbl_MTG_Set[[#This Row],[Collector Boost Sealed Market Value]]</f>
        <v/>
      </c>
      <c r="BM9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1" s="10">
        <f>tbl_MTG_Set[[#This Row],[Collector Singles CardMarket Profit]]/tbl_MTG_Set[[#This Row],[Collector Booster Cost]]</f>
        <v/>
      </c>
      <c r="BO961" s="10">
        <f>tbl_MTG_Set[[#This Row],[Collector Singles CardMarket Profit]]&gt;0</f>
        <v/>
      </c>
      <c r="BP9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2">
      <c r="A962" t="n">
        <v>960</v>
      </c>
      <c r="B962" t="inlineStr">
        <is>
          <t>Urza's Legacy ULG</t>
        </is>
      </c>
      <c r="C962" t="n">
        <v>143</v>
      </c>
      <c r="D962" s="3" t="n">
        <v>36206</v>
      </c>
      <c r="F962" t="inlineStr">
        <is>
          <t>en es fr de it pt ja ko ru 汉语 漢語</t>
        </is>
      </c>
      <c r="G962" t="n">
        <v>1866</v>
      </c>
      <c r="H962">
        <f>MONTH(NOW())+12*YEAR(NOW())-MONTH(tbl_MTG_Set[[#This Row],[Released On]])-12*YEAR(tbl_MTG_Set[[#This Row],[Released On]])</f>
        <v/>
      </c>
      <c r="I962">
        <f>_xlfn.XLOOKUP(tbl_MTG_Set[[#This Row],[Type Name]], tbl_MTG_Set_Type[Set Type], tbl_MTG_Set_Type[Index], "(Set Type not found)")</f>
        <v/>
      </c>
      <c r="J962">
        <f>_xlfn.XLOOKUP(tbl_MTG_Set[[#This Row],[Type Name]], tbl_MTG_Set_Type[Set Type], tbl_MTG_Set_Type[Buy Window Month Start], "(Set Type not found)")</f>
        <v/>
      </c>
      <c r="K962" s="3">
        <f>tbl_MTG_Set[[#This Row],[Released On]]+tbl_MTG_Set[[#This Row],[Buy Window Month Start]]*365.25/12</f>
        <v/>
      </c>
      <c r="L962">
        <f>_xlfn.XLOOKUP(tbl_MTG_Set[[#This Row],[Type Name]], tbl_MTG_Set_Type[Set Type], tbl_MTG_Set_Type[Buy Window Month End], "(Set Type not found)", 0, 1)</f>
        <v/>
      </c>
      <c r="M962" s="3">
        <f>tbl_MTG_Set[[#This Row],[Released On]]+tbl_MTG_Set[[#This Row],[Buy Window Month End]]*365.25/12</f>
        <v/>
      </c>
      <c r="N962" s="3">
        <f>AND(NOW()&gt;=tbl_MTG_Set[[#This Row],[Buy Window Start]], NOW()&lt;=tbl_MTG_Set[[#This Row],[Buy Window End]])</f>
        <v/>
      </c>
      <c r="O962">
        <f>_xlfn.XLOOKUP(tbl_MTG_Set[[#This Row],[Type Name]], tbl_MTG_Set_Type[Set Type], tbl_MTG_Set_Type[Heavy Printing Window Month Start], "(Set Type not found)", 0, 1)</f>
        <v/>
      </c>
      <c r="P962" s="3">
        <f>tbl_MTG_Set[[#This Row],[Released On]]+tbl_MTG_Set[[#This Row],[Heavy Printing Window Month Start]]*365.25/12</f>
        <v/>
      </c>
      <c r="Q962">
        <f>_xlfn.XLOOKUP(tbl_MTG_Set[[#This Row],[Type Name]], tbl_MTG_Set_Type[Set Type], tbl_MTG_Set_Type[Heavy Printing Window Month End], "(Set Type not found)", 0, 1)</f>
        <v/>
      </c>
      <c r="R962" s="3">
        <f>tbl_MTG_Set[[#This Row],[Released On]]+tbl_MTG_Set[[#This Row],[Heavy Printing Window Month End]]*365.25/12</f>
        <v/>
      </c>
      <c r="S962" s="3">
        <f>AND(NOW()&gt;=tbl_MTG_Set[[#This Row],[Heavy Printing Window Start]], NOW()&lt;=tbl_MTG_Set[[#This Row],[Heavy Printing Window End]])</f>
        <v/>
      </c>
      <c r="T962">
        <f>_xlfn.XLOOKUP(tbl_MTG_Set[[#This Row],[Type Name]], tbl_MTG_Set_Type[Set Type], tbl_MTG_Set_Type[Sell Window Month Start], "(Set Type not found)", 0, 1)</f>
        <v/>
      </c>
      <c r="U962" s="3">
        <f>tbl_MTG_Set[[#This Row],[Released On]]+tbl_MTG_Set[[#This Row],[Sell Window Month Start]]*365.25/12</f>
        <v/>
      </c>
      <c r="V962">
        <f>_xlfn.XLOOKUP(tbl_MTG_Set[[#This Row],[Type Name]], tbl_MTG_Set_Type[Set Type], tbl_MTG_Set_Type[Sell Window Month End], "(Set Type not found)", 0, 1)</f>
        <v/>
      </c>
      <c r="W962" s="3">
        <f>tbl_MTG_Set[[#This Row],[Released On]]+tbl_MTG_Set[[#This Row],[Sell Window Month End]]*365.25/12</f>
        <v/>
      </c>
      <c r="X962" s="3">
        <f>AND(NOW()&gt;=tbl_MTG_Set[[#This Row],[Sell Window Start]], NOW()&lt;=tbl_MTG_Set[[#This Row],[Sell Window End]])</f>
        <v/>
      </c>
      <c r="AG962" s="10" t="n"/>
      <c r="AH962" s="10" t="n"/>
      <c r="AM962" s="10">
        <f t="array" ref="AM9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2" s="10">
        <f t="array" ref="AN9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2" s="4">
        <f>_xlfn.XLOOKUP(tbl_MTG_Set[[#This Row],[Play Booster Box Product Id]], tbl_Product[Product Id], tbl_Product[Pack Size])</f>
        <v/>
      </c>
      <c r="AP962" s="10">
        <f>(tbl_MTG_Set[[#This Row],[Play Booster Box Cost]]+v_Item_Shipping_Cost_In)/tbl_MTG_Set[[#This Row],[Play Booster Box Size]]</f>
        <v/>
      </c>
      <c r="AQ962" s="10">
        <f t="array" ref="AQ96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2" s="10" t="n"/>
      <c r="AS962" s="10" t="n"/>
      <c r="AT962" s="17">
        <f>tbl_MTG_Set[[#This Row],[Play Booster CardMarket Profit]]/tbl_MTG_Set[[#This Row],[Play Booster Cost]]</f>
        <v/>
      </c>
      <c r="AU962" s="10">
        <f>_xlfn.XLOOKUP(tbl_MTG_Set[[#This Row],[Collector Booster Box Product Id]], tbl_Product[Product Id], tbl_Product[Min Cost])</f>
        <v/>
      </c>
      <c r="AV962" s="10">
        <f>_xlfn.XLOOKUP(tbl_MTG_Set[[#This Row],[Collector Booster Box Product Id]], tbl_Product[Product Id], tbl_Product[Best Source])</f>
        <v/>
      </c>
      <c r="AW962" s="4">
        <f>_xlfn.XLOOKUP(tbl_MTG_Set[[#This Row],[Collector Booster Box Product Id]], tbl_Product[Product Id], tbl_Product[Pack Size])</f>
        <v/>
      </c>
      <c r="AX962" s="10">
        <f>(tbl_MTG_Set[[#This Row],[Collector Booster Box Cost]] + v_Item_Shipping_Cost_In) / tbl_MTG_Set[[#This Row],[Collector Booster Box Size]]</f>
        <v/>
      </c>
      <c r="AY962" s="10">
        <f t="array" ref="AY96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2" s="10" t="n"/>
      <c r="BA9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2" s="17">
        <f>tbl_MTG_Set[[#This Row],[Collector Booster CardMarket Profit]]/tbl_MTG_Set[[#This Row],[Collector Booster Cost]]</f>
        <v/>
      </c>
      <c r="BC962" s="10" t="n"/>
      <c r="BF962" s="10">
        <f>tbl_MTG_Set[[#This Row],[Play Booster Sell Price CardMarket]]*tbl_MTG_Set[[#This Row],[Play Booster Expected Market Value]]/tbl_MTG_Set[[#This Row],[Play Boost Sealed Market Value]]</f>
        <v/>
      </c>
      <c r="BG9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2" s="10">
        <f>tbl_MTG_Set[[#This Row],[Play Singles CardMarket Profit]]/tbl_MTG_Set[[#This Row],[Play Booster Cost]]</f>
        <v/>
      </c>
      <c r="BI962" s="10">
        <f>tbl_MTG_Set[[#This Row],[Play Singles CardMarket Profit]]&gt;0</f>
        <v/>
      </c>
      <c r="BJ962" s="10" t="n"/>
      <c r="BK962" s="10" t="n"/>
      <c r="BL962" s="10">
        <f>tbl_MTG_Set[[#This Row],[Collector Booster Sell Price CardMarket]]*tbl_MTG_Set[[#This Row],[Collector Booster Expected Market Value]]/tbl_MTG_Set[[#This Row],[Collector Boost Sealed Market Value]]</f>
        <v/>
      </c>
      <c r="BM9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2" s="10">
        <f>tbl_MTG_Set[[#This Row],[Collector Singles CardMarket Profit]]/tbl_MTG_Set[[#This Row],[Collector Booster Cost]]</f>
        <v/>
      </c>
      <c r="BO962" s="10">
        <f>tbl_MTG_Set[[#This Row],[Collector Singles CardMarket Profit]]&gt;0</f>
        <v/>
      </c>
      <c r="BP9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3">
      <c r="A963" t="n">
        <v>961</v>
      </c>
      <c r="B963" t="inlineStr">
        <is>
          <t>Urza's Legacy Promos PULG</t>
        </is>
      </c>
      <c r="C963" t="n">
        <v>2</v>
      </c>
      <c r="D963" s="3" t="n">
        <v>36206</v>
      </c>
      <c r="F963" t="inlineStr">
        <is>
          <t>en es fr de it pt ja ko ru 汉语 漢語</t>
        </is>
      </c>
      <c r="G963" t="n">
        <v>1868</v>
      </c>
      <c r="H963">
        <f>MONTH(NOW())+12*YEAR(NOW())-MONTH(tbl_MTG_Set[[#This Row],[Released On]])-12*YEAR(tbl_MTG_Set[[#This Row],[Released On]])</f>
        <v/>
      </c>
      <c r="I963">
        <f>_xlfn.XLOOKUP(tbl_MTG_Set[[#This Row],[Type Name]], tbl_MTG_Set_Type[Set Type], tbl_MTG_Set_Type[Index], "(Set Type not found)")</f>
        <v/>
      </c>
      <c r="J963">
        <f>_xlfn.XLOOKUP(tbl_MTG_Set[[#This Row],[Type Name]], tbl_MTG_Set_Type[Set Type], tbl_MTG_Set_Type[Buy Window Month Start], "(Set Type not found)")</f>
        <v/>
      </c>
      <c r="K963" s="3">
        <f>tbl_MTG_Set[[#This Row],[Released On]]+tbl_MTG_Set[[#This Row],[Buy Window Month Start]]*365.25/12</f>
        <v/>
      </c>
      <c r="L963">
        <f>_xlfn.XLOOKUP(tbl_MTG_Set[[#This Row],[Type Name]], tbl_MTG_Set_Type[Set Type], tbl_MTG_Set_Type[Buy Window Month End], "(Set Type not found)", 0, 1)</f>
        <v/>
      </c>
      <c r="M963" s="3">
        <f>tbl_MTG_Set[[#This Row],[Released On]]+tbl_MTG_Set[[#This Row],[Buy Window Month End]]*365.25/12</f>
        <v/>
      </c>
      <c r="N963" s="3">
        <f>AND(NOW()&gt;=tbl_MTG_Set[[#This Row],[Buy Window Start]], NOW()&lt;=tbl_MTG_Set[[#This Row],[Buy Window End]])</f>
        <v/>
      </c>
      <c r="O963">
        <f>_xlfn.XLOOKUP(tbl_MTG_Set[[#This Row],[Type Name]], tbl_MTG_Set_Type[Set Type], tbl_MTG_Set_Type[Heavy Printing Window Month Start], "(Set Type not found)", 0, 1)</f>
        <v/>
      </c>
      <c r="P963" s="3">
        <f>tbl_MTG_Set[[#This Row],[Released On]]+tbl_MTG_Set[[#This Row],[Heavy Printing Window Month Start]]*365.25/12</f>
        <v/>
      </c>
      <c r="Q963">
        <f>_xlfn.XLOOKUP(tbl_MTG_Set[[#This Row],[Type Name]], tbl_MTG_Set_Type[Set Type], tbl_MTG_Set_Type[Heavy Printing Window Month End], "(Set Type not found)", 0, 1)</f>
        <v/>
      </c>
      <c r="R963" s="3">
        <f>tbl_MTG_Set[[#This Row],[Released On]]+tbl_MTG_Set[[#This Row],[Heavy Printing Window Month End]]*365.25/12</f>
        <v/>
      </c>
      <c r="S963" s="3">
        <f>AND(NOW()&gt;=tbl_MTG_Set[[#This Row],[Heavy Printing Window Start]], NOW()&lt;=tbl_MTG_Set[[#This Row],[Heavy Printing Window End]])</f>
        <v/>
      </c>
      <c r="T963">
        <f>_xlfn.XLOOKUP(tbl_MTG_Set[[#This Row],[Type Name]], tbl_MTG_Set_Type[Set Type], tbl_MTG_Set_Type[Sell Window Month Start], "(Set Type not found)", 0, 1)</f>
        <v/>
      </c>
      <c r="U963" s="3">
        <f>tbl_MTG_Set[[#This Row],[Released On]]+tbl_MTG_Set[[#This Row],[Sell Window Month Start]]*365.25/12</f>
        <v/>
      </c>
      <c r="V963">
        <f>_xlfn.XLOOKUP(tbl_MTG_Set[[#This Row],[Type Name]], tbl_MTG_Set_Type[Set Type], tbl_MTG_Set_Type[Sell Window Month End], "(Set Type not found)", 0, 1)</f>
        <v/>
      </c>
      <c r="W963" s="3">
        <f>tbl_MTG_Set[[#This Row],[Released On]]+tbl_MTG_Set[[#This Row],[Sell Window Month End]]*365.25/12</f>
        <v/>
      </c>
      <c r="X963" s="3">
        <f>AND(NOW()&gt;=tbl_MTG_Set[[#This Row],[Sell Window Start]], NOW()&lt;=tbl_MTG_Set[[#This Row],[Sell Window End]])</f>
        <v/>
      </c>
      <c r="AG963" s="10" t="n"/>
      <c r="AH963" s="10" t="n"/>
      <c r="AM963" s="10">
        <f t="array" ref="AM9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3" s="10">
        <f t="array" ref="AN9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3" s="4">
        <f>_xlfn.XLOOKUP(tbl_MTG_Set[[#This Row],[Play Booster Box Product Id]], tbl_Product[Product Id], tbl_Product[Pack Size])</f>
        <v/>
      </c>
      <c r="AP963" s="10">
        <f>(tbl_MTG_Set[[#This Row],[Play Booster Box Cost]]+v_Item_Shipping_Cost_In)/tbl_MTG_Set[[#This Row],[Play Booster Box Size]]</f>
        <v/>
      </c>
      <c r="AQ963" s="10">
        <f t="array" ref="AQ96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3" s="10" t="n"/>
      <c r="AS963" s="10" t="n"/>
      <c r="AT963" s="17">
        <f>tbl_MTG_Set[[#This Row],[Play Booster CardMarket Profit]]/tbl_MTG_Set[[#This Row],[Play Booster Cost]]</f>
        <v/>
      </c>
      <c r="AU963" s="10">
        <f>_xlfn.XLOOKUP(tbl_MTG_Set[[#This Row],[Collector Booster Box Product Id]], tbl_Product[Product Id], tbl_Product[Min Cost])</f>
        <v/>
      </c>
      <c r="AV963" s="10">
        <f>_xlfn.XLOOKUP(tbl_MTG_Set[[#This Row],[Collector Booster Box Product Id]], tbl_Product[Product Id], tbl_Product[Best Source])</f>
        <v/>
      </c>
      <c r="AW963" s="4">
        <f>_xlfn.XLOOKUP(tbl_MTG_Set[[#This Row],[Collector Booster Box Product Id]], tbl_Product[Product Id], tbl_Product[Pack Size])</f>
        <v/>
      </c>
      <c r="AX963" s="10">
        <f>(tbl_MTG_Set[[#This Row],[Collector Booster Box Cost]] + v_Item_Shipping_Cost_In) / tbl_MTG_Set[[#This Row],[Collector Booster Box Size]]</f>
        <v/>
      </c>
      <c r="AY963" s="10">
        <f t="array" ref="AY96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3" s="10" t="n"/>
      <c r="BA9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3" s="17">
        <f>tbl_MTG_Set[[#This Row],[Collector Booster CardMarket Profit]]/tbl_MTG_Set[[#This Row],[Collector Booster Cost]]</f>
        <v/>
      </c>
      <c r="BC963" s="10" t="n"/>
      <c r="BF963" s="10">
        <f>tbl_MTG_Set[[#This Row],[Play Booster Sell Price CardMarket]]*tbl_MTG_Set[[#This Row],[Play Booster Expected Market Value]]/tbl_MTG_Set[[#This Row],[Play Boost Sealed Market Value]]</f>
        <v/>
      </c>
      <c r="BG9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3" s="10">
        <f>tbl_MTG_Set[[#This Row],[Play Singles CardMarket Profit]]/tbl_MTG_Set[[#This Row],[Play Booster Cost]]</f>
        <v/>
      </c>
      <c r="BI963" s="10">
        <f>tbl_MTG_Set[[#This Row],[Play Singles CardMarket Profit]]&gt;0</f>
        <v/>
      </c>
      <c r="BJ963" s="10" t="n"/>
      <c r="BK963" s="10" t="n"/>
      <c r="BL963" s="10">
        <f>tbl_MTG_Set[[#This Row],[Collector Booster Sell Price CardMarket]]*tbl_MTG_Set[[#This Row],[Collector Booster Expected Market Value]]/tbl_MTG_Set[[#This Row],[Collector Boost Sealed Market Value]]</f>
        <v/>
      </c>
      <c r="BM9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3" s="10">
        <f>tbl_MTG_Set[[#This Row],[Collector Singles CardMarket Profit]]/tbl_MTG_Set[[#This Row],[Collector Booster Cost]]</f>
        <v/>
      </c>
      <c r="BO963" s="10">
        <f>tbl_MTG_Set[[#This Row],[Collector Singles CardMarket Profit]]&gt;0</f>
        <v/>
      </c>
      <c r="BP9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4">
      <c r="A964" t="n">
        <v>962</v>
      </c>
      <c r="B964" t="inlineStr">
        <is>
          <t>Arena League 1999 PAL99</t>
        </is>
      </c>
      <c r="C964" t="n">
        <v>10</v>
      </c>
      <c r="D964" s="3" t="n">
        <v>36161</v>
      </c>
      <c r="F964" t="inlineStr">
        <is>
          <t>en es fr de it pt ja ko ru 汉语 漢語</t>
        </is>
      </c>
      <c r="G964" t="n">
        <v>1870</v>
      </c>
      <c r="H964">
        <f>MONTH(NOW())+12*YEAR(NOW())-MONTH(tbl_MTG_Set[[#This Row],[Released On]])-12*YEAR(tbl_MTG_Set[[#This Row],[Released On]])</f>
        <v/>
      </c>
      <c r="I964">
        <f>_xlfn.XLOOKUP(tbl_MTG_Set[[#This Row],[Type Name]], tbl_MTG_Set_Type[Set Type], tbl_MTG_Set_Type[Index], "(Set Type not found)")</f>
        <v/>
      </c>
      <c r="J964">
        <f>_xlfn.XLOOKUP(tbl_MTG_Set[[#This Row],[Type Name]], tbl_MTG_Set_Type[Set Type], tbl_MTG_Set_Type[Buy Window Month Start], "(Set Type not found)")</f>
        <v/>
      </c>
      <c r="K964" s="3">
        <f>tbl_MTG_Set[[#This Row],[Released On]]+tbl_MTG_Set[[#This Row],[Buy Window Month Start]]*365.25/12</f>
        <v/>
      </c>
      <c r="L964">
        <f>_xlfn.XLOOKUP(tbl_MTG_Set[[#This Row],[Type Name]], tbl_MTG_Set_Type[Set Type], tbl_MTG_Set_Type[Buy Window Month End], "(Set Type not found)", 0, 1)</f>
        <v/>
      </c>
      <c r="M964" s="3">
        <f>tbl_MTG_Set[[#This Row],[Released On]]+tbl_MTG_Set[[#This Row],[Buy Window Month End]]*365.25/12</f>
        <v/>
      </c>
      <c r="N964" s="3">
        <f>AND(NOW()&gt;=tbl_MTG_Set[[#This Row],[Buy Window Start]], NOW()&lt;=tbl_MTG_Set[[#This Row],[Buy Window End]])</f>
        <v/>
      </c>
      <c r="O964">
        <f>_xlfn.XLOOKUP(tbl_MTG_Set[[#This Row],[Type Name]], tbl_MTG_Set_Type[Set Type], tbl_MTG_Set_Type[Heavy Printing Window Month Start], "(Set Type not found)", 0, 1)</f>
        <v/>
      </c>
      <c r="P964" s="3">
        <f>tbl_MTG_Set[[#This Row],[Released On]]+tbl_MTG_Set[[#This Row],[Heavy Printing Window Month Start]]*365.25/12</f>
        <v/>
      </c>
      <c r="Q964">
        <f>_xlfn.XLOOKUP(tbl_MTG_Set[[#This Row],[Type Name]], tbl_MTG_Set_Type[Set Type], tbl_MTG_Set_Type[Heavy Printing Window Month End], "(Set Type not found)", 0, 1)</f>
        <v/>
      </c>
      <c r="R964" s="3">
        <f>tbl_MTG_Set[[#This Row],[Released On]]+tbl_MTG_Set[[#This Row],[Heavy Printing Window Month End]]*365.25/12</f>
        <v/>
      </c>
      <c r="S964" s="3">
        <f>AND(NOW()&gt;=tbl_MTG_Set[[#This Row],[Heavy Printing Window Start]], NOW()&lt;=tbl_MTG_Set[[#This Row],[Heavy Printing Window End]])</f>
        <v/>
      </c>
      <c r="T964">
        <f>_xlfn.XLOOKUP(tbl_MTG_Set[[#This Row],[Type Name]], tbl_MTG_Set_Type[Set Type], tbl_MTG_Set_Type[Sell Window Month Start], "(Set Type not found)", 0, 1)</f>
        <v/>
      </c>
      <c r="U964" s="3">
        <f>tbl_MTG_Set[[#This Row],[Released On]]+tbl_MTG_Set[[#This Row],[Sell Window Month Start]]*365.25/12</f>
        <v/>
      </c>
      <c r="V964">
        <f>_xlfn.XLOOKUP(tbl_MTG_Set[[#This Row],[Type Name]], tbl_MTG_Set_Type[Set Type], tbl_MTG_Set_Type[Sell Window Month End], "(Set Type not found)", 0, 1)</f>
        <v/>
      </c>
      <c r="W964" s="3">
        <f>tbl_MTG_Set[[#This Row],[Released On]]+tbl_MTG_Set[[#This Row],[Sell Window Month End]]*365.25/12</f>
        <v/>
      </c>
      <c r="X964" s="3">
        <f>AND(NOW()&gt;=tbl_MTG_Set[[#This Row],[Sell Window Start]], NOW()&lt;=tbl_MTG_Set[[#This Row],[Sell Window End]])</f>
        <v/>
      </c>
      <c r="AG964" s="10" t="n"/>
      <c r="AH964" s="10" t="n"/>
      <c r="AM964" s="10">
        <f t="array" ref="AM9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4" s="10">
        <f t="array" ref="AN9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4" s="4">
        <f>_xlfn.XLOOKUP(tbl_MTG_Set[[#This Row],[Play Booster Box Product Id]], tbl_Product[Product Id], tbl_Product[Pack Size])</f>
        <v/>
      </c>
      <c r="AP964" s="10">
        <f>(tbl_MTG_Set[[#This Row],[Play Booster Box Cost]]+v_Item_Shipping_Cost_In)/tbl_MTG_Set[[#This Row],[Play Booster Box Size]]</f>
        <v/>
      </c>
      <c r="AQ964" s="10">
        <f t="array" ref="AQ96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4" s="10" t="n"/>
      <c r="AS964" s="10" t="n"/>
      <c r="AT964" s="17">
        <f>tbl_MTG_Set[[#This Row],[Play Booster CardMarket Profit]]/tbl_MTG_Set[[#This Row],[Play Booster Cost]]</f>
        <v/>
      </c>
      <c r="AU964" s="10">
        <f>_xlfn.XLOOKUP(tbl_MTG_Set[[#This Row],[Collector Booster Box Product Id]], tbl_Product[Product Id], tbl_Product[Min Cost])</f>
        <v/>
      </c>
      <c r="AV964" s="10">
        <f>_xlfn.XLOOKUP(tbl_MTG_Set[[#This Row],[Collector Booster Box Product Id]], tbl_Product[Product Id], tbl_Product[Best Source])</f>
        <v/>
      </c>
      <c r="AW964" s="4">
        <f>_xlfn.XLOOKUP(tbl_MTG_Set[[#This Row],[Collector Booster Box Product Id]], tbl_Product[Product Id], tbl_Product[Pack Size])</f>
        <v/>
      </c>
      <c r="AX964" s="10">
        <f>(tbl_MTG_Set[[#This Row],[Collector Booster Box Cost]] + v_Item_Shipping_Cost_In) / tbl_MTG_Set[[#This Row],[Collector Booster Box Size]]</f>
        <v/>
      </c>
      <c r="AY964" s="10">
        <f t="array" ref="AY96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4" s="10" t="n"/>
      <c r="BA9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4" s="17">
        <f>tbl_MTG_Set[[#This Row],[Collector Booster CardMarket Profit]]/tbl_MTG_Set[[#This Row],[Collector Booster Cost]]</f>
        <v/>
      </c>
      <c r="BC964" s="10" t="n"/>
      <c r="BF964" s="10">
        <f>tbl_MTG_Set[[#This Row],[Play Booster Sell Price CardMarket]]*tbl_MTG_Set[[#This Row],[Play Booster Expected Market Value]]/tbl_MTG_Set[[#This Row],[Play Boost Sealed Market Value]]</f>
        <v/>
      </c>
      <c r="BG9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4" s="10">
        <f>tbl_MTG_Set[[#This Row],[Play Singles CardMarket Profit]]/tbl_MTG_Set[[#This Row],[Play Booster Cost]]</f>
        <v/>
      </c>
      <c r="BI964" s="10">
        <f>tbl_MTG_Set[[#This Row],[Play Singles CardMarket Profit]]&gt;0</f>
        <v/>
      </c>
      <c r="BJ964" s="10" t="n"/>
      <c r="BK964" s="10" t="n"/>
      <c r="BL964" s="10">
        <f>tbl_MTG_Set[[#This Row],[Collector Booster Sell Price CardMarket]]*tbl_MTG_Set[[#This Row],[Collector Booster Expected Market Value]]/tbl_MTG_Set[[#This Row],[Collector Boost Sealed Market Value]]</f>
        <v/>
      </c>
      <c r="BM9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4" s="10">
        <f>tbl_MTG_Set[[#This Row],[Collector Singles CardMarket Profit]]/tbl_MTG_Set[[#This Row],[Collector Booster Cost]]</f>
        <v/>
      </c>
      <c r="BO964" s="10">
        <f>tbl_MTG_Set[[#This Row],[Collector Singles CardMarket Profit]]&gt;0</f>
        <v/>
      </c>
      <c r="BP9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5">
      <c r="A965" t="n">
        <v>963</v>
      </c>
      <c r="B965" t="inlineStr">
        <is>
          <t>Judge Gift Cards 1999 G99</t>
        </is>
      </c>
      <c r="C965" t="n">
        <v>1</v>
      </c>
      <c r="D965" s="3" t="n">
        <v>36161</v>
      </c>
      <c r="F965" t="inlineStr">
        <is>
          <t>en es fr de it pt ja ko ru 汉语 漢語</t>
        </is>
      </c>
      <c r="G965" t="n">
        <v>1872</v>
      </c>
      <c r="H965">
        <f>MONTH(NOW())+12*YEAR(NOW())-MONTH(tbl_MTG_Set[[#This Row],[Released On]])-12*YEAR(tbl_MTG_Set[[#This Row],[Released On]])</f>
        <v/>
      </c>
      <c r="I965">
        <f>_xlfn.XLOOKUP(tbl_MTG_Set[[#This Row],[Type Name]], tbl_MTG_Set_Type[Set Type], tbl_MTG_Set_Type[Index], "(Set Type not found)")</f>
        <v/>
      </c>
      <c r="J965">
        <f>_xlfn.XLOOKUP(tbl_MTG_Set[[#This Row],[Type Name]], tbl_MTG_Set_Type[Set Type], tbl_MTG_Set_Type[Buy Window Month Start], "(Set Type not found)")</f>
        <v/>
      </c>
      <c r="K965" s="3">
        <f>tbl_MTG_Set[[#This Row],[Released On]]+tbl_MTG_Set[[#This Row],[Buy Window Month Start]]*365.25/12</f>
        <v/>
      </c>
      <c r="L965">
        <f>_xlfn.XLOOKUP(tbl_MTG_Set[[#This Row],[Type Name]], tbl_MTG_Set_Type[Set Type], tbl_MTG_Set_Type[Buy Window Month End], "(Set Type not found)", 0, 1)</f>
        <v/>
      </c>
      <c r="M965" s="3">
        <f>tbl_MTG_Set[[#This Row],[Released On]]+tbl_MTG_Set[[#This Row],[Buy Window Month End]]*365.25/12</f>
        <v/>
      </c>
      <c r="N965" s="3">
        <f>AND(NOW()&gt;=tbl_MTG_Set[[#This Row],[Buy Window Start]], NOW()&lt;=tbl_MTG_Set[[#This Row],[Buy Window End]])</f>
        <v/>
      </c>
      <c r="O965">
        <f>_xlfn.XLOOKUP(tbl_MTG_Set[[#This Row],[Type Name]], tbl_MTG_Set_Type[Set Type], tbl_MTG_Set_Type[Heavy Printing Window Month Start], "(Set Type not found)", 0, 1)</f>
        <v/>
      </c>
      <c r="P965" s="3">
        <f>tbl_MTG_Set[[#This Row],[Released On]]+tbl_MTG_Set[[#This Row],[Heavy Printing Window Month Start]]*365.25/12</f>
        <v/>
      </c>
      <c r="Q965">
        <f>_xlfn.XLOOKUP(tbl_MTG_Set[[#This Row],[Type Name]], tbl_MTG_Set_Type[Set Type], tbl_MTG_Set_Type[Heavy Printing Window Month End], "(Set Type not found)", 0, 1)</f>
        <v/>
      </c>
      <c r="R965" s="3">
        <f>tbl_MTG_Set[[#This Row],[Released On]]+tbl_MTG_Set[[#This Row],[Heavy Printing Window Month End]]*365.25/12</f>
        <v/>
      </c>
      <c r="S965" s="3">
        <f>AND(NOW()&gt;=tbl_MTG_Set[[#This Row],[Heavy Printing Window Start]], NOW()&lt;=tbl_MTG_Set[[#This Row],[Heavy Printing Window End]])</f>
        <v/>
      </c>
      <c r="T965">
        <f>_xlfn.XLOOKUP(tbl_MTG_Set[[#This Row],[Type Name]], tbl_MTG_Set_Type[Set Type], tbl_MTG_Set_Type[Sell Window Month Start], "(Set Type not found)", 0, 1)</f>
        <v/>
      </c>
      <c r="U965" s="3">
        <f>tbl_MTG_Set[[#This Row],[Released On]]+tbl_MTG_Set[[#This Row],[Sell Window Month Start]]*365.25/12</f>
        <v/>
      </c>
      <c r="V965">
        <f>_xlfn.XLOOKUP(tbl_MTG_Set[[#This Row],[Type Name]], tbl_MTG_Set_Type[Set Type], tbl_MTG_Set_Type[Sell Window Month End], "(Set Type not found)", 0, 1)</f>
        <v/>
      </c>
      <c r="W965" s="3">
        <f>tbl_MTG_Set[[#This Row],[Released On]]+tbl_MTG_Set[[#This Row],[Sell Window Month End]]*365.25/12</f>
        <v/>
      </c>
      <c r="X965" s="3">
        <f>AND(NOW()&gt;=tbl_MTG_Set[[#This Row],[Sell Window Start]], NOW()&lt;=tbl_MTG_Set[[#This Row],[Sell Window End]])</f>
        <v/>
      </c>
      <c r="AG965" s="10" t="n"/>
      <c r="AH965" s="10" t="n"/>
      <c r="AM965" s="10">
        <f t="array" ref="AM9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5" s="10">
        <f t="array" ref="AN9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5" s="4">
        <f>_xlfn.XLOOKUP(tbl_MTG_Set[[#This Row],[Play Booster Box Product Id]], tbl_Product[Product Id], tbl_Product[Pack Size])</f>
        <v/>
      </c>
      <c r="AP965" s="10">
        <f>(tbl_MTG_Set[[#This Row],[Play Booster Box Cost]]+v_Item_Shipping_Cost_In)/tbl_MTG_Set[[#This Row],[Play Booster Box Size]]</f>
        <v/>
      </c>
      <c r="AQ965" s="10">
        <f t="array" ref="AQ96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5" s="10" t="n"/>
      <c r="AS965" s="10" t="n"/>
      <c r="AT965" s="17">
        <f>tbl_MTG_Set[[#This Row],[Play Booster CardMarket Profit]]/tbl_MTG_Set[[#This Row],[Play Booster Cost]]</f>
        <v/>
      </c>
      <c r="AU965" s="10">
        <f>_xlfn.XLOOKUP(tbl_MTG_Set[[#This Row],[Collector Booster Box Product Id]], tbl_Product[Product Id], tbl_Product[Min Cost])</f>
        <v/>
      </c>
      <c r="AV965" s="10">
        <f>_xlfn.XLOOKUP(tbl_MTG_Set[[#This Row],[Collector Booster Box Product Id]], tbl_Product[Product Id], tbl_Product[Best Source])</f>
        <v/>
      </c>
      <c r="AW965" s="4">
        <f>_xlfn.XLOOKUP(tbl_MTG_Set[[#This Row],[Collector Booster Box Product Id]], tbl_Product[Product Id], tbl_Product[Pack Size])</f>
        <v/>
      </c>
      <c r="AX965" s="10">
        <f>(tbl_MTG_Set[[#This Row],[Collector Booster Box Cost]] + v_Item_Shipping_Cost_In) / tbl_MTG_Set[[#This Row],[Collector Booster Box Size]]</f>
        <v/>
      </c>
      <c r="AY965" s="10">
        <f t="array" ref="AY96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5" s="10" t="n"/>
      <c r="BA9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5" s="17">
        <f>tbl_MTG_Set[[#This Row],[Collector Booster CardMarket Profit]]/tbl_MTG_Set[[#This Row],[Collector Booster Cost]]</f>
        <v/>
      </c>
      <c r="BC965" s="10" t="n"/>
      <c r="BF965" s="10">
        <f>tbl_MTG_Set[[#This Row],[Play Booster Sell Price CardMarket]]*tbl_MTG_Set[[#This Row],[Play Booster Expected Market Value]]/tbl_MTG_Set[[#This Row],[Play Boost Sealed Market Value]]</f>
        <v/>
      </c>
      <c r="BG9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5" s="10">
        <f>tbl_MTG_Set[[#This Row],[Play Singles CardMarket Profit]]/tbl_MTG_Set[[#This Row],[Play Booster Cost]]</f>
        <v/>
      </c>
      <c r="BI965" s="10">
        <f>tbl_MTG_Set[[#This Row],[Play Singles CardMarket Profit]]&gt;0</f>
        <v/>
      </c>
      <c r="BJ965" s="10" t="n"/>
      <c r="BK965" s="10" t="n"/>
      <c r="BL965" s="10">
        <f>tbl_MTG_Set[[#This Row],[Collector Booster Sell Price CardMarket]]*tbl_MTG_Set[[#This Row],[Collector Booster Expected Market Value]]/tbl_MTG_Set[[#This Row],[Collector Boost Sealed Market Value]]</f>
        <v/>
      </c>
      <c r="BM9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5" s="10">
        <f>tbl_MTG_Set[[#This Row],[Collector Singles CardMarket Profit]]/tbl_MTG_Set[[#This Row],[Collector Booster Cost]]</f>
        <v/>
      </c>
      <c r="BO965" s="10">
        <f>tbl_MTG_Set[[#This Row],[Collector Singles CardMarket Profit]]&gt;0</f>
        <v/>
      </c>
      <c r="BP9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6">
      <c r="A966" t="n">
        <v>964</v>
      </c>
      <c r="B966" t="inlineStr">
        <is>
          <t>Anthologies ATH</t>
        </is>
      </c>
      <c r="C966" t="n">
        <v>85</v>
      </c>
      <c r="D966" s="3" t="n">
        <v>36100</v>
      </c>
      <c r="F966" t="inlineStr">
        <is>
          <t>en es fr de it pt ja ko ru 汉语 漢語</t>
        </is>
      </c>
      <c r="G966" t="n">
        <v>1874</v>
      </c>
      <c r="H966">
        <f>MONTH(NOW())+12*YEAR(NOW())-MONTH(tbl_MTG_Set[[#This Row],[Released On]])-12*YEAR(tbl_MTG_Set[[#This Row],[Released On]])</f>
        <v/>
      </c>
      <c r="I966">
        <f>_xlfn.XLOOKUP(tbl_MTG_Set[[#This Row],[Type Name]], tbl_MTG_Set_Type[Set Type], tbl_MTG_Set_Type[Index], "(Set Type not found)")</f>
        <v/>
      </c>
      <c r="J966">
        <f>_xlfn.XLOOKUP(tbl_MTG_Set[[#This Row],[Type Name]], tbl_MTG_Set_Type[Set Type], tbl_MTG_Set_Type[Buy Window Month Start], "(Set Type not found)")</f>
        <v/>
      </c>
      <c r="K966" s="3">
        <f>tbl_MTG_Set[[#This Row],[Released On]]+tbl_MTG_Set[[#This Row],[Buy Window Month Start]]*365.25/12</f>
        <v/>
      </c>
      <c r="L966">
        <f>_xlfn.XLOOKUP(tbl_MTG_Set[[#This Row],[Type Name]], tbl_MTG_Set_Type[Set Type], tbl_MTG_Set_Type[Buy Window Month End], "(Set Type not found)", 0, 1)</f>
        <v/>
      </c>
      <c r="M966" s="3">
        <f>tbl_MTG_Set[[#This Row],[Released On]]+tbl_MTG_Set[[#This Row],[Buy Window Month End]]*365.25/12</f>
        <v/>
      </c>
      <c r="N966" s="3">
        <f>AND(NOW()&gt;=tbl_MTG_Set[[#This Row],[Buy Window Start]], NOW()&lt;=tbl_MTG_Set[[#This Row],[Buy Window End]])</f>
        <v/>
      </c>
      <c r="O966">
        <f>_xlfn.XLOOKUP(tbl_MTG_Set[[#This Row],[Type Name]], tbl_MTG_Set_Type[Set Type], tbl_MTG_Set_Type[Heavy Printing Window Month Start], "(Set Type not found)", 0, 1)</f>
        <v/>
      </c>
      <c r="P966" s="3">
        <f>tbl_MTG_Set[[#This Row],[Released On]]+tbl_MTG_Set[[#This Row],[Heavy Printing Window Month Start]]*365.25/12</f>
        <v/>
      </c>
      <c r="Q966">
        <f>_xlfn.XLOOKUP(tbl_MTG_Set[[#This Row],[Type Name]], tbl_MTG_Set_Type[Set Type], tbl_MTG_Set_Type[Heavy Printing Window Month End], "(Set Type not found)", 0, 1)</f>
        <v/>
      </c>
      <c r="R966" s="3">
        <f>tbl_MTG_Set[[#This Row],[Released On]]+tbl_MTG_Set[[#This Row],[Heavy Printing Window Month End]]*365.25/12</f>
        <v/>
      </c>
      <c r="S966" s="3">
        <f>AND(NOW()&gt;=tbl_MTG_Set[[#This Row],[Heavy Printing Window Start]], NOW()&lt;=tbl_MTG_Set[[#This Row],[Heavy Printing Window End]])</f>
        <v/>
      </c>
      <c r="T966">
        <f>_xlfn.XLOOKUP(tbl_MTG_Set[[#This Row],[Type Name]], tbl_MTG_Set_Type[Set Type], tbl_MTG_Set_Type[Sell Window Month Start], "(Set Type not found)", 0, 1)</f>
        <v/>
      </c>
      <c r="U966" s="3">
        <f>tbl_MTG_Set[[#This Row],[Released On]]+tbl_MTG_Set[[#This Row],[Sell Window Month Start]]*365.25/12</f>
        <v/>
      </c>
      <c r="V966">
        <f>_xlfn.XLOOKUP(tbl_MTG_Set[[#This Row],[Type Name]], tbl_MTG_Set_Type[Set Type], tbl_MTG_Set_Type[Sell Window Month End], "(Set Type not found)", 0, 1)</f>
        <v/>
      </c>
      <c r="W966" s="3">
        <f>tbl_MTG_Set[[#This Row],[Released On]]+tbl_MTG_Set[[#This Row],[Sell Window Month End]]*365.25/12</f>
        <v/>
      </c>
      <c r="X966" s="3">
        <f>AND(NOW()&gt;=tbl_MTG_Set[[#This Row],[Sell Window Start]], NOW()&lt;=tbl_MTG_Set[[#This Row],[Sell Window End]])</f>
        <v/>
      </c>
      <c r="AG966" s="10" t="n"/>
      <c r="AH966" s="10" t="n"/>
      <c r="AM966" s="10">
        <f t="array" ref="AM9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6" s="10">
        <f t="array" ref="AN9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6" s="4">
        <f>_xlfn.XLOOKUP(tbl_MTG_Set[[#This Row],[Play Booster Box Product Id]], tbl_Product[Product Id], tbl_Product[Pack Size])</f>
        <v/>
      </c>
      <c r="AP966" s="10">
        <f>(tbl_MTG_Set[[#This Row],[Play Booster Box Cost]]+v_Item_Shipping_Cost_In)/tbl_MTG_Set[[#This Row],[Play Booster Box Size]]</f>
        <v/>
      </c>
      <c r="AQ966" s="10">
        <f t="array" ref="AQ96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6" s="10" t="n"/>
      <c r="AS966" s="10" t="n"/>
      <c r="AT966" s="17">
        <f>tbl_MTG_Set[[#This Row],[Play Booster CardMarket Profit]]/tbl_MTG_Set[[#This Row],[Play Booster Cost]]</f>
        <v/>
      </c>
      <c r="AU966" s="10">
        <f>_xlfn.XLOOKUP(tbl_MTG_Set[[#This Row],[Collector Booster Box Product Id]], tbl_Product[Product Id], tbl_Product[Min Cost])</f>
        <v/>
      </c>
      <c r="AV966" s="10">
        <f>_xlfn.XLOOKUP(tbl_MTG_Set[[#This Row],[Collector Booster Box Product Id]], tbl_Product[Product Id], tbl_Product[Best Source])</f>
        <v/>
      </c>
      <c r="AW966" s="4">
        <f>_xlfn.XLOOKUP(tbl_MTG_Set[[#This Row],[Collector Booster Box Product Id]], tbl_Product[Product Id], tbl_Product[Pack Size])</f>
        <v/>
      </c>
      <c r="AX966" s="10">
        <f>(tbl_MTG_Set[[#This Row],[Collector Booster Box Cost]] + v_Item_Shipping_Cost_In) / tbl_MTG_Set[[#This Row],[Collector Booster Box Size]]</f>
        <v/>
      </c>
      <c r="AY966" s="10">
        <f t="array" ref="AY96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6" s="10" t="n"/>
      <c r="BA9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6" s="17">
        <f>tbl_MTG_Set[[#This Row],[Collector Booster CardMarket Profit]]/tbl_MTG_Set[[#This Row],[Collector Booster Cost]]</f>
        <v/>
      </c>
      <c r="BC966" s="10" t="n"/>
      <c r="BF966" s="10">
        <f>tbl_MTG_Set[[#This Row],[Play Booster Sell Price CardMarket]]*tbl_MTG_Set[[#This Row],[Play Booster Expected Market Value]]/tbl_MTG_Set[[#This Row],[Play Boost Sealed Market Value]]</f>
        <v/>
      </c>
      <c r="BG9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6" s="10">
        <f>tbl_MTG_Set[[#This Row],[Play Singles CardMarket Profit]]/tbl_MTG_Set[[#This Row],[Play Booster Cost]]</f>
        <v/>
      </c>
      <c r="BI966" s="10">
        <f>tbl_MTG_Set[[#This Row],[Play Singles CardMarket Profit]]&gt;0</f>
        <v/>
      </c>
      <c r="BJ966" s="10" t="n"/>
      <c r="BK966" s="10" t="n"/>
      <c r="BL966" s="10">
        <f>tbl_MTG_Set[[#This Row],[Collector Booster Sell Price CardMarket]]*tbl_MTG_Set[[#This Row],[Collector Booster Expected Market Value]]/tbl_MTG_Set[[#This Row],[Collector Boost Sealed Market Value]]</f>
        <v/>
      </c>
      <c r="BM9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6" s="10">
        <f>tbl_MTG_Set[[#This Row],[Collector Singles CardMarket Profit]]/tbl_MTG_Set[[#This Row],[Collector Booster Cost]]</f>
        <v/>
      </c>
      <c r="BO966" s="10">
        <f>tbl_MTG_Set[[#This Row],[Collector Singles CardMarket Profit]]&gt;0</f>
        <v/>
      </c>
      <c r="BP9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7">
      <c r="A967" t="n">
        <v>965</v>
      </c>
      <c r="B967" t="inlineStr">
        <is>
          <t>Urza's Saga USG</t>
        </is>
      </c>
      <c r="C967" t="n">
        <v>357</v>
      </c>
      <c r="D967" s="3" t="n">
        <v>36080</v>
      </c>
      <c r="F967" t="inlineStr">
        <is>
          <t>en es fr de it pt ja ko ru 汉语 漢語</t>
        </is>
      </c>
      <c r="G967" t="n">
        <v>1876</v>
      </c>
      <c r="H967">
        <f>MONTH(NOW())+12*YEAR(NOW())-MONTH(tbl_MTG_Set[[#This Row],[Released On]])-12*YEAR(tbl_MTG_Set[[#This Row],[Released On]])</f>
        <v/>
      </c>
      <c r="I967">
        <f>_xlfn.XLOOKUP(tbl_MTG_Set[[#This Row],[Type Name]], tbl_MTG_Set_Type[Set Type], tbl_MTG_Set_Type[Index], "(Set Type not found)")</f>
        <v/>
      </c>
      <c r="J967">
        <f>_xlfn.XLOOKUP(tbl_MTG_Set[[#This Row],[Type Name]], tbl_MTG_Set_Type[Set Type], tbl_MTG_Set_Type[Buy Window Month Start], "(Set Type not found)")</f>
        <v/>
      </c>
      <c r="K967" s="3">
        <f>tbl_MTG_Set[[#This Row],[Released On]]+tbl_MTG_Set[[#This Row],[Buy Window Month Start]]*365.25/12</f>
        <v/>
      </c>
      <c r="L967">
        <f>_xlfn.XLOOKUP(tbl_MTG_Set[[#This Row],[Type Name]], tbl_MTG_Set_Type[Set Type], tbl_MTG_Set_Type[Buy Window Month End], "(Set Type not found)", 0, 1)</f>
        <v/>
      </c>
      <c r="M967" s="3">
        <f>tbl_MTG_Set[[#This Row],[Released On]]+tbl_MTG_Set[[#This Row],[Buy Window Month End]]*365.25/12</f>
        <v/>
      </c>
      <c r="N967" s="3">
        <f>AND(NOW()&gt;=tbl_MTG_Set[[#This Row],[Buy Window Start]], NOW()&lt;=tbl_MTG_Set[[#This Row],[Buy Window End]])</f>
        <v/>
      </c>
      <c r="O967">
        <f>_xlfn.XLOOKUP(tbl_MTG_Set[[#This Row],[Type Name]], tbl_MTG_Set_Type[Set Type], tbl_MTG_Set_Type[Heavy Printing Window Month Start], "(Set Type not found)", 0, 1)</f>
        <v/>
      </c>
      <c r="P967" s="3">
        <f>tbl_MTG_Set[[#This Row],[Released On]]+tbl_MTG_Set[[#This Row],[Heavy Printing Window Month Start]]*365.25/12</f>
        <v/>
      </c>
      <c r="Q967">
        <f>_xlfn.XLOOKUP(tbl_MTG_Set[[#This Row],[Type Name]], tbl_MTG_Set_Type[Set Type], tbl_MTG_Set_Type[Heavy Printing Window Month End], "(Set Type not found)", 0, 1)</f>
        <v/>
      </c>
      <c r="R967" s="3">
        <f>tbl_MTG_Set[[#This Row],[Released On]]+tbl_MTG_Set[[#This Row],[Heavy Printing Window Month End]]*365.25/12</f>
        <v/>
      </c>
      <c r="S967" s="3">
        <f>AND(NOW()&gt;=tbl_MTG_Set[[#This Row],[Heavy Printing Window Start]], NOW()&lt;=tbl_MTG_Set[[#This Row],[Heavy Printing Window End]])</f>
        <v/>
      </c>
      <c r="T967">
        <f>_xlfn.XLOOKUP(tbl_MTG_Set[[#This Row],[Type Name]], tbl_MTG_Set_Type[Set Type], tbl_MTG_Set_Type[Sell Window Month Start], "(Set Type not found)", 0, 1)</f>
        <v/>
      </c>
      <c r="U967" s="3">
        <f>tbl_MTG_Set[[#This Row],[Released On]]+tbl_MTG_Set[[#This Row],[Sell Window Month Start]]*365.25/12</f>
        <v/>
      </c>
      <c r="V967">
        <f>_xlfn.XLOOKUP(tbl_MTG_Set[[#This Row],[Type Name]], tbl_MTG_Set_Type[Set Type], tbl_MTG_Set_Type[Sell Window Month End], "(Set Type not found)", 0, 1)</f>
        <v/>
      </c>
      <c r="W967" s="3">
        <f>tbl_MTG_Set[[#This Row],[Released On]]+tbl_MTG_Set[[#This Row],[Sell Window Month End]]*365.25/12</f>
        <v/>
      </c>
      <c r="X967" s="3">
        <f>AND(NOW()&gt;=tbl_MTG_Set[[#This Row],[Sell Window Start]], NOW()&lt;=tbl_MTG_Set[[#This Row],[Sell Window End]])</f>
        <v/>
      </c>
      <c r="AG967" s="10" t="n"/>
      <c r="AH967" s="10" t="n"/>
      <c r="AM967" s="10">
        <f t="array" ref="AM9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7" s="10">
        <f t="array" ref="AN9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7" s="4">
        <f>_xlfn.XLOOKUP(tbl_MTG_Set[[#This Row],[Play Booster Box Product Id]], tbl_Product[Product Id], tbl_Product[Pack Size])</f>
        <v/>
      </c>
      <c r="AP967" s="10">
        <f>(tbl_MTG_Set[[#This Row],[Play Booster Box Cost]]+v_Item_Shipping_Cost_In)/tbl_MTG_Set[[#This Row],[Play Booster Box Size]]</f>
        <v/>
      </c>
      <c r="AQ967" s="10">
        <f t="array" ref="AQ96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7" s="10" t="n"/>
      <c r="AS967" s="10" t="n"/>
      <c r="AT967" s="17">
        <f>tbl_MTG_Set[[#This Row],[Play Booster CardMarket Profit]]/tbl_MTG_Set[[#This Row],[Play Booster Cost]]</f>
        <v/>
      </c>
      <c r="AU967" s="10">
        <f>_xlfn.XLOOKUP(tbl_MTG_Set[[#This Row],[Collector Booster Box Product Id]], tbl_Product[Product Id], tbl_Product[Min Cost])</f>
        <v/>
      </c>
      <c r="AV967" s="10">
        <f>_xlfn.XLOOKUP(tbl_MTG_Set[[#This Row],[Collector Booster Box Product Id]], tbl_Product[Product Id], tbl_Product[Best Source])</f>
        <v/>
      </c>
      <c r="AW967" s="4">
        <f>_xlfn.XLOOKUP(tbl_MTG_Set[[#This Row],[Collector Booster Box Product Id]], tbl_Product[Product Id], tbl_Product[Pack Size])</f>
        <v/>
      </c>
      <c r="AX967" s="10">
        <f>(tbl_MTG_Set[[#This Row],[Collector Booster Box Cost]] + v_Item_Shipping_Cost_In) / tbl_MTG_Set[[#This Row],[Collector Booster Box Size]]</f>
        <v/>
      </c>
      <c r="AY967" s="10">
        <f t="array" ref="AY96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7" s="10" t="n"/>
      <c r="BA9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7" s="17">
        <f>tbl_MTG_Set[[#This Row],[Collector Booster CardMarket Profit]]/tbl_MTG_Set[[#This Row],[Collector Booster Cost]]</f>
        <v/>
      </c>
      <c r="BC967" s="10" t="n"/>
      <c r="BF967" s="10">
        <f>tbl_MTG_Set[[#This Row],[Play Booster Sell Price CardMarket]]*tbl_MTG_Set[[#This Row],[Play Booster Expected Market Value]]/tbl_MTG_Set[[#This Row],[Play Boost Sealed Market Value]]</f>
        <v/>
      </c>
      <c r="BG9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7" s="10">
        <f>tbl_MTG_Set[[#This Row],[Play Singles CardMarket Profit]]/tbl_MTG_Set[[#This Row],[Play Booster Cost]]</f>
        <v/>
      </c>
      <c r="BI967" s="10">
        <f>tbl_MTG_Set[[#This Row],[Play Singles CardMarket Profit]]&gt;0</f>
        <v/>
      </c>
      <c r="BJ967" s="10" t="n"/>
      <c r="BK967" s="10" t="n"/>
      <c r="BL967" s="10">
        <f>tbl_MTG_Set[[#This Row],[Collector Booster Sell Price CardMarket]]*tbl_MTG_Set[[#This Row],[Collector Booster Expected Market Value]]/tbl_MTG_Set[[#This Row],[Collector Boost Sealed Market Value]]</f>
        <v/>
      </c>
      <c r="BM9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7" s="10">
        <f>tbl_MTG_Set[[#This Row],[Collector Singles CardMarket Profit]]/tbl_MTG_Set[[#This Row],[Collector Booster Cost]]</f>
        <v/>
      </c>
      <c r="BO967" s="10">
        <f>tbl_MTG_Set[[#This Row],[Collector Singles CardMarket Profit]]&gt;0</f>
        <v/>
      </c>
      <c r="BP9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8">
      <c r="A968" t="n">
        <v>966</v>
      </c>
      <c r="B968" t="inlineStr">
        <is>
          <t>Urza's Saga Promos PUSG</t>
        </is>
      </c>
      <c r="C968" t="n">
        <v>1</v>
      </c>
      <c r="D968" s="3" t="n">
        <v>36080</v>
      </c>
      <c r="F968" t="inlineStr">
        <is>
          <t>en es fr de it pt ja ko ru 汉语 漢語</t>
        </is>
      </c>
      <c r="G968" t="n">
        <v>1878</v>
      </c>
      <c r="H968">
        <f>MONTH(NOW())+12*YEAR(NOW())-MONTH(tbl_MTG_Set[[#This Row],[Released On]])-12*YEAR(tbl_MTG_Set[[#This Row],[Released On]])</f>
        <v/>
      </c>
      <c r="I968">
        <f>_xlfn.XLOOKUP(tbl_MTG_Set[[#This Row],[Type Name]], tbl_MTG_Set_Type[Set Type], tbl_MTG_Set_Type[Index], "(Set Type not found)")</f>
        <v/>
      </c>
      <c r="J968">
        <f>_xlfn.XLOOKUP(tbl_MTG_Set[[#This Row],[Type Name]], tbl_MTG_Set_Type[Set Type], tbl_MTG_Set_Type[Buy Window Month Start], "(Set Type not found)")</f>
        <v/>
      </c>
      <c r="K968" s="3">
        <f>tbl_MTG_Set[[#This Row],[Released On]]+tbl_MTG_Set[[#This Row],[Buy Window Month Start]]*365.25/12</f>
        <v/>
      </c>
      <c r="L968">
        <f>_xlfn.XLOOKUP(tbl_MTG_Set[[#This Row],[Type Name]], tbl_MTG_Set_Type[Set Type], tbl_MTG_Set_Type[Buy Window Month End], "(Set Type not found)", 0, 1)</f>
        <v/>
      </c>
      <c r="M968" s="3">
        <f>tbl_MTG_Set[[#This Row],[Released On]]+tbl_MTG_Set[[#This Row],[Buy Window Month End]]*365.25/12</f>
        <v/>
      </c>
      <c r="N968" s="3">
        <f>AND(NOW()&gt;=tbl_MTG_Set[[#This Row],[Buy Window Start]], NOW()&lt;=tbl_MTG_Set[[#This Row],[Buy Window End]])</f>
        <v/>
      </c>
      <c r="O968">
        <f>_xlfn.XLOOKUP(tbl_MTG_Set[[#This Row],[Type Name]], tbl_MTG_Set_Type[Set Type], tbl_MTG_Set_Type[Heavy Printing Window Month Start], "(Set Type not found)", 0, 1)</f>
        <v/>
      </c>
      <c r="P968" s="3">
        <f>tbl_MTG_Set[[#This Row],[Released On]]+tbl_MTG_Set[[#This Row],[Heavy Printing Window Month Start]]*365.25/12</f>
        <v/>
      </c>
      <c r="Q968">
        <f>_xlfn.XLOOKUP(tbl_MTG_Set[[#This Row],[Type Name]], tbl_MTG_Set_Type[Set Type], tbl_MTG_Set_Type[Heavy Printing Window Month End], "(Set Type not found)", 0, 1)</f>
        <v/>
      </c>
      <c r="R968" s="3">
        <f>tbl_MTG_Set[[#This Row],[Released On]]+tbl_MTG_Set[[#This Row],[Heavy Printing Window Month End]]*365.25/12</f>
        <v/>
      </c>
      <c r="S968" s="3">
        <f>AND(NOW()&gt;=tbl_MTG_Set[[#This Row],[Heavy Printing Window Start]], NOW()&lt;=tbl_MTG_Set[[#This Row],[Heavy Printing Window End]])</f>
        <v/>
      </c>
      <c r="T968">
        <f>_xlfn.XLOOKUP(tbl_MTG_Set[[#This Row],[Type Name]], tbl_MTG_Set_Type[Set Type], tbl_MTG_Set_Type[Sell Window Month Start], "(Set Type not found)", 0, 1)</f>
        <v/>
      </c>
      <c r="U968" s="3">
        <f>tbl_MTG_Set[[#This Row],[Released On]]+tbl_MTG_Set[[#This Row],[Sell Window Month Start]]*365.25/12</f>
        <v/>
      </c>
      <c r="V968">
        <f>_xlfn.XLOOKUP(tbl_MTG_Set[[#This Row],[Type Name]], tbl_MTG_Set_Type[Set Type], tbl_MTG_Set_Type[Sell Window Month End], "(Set Type not found)", 0, 1)</f>
        <v/>
      </c>
      <c r="W968" s="3">
        <f>tbl_MTG_Set[[#This Row],[Released On]]+tbl_MTG_Set[[#This Row],[Sell Window Month End]]*365.25/12</f>
        <v/>
      </c>
      <c r="X968" s="3">
        <f>AND(NOW()&gt;=tbl_MTG_Set[[#This Row],[Sell Window Start]], NOW()&lt;=tbl_MTG_Set[[#This Row],[Sell Window End]])</f>
        <v/>
      </c>
      <c r="AG968" s="10" t="n"/>
      <c r="AH968" s="10" t="n"/>
      <c r="AM968" s="10">
        <f t="array" ref="AM9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8" s="10">
        <f t="array" ref="AN9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8" s="4">
        <f>_xlfn.XLOOKUP(tbl_MTG_Set[[#This Row],[Play Booster Box Product Id]], tbl_Product[Product Id], tbl_Product[Pack Size])</f>
        <v/>
      </c>
      <c r="AP968" s="10">
        <f>(tbl_MTG_Set[[#This Row],[Play Booster Box Cost]]+v_Item_Shipping_Cost_In)/tbl_MTG_Set[[#This Row],[Play Booster Box Size]]</f>
        <v/>
      </c>
      <c r="AQ968" s="10">
        <f t="array" ref="AQ96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8" s="10" t="n"/>
      <c r="AS968" s="10" t="n"/>
      <c r="AT968" s="17">
        <f>tbl_MTG_Set[[#This Row],[Play Booster CardMarket Profit]]/tbl_MTG_Set[[#This Row],[Play Booster Cost]]</f>
        <v/>
      </c>
      <c r="AU968" s="10">
        <f>_xlfn.XLOOKUP(tbl_MTG_Set[[#This Row],[Collector Booster Box Product Id]], tbl_Product[Product Id], tbl_Product[Min Cost])</f>
        <v/>
      </c>
      <c r="AV968" s="10">
        <f>_xlfn.XLOOKUP(tbl_MTG_Set[[#This Row],[Collector Booster Box Product Id]], tbl_Product[Product Id], tbl_Product[Best Source])</f>
        <v/>
      </c>
      <c r="AW968" s="4">
        <f>_xlfn.XLOOKUP(tbl_MTG_Set[[#This Row],[Collector Booster Box Product Id]], tbl_Product[Product Id], tbl_Product[Pack Size])</f>
        <v/>
      </c>
      <c r="AX968" s="10">
        <f>(tbl_MTG_Set[[#This Row],[Collector Booster Box Cost]] + v_Item_Shipping_Cost_In) / tbl_MTG_Set[[#This Row],[Collector Booster Box Size]]</f>
        <v/>
      </c>
      <c r="AY968" s="10">
        <f t="array" ref="AY96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8" s="10" t="n"/>
      <c r="BA9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8" s="17">
        <f>tbl_MTG_Set[[#This Row],[Collector Booster CardMarket Profit]]/tbl_MTG_Set[[#This Row],[Collector Booster Cost]]</f>
        <v/>
      </c>
      <c r="BC968" s="10" t="n"/>
      <c r="BF968" s="10">
        <f>tbl_MTG_Set[[#This Row],[Play Booster Sell Price CardMarket]]*tbl_MTG_Set[[#This Row],[Play Booster Expected Market Value]]/tbl_MTG_Set[[#This Row],[Play Boost Sealed Market Value]]</f>
        <v/>
      </c>
      <c r="BG9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8" s="10">
        <f>tbl_MTG_Set[[#This Row],[Play Singles CardMarket Profit]]/tbl_MTG_Set[[#This Row],[Play Booster Cost]]</f>
        <v/>
      </c>
      <c r="BI968" s="10">
        <f>tbl_MTG_Set[[#This Row],[Play Singles CardMarket Profit]]&gt;0</f>
        <v/>
      </c>
      <c r="BJ968" s="10" t="n"/>
      <c r="BK968" s="10" t="n"/>
      <c r="BL968" s="10">
        <f>tbl_MTG_Set[[#This Row],[Collector Booster Sell Price CardMarket]]*tbl_MTG_Set[[#This Row],[Collector Booster Expected Market Value]]/tbl_MTG_Set[[#This Row],[Collector Boost Sealed Market Value]]</f>
        <v/>
      </c>
      <c r="BM9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8" s="10">
        <f>tbl_MTG_Set[[#This Row],[Collector Singles CardMarket Profit]]/tbl_MTG_Set[[#This Row],[Collector Booster Cost]]</f>
        <v/>
      </c>
      <c r="BO968" s="10">
        <f>tbl_MTG_Set[[#This Row],[Collector Singles CardMarket Profit]]&gt;0</f>
        <v/>
      </c>
      <c r="BP9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9">
      <c r="A969" t="n">
        <v>967</v>
      </c>
      <c r="B969" t="inlineStr">
        <is>
          <t>Asia Pacific Land Program PALP</t>
        </is>
      </c>
      <c r="C969" t="n">
        <v>15</v>
      </c>
      <c r="D969" s="3" t="n">
        <v>36039</v>
      </c>
      <c r="F969" t="inlineStr">
        <is>
          <t>en es fr de it pt ja ko ru 汉语 漢語</t>
        </is>
      </c>
      <c r="G969" t="n">
        <v>1880</v>
      </c>
      <c r="H969">
        <f>MONTH(NOW())+12*YEAR(NOW())-MONTH(tbl_MTG_Set[[#This Row],[Released On]])-12*YEAR(tbl_MTG_Set[[#This Row],[Released On]])</f>
        <v/>
      </c>
      <c r="I969">
        <f>_xlfn.XLOOKUP(tbl_MTG_Set[[#This Row],[Type Name]], tbl_MTG_Set_Type[Set Type], tbl_MTG_Set_Type[Index], "(Set Type not found)")</f>
        <v/>
      </c>
      <c r="J969">
        <f>_xlfn.XLOOKUP(tbl_MTG_Set[[#This Row],[Type Name]], tbl_MTG_Set_Type[Set Type], tbl_MTG_Set_Type[Buy Window Month Start], "(Set Type not found)")</f>
        <v/>
      </c>
      <c r="K969" s="3">
        <f>tbl_MTG_Set[[#This Row],[Released On]]+tbl_MTG_Set[[#This Row],[Buy Window Month Start]]*365.25/12</f>
        <v/>
      </c>
      <c r="L969">
        <f>_xlfn.XLOOKUP(tbl_MTG_Set[[#This Row],[Type Name]], tbl_MTG_Set_Type[Set Type], tbl_MTG_Set_Type[Buy Window Month End], "(Set Type not found)", 0, 1)</f>
        <v/>
      </c>
      <c r="M969" s="3">
        <f>tbl_MTG_Set[[#This Row],[Released On]]+tbl_MTG_Set[[#This Row],[Buy Window Month End]]*365.25/12</f>
        <v/>
      </c>
      <c r="N969" s="3">
        <f>AND(NOW()&gt;=tbl_MTG_Set[[#This Row],[Buy Window Start]], NOW()&lt;=tbl_MTG_Set[[#This Row],[Buy Window End]])</f>
        <v/>
      </c>
      <c r="O969">
        <f>_xlfn.XLOOKUP(tbl_MTG_Set[[#This Row],[Type Name]], tbl_MTG_Set_Type[Set Type], tbl_MTG_Set_Type[Heavy Printing Window Month Start], "(Set Type not found)", 0, 1)</f>
        <v/>
      </c>
      <c r="P969" s="3">
        <f>tbl_MTG_Set[[#This Row],[Released On]]+tbl_MTG_Set[[#This Row],[Heavy Printing Window Month Start]]*365.25/12</f>
        <v/>
      </c>
      <c r="Q969">
        <f>_xlfn.XLOOKUP(tbl_MTG_Set[[#This Row],[Type Name]], tbl_MTG_Set_Type[Set Type], tbl_MTG_Set_Type[Heavy Printing Window Month End], "(Set Type not found)", 0, 1)</f>
        <v/>
      </c>
      <c r="R969" s="3">
        <f>tbl_MTG_Set[[#This Row],[Released On]]+tbl_MTG_Set[[#This Row],[Heavy Printing Window Month End]]*365.25/12</f>
        <v/>
      </c>
      <c r="S969" s="3">
        <f>AND(NOW()&gt;=tbl_MTG_Set[[#This Row],[Heavy Printing Window Start]], NOW()&lt;=tbl_MTG_Set[[#This Row],[Heavy Printing Window End]])</f>
        <v/>
      </c>
      <c r="T969">
        <f>_xlfn.XLOOKUP(tbl_MTG_Set[[#This Row],[Type Name]], tbl_MTG_Set_Type[Set Type], tbl_MTG_Set_Type[Sell Window Month Start], "(Set Type not found)", 0, 1)</f>
        <v/>
      </c>
      <c r="U969" s="3">
        <f>tbl_MTG_Set[[#This Row],[Released On]]+tbl_MTG_Set[[#This Row],[Sell Window Month Start]]*365.25/12</f>
        <v/>
      </c>
      <c r="V969">
        <f>_xlfn.XLOOKUP(tbl_MTG_Set[[#This Row],[Type Name]], tbl_MTG_Set_Type[Set Type], tbl_MTG_Set_Type[Sell Window Month End], "(Set Type not found)", 0, 1)</f>
        <v/>
      </c>
      <c r="W969" s="3">
        <f>tbl_MTG_Set[[#This Row],[Released On]]+tbl_MTG_Set[[#This Row],[Sell Window Month End]]*365.25/12</f>
        <v/>
      </c>
      <c r="X969" s="3">
        <f>AND(NOW()&gt;=tbl_MTG_Set[[#This Row],[Sell Window Start]], NOW()&lt;=tbl_MTG_Set[[#This Row],[Sell Window End]])</f>
        <v/>
      </c>
      <c r="AG969" s="10" t="n"/>
      <c r="AH969" s="10" t="n"/>
      <c r="AM969" s="10">
        <f t="array" ref="AM9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9" s="10">
        <f t="array" ref="AN9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9" s="4">
        <f>_xlfn.XLOOKUP(tbl_MTG_Set[[#This Row],[Play Booster Box Product Id]], tbl_Product[Product Id], tbl_Product[Pack Size])</f>
        <v/>
      </c>
      <c r="AP969" s="10">
        <f>(tbl_MTG_Set[[#This Row],[Play Booster Box Cost]]+v_Item_Shipping_Cost_In)/tbl_MTG_Set[[#This Row],[Play Booster Box Size]]</f>
        <v/>
      </c>
      <c r="AQ969" s="10">
        <f t="array" ref="AQ96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69" s="10" t="n"/>
      <c r="AS969" s="10" t="n"/>
      <c r="AT969" s="17">
        <f>tbl_MTG_Set[[#This Row],[Play Booster CardMarket Profit]]/tbl_MTG_Set[[#This Row],[Play Booster Cost]]</f>
        <v/>
      </c>
      <c r="AU969" s="10">
        <f>_xlfn.XLOOKUP(tbl_MTG_Set[[#This Row],[Collector Booster Box Product Id]], tbl_Product[Product Id], tbl_Product[Min Cost])</f>
        <v/>
      </c>
      <c r="AV969" s="10">
        <f>_xlfn.XLOOKUP(tbl_MTG_Set[[#This Row],[Collector Booster Box Product Id]], tbl_Product[Product Id], tbl_Product[Best Source])</f>
        <v/>
      </c>
      <c r="AW969" s="4">
        <f>_xlfn.XLOOKUP(tbl_MTG_Set[[#This Row],[Collector Booster Box Product Id]], tbl_Product[Product Id], tbl_Product[Pack Size])</f>
        <v/>
      </c>
      <c r="AX969" s="10">
        <f>(tbl_MTG_Set[[#This Row],[Collector Booster Box Cost]] + v_Item_Shipping_Cost_In) / tbl_MTG_Set[[#This Row],[Collector Booster Box Size]]</f>
        <v/>
      </c>
      <c r="AY969" s="10">
        <f t="array" ref="AY96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69" s="10" t="n"/>
      <c r="BA9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9" s="17">
        <f>tbl_MTG_Set[[#This Row],[Collector Booster CardMarket Profit]]/tbl_MTG_Set[[#This Row],[Collector Booster Cost]]</f>
        <v/>
      </c>
      <c r="BC969" s="10" t="n"/>
      <c r="BF969" s="10">
        <f>tbl_MTG_Set[[#This Row],[Play Booster Sell Price CardMarket]]*tbl_MTG_Set[[#This Row],[Play Booster Expected Market Value]]/tbl_MTG_Set[[#This Row],[Play Boost Sealed Market Value]]</f>
        <v/>
      </c>
      <c r="BG9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9" s="10">
        <f>tbl_MTG_Set[[#This Row],[Play Singles CardMarket Profit]]/tbl_MTG_Set[[#This Row],[Play Booster Cost]]</f>
        <v/>
      </c>
      <c r="BI969" s="10">
        <f>tbl_MTG_Set[[#This Row],[Play Singles CardMarket Profit]]&gt;0</f>
        <v/>
      </c>
      <c r="BJ969" s="10" t="n"/>
      <c r="BK969" s="10" t="n"/>
      <c r="BL969" s="10">
        <f>tbl_MTG_Set[[#This Row],[Collector Booster Sell Price CardMarket]]*tbl_MTG_Set[[#This Row],[Collector Booster Expected Market Value]]/tbl_MTG_Set[[#This Row],[Collector Boost Sealed Market Value]]</f>
        <v/>
      </c>
      <c r="BM9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9" s="10">
        <f>tbl_MTG_Set[[#This Row],[Collector Singles CardMarket Profit]]/tbl_MTG_Set[[#This Row],[Collector Booster Cost]]</f>
        <v/>
      </c>
      <c r="BO969" s="10">
        <f>tbl_MTG_Set[[#This Row],[Collector Singles CardMarket Profit]]&gt;0</f>
        <v/>
      </c>
      <c r="BP9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0">
      <c r="A970" t="n">
        <v>968</v>
      </c>
      <c r="B970" t="inlineStr">
        <is>
          <t>World Championship Decks 1998 WC98</t>
        </is>
      </c>
      <c r="C970" t="n">
        <v>117</v>
      </c>
      <c r="D970" s="3" t="n">
        <v>36019</v>
      </c>
      <c r="F970" t="inlineStr">
        <is>
          <t>en es fr de it pt ja ko ru 汉语 漢語</t>
        </is>
      </c>
      <c r="G970" t="n">
        <v>1882</v>
      </c>
      <c r="H970">
        <f>MONTH(NOW())+12*YEAR(NOW())-MONTH(tbl_MTG_Set[[#This Row],[Released On]])-12*YEAR(tbl_MTG_Set[[#This Row],[Released On]])</f>
        <v/>
      </c>
      <c r="I970">
        <f>_xlfn.XLOOKUP(tbl_MTG_Set[[#This Row],[Type Name]], tbl_MTG_Set_Type[Set Type], tbl_MTG_Set_Type[Index], "(Set Type not found)")</f>
        <v/>
      </c>
      <c r="J970">
        <f>_xlfn.XLOOKUP(tbl_MTG_Set[[#This Row],[Type Name]], tbl_MTG_Set_Type[Set Type], tbl_MTG_Set_Type[Buy Window Month Start], "(Set Type not found)")</f>
        <v/>
      </c>
      <c r="K970" s="3">
        <f>tbl_MTG_Set[[#This Row],[Released On]]+tbl_MTG_Set[[#This Row],[Buy Window Month Start]]*365.25/12</f>
        <v/>
      </c>
      <c r="L970">
        <f>_xlfn.XLOOKUP(tbl_MTG_Set[[#This Row],[Type Name]], tbl_MTG_Set_Type[Set Type], tbl_MTG_Set_Type[Buy Window Month End], "(Set Type not found)", 0, 1)</f>
        <v/>
      </c>
      <c r="M970" s="3">
        <f>tbl_MTG_Set[[#This Row],[Released On]]+tbl_MTG_Set[[#This Row],[Buy Window Month End]]*365.25/12</f>
        <v/>
      </c>
      <c r="N970" s="3">
        <f>AND(NOW()&gt;=tbl_MTG_Set[[#This Row],[Buy Window Start]], NOW()&lt;=tbl_MTG_Set[[#This Row],[Buy Window End]])</f>
        <v/>
      </c>
      <c r="O970">
        <f>_xlfn.XLOOKUP(tbl_MTG_Set[[#This Row],[Type Name]], tbl_MTG_Set_Type[Set Type], tbl_MTG_Set_Type[Heavy Printing Window Month Start], "(Set Type not found)", 0, 1)</f>
        <v/>
      </c>
      <c r="P970" s="3">
        <f>tbl_MTG_Set[[#This Row],[Released On]]+tbl_MTG_Set[[#This Row],[Heavy Printing Window Month Start]]*365.25/12</f>
        <v/>
      </c>
      <c r="Q970">
        <f>_xlfn.XLOOKUP(tbl_MTG_Set[[#This Row],[Type Name]], tbl_MTG_Set_Type[Set Type], tbl_MTG_Set_Type[Heavy Printing Window Month End], "(Set Type not found)", 0, 1)</f>
        <v/>
      </c>
      <c r="R970" s="3">
        <f>tbl_MTG_Set[[#This Row],[Released On]]+tbl_MTG_Set[[#This Row],[Heavy Printing Window Month End]]*365.25/12</f>
        <v/>
      </c>
      <c r="S970" s="3">
        <f>AND(NOW()&gt;=tbl_MTG_Set[[#This Row],[Heavy Printing Window Start]], NOW()&lt;=tbl_MTG_Set[[#This Row],[Heavy Printing Window End]])</f>
        <v/>
      </c>
      <c r="T970">
        <f>_xlfn.XLOOKUP(tbl_MTG_Set[[#This Row],[Type Name]], tbl_MTG_Set_Type[Set Type], tbl_MTG_Set_Type[Sell Window Month Start], "(Set Type not found)", 0, 1)</f>
        <v/>
      </c>
      <c r="U970" s="3">
        <f>tbl_MTG_Set[[#This Row],[Released On]]+tbl_MTG_Set[[#This Row],[Sell Window Month Start]]*365.25/12</f>
        <v/>
      </c>
      <c r="V970">
        <f>_xlfn.XLOOKUP(tbl_MTG_Set[[#This Row],[Type Name]], tbl_MTG_Set_Type[Set Type], tbl_MTG_Set_Type[Sell Window Month End], "(Set Type not found)", 0, 1)</f>
        <v/>
      </c>
      <c r="W970" s="3">
        <f>tbl_MTG_Set[[#This Row],[Released On]]+tbl_MTG_Set[[#This Row],[Sell Window Month End]]*365.25/12</f>
        <v/>
      </c>
      <c r="X970" s="3">
        <f>AND(NOW()&gt;=tbl_MTG_Set[[#This Row],[Sell Window Start]], NOW()&lt;=tbl_MTG_Set[[#This Row],[Sell Window End]])</f>
        <v/>
      </c>
      <c r="AG970" s="10" t="n"/>
      <c r="AH970" s="10" t="n"/>
      <c r="AM970" s="10">
        <f t="array" ref="AM9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0" s="10">
        <f t="array" ref="AN9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0" s="4">
        <f>_xlfn.XLOOKUP(tbl_MTG_Set[[#This Row],[Play Booster Box Product Id]], tbl_Product[Product Id], tbl_Product[Pack Size])</f>
        <v/>
      </c>
      <c r="AP970" s="10">
        <f>(tbl_MTG_Set[[#This Row],[Play Booster Box Cost]]+v_Item_Shipping_Cost_In)/tbl_MTG_Set[[#This Row],[Play Booster Box Size]]</f>
        <v/>
      </c>
      <c r="AQ970" s="10">
        <f t="array" ref="AQ97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0" s="10" t="n"/>
      <c r="AS970" s="10" t="n"/>
      <c r="AT970" s="17">
        <f>tbl_MTG_Set[[#This Row],[Play Booster CardMarket Profit]]/tbl_MTG_Set[[#This Row],[Play Booster Cost]]</f>
        <v/>
      </c>
      <c r="AU970" s="10">
        <f>_xlfn.XLOOKUP(tbl_MTG_Set[[#This Row],[Collector Booster Box Product Id]], tbl_Product[Product Id], tbl_Product[Min Cost])</f>
        <v/>
      </c>
      <c r="AV970" s="10">
        <f>_xlfn.XLOOKUP(tbl_MTG_Set[[#This Row],[Collector Booster Box Product Id]], tbl_Product[Product Id], tbl_Product[Best Source])</f>
        <v/>
      </c>
      <c r="AW970" s="4">
        <f>_xlfn.XLOOKUP(tbl_MTG_Set[[#This Row],[Collector Booster Box Product Id]], tbl_Product[Product Id], tbl_Product[Pack Size])</f>
        <v/>
      </c>
      <c r="AX970" s="10">
        <f>(tbl_MTG_Set[[#This Row],[Collector Booster Box Cost]] + v_Item_Shipping_Cost_In) / tbl_MTG_Set[[#This Row],[Collector Booster Box Size]]</f>
        <v/>
      </c>
      <c r="AY970" s="10">
        <f t="array" ref="AY97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0" s="10" t="n"/>
      <c r="BA9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0" s="17">
        <f>tbl_MTG_Set[[#This Row],[Collector Booster CardMarket Profit]]/tbl_MTG_Set[[#This Row],[Collector Booster Cost]]</f>
        <v/>
      </c>
      <c r="BC970" s="10" t="n"/>
      <c r="BF970" s="10">
        <f>tbl_MTG_Set[[#This Row],[Play Booster Sell Price CardMarket]]*tbl_MTG_Set[[#This Row],[Play Booster Expected Market Value]]/tbl_MTG_Set[[#This Row],[Play Boost Sealed Market Value]]</f>
        <v/>
      </c>
      <c r="BG9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0" s="10">
        <f>tbl_MTG_Set[[#This Row],[Play Singles CardMarket Profit]]/tbl_MTG_Set[[#This Row],[Play Booster Cost]]</f>
        <v/>
      </c>
      <c r="BI970" s="10">
        <f>tbl_MTG_Set[[#This Row],[Play Singles CardMarket Profit]]&gt;0</f>
        <v/>
      </c>
      <c r="BJ970" s="10" t="n"/>
      <c r="BK970" s="10" t="n"/>
      <c r="BL970" s="10">
        <f>tbl_MTG_Set[[#This Row],[Collector Booster Sell Price CardMarket]]*tbl_MTG_Set[[#This Row],[Collector Booster Expected Market Value]]/tbl_MTG_Set[[#This Row],[Collector Boost Sealed Market Value]]</f>
        <v/>
      </c>
      <c r="BM9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0" s="10">
        <f>tbl_MTG_Set[[#This Row],[Collector Singles CardMarket Profit]]/tbl_MTG_Set[[#This Row],[Collector Booster Cost]]</f>
        <v/>
      </c>
      <c r="BO970" s="10">
        <f>tbl_MTG_Set[[#This Row],[Collector Singles CardMarket Profit]]&gt;0</f>
        <v/>
      </c>
      <c r="BP9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1">
      <c r="A971" t="n">
        <v>969</v>
      </c>
      <c r="B971" t="inlineStr">
        <is>
          <t>Unglued UGL</t>
        </is>
      </c>
      <c r="C971" t="n">
        <v>88</v>
      </c>
      <c r="D971" s="3" t="n">
        <v>36018</v>
      </c>
      <c r="F971" t="inlineStr">
        <is>
          <t>en es fr de it pt ja ko ru 汉语 漢語</t>
        </is>
      </c>
      <c r="G971" t="n">
        <v>1884</v>
      </c>
      <c r="H971">
        <f>MONTH(NOW())+12*YEAR(NOW())-MONTH(tbl_MTG_Set[[#This Row],[Released On]])-12*YEAR(tbl_MTG_Set[[#This Row],[Released On]])</f>
        <v/>
      </c>
      <c r="I971">
        <f>_xlfn.XLOOKUP(tbl_MTG_Set[[#This Row],[Type Name]], tbl_MTG_Set_Type[Set Type], tbl_MTG_Set_Type[Index], "(Set Type not found)")</f>
        <v/>
      </c>
      <c r="J971">
        <f>_xlfn.XLOOKUP(tbl_MTG_Set[[#This Row],[Type Name]], tbl_MTG_Set_Type[Set Type], tbl_MTG_Set_Type[Buy Window Month Start], "(Set Type not found)")</f>
        <v/>
      </c>
      <c r="K971" s="3">
        <f>tbl_MTG_Set[[#This Row],[Released On]]+tbl_MTG_Set[[#This Row],[Buy Window Month Start]]*365.25/12</f>
        <v/>
      </c>
      <c r="L971">
        <f>_xlfn.XLOOKUP(tbl_MTG_Set[[#This Row],[Type Name]], tbl_MTG_Set_Type[Set Type], tbl_MTG_Set_Type[Buy Window Month End], "(Set Type not found)", 0, 1)</f>
        <v/>
      </c>
      <c r="M971" s="3">
        <f>tbl_MTG_Set[[#This Row],[Released On]]+tbl_MTG_Set[[#This Row],[Buy Window Month End]]*365.25/12</f>
        <v/>
      </c>
      <c r="N971" s="3">
        <f>AND(NOW()&gt;=tbl_MTG_Set[[#This Row],[Buy Window Start]], NOW()&lt;=tbl_MTG_Set[[#This Row],[Buy Window End]])</f>
        <v/>
      </c>
      <c r="O971">
        <f>_xlfn.XLOOKUP(tbl_MTG_Set[[#This Row],[Type Name]], tbl_MTG_Set_Type[Set Type], tbl_MTG_Set_Type[Heavy Printing Window Month Start], "(Set Type not found)", 0, 1)</f>
        <v/>
      </c>
      <c r="P971" s="3">
        <f>tbl_MTG_Set[[#This Row],[Released On]]+tbl_MTG_Set[[#This Row],[Heavy Printing Window Month Start]]*365.25/12</f>
        <v/>
      </c>
      <c r="Q971">
        <f>_xlfn.XLOOKUP(tbl_MTG_Set[[#This Row],[Type Name]], tbl_MTG_Set_Type[Set Type], tbl_MTG_Set_Type[Heavy Printing Window Month End], "(Set Type not found)", 0, 1)</f>
        <v/>
      </c>
      <c r="R971" s="3">
        <f>tbl_MTG_Set[[#This Row],[Released On]]+tbl_MTG_Set[[#This Row],[Heavy Printing Window Month End]]*365.25/12</f>
        <v/>
      </c>
      <c r="S971" s="3">
        <f>AND(NOW()&gt;=tbl_MTG_Set[[#This Row],[Heavy Printing Window Start]], NOW()&lt;=tbl_MTG_Set[[#This Row],[Heavy Printing Window End]])</f>
        <v/>
      </c>
      <c r="T971">
        <f>_xlfn.XLOOKUP(tbl_MTG_Set[[#This Row],[Type Name]], tbl_MTG_Set_Type[Set Type], tbl_MTG_Set_Type[Sell Window Month Start], "(Set Type not found)", 0, 1)</f>
        <v/>
      </c>
      <c r="U971" s="3">
        <f>tbl_MTG_Set[[#This Row],[Released On]]+tbl_MTG_Set[[#This Row],[Sell Window Month Start]]*365.25/12</f>
        <v/>
      </c>
      <c r="V971">
        <f>_xlfn.XLOOKUP(tbl_MTG_Set[[#This Row],[Type Name]], tbl_MTG_Set_Type[Set Type], tbl_MTG_Set_Type[Sell Window Month End], "(Set Type not found)", 0, 1)</f>
        <v/>
      </c>
      <c r="W971" s="3">
        <f>tbl_MTG_Set[[#This Row],[Released On]]+tbl_MTG_Set[[#This Row],[Sell Window Month End]]*365.25/12</f>
        <v/>
      </c>
      <c r="X971" s="3">
        <f>AND(NOW()&gt;=tbl_MTG_Set[[#This Row],[Sell Window Start]], NOW()&lt;=tbl_MTG_Set[[#This Row],[Sell Window End]])</f>
        <v/>
      </c>
      <c r="AG971" s="10" t="n"/>
      <c r="AH971" s="10" t="n"/>
      <c r="AM971" s="10">
        <f t="array" ref="AM9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1" s="10">
        <f t="array" ref="AN9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1" s="4">
        <f>_xlfn.XLOOKUP(tbl_MTG_Set[[#This Row],[Play Booster Box Product Id]], tbl_Product[Product Id], tbl_Product[Pack Size])</f>
        <v/>
      </c>
      <c r="AP971" s="10">
        <f>(tbl_MTG_Set[[#This Row],[Play Booster Box Cost]]+v_Item_Shipping_Cost_In)/tbl_MTG_Set[[#This Row],[Play Booster Box Size]]</f>
        <v/>
      </c>
      <c r="AQ971" s="10">
        <f t="array" ref="AQ97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1" s="10" t="n"/>
      <c r="AS971" s="10" t="n"/>
      <c r="AT971" s="17">
        <f>tbl_MTG_Set[[#This Row],[Play Booster CardMarket Profit]]/tbl_MTG_Set[[#This Row],[Play Booster Cost]]</f>
        <v/>
      </c>
      <c r="AU971" s="10">
        <f>_xlfn.XLOOKUP(tbl_MTG_Set[[#This Row],[Collector Booster Box Product Id]], tbl_Product[Product Id], tbl_Product[Min Cost])</f>
        <v/>
      </c>
      <c r="AV971" s="10">
        <f>_xlfn.XLOOKUP(tbl_MTG_Set[[#This Row],[Collector Booster Box Product Id]], tbl_Product[Product Id], tbl_Product[Best Source])</f>
        <v/>
      </c>
      <c r="AW971" s="4">
        <f>_xlfn.XLOOKUP(tbl_MTG_Set[[#This Row],[Collector Booster Box Product Id]], tbl_Product[Product Id], tbl_Product[Pack Size])</f>
        <v/>
      </c>
      <c r="AX971" s="10">
        <f>(tbl_MTG_Set[[#This Row],[Collector Booster Box Cost]] + v_Item_Shipping_Cost_In) / tbl_MTG_Set[[#This Row],[Collector Booster Box Size]]</f>
        <v/>
      </c>
      <c r="AY971" s="10">
        <f t="array" ref="AY97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1" s="10" t="n"/>
      <c r="BA9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1" s="17">
        <f>tbl_MTG_Set[[#This Row],[Collector Booster CardMarket Profit]]/tbl_MTG_Set[[#This Row],[Collector Booster Cost]]</f>
        <v/>
      </c>
      <c r="BC971" s="10" t="n"/>
      <c r="BF971" s="10">
        <f>tbl_MTG_Set[[#This Row],[Play Booster Sell Price CardMarket]]*tbl_MTG_Set[[#This Row],[Play Booster Expected Market Value]]/tbl_MTG_Set[[#This Row],[Play Boost Sealed Market Value]]</f>
        <v/>
      </c>
      <c r="BG9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1" s="10">
        <f>tbl_MTG_Set[[#This Row],[Play Singles CardMarket Profit]]/tbl_MTG_Set[[#This Row],[Play Booster Cost]]</f>
        <v/>
      </c>
      <c r="BI971" s="10">
        <f>tbl_MTG_Set[[#This Row],[Play Singles CardMarket Profit]]&gt;0</f>
        <v/>
      </c>
      <c r="BJ971" s="10" t="n"/>
      <c r="BK971" s="10" t="n"/>
      <c r="BL971" s="10">
        <f>tbl_MTG_Set[[#This Row],[Collector Booster Sell Price CardMarket]]*tbl_MTG_Set[[#This Row],[Collector Booster Expected Market Value]]/tbl_MTG_Set[[#This Row],[Collector Boost Sealed Market Value]]</f>
        <v/>
      </c>
      <c r="BM9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1" s="10">
        <f>tbl_MTG_Set[[#This Row],[Collector Singles CardMarket Profit]]/tbl_MTG_Set[[#This Row],[Collector Booster Cost]]</f>
        <v/>
      </c>
      <c r="BO971" s="10">
        <f>tbl_MTG_Set[[#This Row],[Collector Singles CardMarket Profit]]&gt;0</f>
        <v/>
      </c>
      <c r="BP9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2">
      <c r="A972" t="n">
        <v>970</v>
      </c>
      <c r="B972" t="inlineStr">
        <is>
          <t>Unglued Tokens TUGL</t>
        </is>
      </c>
      <c r="C972" t="n">
        <v>6</v>
      </c>
      <c r="D972" s="3" t="n">
        <v>36018</v>
      </c>
      <c r="F972" t="inlineStr">
        <is>
          <t>en es fr de it pt ja ko ru 汉语 漢語</t>
        </is>
      </c>
      <c r="G972" t="n">
        <v>1886</v>
      </c>
      <c r="H972">
        <f>MONTH(NOW())+12*YEAR(NOW())-MONTH(tbl_MTG_Set[[#This Row],[Released On]])-12*YEAR(tbl_MTG_Set[[#This Row],[Released On]])</f>
        <v/>
      </c>
      <c r="I972">
        <f>_xlfn.XLOOKUP(tbl_MTG_Set[[#This Row],[Type Name]], tbl_MTG_Set_Type[Set Type], tbl_MTG_Set_Type[Index], "(Set Type not found)")</f>
        <v/>
      </c>
      <c r="J972">
        <f>_xlfn.XLOOKUP(tbl_MTG_Set[[#This Row],[Type Name]], tbl_MTG_Set_Type[Set Type], tbl_MTG_Set_Type[Buy Window Month Start], "(Set Type not found)")</f>
        <v/>
      </c>
      <c r="K972" s="3">
        <f>tbl_MTG_Set[[#This Row],[Released On]]+tbl_MTG_Set[[#This Row],[Buy Window Month Start]]*365.25/12</f>
        <v/>
      </c>
      <c r="L972">
        <f>_xlfn.XLOOKUP(tbl_MTG_Set[[#This Row],[Type Name]], tbl_MTG_Set_Type[Set Type], tbl_MTG_Set_Type[Buy Window Month End], "(Set Type not found)", 0, 1)</f>
        <v/>
      </c>
      <c r="M972" s="3">
        <f>tbl_MTG_Set[[#This Row],[Released On]]+tbl_MTG_Set[[#This Row],[Buy Window Month End]]*365.25/12</f>
        <v/>
      </c>
      <c r="N972" s="3">
        <f>AND(NOW()&gt;=tbl_MTG_Set[[#This Row],[Buy Window Start]], NOW()&lt;=tbl_MTG_Set[[#This Row],[Buy Window End]])</f>
        <v/>
      </c>
      <c r="O972">
        <f>_xlfn.XLOOKUP(tbl_MTG_Set[[#This Row],[Type Name]], tbl_MTG_Set_Type[Set Type], tbl_MTG_Set_Type[Heavy Printing Window Month Start], "(Set Type not found)", 0, 1)</f>
        <v/>
      </c>
      <c r="P972" s="3">
        <f>tbl_MTG_Set[[#This Row],[Released On]]+tbl_MTG_Set[[#This Row],[Heavy Printing Window Month Start]]*365.25/12</f>
        <v/>
      </c>
      <c r="Q972">
        <f>_xlfn.XLOOKUP(tbl_MTG_Set[[#This Row],[Type Name]], tbl_MTG_Set_Type[Set Type], tbl_MTG_Set_Type[Heavy Printing Window Month End], "(Set Type not found)", 0, 1)</f>
        <v/>
      </c>
      <c r="R972" s="3">
        <f>tbl_MTG_Set[[#This Row],[Released On]]+tbl_MTG_Set[[#This Row],[Heavy Printing Window Month End]]*365.25/12</f>
        <v/>
      </c>
      <c r="S972" s="3">
        <f>AND(NOW()&gt;=tbl_MTG_Set[[#This Row],[Heavy Printing Window Start]], NOW()&lt;=tbl_MTG_Set[[#This Row],[Heavy Printing Window End]])</f>
        <v/>
      </c>
      <c r="T972">
        <f>_xlfn.XLOOKUP(tbl_MTG_Set[[#This Row],[Type Name]], tbl_MTG_Set_Type[Set Type], tbl_MTG_Set_Type[Sell Window Month Start], "(Set Type not found)", 0, 1)</f>
        <v/>
      </c>
      <c r="U972" s="3">
        <f>tbl_MTG_Set[[#This Row],[Released On]]+tbl_MTG_Set[[#This Row],[Sell Window Month Start]]*365.25/12</f>
        <v/>
      </c>
      <c r="V972">
        <f>_xlfn.XLOOKUP(tbl_MTG_Set[[#This Row],[Type Name]], tbl_MTG_Set_Type[Set Type], tbl_MTG_Set_Type[Sell Window Month End], "(Set Type not found)", 0, 1)</f>
        <v/>
      </c>
      <c r="W972" s="3">
        <f>tbl_MTG_Set[[#This Row],[Released On]]+tbl_MTG_Set[[#This Row],[Sell Window Month End]]*365.25/12</f>
        <v/>
      </c>
      <c r="X972" s="3">
        <f>AND(NOW()&gt;=tbl_MTG_Set[[#This Row],[Sell Window Start]], NOW()&lt;=tbl_MTG_Set[[#This Row],[Sell Window End]])</f>
        <v/>
      </c>
      <c r="AG972" s="10" t="n"/>
      <c r="AH972" s="10" t="n"/>
      <c r="AM972" s="10">
        <f t="array" ref="AM9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2" s="10">
        <f t="array" ref="AN9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2" s="4">
        <f>_xlfn.XLOOKUP(tbl_MTG_Set[[#This Row],[Play Booster Box Product Id]], tbl_Product[Product Id], tbl_Product[Pack Size])</f>
        <v/>
      </c>
      <c r="AP972" s="10">
        <f>(tbl_MTG_Set[[#This Row],[Play Booster Box Cost]]+v_Item_Shipping_Cost_In)/tbl_MTG_Set[[#This Row],[Play Booster Box Size]]</f>
        <v/>
      </c>
      <c r="AQ972" s="10">
        <f t="array" ref="AQ97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2" s="10" t="n"/>
      <c r="AS972" s="10" t="n"/>
      <c r="AT972" s="17">
        <f>tbl_MTG_Set[[#This Row],[Play Booster CardMarket Profit]]/tbl_MTG_Set[[#This Row],[Play Booster Cost]]</f>
        <v/>
      </c>
      <c r="AU972" s="10">
        <f>_xlfn.XLOOKUP(tbl_MTG_Set[[#This Row],[Collector Booster Box Product Id]], tbl_Product[Product Id], tbl_Product[Min Cost])</f>
        <v/>
      </c>
      <c r="AV972" s="10">
        <f>_xlfn.XLOOKUP(tbl_MTG_Set[[#This Row],[Collector Booster Box Product Id]], tbl_Product[Product Id], tbl_Product[Best Source])</f>
        <v/>
      </c>
      <c r="AW972" s="4">
        <f>_xlfn.XLOOKUP(tbl_MTG_Set[[#This Row],[Collector Booster Box Product Id]], tbl_Product[Product Id], tbl_Product[Pack Size])</f>
        <v/>
      </c>
      <c r="AX972" s="10">
        <f>(tbl_MTG_Set[[#This Row],[Collector Booster Box Cost]] + v_Item_Shipping_Cost_In) / tbl_MTG_Set[[#This Row],[Collector Booster Box Size]]</f>
        <v/>
      </c>
      <c r="AY972" s="10">
        <f t="array" ref="AY97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2" s="10" t="n"/>
      <c r="BA9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2" s="17">
        <f>tbl_MTG_Set[[#This Row],[Collector Booster CardMarket Profit]]/tbl_MTG_Set[[#This Row],[Collector Booster Cost]]</f>
        <v/>
      </c>
      <c r="BC972" s="10" t="n"/>
      <c r="BF972" s="10">
        <f>tbl_MTG_Set[[#This Row],[Play Booster Sell Price CardMarket]]*tbl_MTG_Set[[#This Row],[Play Booster Expected Market Value]]/tbl_MTG_Set[[#This Row],[Play Boost Sealed Market Value]]</f>
        <v/>
      </c>
      <c r="BG9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2" s="10">
        <f>tbl_MTG_Set[[#This Row],[Play Singles CardMarket Profit]]/tbl_MTG_Set[[#This Row],[Play Booster Cost]]</f>
        <v/>
      </c>
      <c r="BI972" s="10">
        <f>tbl_MTG_Set[[#This Row],[Play Singles CardMarket Profit]]&gt;0</f>
        <v/>
      </c>
      <c r="BJ972" s="10" t="n"/>
      <c r="BK972" s="10" t="n"/>
      <c r="BL972" s="10">
        <f>tbl_MTG_Set[[#This Row],[Collector Booster Sell Price CardMarket]]*tbl_MTG_Set[[#This Row],[Collector Booster Expected Market Value]]/tbl_MTG_Set[[#This Row],[Collector Boost Sealed Market Value]]</f>
        <v/>
      </c>
      <c r="BM9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2" s="10">
        <f>tbl_MTG_Set[[#This Row],[Collector Singles CardMarket Profit]]/tbl_MTG_Set[[#This Row],[Collector Booster Cost]]</f>
        <v/>
      </c>
      <c r="BO972" s="10">
        <f>tbl_MTG_Set[[#This Row],[Collector Singles CardMarket Profit]]&gt;0</f>
        <v/>
      </c>
      <c r="BP9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3">
      <c r="A973" t="n">
        <v>971</v>
      </c>
      <c r="B973" t="inlineStr">
        <is>
          <t>Portal Second Age P02</t>
        </is>
      </c>
      <c r="C973" t="n">
        <v>165</v>
      </c>
      <c r="D973" s="3" t="n">
        <v>35970</v>
      </c>
      <c r="F973" t="inlineStr">
        <is>
          <t>en es fr de it pt ja ko ru 汉语 漢語</t>
        </is>
      </c>
      <c r="G973" t="n">
        <v>1888</v>
      </c>
      <c r="H973">
        <f>MONTH(NOW())+12*YEAR(NOW())-MONTH(tbl_MTG_Set[[#This Row],[Released On]])-12*YEAR(tbl_MTG_Set[[#This Row],[Released On]])</f>
        <v/>
      </c>
      <c r="I973">
        <f>_xlfn.XLOOKUP(tbl_MTG_Set[[#This Row],[Type Name]], tbl_MTG_Set_Type[Set Type], tbl_MTG_Set_Type[Index], "(Set Type not found)")</f>
        <v/>
      </c>
      <c r="J973">
        <f>_xlfn.XLOOKUP(tbl_MTG_Set[[#This Row],[Type Name]], tbl_MTG_Set_Type[Set Type], tbl_MTG_Set_Type[Buy Window Month Start], "(Set Type not found)")</f>
        <v/>
      </c>
      <c r="K973" s="3">
        <f>tbl_MTG_Set[[#This Row],[Released On]]+tbl_MTG_Set[[#This Row],[Buy Window Month Start]]*365.25/12</f>
        <v/>
      </c>
      <c r="L973">
        <f>_xlfn.XLOOKUP(tbl_MTG_Set[[#This Row],[Type Name]], tbl_MTG_Set_Type[Set Type], tbl_MTG_Set_Type[Buy Window Month End], "(Set Type not found)", 0, 1)</f>
        <v/>
      </c>
      <c r="M973" s="3">
        <f>tbl_MTG_Set[[#This Row],[Released On]]+tbl_MTG_Set[[#This Row],[Buy Window Month End]]*365.25/12</f>
        <v/>
      </c>
      <c r="N973" s="3">
        <f>AND(NOW()&gt;=tbl_MTG_Set[[#This Row],[Buy Window Start]], NOW()&lt;=tbl_MTG_Set[[#This Row],[Buy Window End]])</f>
        <v/>
      </c>
      <c r="O973">
        <f>_xlfn.XLOOKUP(tbl_MTG_Set[[#This Row],[Type Name]], tbl_MTG_Set_Type[Set Type], tbl_MTG_Set_Type[Heavy Printing Window Month Start], "(Set Type not found)", 0, 1)</f>
        <v/>
      </c>
      <c r="P973" s="3">
        <f>tbl_MTG_Set[[#This Row],[Released On]]+tbl_MTG_Set[[#This Row],[Heavy Printing Window Month Start]]*365.25/12</f>
        <v/>
      </c>
      <c r="Q973">
        <f>_xlfn.XLOOKUP(tbl_MTG_Set[[#This Row],[Type Name]], tbl_MTG_Set_Type[Set Type], tbl_MTG_Set_Type[Heavy Printing Window Month End], "(Set Type not found)", 0, 1)</f>
        <v/>
      </c>
      <c r="R973" s="3">
        <f>tbl_MTG_Set[[#This Row],[Released On]]+tbl_MTG_Set[[#This Row],[Heavy Printing Window Month End]]*365.25/12</f>
        <v/>
      </c>
      <c r="S973" s="3">
        <f>AND(NOW()&gt;=tbl_MTG_Set[[#This Row],[Heavy Printing Window Start]], NOW()&lt;=tbl_MTG_Set[[#This Row],[Heavy Printing Window End]])</f>
        <v/>
      </c>
      <c r="T973">
        <f>_xlfn.XLOOKUP(tbl_MTG_Set[[#This Row],[Type Name]], tbl_MTG_Set_Type[Set Type], tbl_MTG_Set_Type[Sell Window Month Start], "(Set Type not found)", 0, 1)</f>
        <v/>
      </c>
      <c r="U973" s="3">
        <f>tbl_MTG_Set[[#This Row],[Released On]]+tbl_MTG_Set[[#This Row],[Sell Window Month Start]]*365.25/12</f>
        <v/>
      </c>
      <c r="V973">
        <f>_xlfn.XLOOKUP(tbl_MTG_Set[[#This Row],[Type Name]], tbl_MTG_Set_Type[Set Type], tbl_MTG_Set_Type[Sell Window Month End], "(Set Type not found)", 0, 1)</f>
        <v/>
      </c>
      <c r="W973" s="3">
        <f>tbl_MTG_Set[[#This Row],[Released On]]+tbl_MTG_Set[[#This Row],[Sell Window Month End]]*365.25/12</f>
        <v/>
      </c>
      <c r="X973" s="3">
        <f>AND(NOW()&gt;=tbl_MTG_Set[[#This Row],[Sell Window Start]], NOW()&lt;=tbl_MTG_Set[[#This Row],[Sell Window End]])</f>
        <v/>
      </c>
      <c r="AG973" s="10" t="n"/>
      <c r="AH973" s="10" t="n"/>
      <c r="AM973" s="10">
        <f t="array" ref="AM9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3" s="10">
        <f t="array" ref="AN9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3" s="4">
        <f>_xlfn.XLOOKUP(tbl_MTG_Set[[#This Row],[Play Booster Box Product Id]], tbl_Product[Product Id], tbl_Product[Pack Size])</f>
        <v/>
      </c>
      <c r="AP973" s="10">
        <f>(tbl_MTG_Set[[#This Row],[Play Booster Box Cost]]+v_Item_Shipping_Cost_In)/tbl_MTG_Set[[#This Row],[Play Booster Box Size]]</f>
        <v/>
      </c>
      <c r="AQ973" s="10">
        <f t="array" ref="AQ97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3" s="10" t="n"/>
      <c r="AS973" s="10" t="n"/>
      <c r="AT973" s="17">
        <f>tbl_MTG_Set[[#This Row],[Play Booster CardMarket Profit]]/tbl_MTG_Set[[#This Row],[Play Booster Cost]]</f>
        <v/>
      </c>
      <c r="AU973" s="10">
        <f>_xlfn.XLOOKUP(tbl_MTG_Set[[#This Row],[Collector Booster Box Product Id]], tbl_Product[Product Id], tbl_Product[Min Cost])</f>
        <v/>
      </c>
      <c r="AV973" s="10">
        <f>_xlfn.XLOOKUP(tbl_MTG_Set[[#This Row],[Collector Booster Box Product Id]], tbl_Product[Product Id], tbl_Product[Best Source])</f>
        <v/>
      </c>
      <c r="AW973" s="4">
        <f>_xlfn.XLOOKUP(tbl_MTG_Set[[#This Row],[Collector Booster Box Product Id]], tbl_Product[Product Id], tbl_Product[Pack Size])</f>
        <v/>
      </c>
      <c r="AX973" s="10">
        <f>(tbl_MTG_Set[[#This Row],[Collector Booster Box Cost]] + v_Item_Shipping_Cost_In) / tbl_MTG_Set[[#This Row],[Collector Booster Box Size]]</f>
        <v/>
      </c>
      <c r="AY973" s="10">
        <f t="array" ref="AY97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3" s="10" t="n"/>
      <c r="BA9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3" s="17">
        <f>tbl_MTG_Set[[#This Row],[Collector Booster CardMarket Profit]]/tbl_MTG_Set[[#This Row],[Collector Booster Cost]]</f>
        <v/>
      </c>
      <c r="BC973" s="10" t="n"/>
      <c r="BF973" s="10">
        <f>tbl_MTG_Set[[#This Row],[Play Booster Sell Price CardMarket]]*tbl_MTG_Set[[#This Row],[Play Booster Expected Market Value]]/tbl_MTG_Set[[#This Row],[Play Boost Sealed Market Value]]</f>
        <v/>
      </c>
      <c r="BG9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3" s="10">
        <f>tbl_MTG_Set[[#This Row],[Play Singles CardMarket Profit]]/tbl_MTG_Set[[#This Row],[Play Booster Cost]]</f>
        <v/>
      </c>
      <c r="BI973" s="10">
        <f>tbl_MTG_Set[[#This Row],[Play Singles CardMarket Profit]]&gt;0</f>
        <v/>
      </c>
      <c r="BJ973" s="10" t="n"/>
      <c r="BK973" s="10" t="n"/>
      <c r="BL973" s="10">
        <f>tbl_MTG_Set[[#This Row],[Collector Booster Sell Price CardMarket]]*tbl_MTG_Set[[#This Row],[Collector Booster Expected Market Value]]/tbl_MTG_Set[[#This Row],[Collector Boost Sealed Market Value]]</f>
        <v/>
      </c>
      <c r="BM9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3" s="10">
        <f>tbl_MTG_Set[[#This Row],[Collector Singles CardMarket Profit]]/tbl_MTG_Set[[#This Row],[Collector Booster Cost]]</f>
        <v/>
      </c>
      <c r="BO973" s="10">
        <f>tbl_MTG_Set[[#This Row],[Collector Singles CardMarket Profit]]&gt;0</f>
        <v/>
      </c>
      <c r="BP9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4">
      <c r="A974" t="n">
        <v>972</v>
      </c>
      <c r="B974" t="inlineStr">
        <is>
          <t>Exodus EXO</t>
        </is>
      </c>
      <c r="C974" t="n">
        <v>143</v>
      </c>
      <c r="D974" s="3" t="n">
        <v>35961</v>
      </c>
      <c r="F974" t="inlineStr">
        <is>
          <t>en es fr de it pt ja ko ru 汉语 漢語</t>
        </is>
      </c>
      <c r="G974" t="n">
        <v>1890</v>
      </c>
      <c r="H974">
        <f>MONTH(NOW())+12*YEAR(NOW())-MONTH(tbl_MTG_Set[[#This Row],[Released On]])-12*YEAR(tbl_MTG_Set[[#This Row],[Released On]])</f>
        <v/>
      </c>
      <c r="I974">
        <f>_xlfn.XLOOKUP(tbl_MTG_Set[[#This Row],[Type Name]], tbl_MTG_Set_Type[Set Type], tbl_MTG_Set_Type[Index], "(Set Type not found)")</f>
        <v/>
      </c>
      <c r="J974">
        <f>_xlfn.XLOOKUP(tbl_MTG_Set[[#This Row],[Type Name]], tbl_MTG_Set_Type[Set Type], tbl_MTG_Set_Type[Buy Window Month Start], "(Set Type not found)")</f>
        <v/>
      </c>
      <c r="K974" s="3">
        <f>tbl_MTG_Set[[#This Row],[Released On]]+tbl_MTG_Set[[#This Row],[Buy Window Month Start]]*365.25/12</f>
        <v/>
      </c>
      <c r="L974">
        <f>_xlfn.XLOOKUP(tbl_MTG_Set[[#This Row],[Type Name]], tbl_MTG_Set_Type[Set Type], tbl_MTG_Set_Type[Buy Window Month End], "(Set Type not found)", 0, 1)</f>
        <v/>
      </c>
      <c r="M974" s="3">
        <f>tbl_MTG_Set[[#This Row],[Released On]]+tbl_MTG_Set[[#This Row],[Buy Window Month End]]*365.25/12</f>
        <v/>
      </c>
      <c r="N974" s="3">
        <f>AND(NOW()&gt;=tbl_MTG_Set[[#This Row],[Buy Window Start]], NOW()&lt;=tbl_MTG_Set[[#This Row],[Buy Window End]])</f>
        <v/>
      </c>
      <c r="O974">
        <f>_xlfn.XLOOKUP(tbl_MTG_Set[[#This Row],[Type Name]], tbl_MTG_Set_Type[Set Type], tbl_MTG_Set_Type[Heavy Printing Window Month Start], "(Set Type not found)", 0, 1)</f>
        <v/>
      </c>
      <c r="P974" s="3">
        <f>tbl_MTG_Set[[#This Row],[Released On]]+tbl_MTG_Set[[#This Row],[Heavy Printing Window Month Start]]*365.25/12</f>
        <v/>
      </c>
      <c r="Q974">
        <f>_xlfn.XLOOKUP(tbl_MTG_Set[[#This Row],[Type Name]], tbl_MTG_Set_Type[Set Type], tbl_MTG_Set_Type[Heavy Printing Window Month End], "(Set Type not found)", 0, 1)</f>
        <v/>
      </c>
      <c r="R974" s="3">
        <f>tbl_MTG_Set[[#This Row],[Released On]]+tbl_MTG_Set[[#This Row],[Heavy Printing Window Month End]]*365.25/12</f>
        <v/>
      </c>
      <c r="S974" s="3">
        <f>AND(NOW()&gt;=tbl_MTG_Set[[#This Row],[Heavy Printing Window Start]], NOW()&lt;=tbl_MTG_Set[[#This Row],[Heavy Printing Window End]])</f>
        <v/>
      </c>
      <c r="T974">
        <f>_xlfn.XLOOKUP(tbl_MTG_Set[[#This Row],[Type Name]], tbl_MTG_Set_Type[Set Type], tbl_MTG_Set_Type[Sell Window Month Start], "(Set Type not found)", 0, 1)</f>
        <v/>
      </c>
      <c r="U974" s="3">
        <f>tbl_MTG_Set[[#This Row],[Released On]]+tbl_MTG_Set[[#This Row],[Sell Window Month Start]]*365.25/12</f>
        <v/>
      </c>
      <c r="V974">
        <f>_xlfn.XLOOKUP(tbl_MTG_Set[[#This Row],[Type Name]], tbl_MTG_Set_Type[Set Type], tbl_MTG_Set_Type[Sell Window Month End], "(Set Type not found)", 0, 1)</f>
        <v/>
      </c>
      <c r="W974" s="3">
        <f>tbl_MTG_Set[[#This Row],[Released On]]+tbl_MTG_Set[[#This Row],[Sell Window Month End]]*365.25/12</f>
        <v/>
      </c>
      <c r="X974" s="3">
        <f>AND(NOW()&gt;=tbl_MTG_Set[[#This Row],[Sell Window Start]], NOW()&lt;=tbl_MTG_Set[[#This Row],[Sell Window End]])</f>
        <v/>
      </c>
      <c r="AG974" s="10" t="n"/>
      <c r="AH974" s="10" t="n"/>
      <c r="AM974" s="10">
        <f t="array" ref="AM9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4" s="10">
        <f t="array" ref="AN9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4" s="4">
        <f>_xlfn.XLOOKUP(tbl_MTG_Set[[#This Row],[Play Booster Box Product Id]], tbl_Product[Product Id], tbl_Product[Pack Size])</f>
        <v/>
      </c>
      <c r="AP974" s="10">
        <f>(tbl_MTG_Set[[#This Row],[Play Booster Box Cost]]+v_Item_Shipping_Cost_In)/tbl_MTG_Set[[#This Row],[Play Booster Box Size]]</f>
        <v/>
      </c>
      <c r="AQ974" s="10">
        <f t="array" ref="AQ97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4" s="10" t="n"/>
      <c r="AS974" s="10" t="n"/>
      <c r="AT974" s="17">
        <f>tbl_MTG_Set[[#This Row],[Play Booster CardMarket Profit]]/tbl_MTG_Set[[#This Row],[Play Booster Cost]]</f>
        <v/>
      </c>
      <c r="AU974" s="10">
        <f>_xlfn.XLOOKUP(tbl_MTG_Set[[#This Row],[Collector Booster Box Product Id]], tbl_Product[Product Id], tbl_Product[Min Cost])</f>
        <v/>
      </c>
      <c r="AV974" s="10">
        <f>_xlfn.XLOOKUP(tbl_MTG_Set[[#This Row],[Collector Booster Box Product Id]], tbl_Product[Product Id], tbl_Product[Best Source])</f>
        <v/>
      </c>
      <c r="AW974" s="4">
        <f>_xlfn.XLOOKUP(tbl_MTG_Set[[#This Row],[Collector Booster Box Product Id]], tbl_Product[Product Id], tbl_Product[Pack Size])</f>
        <v/>
      </c>
      <c r="AX974" s="10">
        <f>(tbl_MTG_Set[[#This Row],[Collector Booster Box Cost]] + v_Item_Shipping_Cost_In) / tbl_MTG_Set[[#This Row],[Collector Booster Box Size]]</f>
        <v/>
      </c>
      <c r="AY974" s="10">
        <f t="array" ref="AY97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4" s="10" t="n"/>
      <c r="BA9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4" s="17">
        <f>tbl_MTG_Set[[#This Row],[Collector Booster CardMarket Profit]]/tbl_MTG_Set[[#This Row],[Collector Booster Cost]]</f>
        <v/>
      </c>
      <c r="BC974" s="10" t="n"/>
      <c r="BF974" s="10">
        <f>tbl_MTG_Set[[#This Row],[Play Booster Sell Price CardMarket]]*tbl_MTG_Set[[#This Row],[Play Booster Expected Market Value]]/tbl_MTG_Set[[#This Row],[Play Boost Sealed Market Value]]</f>
        <v/>
      </c>
      <c r="BG9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4" s="10">
        <f>tbl_MTG_Set[[#This Row],[Play Singles CardMarket Profit]]/tbl_MTG_Set[[#This Row],[Play Booster Cost]]</f>
        <v/>
      </c>
      <c r="BI974" s="10">
        <f>tbl_MTG_Set[[#This Row],[Play Singles CardMarket Profit]]&gt;0</f>
        <v/>
      </c>
      <c r="BJ974" s="10" t="n"/>
      <c r="BK974" s="10" t="n"/>
      <c r="BL974" s="10">
        <f>tbl_MTG_Set[[#This Row],[Collector Booster Sell Price CardMarket]]*tbl_MTG_Set[[#This Row],[Collector Booster Expected Market Value]]/tbl_MTG_Set[[#This Row],[Collector Boost Sealed Market Value]]</f>
        <v/>
      </c>
      <c r="BM9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4" s="10">
        <f>tbl_MTG_Set[[#This Row],[Collector Singles CardMarket Profit]]/tbl_MTG_Set[[#This Row],[Collector Booster Cost]]</f>
        <v/>
      </c>
      <c r="BO974" s="10">
        <f>tbl_MTG_Set[[#This Row],[Collector Singles CardMarket Profit]]&gt;0</f>
        <v/>
      </c>
      <c r="BP9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5">
      <c r="A975" t="n">
        <v>973</v>
      </c>
      <c r="B975" t="inlineStr">
        <is>
          <t>Exodus Promos PEXO</t>
        </is>
      </c>
      <c r="C975" t="n">
        <v>1</v>
      </c>
      <c r="D975" s="3" t="n">
        <v>35961</v>
      </c>
      <c r="F975" t="inlineStr">
        <is>
          <t>en es fr de it pt ja ko ru 汉语 漢語</t>
        </is>
      </c>
      <c r="G975" t="n">
        <v>1892</v>
      </c>
      <c r="H975">
        <f>MONTH(NOW())+12*YEAR(NOW())-MONTH(tbl_MTG_Set[[#This Row],[Released On]])-12*YEAR(tbl_MTG_Set[[#This Row],[Released On]])</f>
        <v/>
      </c>
      <c r="I975">
        <f>_xlfn.XLOOKUP(tbl_MTG_Set[[#This Row],[Type Name]], tbl_MTG_Set_Type[Set Type], tbl_MTG_Set_Type[Index], "(Set Type not found)")</f>
        <v/>
      </c>
      <c r="J975">
        <f>_xlfn.XLOOKUP(tbl_MTG_Set[[#This Row],[Type Name]], tbl_MTG_Set_Type[Set Type], tbl_MTG_Set_Type[Buy Window Month Start], "(Set Type not found)")</f>
        <v/>
      </c>
      <c r="K975" s="3">
        <f>tbl_MTG_Set[[#This Row],[Released On]]+tbl_MTG_Set[[#This Row],[Buy Window Month Start]]*365.25/12</f>
        <v/>
      </c>
      <c r="L975">
        <f>_xlfn.XLOOKUP(tbl_MTG_Set[[#This Row],[Type Name]], tbl_MTG_Set_Type[Set Type], tbl_MTG_Set_Type[Buy Window Month End], "(Set Type not found)", 0, 1)</f>
        <v/>
      </c>
      <c r="M975" s="3">
        <f>tbl_MTG_Set[[#This Row],[Released On]]+tbl_MTG_Set[[#This Row],[Buy Window Month End]]*365.25/12</f>
        <v/>
      </c>
      <c r="N975" s="3">
        <f>AND(NOW()&gt;=tbl_MTG_Set[[#This Row],[Buy Window Start]], NOW()&lt;=tbl_MTG_Set[[#This Row],[Buy Window End]])</f>
        <v/>
      </c>
      <c r="O975">
        <f>_xlfn.XLOOKUP(tbl_MTG_Set[[#This Row],[Type Name]], tbl_MTG_Set_Type[Set Type], tbl_MTG_Set_Type[Heavy Printing Window Month Start], "(Set Type not found)", 0, 1)</f>
        <v/>
      </c>
      <c r="P975" s="3">
        <f>tbl_MTG_Set[[#This Row],[Released On]]+tbl_MTG_Set[[#This Row],[Heavy Printing Window Month Start]]*365.25/12</f>
        <v/>
      </c>
      <c r="Q975">
        <f>_xlfn.XLOOKUP(tbl_MTG_Set[[#This Row],[Type Name]], tbl_MTG_Set_Type[Set Type], tbl_MTG_Set_Type[Heavy Printing Window Month End], "(Set Type not found)", 0, 1)</f>
        <v/>
      </c>
      <c r="R975" s="3">
        <f>tbl_MTG_Set[[#This Row],[Released On]]+tbl_MTG_Set[[#This Row],[Heavy Printing Window Month End]]*365.25/12</f>
        <v/>
      </c>
      <c r="S975" s="3">
        <f>AND(NOW()&gt;=tbl_MTG_Set[[#This Row],[Heavy Printing Window Start]], NOW()&lt;=tbl_MTG_Set[[#This Row],[Heavy Printing Window End]])</f>
        <v/>
      </c>
      <c r="T975">
        <f>_xlfn.XLOOKUP(tbl_MTG_Set[[#This Row],[Type Name]], tbl_MTG_Set_Type[Set Type], tbl_MTG_Set_Type[Sell Window Month Start], "(Set Type not found)", 0, 1)</f>
        <v/>
      </c>
      <c r="U975" s="3">
        <f>tbl_MTG_Set[[#This Row],[Released On]]+tbl_MTG_Set[[#This Row],[Sell Window Month Start]]*365.25/12</f>
        <v/>
      </c>
      <c r="V975">
        <f>_xlfn.XLOOKUP(tbl_MTG_Set[[#This Row],[Type Name]], tbl_MTG_Set_Type[Set Type], tbl_MTG_Set_Type[Sell Window Month End], "(Set Type not found)", 0, 1)</f>
        <v/>
      </c>
      <c r="W975" s="3">
        <f>tbl_MTG_Set[[#This Row],[Released On]]+tbl_MTG_Set[[#This Row],[Sell Window Month End]]*365.25/12</f>
        <v/>
      </c>
      <c r="X975" s="3">
        <f>AND(NOW()&gt;=tbl_MTG_Set[[#This Row],[Sell Window Start]], NOW()&lt;=tbl_MTG_Set[[#This Row],[Sell Window End]])</f>
        <v/>
      </c>
      <c r="AG975" s="10" t="n"/>
      <c r="AH975" s="10" t="n"/>
      <c r="AM975" s="10">
        <f t="array" ref="AM9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5" s="10">
        <f t="array" ref="AN9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5" s="4">
        <f>_xlfn.XLOOKUP(tbl_MTG_Set[[#This Row],[Play Booster Box Product Id]], tbl_Product[Product Id], tbl_Product[Pack Size])</f>
        <v/>
      </c>
      <c r="AP975" s="10">
        <f>(tbl_MTG_Set[[#This Row],[Play Booster Box Cost]]+v_Item_Shipping_Cost_In)/tbl_MTG_Set[[#This Row],[Play Booster Box Size]]</f>
        <v/>
      </c>
      <c r="AQ975" s="10">
        <f t="array" ref="AQ97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5" s="10" t="n"/>
      <c r="AS975" s="10" t="n"/>
      <c r="AT975" s="17">
        <f>tbl_MTG_Set[[#This Row],[Play Booster CardMarket Profit]]/tbl_MTG_Set[[#This Row],[Play Booster Cost]]</f>
        <v/>
      </c>
      <c r="AU975" s="10">
        <f>_xlfn.XLOOKUP(tbl_MTG_Set[[#This Row],[Collector Booster Box Product Id]], tbl_Product[Product Id], tbl_Product[Min Cost])</f>
        <v/>
      </c>
      <c r="AV975" s="10">
        <f>_xlfn.XLOOKUP(tbl_MTG_Set[[#This Row],[Collector Booster Box Product Id]], tbl_Product[Product Id], tbl_Product[Best Source])</f>
        <v/>
      </c>
      <c r="AW975" s="4">
        <f>_xlfn.XLOOKUP(tbl_MTG_Set[[#This Row],[Collector Booster Box Product Id]], tbl_Product[Product Id], tbl_Product[Pack Size])</f>
        <v/>
      </c>
      <c r="AX975" s="10">
        <f>(tbl_MTG_Set[[#This Row],[Collector Booster Box Cost]] + v_Item_Shipping_Cost_In) / tbl_MTG_Set[[#This Row],[Collector Booster Box Size]]</f>
        <v/>
      </c>
      <c r="AY975" s="10">
        <f t="array" ref="AY97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5" s="10" t="n"/>
      <c r="BA9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5" s="17">
        <f>tbl_MTG_Set[[#This Row],[Collector Booster CardMarket Profit]]/tbl_MTG_Set[[#This Row],[Collector Booster Cost]]</f>
        <v/>
      </c>
      <c r="BC975" s="10" t="n"/>
      <c r="BF975" s="10">
        <f>tbl_MTG_Set[[#This Row],[Play Booster Sell Price CardMarket]]*tbl_MTG_Set[[#This Row],[Play Booster Expected Market Value]]/tbl_MTG_Set[[#This Row],[Play Boost Sealed Market Value]]</f>
        <v/>
      </c>
      <c r="BG9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5" s="10">
        <f>tbl_MTG_Set[[#This Row],[Play Singles CardMarket Profit]]/tbl_MTG_Set[[#This Row],[Play Booster Cost]]</f>
        <v/>
      </c>
      <c r="BI975" s="10">
        <f>tbl_MTG_Set[[#This Row],[Play Singles CardMarket Profit]]&gt;0</f>
        <v/>
      </c>
      <c r="BJ975" s="10" t="n"/>
      <c r="BK975" s="10" t="n"/>
      <c r="BL975" s="10">
        <f>tbl_MTG_Set[[#This Row],[Collector Booster Sell Price CardMarket]]*tbl_MTG_Set[[#This Row],[Collector Booster Expected Market Value]]/tbl_MTG_Set[[#This Row],[Collector Boost Sealed Market Value]]</f>
        <v/>
      </c>
      <c r="BM9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5" s="10">
        <f>tbl_MTG_Set[[#This Row],[Collector Singles CardMarket Profit]]/tbl_MTG_Set[[#This Row],[Collector Booster Cost]]</f>
        <v/>
      </c>
      <c r="BO975" s="10">
        <f>tbl_MTG_Set[[#This Row],[Collector Singles CardMarket Profit]]&gt;0</f>
        <v/>
      </c>
      <c r="BP9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6">
      <c r="A976" t="n">
        <v>974</v>
      </c>
      <c r="B976" t="inlineStr">
        <is>
          <t>Stronghold STH</t>
        </is>
      </c>
      <c r="C976" t="n">
        <v>143</v>
      </c>
      <c r="D976" s="3" t="n">
        <v>35856</v>
      </c>
      <c r="F976" t="inlineStr">
        <is>
          <t>en es fr de it pt ja ko ru 汉语 漢語</t>
        </is>
      </c>
      <c r="G976" t="n">
        <v>1894</v>
      </c>
      <c r="H976">
        <f>MONTH(NOW())+12*YEAR(NOW())-MONTH(tbl_MTG_Set[[#This Row],[Released On]])-12*YEAR(tbl_MTG_Set[[#This Row],[Released On]])</f>
        <v/>
      </c>
      <c r="I976">
        <f>_xlfn.XLOOKUP(tbl_MTG_Set[[#This Row],[Type Name]], tbl_MTG_Set_Type[Set Type], tbl_MTG_Set_Type[Index], "(Set Type not found)")</f>
        <v/>
      </c>
      <c r="J976">
        <f>_xlfn.XLOOKUP(tbl_MTG_Set[[#This Row],[Type Name]], tbl_MTG_Set_Type[Set Type], tbl_MTG_Set_Type[Buy Window Month Start], "(Set Type not found)")</f>
        <v/>
      </c>
      <c r="K976" s="3">
        <f>tbl_MTG_Set[[#This Row],[Released On]]+tbl_MTG_Set[[#This Row],[Buy Window Month Start]]*365.25/12</f>
        <v/>
      </c>
      <c r="L976">
        <f>_xlfn.XLOOKUP(tbl_MTG_Set[[#This Row],[Type Name]], tbl_MTG_Set_Type[Set Type], tbl_MTG_Set_Type[Buy Window Month End], "(Set Type not found)", 0, 1)</f>
        <v/>
      </c>
      <c r="M976" s="3">
        <f>tbl_MTG_Set[[#This Row],[Released On]]+tbl_MTG_Set[[#This Row],[Buy Window Month End]]*365.25/12</f>
        <v/>
      </c>
      <c r="N976" s="3">
        <f>AND(NOW()&gt;=tbl_MTG_Set[[#This Row],[Buy Window Start]], NOW()&lt;=tbl_MTG_Set[[#This Row],[Buy Window End]])</f>
        <v/>
      </c>
      <c r="O976">
        <f>_xlfn.XLOOKUP(tbl_MTG_Set[[#This Row],[Type Name]], tbl_MTG_Set_Type[Set Type], tbl_MTG_Set_Type[Heavy Printing Window Month Start], "(Set Type not found)", 0, 1)</f>
        <v/>
      </c>
      <c r="P976" s="3">
        <f>tbl_MTG_Set[[#This Row],[Released On]]+tbl_MTG_Set[[#This Row],[Heavy Printing Window Month Start]]*365.25/12</f>
        <v/>
      </c>
      <c r="Q976">
        <f>_xlfn.XLOOKUP(tbl_MTG_Set[[#This Row],[Type Name]], tbl_MTG_Set_Type[Set Type], tbl_MTG_Set_Type[Heavy Printing Window Month End], "(Set Type not found)", 0, 1)</f>
        <v/>
      </c>
      <c r="R976" s="3">
        <f>tbl_MTG_Set[[#This Row],[Released On]]+tbl_MTG_Set[[#This Row],[Heavy Printing Window Month End]]*365.25/12</f>
        <v/>
      </c>
      <c r="S976" s="3">
        <f>AND(NOW()&gt;=tbl_MTG_Set[[#This Row],[Heavy Printing Window Start]], NOW()&lt;=tbl_MTG_Set[[#This Row],[Heavy Printing Window End]])</f>
        <v/>
      </c>
      <c r="T976">
        <f>_xlfn.XLOOKUP(tbl_MTG_Set[[#This Row],[Type Name]], tbl_MTG_Set_Type[Set Type], tbl_MTG_Set_Type[Sell Window Month Start], "(Set Type not found)", 0, 1)</f>
        <v/>
      </c>
      <c r="U976" s="3">
        <f>tbl_MTG_Set[[#This Row],[Released On]]+tbl_MTG_Set[[#This Row],[Sell Window Month Start]]*365.25/12</f>
        <v/>
      </c>
      <c r="V976">
        <f>_xlfn.XLOOKUP(tbl_MTG_Set[[#This Row],[Type Name]], tbl_MTG_Set_Type[Set Type], tbl_MTG_Set_Type[Sell Window Month End], "(Set Type not found)", 0, 1)</f>
        <v/>
      </c>
      <c r="W976" s="3">
        <f>tbl_MTG_Set[[#This Row],[Released On]]+tbl_MTG_Set[[#This Row],[Sell Window Month End]]*365.25/12</f>
        <v/>
      </c>
      <c r="X976" s="3">
        <f>AND(NOW()&gt;=tbl_MTG_Set[[#This Row],[Sell Window Start]], NOW()&lt;=tbl_MTG_Set[[#This Row],[Sell Window End]])</f>
        <v/>
      </c>
      <c r="AG976" s="10" t="n"/>
      <c r="AH976" s="10" t="n"/>
      <c r="AM976" s="10">
        <f t="array" ref="AM9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6" s="10">
        <f t="array" ref="AN9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6" s="4">
        <f>_xlfn.XLOOKUP(tbl_MTG_Set[[#This Row],[Play Booster Box Product Id]], tbl_Product[Product Id], tbl_Product[Pack Size])</f>
        <v/>
      </c>
      <c r="AP976" s="10">
        <f>(tbl_MTG_Set[[#This Row],[Play Booster Box Cost]]+v_Item_Shipping_Cost_In)/tbl_MTG_Set[[#This Row],[Play Booster Box Size]]</f>
        <v/>
      </c>
      <c r="AQ976" s="10">
        <f t="array" ref="AQ97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6" s="10" t="n"/>
      <c r="AS976" s="10" t="n"/>
      <c r="AT976" s="17">
        <f>tbl_MTG_Set[[#This Row],[Play Booster CardMarket Profit]]/tbl_MTG_Set[[#This Row],[Play Booster Cost]]</f>
        <v/>
      </c>
      <c r="AU976" s="10">
        <f>_xlfn.XLOOKUP(tbl_MTG_Set[[#This Row],[Collector Booster Box Product Id]], tbl_Product[Product Id], tbl_Product[Min Cost])</f>
        <v/>
      </c>
      <c r="AV976" s="10">
        <f>_xlfn.XLOOKUP(tbl_MTG_Set[[#This Row],[Collector Booster Box Product Id]], tbl_Product[Product Id], tbl_Product[Best Source])</f>
        <v/>
      </c>
      <c r="AW976" s="4">
        <f>_xlfn.XLOOKUP(tbl_MTG_Set[[#This Row],[Collector Booster Box Product Id]], tbl_Product[Product Id], tbl_Product[Pack Size])</f>
        <v/>
      </c>
      <c r="AX976" s="10">
        <f>(tbl_MTG_Set[[#This Row],[Collector Booster Box Cost]] + v_Item_Shipping_Cost_In) / tbl_MTG_Set[[#This Row],[Collector Booster Box Size]]</f>
        <v/>
      </c>
      <c r="AY976" s="10">
        <f t="array" ref="AY97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6" s="10" t="n"/>
      <c r="BA9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6" s="17">
        <f>tbl_MTG_Set[[#This Row],[Collector Booster CardMarket Profit]]/tbl_MTG_Set[[#This Row],[Collector Booster Cost]]</f>
        <v/>
      </c>
      <c r="BC976" s="10" t="n"/>
      <c r="BF976" s="10">
        <f>tbl_MTG_Set[[#This Row],[Play Booster Sell Price CardMarket]]*tbl_MTG_Set[[#This Row],[Play Booster Expected Market Value]]/tbl_MTG_Set[[#This Row],[Play Boost Sealed Market Value]]</f>
        <v/>
      </c>
      <c r="BG9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6" s="10">
        <f>tbl_MTG_Set[[#This Row],[Play Singles CardMarket Profit]]/tbl_MTG_Set[[#This Row],[Play Booster Cost]]</f>
        <v/>
      </c>
      <c r="BI976" s="10">
        <f>tbl_MTG_Set[[#This Row],[Play Singles CardMarket Profit]]&gt;0</f>
        <v/>
      </c>
      <c r="BJ976" s="10" t="n"/>
      <c r="BK976" s="10" t="n"/>
      <c r="BL976" s="10">
        <f>tbl_MTG_Set[[#This Row],[Collector Booster Sell Price CardMarket]]*tbl_MTG_Set[[#This Row],[Collector Booster Expected Market Value]]/tbl_MTG_Set[[#This Row],[Collector Boost Sealed Market Value]]</f>
        <v/>
      </c>
      <c r="BM9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6" s="10">
        <f>tbl_MTG_Set[[#This Row],[Collector Singles CardMarket Profit]]/tbl_MTG_Set[[#This Row],[Collector Booster Cost]]</f>
        <v/>
      </c>
      <c r="BO976" s="10">
        <f>tbl_MTG_Set[[#This Row],[Collector Singles CardMarket Profit]]&gt;0</f>
        <v/>
      </c>
      <c r="BP9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7">
      <c r="A977" t="n">
        <v>975</v>
      </c>
      <c r="B977" t="inlineStr">
        <is>
          <t>Stronghold Promos PSTH</t>
        </is>
      </c>
      <c r="C977" t="n">
        <v>1</v>
      </c>
      <c r="D977" s="3" t="n">
        <v>35856</v>
      </c>
      <c r="F977" t="inlineStr">
        <is>
          <t>en es fr de it pt ja ko ru 汉语 漢語</t>
        </is>
      </c>
      <c r="G977" t="n">
        <v>1896</v>
      </c>
      <c r="H977">
        <f>MONTH(NOW())+12*YEAR(NOW())-MONTH(tbl_MTG_Set[[#This Row],[Released On]])-12*YEAR(tbl_MTG_Set[[#This Row],[Released On]])</f>
        <v/>
      </c>
      <c r="I977">
        <f>_xlfn.XLOOKUP(tbl_MTG_Set[[#This Row],[Type Name]], tbl_MTG_Set_Type[Set Type], tbl_MTG_Set_Type[Index], "(Set Type not found)")</f>
        <v/>
      </c>
      <c r="J977">
        <f>_xlfn.XLOOKUP(tbl_MTG_Set[[#This Row],[Type Name]], tbl_MTG_Set_Type[Set Type], tbl_MTG_Set_Type[Buy Window Month Start], "(Set Type not found)")</f>
        <v/>
      </c>
      <c r="K977" s="3">
        <f>tbl_MTG_Set[[#This Row],[Released On]]+tbl_MTG_Set[[#This Row],[Buy Window Month Start]]*365.25/12</f>
        <v/>
      </c>
      <c r="L977">
        <f>_xlfn.XLOOKUP(tbl_MTG_Set[[#This Row],[Type Name]], tbl_MTG_Set_Type[Set Type], tbl_MTG_Set_Type[Buy Window Month End], "(Set Type not found)", 0, 1)</f>
        <v/>
      </c>
      <c r="M977" s="3">
        <f>tbl_MTG_Set[[#This Row],[Released On]]+tbl_MTG_Set[[#This Row],[Buy Window Month End]]*365.25/12</f>
        <v/>
      </c>
      <c r="N977" s="3">
        <f>AND(NOW()&gt;=tbl_MTG_Set[[#This Row],[Buy Window Start]], NOW()&lt;=tbl_MTG_Set[[#This Row],[Buy Window End]])</f>
        <v/>
      </c>
      <c r="O977">
        <f>_xlfn.XLOOKUP(tbl_MTG_Set[[#This Row],[Type Name]], tbl_MTG_Set_Type[Set Type], tbl_MTG_Set_Type[Heavy Printing Window Month Start], "(Set Type not found)", 0, 1)</f>
        <v/>
      </c>
      <c r="P977" s="3">
        <f>tbl_MTG_Set[[#This Row],[Released On]]+tbl_MTG_Set[[#This Row],[Heavy Printing Window Month Start]]*365.25/12</f>
        <v/>
      </c>
      <c r="Q977">
        <f>_xlfn.XLOOKUP(tbl_MTG_Set[[#This Row],[Type Name]], tbl_MTG_Set_Type[Set Type], tbl_MTG_Set_Type[Heavy Printing Window Month End], "(Set Type not found)", 0, 1)</f>
        <v/>
      </c>
      <c r="R977" s="3">
        <f>tbl_MTG_Set[[#This Row],[Released On]]+tbl_MTG_Set[[#This Row],[Heavy Printing Window Month End]]*365.25/12</f>
        <v/>
      </c>
      <c r="S977" s="3">
        <f>AND(NOW()&gt;=tbl_MTG_Set[[#This Row],[Heavy Printing Window Start]], NOW()&lt;=tbl_MTG_Set[[#This Row],[Heavy Printing Window End]])</f>
        <v/>
      </c>
      <c r="T977">
        <f>_xlfn.XLOOKUP(tbl_MTG_Set[[#This Row],[Type Name]], tbl_MTG_Set_Type[Set Type], tbl_MTG_Set_Type[Sell Window Month Start], "(Set Type not found)", 0, 1)</f>
        <v/>
      </c>
      <c r="U977" s="3">
        <f>tbl_MTG_Set[[#This Row],[Released On]]+tbl_MTG_Set[[#This Row],[Sell Window Month Start]]*365.25/12</f>
        <v/>
      </c>
      <c r="V977">
        <f>_xlfn.XLOOKUP(tbl_MTG_Set[[#This Row],[Type Name]], tbl_MTG_Set_Type[Set Type], tbl_MTG_Set_Type[Sell Window Month End], "(Set Type not found)", 0, 1)</f>
        <v/>
      </c>
      <c r="W977" s="3">
        <f>tbl_MTG_Set[[#This Row],[Released On]]+tbl_MTG_Set[[#This Row],[Sell Window Month End]]*365.25/12</f>
        <v/>
      </c>
      <c r="X977" s="3">
        <f>AND(NOW()&gt;=tbl_MTG_Set[[#This Row],[Sell Window Start]], NOW()&lt;=tbl_MTG_Set[[#This Row],[Sell Window End]])</f>
        <v/>
      </c>
      <c r="AG977" s="10" t="n"/>
      <c r="AH977" s="10" t="n"/>
      <c r="AM977" s="10">
        <f t="array" ref="AM9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7" s="10">
        <f t="array" ref="AN9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7" s="4">
        <f>_xlfn.XLOOKUP(tbl_MTG_Set[[#This Row],[Play Booster Box Product Id]], tbl_Product[Product Id], tbl_Product[Pack Size])</f>
        <v/>
      </c>
      <c r="AP977" s="10">
        <f>(tbl_MTG_Set[[#This Row],[Play Booster Box Cost]]+v_Item_Shipping_Cost_In)/tbl_MTG_Set[[#This Row],[Play Booster Box Size]]</f>
        <v/>
      </c>
      <c r="AQ977" s="10">
        <f t="array" ref="AQ97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7" s="10" t="n"/>
      <c r="AS977" s="10" t="n"/>
      <c r="AT977" s="17">
        <f>tbl_MTG_Set[[#This Row],[Play Booster CardMarket Profit]]/tbl_MTG_Set[[#This Row],[Play Booster Cost]]</f>
        <v/>
      </c>
      <c r="AU977" s="10">
        <f>_xlfn.XLOOKUP(tbl_MTG_Set[[#This Row],[Collector Booster Box Product Id]], tbl_Product[Product Id], tbl_Product[Min Cost])</f>
        <v/>
      </c>
      <c r="AV977" s="10">
        <f>_xlfn.XLOOKUP(tbl_MTG_Set[[#This Row],[Collector Booster Box Product Id]], tbl_Product[Product Id], tbl_Product[Best Source])</f>
        <v/>
      </c>
      <c r="AW977" s="4">
        <f>_xlfn.XLOOKUP(tbl_MTG_Set[[#This Row],[Collector Booster Box Product Id]], tbl_Product[Product Id], tbl_Product[Pack Size])</f>
        <v/>
      </c>
      <c r="AX977" s="10">
        <f>(tbl_MTG_Set[[#This Row],[Collector Booster Box Cost]] + v_Item_Shipping_Cost_In) / tbl_MTG_Set[[#This Row],[Collector Booster Box Size]]</f>
        <v/>
      </c>
      <c r="AY977" s="10">
        <f t="array" ref="AY97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7" s="10" t="n"/>
      <c r="BA9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7" s="17">
        <f>tbl_MTG_Set[[#This Row],[Collector Booster CardMarket Profit]]/tbl_MTG_Set[[#This Row],[Collector Booster Cost]]</f>
        <v/>
      </c>
      <c r="BC977" s="10" t="n"/>
      <c r="BF977" s="10">
        <f>tbl_MTG_Set[[#This Row],[Play Booster Sell Price CardMarket]]*tbl_MTG_Set[[#This Row],[Play Booster Expected Market Value]]/tbl_MTG_Set[[#This Row],[Play Boost Sealed Market Value]]</f>
        <v/>
      </c>
      <c r="BG9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7" s="10">
        <f>tbl_MTG_Set[[#This Row],[Play Singles CardMarket Profit]]/tbl_MTG_Set[[#This Row],[Play Booster Cost]]</f>
        <v/>
      </c>
      <c r="BI977" s="10">
        <f>tbl_MTG_Set[[#This Row],[Play Singles CardMarket Profit]]&gt;0</f>
        <v/>
      </c>
      <c r="BJ977" s="10" t="n"/>
      <c r="BK977" s="10" t="n"/>
      <c r="BL977" s="10">
        <f>tbl_MTG_Set[[#This Row],[Collector Booster Sell Price CardMarket]]*tbl_MTG_Set[[#This Row],[Collector Booster Expected Market Value]]/tbl_MTG_Set[[#This Row],[Collector Boost Sealed Market Value]]</f>
        <v/>
      </c>
      <c r="BM9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7" s="10">
        <f>tbl_MTG_Set[[#This Row],[Collector Singles CardMarket Profit]]/tbl_MTG_Set[[#This Row],[Collector Booster Cost]]</f>
        <v/>
      </c>
      <c r="BO977" s="10">
        <f>tbl_MTG_Set[[#This Row],[Collector Singles CardMarket Profit]]&gt;0</f>
        <v/>
      </c>
      <c r="BP9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8">
      <c r="A978" t="n">
        <v>976</v>
      </c>
      <c r="B978" t="inlineStr">
        <is>
          <t>Judge Gift Cards 1998 JGP</t>
        </is>
      </c>
      <c r="C978" t="n">
        <v>3</v>
      </c>
      <c r="D978" s="3" t="n">
        <v>35796</v>
      </c>
      <c r="F978" t="inlineStr">
        <is>
          <t>en es fr de it pt ja ko ru 汉语 漢語</t>
        </is>
      </c>
      <c r="G978" t="n">
        <v>1898</v>
      </c>
      <c r="H978">
        <f>MONTH(NOW())+12*YEAR(NOW())-MONTH(tbl_MTG_Set[[#This Row],[Released On]])-12*YEAR(tbl_MTG_Set[[#This Row],[Released On]])</f>
        <v/>
      </c>
      <c r="I978">
        <f>_xlfn.XLOOKUP(tbl_MTG_Set[[#This Row],[Type Name]], tbl_MTG_Set_Type[Set Type], tbl_MTG_Set_Type[Index], "(Set Type not found)")</f>
        <v/>
      </c>
      <c r="J978">
        <f>_xlfn.XLOOKUP(tbl_MTG_Set[[#This Row],[Type Name]], tbl_MTG_Set_Type[Set Type], tbl_MTG_Set_Type[Buy Window Month Start], "(Set Type not found)")</f>
        <v/>
      </c>
      <c r="K978" s="3">
        <f>tbl_MTG_Set[[#This Row],[Released On]]+tbl_MTG_Set[[#This Row],[Buy Window Month Start]]*365.25/12</f>
        <v/>
      </c>
      <c r="L978">
        <f>_xlfn.XLOOKUP(tbl_MTG_Set[[#This Row],[Type Name]], tbl_MTG_Set_Type[Set Type], tbl_MTG_Set_Type[Buy Window Month End], "(Set Type not found)", 0, 1)</f>
        <v/>
      </c>
      <c r="M978" s="3">
        <f>tbl_MTG_Set[[#This Row],[Released On]]+tbl_MTG_Set[[#This Row],[Buy Window Month End]]*365.25/12</f>
        <v/>
      </c>
      <c r="N978" s="3">
        <f>AND(NOW()&gt;=tbl_MTG_Set[[#This Row],[Buy Window Start]], NOW()&lt;=tbl_MTG_Set[[#This Row],[Buy Window End]])</f>
        <v/>
      </c>
      <c r="O978">
        <f>_xlfn.XLOOKUP(tbl_MTG_Set[[#This Row],[Type Name]], tbl_MTG_Set_Type[Set Type], tbl_MTG_Set_Type[Heavy Printing Window Month Start], "(Set Type not found)", 0, 1)</f>
        <v/>
      </c>
      <c r="P978" s="3">
        <f>tbl_MTG_Set[[#This Row],[Released On]]+tbl_MTG_Set[[#This Row],[Heavy Printing Window Month Start]]*365.25/12</f>
        <v/>
      </c>
      <c r="Q978">
        <f>_xlfn.XLOOKUP(tbl_MTG_Set[[#This Row],[Type Name]], tbl_MTG_Set_Type[Set Type], tbl_MTG_Set_Type[Heavy Printing Window Month End], "(Set Type not found)", 0, 1)</f>
        <v/>
      </c>
      <c r="R978" s="3">
        <f>tbl_MTG_Set[[#This Row],[Released On]]+tbl_MTG_Set[[#This Row],[Heavy Printing Window Month End]]*365.25/12</f>
        <v/>
      </c>
      <c r="S978" s="3">
        <f>AND(NOW()&gt;=tbl_MTG_Set[[#This Row],[Heavy Printing Window Start]], NOW()&lt;=tbl_MTG_Set[[#This Row],[Heavy Printing Window End]])</f>
        <v/>
      </c>
      <c r="T978">
        <f>_xlfn.XLOOKUP(tbl_MTG_Set[[#This Row],[Type Name]], tbl_MTG_Set_Type[Set Type], tbl_MTG_Set_Type[Sell Window Month Start], "(Set Type not found)", 0, 1)</f>
        <v/>
      </c>
      <c r="U978" s="3">
        <f>tbl_MTG_Set[[#This Row],[Released On]]+tbl_MTG_Set[[#This Row],[Sell Window Month Start]]*365.25/12</f>
        <v/>
      </c>
      <c r="V978">
        <f>_xlfn.XLOOKUP(tbl_MTG_Set[[#This Row],[Type Name]], tbl_MTG_Set_Type[Set Type], tbl_MTG_Set_Type[Sell Window Month End], "(Set Type not found)", 0, 1)</f>
        <v/>
      </c>
      <c r="W978" s="3">
        <f>tbl_MTG_Set[[#This Row],[Released On]]+tbl_MTG_Set[[#This Row],[Sell Window Month End]]*365.25/12</f>
        <v/>
      </c>
      <c r="X978" s="3">
        <f>AND(NOW()&gt;=tbl_MTG_Set[[#This Row],[Sell Window Start]], NOW()&lt;=tbl_MTG_Set[[#This Row],[Sell Window End]])</f>
        <v/>
      </c>
      <c r="AG978" s="10" t="n"/>
      <c r="AH978" s="10" t="n"/>
      <c r="AM978" s="10">
        <f t="array" ref="AM9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8" s="10">
        <f t="array" ref="AN9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8" s="4">
        <f>_xlfn.XLOOKUP(tbl_MTG_Set[[#This Row],[Play Booster Box Product Id]], tbl_Product[Product Id], tbl_Product[Pack Size])</f>
        <v/>
      </c>
      <c r="AP978" s="10">
        <f>(tbl_MTG_Set[[#This Row],[Play Booster Box Cost]]+v_Item_Shipping_Cost_In)/tbl_MTG_Set[[#This Row],[Play Booster Box Size]]</f>
        <v/>
      </c>
      <c r="AQ978" s="10">
        <f t="array" ref="AQ97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8" s="10" t="n"/>
      <c r="AS978" s="10" t="n"/>
      <c r="AT978" s="17">
        <f>tbl_MTG_Set[[#This Row],[Play Booster CardMarket Profit]]/tbl_MTG_Set[[#This Row],[Play Booster Cost]]</f>
        <v/>
      </c>
      <c r="AU978" s="10">
        <f>_xlfn.XLOOKUP(tbl_MTG_Set[[#This Row],[Collector Booster Box Product Id]], tbl_Product[Product Id], tbl_Product[Min Cost])</f>
        <v/>
      </c>
      <c r="AV978" s="10">
        <f>_xlfn.XLOOKUP(tbl_MTG_Set[[#This Row],[Collector Booster Box Product Id]], tbl_Product[Product Id], tbl_Product[Best Source])</f>
        <v/>
      </c>
      <c r="AW978" s="4">
        <f>_xlfn.XLOOKUP(tbl_MTG_Set[[#This Row],[Collector Booster Box Product Id]], tbl_Product[Product Id], tbl_Product[Pack Size])</f>
        <v/>
      </c>
      <c r="AX978" s="10">
        <f>(tbl_MTG_Set[[#This Row],[Collector Booster Box Cost]] + v_Item_Shipping_Cost_In) / tbl_MTG_Set[[#This Row],[Collector Booster Box Size]]</f>
        <v/>
      </c>
      <c r="AY978" s="10">
        <f t="array" ref="AY97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8" s="10" t="n"/>
      <c r="BA9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8" s="17">
        <f>tbl_MTG_Set[[#This Row],[Collector Booster CardMarket Profit]]/tbl_MTG_Set[[#This Row],[Collector Booster Cost]]</f>
        <v/>
      </c>
      <c r="BC978" s="10" t="n"/>
      <c r="BF978" s="10">
        <f>tbl_MTG_Set[[#This Row],[Play Booster Sell Price CardMarket]]*tbl_MTG_Set[[#This Row],[Play Booster Expected Market Value]]/tbl_MTG_Set[[#This Row],[Play Boost Sealed Market Value]]</f>
        <v/>
      </c>
      <c r="BG9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8" s="10">
        <f>tbl_MTG_Set[[#This Row],[Play Singles CardMarket Profit]]/tbl_MTG_Set[[#This Row],[Play Booster Cost]]</f>
        <v/>
      </c>
      <c r="BI978" s="10">
        <f>tbl_MTG_Set[[#This Row],[Play Singles CardMarket Profit]]&gt;0</f>
        <v/>
      </c>
      <c r="BJ978" s="10" t="n"/>
      <c r="BK978" s="10" t="n"/>
      <c r="BL978" s="10">
        <f>tbl_MTG_Set[[#This Row],[Collector Booster Sell Price CardMarket]]*tbl_MTG_Set[[#This Row],[Collector Booster Expected Market Value]]/tbl_MTG_Set[[#This Row],[Collector Boost Sealed Market Value]]</f>
        <v/>
      </c>
      <c r="BM9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8" s="10">
        <f>tbl_MTG_Set[[#This Row],[Collector Singles CardMarket Profit]]/tbl_MTG_Set[[#This Row],[Collector Booster Cost]]</f>
        <v/>
      </c>
      <c r="BO978" s="10">
        <f>tbl_MTG_Set[[#This Row],[Collector Singles CardMarket Profit]]&gt;0</f>
        <v/>
      </c>
      <c r="BP9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9">
      <c r="A979" t="n">
        <v>977</v>
      </c>
      <c r="B979" t="inlineStr">
        <is>
          <t>Tempest TMP</t>
        </is>
      </c>
      <c r="C979" t="n">
        <v>350</v>
      </c>
      <c r="D979" s="3" t="n">
        <v>35717</v>
      </c>
      <c r="F979" t="inlineStr">
        <is>
          <t>en es fr de it pt ja ko ru 汉语 漢語</t>
        </is>
      </c>
      <c r="G979" t="n">
        <v>1900</v>
      </c>
      <c r="H979">
        <f>MONTH(NOW())+12*YEAR(NOW())-MONTH(tbl_MTG_Set[[#This Row],[Released On]])-12*YEAR(tbl_MTG_Set[[#This Row],[Released On]])</f>
        <v/>
      </c>
      <c r="I979">
        <f>_xlfn.XLOOKUP(tbl_MTG_Set[[#This Row],[Type Name]], tbl_MTG_Set_Type[Set Type], tbl_MTG_Set_Type[Index], "(Set Type not found)")</f>
        <v/>
      </c>
      <c r="J979">
        <f>_xlfn.XLOOKUP(tbl_MTG_Set[[#This Row],[Type Name]], tbl_MTG_Set_Type[Set Type], tbl_MTG_Set_Type[Buy Window Month Start], "(Set Type not found)")</f>
        <v/>
      </c>
      <c r="K979" s="3">
        <f>tbl_MTG_Set[[#This Row],[Released On]]+tbl_MTG_Set[[#This Row],[Buy Window Month Start]]*365.25/12</f>
        <v/>
      </c>
      <c r="L979">
        <f>_xlfn.XLOOKUP(tbl_MTG_Set[[#This Row],[Type Name]], tbl_MTG_Set_Type[Set Type], tbl_MTG_Set_Type[Buy Window Month End], "(Set Type not found)", 0, 1)</f>
        <v/>
      </c>
      <c r="M979" s="3">
        <f>tbl_MTG_Set[[#This Row],[Released On]]+tbl_MTG_Set[[#This Row],[Buy Window Month End]]*365.25/12</f>
        <v/>
      </c>
      <c r="N979" s="3">
        <f>AND(NOW()&gt;=tbl_MTG_Set[[#This Row],[Buy Window Start]], NOW()&lt;=tbl_MTG_Set[[#This Row],[Buy Window End]])</f>
        <v/>
      </c>
      <c r="O979">
        <f>_xlfn.XLOOKUP(tbl_MTG_Set[[#This Row],[Type Name]], tbl_MTG_Set_Type[Set Type], tbl_MTG_Set_Type[Heavy Printing Window Month Start], "(Set Type not found)", 0, 1)</f>
        <v/>
      </c>
      <c r="P979" s="3">
        <f>tbl_MTG_Set[[#This Row],[Released On]]+tbl_MTG_Set[[#This Row],[Heavy Printing Window Month Start]]*365.25/12</f>
        <v/>
      </c>
      <c r="Q979">
        <f>_xlfn.XLOOKUP(tbl_MTG_Set[[#This Row],[Type Name]], tbl_MTG_Set_Type[Set Type], tbl_MTG_Set_Type[Heavy Printing Window Month End], "(Set Type not found)", 0, 1)</f>
        <v/>
      </c>
      <c r="R979" s="3">
        <f>tbl_MTG_Set[[#This Row],[Released On]]+tbl_MTG_Set[[#This Row],[Heavy Printing Window Month End]]*365.25/12</f>
        <v/>
      </c>
      <c r="S979" s="3">
        <f>AND(NOW()&gt;=tbl_MTG_Set[[#This Row],[Heavy Printing Window Start]], NOW()&lt;=tbl_MTG_Set[[#This Row],[Heavy Printing Window End]])</f>
        <v/>
      </c>
      <c r="T979">
        <f>_xlfn.XLOOKUP(tbl_MTG_Set[[#This Row],[Type Name]], tbl_MTG_Set_Type[Set Type], tbl_MTG_Set_Type[Sell Window Month Start], "(Set Type not found)", 0, 1)</f>
        <v/>
      </c>
      <c r="U979" s="3">
        <f>tbl_MTG_Set[[#This Row],[Released On]]+tbl_MTG_Set[[#This Row],[Sell Window Month Start]]*365.25/12</f>
        <v/>
      </c>
      <c r="V979">
        <f>_xlfn.XLOOKUP(tbl_MTG_Set[[#This Row],[Type Name]], tbl_MTG_Set_Type[Set Type], tbl_MTG_Set_Type[Sell Window Month End], "(Set Type not found)", 0, 1)</f>
        <v/>
      </c>
      <c r="W979" s="3">
        <f>tbl_MTG_Set[[#This Row],[Released On]]+tbl_MTG_Set[[#This Row],[Sell Window Month End]]*365.25/12</f>
        <v/>
      </c>
      <c r="X979" s="3">
        <f>AND(NOW()&gt;=tbl_MTG_Set[[#This Row],[Sell Window Start]], NOW()&lt;=tbl_MTG_Set[[#This Row],[Sell Window End]])</f>
        <v/>
      </c>
      <c r="AG979" s="10" t="n"/>
      <c r="AH979" s="10" t="n"/>
      <c r="AM979" s="10">
        <f t="array" ref="AM9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9" s="10">
        <f t="array" ref="AN9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9" s="4">
        <f>_xlfn.XLOOKUP(tbl_MTG_Set[[#This Row],[Play Booster Box Product Id]], tbl_Product[Product Id], tbl_Product[Pack Size])</f>
        <v/>
      </c>
      <c r="AP979" s="10">
        <f>(tbl_MTG_Set[[#This Row],[Play Booster Box Cost]]+v_Item_Shipping_Cost_In)/tbl_MTG_Set[[#This Row],[Play Booster Box Size]]</f>
        <v/>
      </c>
      <c r="AQ979" s="10">
        <f t="array" ref="AQ97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79" s="10" t="n"/>
      <c r="AS979" s="10" t="n"/>
      <c r="AT979" s="17">
        <f>tbl_MTG_Set[[#This Row],[Play Booster CardMarket Profit]]/tbl_MTG_Set[[#This Row],[Play Booster Cost]]</f>
        <v/>
      </c>
      <c r="AU979" s="10">
        <f>_xlfn.XLOOKUP(tbl_MTG_Set[[#This Row],[Collector Booster Box Product Id]], tbl_Product[Product Id], tbl_Product[Min Cost])</f>
        <v/>
      </c>
      <c r="AV979" s="10">
        <f>_xlfn.XLOOKUP(tbl_MTG_Set[[#This Row],[Collector Booster Box Product Id]], tbl_Product[Product Id], tbl_Product[Best Source])</f>
        <v/>
      </c>
      <c r="AW979" s="4">
        <f>_xlfn.XLOOKUP(tbl_MTG_Set[[#This Row],[Collector Booster Box Product Id]], tbl_Product[Product Id], tbl_Product[Pack Size])</f>
        <v/>
      </c>
      <c r="AX979" s="10">
        <f>(tbl_MTG_Set[[#This Row],[Collector Booster Box Cost]] + v_Item_Shipping_Cost_In) / tbl_MTG_Set[[#This Row],[Collector Booster Box Size]]</f>
        <v/>
      </c>
      <c r="AY979" s="10">
        <f t="array" ref="AY97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79" s="10" t="n"/>
      <c r="BA9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9" s="17">
        <f>tbl_MTG_Set[[#This Row],[Collector Booster CardMarket Profit]]/tbl_MTG_Set[[#This Row],[Collector Booster Cost]]</f>
        <v/>
      </c>
      <c r="BC979" s="10" t="n"/>
      <c r="BF979" s="10">
        <f>tbl_MTG_Set[[#This Row],[Play Booster Sell Price CardMarket]]*tbl_MTG_Set[[#This Row],[Play Booster Expected Market Value]]/tbl_MTG_Set[[#This Row],[Play Boost Sealed Market Value]]</f>
        <v/>
      </c>
      <c r="BG9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9" s="10">
        <f>tbl_MTG_Set[[#This Row],[Play Singles CardMarket Profit]]/tbl_MTG_Set[[#This Row],[Play Booster Cost]]</f>
        <v/>
      </c>
      <c r="BI979" s="10">
        <f>tbl_MTG_Set[[#This Row],[Play Singles CardMarket Profit]]&gt;0</f>
        <v/>
      </c>
      <c r="BJ979" s="10" t="n"/>
      <c r="BK979" s="10" t="n"/>
      <c r="BL979" s="10">
        <f>tbl_MTG_Set[[#This Row],[Collector Booster Sell Price CardMarket]]*tbl_MTG_Set[[#This Row],[Collector Booster Expected Market Value]]/tbl_MTG_Set[[#This Row],[Collector Boost Sealed Market Value]]</f>
        <v/>
      </c>
      <c r="BM9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9" s="10">
        <f>tbl_MTG_Set[[#This Row],[Collector Singles CardMarket Profit]]/tbl_MTG_Set[[#This Row],[Collector Booster Cost]]</f>
        <v/>
      </c>
      <c r="BO979" s="10">
        <f>tbl_MTG_Set[[#This Row],[Collector Singles CardMarket Profit]]&gt;0</f>
        <v/>
      </c>
      <c r="BP9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0">
      <c r="A980" t="n">
        <v>978</v>
      </c>
      <c r="B980" t="inlineStr">
        <is>
          <t>Tempest Promos PTMP</t>
        </is>
      </c>
      <c r="C980" t="n">
        <v>1</v>
      </c>
      <c r="D980" s="3" t="n">
        <v>35717</v>
      </c>
      <c r="F980" t="inlineStr">
        <is>
          <t>en es fr de it pt ja ko ru 汉语 漢語</t>
        </is>
      </c>
      <c r="G980" t="n">
        <v>1902</v>
      </c>
      <c r="H980">
        <f>MONTH(NOW())+12*YEAR(NOW())-MONTH(tbl_MTG_Set[[#This Row],[Released On]])-12*YEAR(tbl_MTG_Set[[#This Row],[Released On]])</f>
        <v/>
      </c>
      <c r="I980">
        <f>_xlfn.XLOOKUP(tbl_MTG_Set[[#This Row],[Type Name]], tbl_MTG_Set_Type[Set Type], tbl_MTG_Set_Type[Index], "(Set Type not found)")</f>
        <v/>
      </c>
      <c r="J980">
        <f>_xlfn.XLOOKUP(tbl_MTG_Set[[#This Row],[Type Name]], tbl_MTG_Set_Type[Set Type], tbl_MTG_Set_Type[Buy Window Month Start], "(Set Type not found)")</f>
        <v/>
      </c>
      <c r="K980" s="3">
        <f>tbl_MTG_Set[[#This Row],[Released On]]+tbl_MTG_Set[[#This Row],[Buy Window Month Start]]*365.25/12</f>
        <v/>
      </c>
      <c r="L980">
        <f>_xlfn.XLOOKUP(tbl_MTG_Set[[#This Row],[Type Name]], tbl_MTG_Set_Type[Set Type], tbl_MTG_Set_Type[Buy Window Month End], "(Set Type not found)", 0, 1)</f>
        <v/>
      </c>
      <c r="M980" s="3">
        <f>tbl_MTG_Set[[#This Row],[Released On]]+tbl_MTG_Set[[#This Row],[Buy Window Month End]]*365.25/12</f>
        <v/>
      </c>
      <c r="N980" s="3">
        <f>AND(NOW()&gt;=tbl_MTG_Set[[#This Row],[Buy Window Start]], NOW()&lt;=tbl_MTG_Set[[#This Row],[Buy Window End]])</f>
        <v/>
      </c>
      <c r="O980">
        <f>_xlfn.XLOOKUP(tbl_MTG_Set[[#This Row],[Type Name]], tbl_MTG_Set_Type[Set Type], tbl_MTG_Set_Type[Heavy Printing Window Month Start], "(Set Type not found)", 0, 1)</f>
        <v/>
      </c>
      <c r="P980" s="3">
        <f>tbl_MTG_Set[[#This Row],[Released On]]+tbl_MTG_Set[[#This Row],[Heavy Printing Window Month Start]]*365.25/12</f>
        <v/>
      </c>
      <c r="Q980">
        <f>_xlfn.XLOOKUP(tbl_MTG_Set[[#This Row],[Type Name]], tbl_MTG_Set_Type[Set Type], tbl_MTG_Set_Type[Heavy Printing Window Month End], "(Set Type not found)", 0, 1)</f>
        <v/>
      </c>
      <c r="R980" s="3">
        <f>tbl_MTG_Set[[#This Row],[Released On]]+tbl_MTG_Set[[#This Row],[Heavy Printing Window Month End]]*365.25/12</f>
        <v/>
      </c>
      <c r="S980" s="3">
        <f>AND(NOW()&gt;=tbl_MTG_Set[[#This Row],[Heavy Printing Window Start]], NOW()&lt;=tbl_MTG_Set[[#This Row],[Heavy Printing Window End]])</f>
        <v/>
      </c>
      <c r="T980">
        <f>_xlfn.XLOOKUP(tbl_MTG_Set[[#This Row],[Type Name]], tbl_MTG_Set_Type[Set Type], tbl_MTG_Set_Type[Sell Window Month Start], "(Set Type not found)", 0, 1)</f>
        <v/>
      </c>
      <c r="U980" s="3">
        <f>tbl_MTG_Set[[#This Row],[Released On]]+tbl_MTG_Set[[#This Row],[Sell Window Month Start]]*365.25/12</f>
        <v/>
      </c>
      <c r="V980">
        <f>_xlfn.XLOOKUP(tbl_MTG_Set[[#This Row],[Type Name]], tbl_MTG_Set_Type[Set Type], tbl_MTG_Set_Type[Sell Window Month End], "(Set Type not found)", 0, 1)</f>
        <v/>
      </c>
      <c r="W980" s="3">
        <f>tbl_MTG_Set[[#This Row],[Released On]]+tbl_MTG_Set[[#This Row],[Sell Window Month End]]*365.25/12</f>
        <v/>
      </c>
      <c r="X980" s="3">
        <f>AND(NOW()&gt;=tbl_MTG_Set[[#This Row],[Sell Window Start]], NOW()&lt;=tbl_MTG_Set[[#This Row],[Sell Window End]])</f>
        <v/>
      </c>
      <c r="AG980" s="10" t="n"/>
      <c r="AH980" s="10" t="n"/>
      <c r="AM980" s="10">
        <f t="array" ref="AM9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0" s="10">
        <f t="array" ref="AN9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0" s="4">
        <f>_xlfn.XLOOKUP(tbl_MTG_Set[[#This Row],[Play Booster Box Product Id]], tbl_Product[Product Id], tbl_Product[Pack Size])</f>
        <v/>
      </c>
      <c r="AP980" s="10">
        <f>(tbl_MTG_Set[[#This Row],[Play Booster Box Cost]]+v_Item_Shipping_Cost_In)/tbl_MTG_Set[[#This Row],[Play Booster Box Size]]</f>
        <v/>
      </c>
      <c r="AQ980" s="10">
        <f t="array" ref="AQ98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0" s="10" t="n"/>
      <c r="AS980" s="10" t="n"/>
      <c r="AT980" s="17">
        <f>tbl_MTG_Set[[#This Row],[Play Booster CardMarket Profit]]/tbl_MTG_Set[[#This Row],[Play Booster Cost]]</f>
        <v/>
      </c>
      <c r="AU980" s="10">
        <f>_xlfn.XLOOKUP(tbl_MTG_Set[[#This Row],[Collector Booster Box Product Id]], tbl_Product[Product Id], tbl_Product[Min Cost])</f>
        <v/>
      </c>
      <c r="AV980" s="10">
        <f>_xlfn.XLOOKUP(tbl_MTG_Set[[#This Row],[Collector Booster Box Product Id]], tbl_Product[Product Id], tbl_Product[Best Source])</f>
        <v/>
      </c>
      <c r="AW980" s="4">
        <f>_xlfn.XLOOKUP(tbl_MTG_Set[[#This Row],[Collector Booster Box Product Id]], tbl_Product[Product Id], tbl_Product[Pack Size])</f>
        <v/>
      </c>
      <c r="AX980" s="10">
        <f>(tbl_MTG_Set[[#This Row],[Collector Booster Box Cost]] + v_Item_Shipping_Cost_In) / tbl_MTG_Set[[#This Row],[Collector Booster Box Size]]</f>
        <v/>
      </c>
      <c r="AY980" s="10">
        <f t="array" ref="AY98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0" s="10" t="n"/>
      <c r="BA9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0" s="17">
        <f>tbl_MTG_Set[[#This Row],[Collector Booster CardMarket Profit]]/tbl_MTG_Set[[#This Row],[Collector Booster Cost]]</f>
        <v/>
      </c>
      <c r="BC980" s="10" t="n"/>
      <c r="BF980" s="10">
        <f>tbl_MTG_Set[[#This Row],[Play Booster Sell Price CardMarket]]*tbl_MTG_Set[[#This Row],[Play Booster Expected Market Value]]/tbl_MTG_Set[[#This Row],[Play Boost Sealed Market Value]]</f>
        <v/>
      </c>
      <c r="BG9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0" s="10">
        <f>tbl_MTG_Set[[#This Row],[Play Singles CardMarket Profit]]/tbl_MTG_Set[[#This Row],[Play Booster Cost]]</f>
        <v/>
      </c>
      <c r="BI980" s="10">
        <f>tbl_MTG_Set[[#This Row],[Play Singles CardMarket Profit]]&gt;0</f>
        <v/>
      </c>
      <c r="BJ980" s="10" t="n"/>
      <c r="BK980" s="10" t="n"/>
      <c r="BL980" s="10">
        <f>tbl_MTG_Set[[#This Row],[Collector Booster Sell Price CardMarket]]*tbl_MTG_Set[[#This Row],[Collector Booster Expected Market Value]]/tbl_MTG_Set[[#This Row],[Collector Boost Sealed Market Value]]</f>
        <v/>
      </c>
      <c r="BM9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0" s="10">
        <f>tbl_MTG_Set[[#This Row],[Collector Singles CardMarket Profit]]/tbl_MTG_Set[[#This Row],[Collector Booster Cost]]</f>
        <v/>
      </c>
      <c r="BO980" s="10">
        <f>tbl_MTG_Set[[#This Row],[Collector Singles CardMarket Profit]]&gt;0</f>
        <v/>
      </c>
      <c r="BP9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1">
      <c r="A981" t="n">
        <v>979</v>
      </c>
      <c r="B981" t="inlineStr">
        <is>
          <t>World Championship Decks 1997 WC97</t>
        </is>
      </c>
      <c r="C981" t="n">
        <v>131</v>
      </c>
      <c r="D981" s="3" t="n">
        <v>35655</v>
      </c>
      <c r="F981" t="inlineStr">
        <is>
          <t>en es fr de it pt ja ko ru 汉语 漢語</t>
        </is>
      </c>
      <c r="G981" t="n">
        <v>1904</v>
      </c>
      <c r="H981">
        <f>MONTH(NOW())+12*YEAR(NOW())-MONTH(tbl_MTG_Set[[#This Row],[Released On]])-12*YEAR(tbl_MTG_Set[[#This Row],[Released On]])</f>
        <v/>
      </c>
      <c r="I981">
        <f>_xlfn.XLOOKUP(tbl_MTG_Set[[#This Row],[Type Name]], tbl_MTG_Set_Type[Set Type], tbl_MTG_Set_Type[Index], "(Set Type not found)")</f>
        <v/>
      </c>
      <c r="J981">
        <f>_xlfn.XLOOKUP(tbl_MTG_Set[[#This Row],[Type Name]], tbl_MTG_Set_Type[Set Type], tbl_MTG_Set_Type[Buy Window Month Start], "(Set Type not found)")</f>
        <v/>
      </c>
      <c r="K981" s="3">
        <f>tbl_MTG_Set[[#This Row],[Released On]]+tbl_MTG_Set[[#This Row],[Buy Window Month Start]]*365.25/12</f>
        <v/>
      </c>
      <c r="L981">
        <f>_xlfn.XLOOKUP(tbl_MTG_Set[[#This Row],[Type Name]], tbl_MTG_Set_Type[Set Type], tbl_MTG_Set_Type[Buy Window Month End], "(Set Type not found)", 0, 1)</f>
        <v/>
      </c>
      <c r="M981" s="3">
        <f>tbl_MTG_Set[[#This Row],[Released On]]+tbl_MTG_Set[[#This Row],[Buy Window Month End]]*365.25/12</f>
        <v/>
      </c>
      <c r="N981" s="3">
        <f>AND(NOW()&gt;=tbl_MTG_Set[[#This Row],[Buy Window Start]], NOW()&lt;=tbl_MTG_Set[[#This Row],[Buy Window End]])</f>
        <v/>
      </c>
      <c r="O981">
        <f>_xlfn.XLOOKUP(tbl_MTG_Set[[#This Row],[Type Name]], tbl_MTG_Set_Type[Set Type], tbl_MTG_Set_Type[Heavy Printing Window Month Start], "(Set Type not found)", 0, 1)</f>
        <v/>
      </c>
      <c r="P981" s="3">
        <f>tbl_MTG_Set[[#This Row],[Released On]]+tbl_MTG_Set[[#This Row],[Heavy Printing Window Month Start]]*365.25/12</f>
        <v/>
      </c>
      <c r="Q981">
        <f>_xlfn.XLOOKUP(tbl_MTG_Set[[#This Row],[Type Name]], tbl_MTG_Set_Type[Set Type], tbl_MTG_Set_Type[Heavy Printing Window Month End], "(Set Type not found)", 0, 1)</f>
        <v/>
      </c>
      <c r="R981" s="3">
        <f>tbl_MTG_Set[[#This Row],[Released On]]+tbl_MTG_Set[[#This Row],[Heavy Printing Window Month End]]*365.25/12</f>
        <v/>
      </c>
      <c r="S981" s="3">
        <f>AND(NOW()&gt;=tbl_MTG_Set[[#This Row],[Heavy Printing Window Start]], NOW()&lt;=tbl_MTG_Set[[#This Row],[Heavy Printing Window End]])</f>
        <v/>
      </c>
      <c r="T981">
        <f>_xlfn.XLOOKUP(tbl_MTG_Set[[#This Row],[Type Name]], tbl_MTG_Set_Type[Set Type], tbl_MTG_Set_Type[Sell Window Month Start], "(Set Type not found)", 0, 1)</f>
        <v/>
      </c>
      <c r="U981" s="3">
        <f>tbl_MTG_Set[[#This Row],[Released On]]+tbl_MTG_Set[[#This Row],[Sell Window Month Start]]*365.25/12</f>
        <v/>
      </c>
      <c r="V981">
        <f>_xlfn.XLOOKUP(tbl_MTG_Set[[#This Row],[Type Name]], tbl_MTG_Set_Type[Set Type], tbl_MTG_Set_Type[Sell Window Month End], "(Set Type not found)", 0, 1)</f>
        <v/>
      </c>
      <c r="W981" s="3">
        <f>tbl_MTG_Set[[#This Row],[Released On]]+tbl_MTG_Set[[#This Row],[Sell Window Month End]]*365.25/12</f>
        <v/>
      </c>
      <c r="X981" s="3">
        <f>AND(NOW()&gt;=tbl_MTG_Set[[#This Row],[Sell Window Start]], NOW()&lt;=tbl_MTG_Set[[#This Row],[Sell Window End]])</f>
        <v/>
      </c>
      <c r="AG981" s="10" t="n"/>
      <c r="AH981" s="10" t="n"/>
      <c r="AM981" s="10">
        <f t="array" ref="AM9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1" s="10">
        <f t="array" ref="AN9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1" s="4">
        <f>_xlfn.XLOOKUP(tbl_MTG_Set[[#This Row],[Play Booster Box Product Id]], tbl_Product[Product Id], tbl_Product[Pack Size])</f>
        <v/>
      </c>
      <c r="AP981" s="10">
        <f>(tbl_MTG_Set[[#This Row],[Play Booster Box Cost]]+v_Item_Shipping_Cost_In)/tbl_MTG_Set[[#This Row],[Play Booster Box Size]]</f>
        <v/>
      </c>
      <c r="AQ981" s="10">
        <f t="array" ref="AQ98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1" s="10" t="n"/>
      <c r="AS981" s="10" t="n"/>
      <c r="AT981" s="17">
        <f>tbl_MTG_Set[[#This Row],[Play Booster CardMarket Profit]]/tbl_MTG_Set[[#This Row],[Play Booster Cost]]</f>
        <v/>
      </c>
      <c r="AU981" s="10">
        <f>_xlfn.XLOOKUP(tbl_MTG_Set[[#This Row],[Collector Booster Box Product Id]], tbl_Product[Product Id], tbl_Product[Min Cost])</f>
        <v/>
      </c>
      <c r="AV981" s="10">
        <f>_xlfn.XLOOKUP(tbl_MTG_Set[[#This Row],[Collector Booster Box Product Id]], tbl_Product[Product Id], tbl_Product[Best Source])</f>
        <v/>
      </c>
      <c r="AW981" s="4">
        <f>_xlfn.XLOOKUP(tbl_MTG_Set[[#This Row],[Collector Booster Box Product Id]], tbl_Product[Product Id], tbl_Product[Pack Size])</f>
        <v/>
      </c>
      <c r="AX981" s="10">
        <f>(tbl_MTG_Set[[#This Row],[Collector Booster Box Cost]] + v_Item_Shipping_Cost_In) / tbl_MTG_Set[[#This Row],[Collector Booster Box Size]]</f>
        <v/>
      </c>
      <c r="AY981" s="10">
        <f t="array" ref="AY98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1" s="10" t="n"/>
      <c r="BA9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1" s="17">
        <f>tbl_MTG_Set[[#This Row],[Collector Booster CardMarket Profit]]/tbl_MTG_Set[[#This Row],[Collector Booster Cost]]</f>
        <v/>
      </c>
      <c r="BC981" s="10" t="n"/>
      <c r="BF981" s="10">
        <f>tbl_MTG_Set[[#This Row],[Play Booster Sell Price CardMarket]]*tbl_MTG_Set[[#This Row],[Play Booster Expected Market Value]]/tbl_MTG_Set[[#This Row],[Play Boost Sealed Market Value]]</f>
        <v/>
      </c>
      <c r="BG9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1" s="10">
        <f>tbl_MTG_Set[[#This Row],[Play Singles CardMarket Profit]]/tbl_MTG_Set[[#This Row],[Play Booster Cost]]</f>
        <v/>
      </c>
      <c r="BI981" s="10">
        <f>tbl_MTG_Set[[#This Row],[Play Singles CardMarket Profit]]&gt;0</f>
        <v/>
      </c>
      <c r="BJ981" s="10" t="n"/>
      <c r="BK981" s="10" t="n"/>
      <c r="BL981" s="10">
        <f>tbl_MTG_Set[[#This Row],[Collector Booster Sell Price CardMarket]]*tbl_MTG_Set[[#This Row],[Collector Booster Expected Market Value]]/tbl_MTG_Set[[#This Row],[Collector Boost Sealed Market Value]]</f>
        <v/>
      </c>
      <c r="BM9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1" s="10">
        <f>tbl_MTG_Set[[#This Row],[Collector Singles CardMarket Profit]]/tbl_MTG_Set[[#This Row],[Collector Booster Cost]]</f>
        <v/>
      </c>
      <c r="BO981" s="10">
        <f>tbl_MTG_Set[[#This Row],[Collector Singles CardMarket Profit]]&gt;0</f>
        <v/>
      </c>
      <c r="BP9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2">
      <c r="A982" t="n">
        <v>980</v>
      </c>
      <c r="B982" t="inlineStr">
        <is>
          <t>Weatherlight WTH</t>
        </is>
      </c>
      <c r="C982" t="n">
        <v>167</v>
      </c>
      <c r="D982" s="3" t="n">
        <v>35590</v>
      </c>
      <c r="F982" t="inlineStr">
        <is>
          <t>en es fr de it pt ja ko ru 汉语 漢語</t>
        </is>
      </c>
      <c r="G982" t="n">
        <v>1906</v>
      </c>
      <c r="H982">
        <f>MONTH(NOW())+12*YEAR(NOW())-MONTH(tbl_MTG_Set[[#This Row],[Released On]])-12*YEAR(tbl_MTG_Set[[#This Row],[Released On]])</f>
        <v/>
      </c>
      <c r="I982">
        <f>_xlfn.XLOOKUP(tbl_MTG_Set[[#This Row],[Type Name]], tbl_MTG_Set_Type[Set Type], tbl_MTG_Set_Type[Index], "(Set Type not found)")</f>
        <v/>
      </c>
      <c r="J982">
        <f>_xlfn.XLOOKUP(tbl_MTG_Set[[#This Row],[Type Name]], tbl_MTG_Set_Type[Set Type], tbl_MTG_Set_Type[Buy Window Month Start], "(Set Type not found)")</f>
        <v/>
      </c>
      <c r="K982" s="3">
        <f>tbl_MTG_Set[[#This Row],[Released On]]+tbl_MTG_Set[[#This Row],[Buy Window Month Start]]*365.25/12</f>
        <v/>
      </c>
      <c r="L982">
        <f>_xlfn.XLOOKUP(tbl_MTG_Set[[#This Row],[Type Name]], tbl_MTG_Set_Type[Set Type], tbl_MTG_Set_Type[Buy Window Month End], "(Set Type not found)", 0, 1)</f>
        <v/>
      </c>
      <c r="M982" s="3">
        <f>tbl_MTG_Set[[#This Row],[Released On]]+tbl_MTG_Set[[#This Row],[Buy Window Month End]]*365.25/12</f>
        <v/>
      </c>
      <c r="N982" s="3">
        <f>AND(NOW()&gt;=tbl_MTG_Set[[#This Row],[Buy Window Start]], NOW()&lt;=tbl_MTG_Set[[#This Row],[Buy Window End]])</f>
        <v/>
      </c>
      <c r="O982">
        <f>_xlfn.XLOOKUP(tbl_MTG_Set[[#This Row],[Type Name]], tbl_MTG_Set_Type[Set Type], tbl_MTG_Set_Type[Heavy Printing Window Month Start], "(Set Type not found)", 0, 1)</f>
        <v/>
      </c>
      <c r="P982" s="3">
        <f>tbl_MTG_Set[[#This Row],[Released On]]+tbl_MTG_Set[[#This Row],[Heavy Printing Window Month Start]]*365.25/12</f>
        <v/>
      </c>
      <c r="Q982">
        <f>_xlfn.XLOOKUP(tbl_MTG_Set[[#This Row],[Type Name]], tbl_MTG_Set_Type[Set Type], tbl_MTG_Set_Type[Heavy Printing Window Month End], "(Set Type not found)", 0, 1)</f>
        <v/>
      </c>
      <c r="R982" s="3">
        <f>tbl_MTG_Set[[#This Row],[Released On]]+tbl_MTG_Set[[#This Row],[Heavy Printing Window Month End]]*365.25/12</f>
        <v/>
      </c>
      <c r="S982" s="3">
        <f>AND(NOW()&gt;=tbl_MTG_Set[[#This Row],[Heavy Printing Window Start]], NOW()&lt;=tbl_MTG_Set[[#This Row],[Heavy Printing Window End]])</f>
        <v/>
      </c>
      <c r="T982">
        <f>_xlfn.XLOOKUP(tbl_MTG_Set[[#This Row],[Type Name]], tbl_MTG_Set_Type[Set Type], tbl_MTG_Set_Type[Sell Window Month Start], "(Set Type not found)", 0, 1)</f>
        <v/>
      </c>
      <c r="U982" s="3">
        <f>tbl_MTG_Set[[#This Row],[Released On]]+tbl_MTG_Set[[#This Row],[Sell Window Month Start]]*365.25/12</f>
        <v/>
      </c>
      <c r="V982">
        <f>_xlfn.XLOOKUP(tbl_MTG_Set[[#This Row],[Type Name]], tbl_MTG_Set_Type[Set Type], tbl_MTG_Set_Type[Sell Window Month End], "(Set Type not found)", 0, 1)</f>
        <v/>
      </c>
      <c r="W982" s="3">
        <f>tbl_MTG_Set[[#This Row],[Released On]]+tbl_MTG_Set[[#This Row],[Sell Window Month End]]*365.25/12</f>
        <v/>
      </c>
      <c r="X982" s="3">
        <f>AND(NOW()&gt;=tbl_MTG_Set[[#This Row],[Sell Window Start]], NOW()&lt;=tbl_MTG_Set[[#This Row],[Sell Window End]])</f>
        <v/>
      </c>
      <c r="AG982" s="10" t="n"/>
      <c r="AH982" s="10" t="n"/>
      <c r="AM982" s="10">
        <f t="array" ref="AM9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2" s="10">
        <f t="array" ref="AN9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2" s="4">
        <f>_xlfn.XLOOKUP(tbl_MTG_Set[[#This Row],[Play Booster Box Product Id]], tbl_Product[Product Id], tbl_Product[Pack Size])</f>
        <v/>
      </c>
      <c r="AP982" s="10">
        <f>(tbl_MTG_Set[[#This Row],[Play Booster Box Cost]]+v_Item_Shipping_Cost_In)/tbl_MTG_Set[[#This Row],[Play Booster Box Size]]</f>
        <v/>
      </c>
      <c r="AQ982" s="10">
        <f t="array" ref="AQ98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2" s="10" t="n"/>
      <c r="AS982" s="10" t="n"/>
      <c r="AT982" s="17">
        <f>tbl_MTG_Set[[#This Row],[Play Booster CardMarket Profit]]/tbl_MTG_Set[[#This Row],[Play Booster Cost]]</f>
        <v/>
      </c>
      <c r="AU982" s="10">
        <f>_xlfn.XLOOKUP(tbl_MTG_Set[[#This Row],[Collector Booster Box Product Id]], tbl_Product[Product Id], tbl_Product[Min Cost])</f>
        <v/>
      </c>
      <c r="AV982" s="10">
        <f>_xlfn.XLOOKUP(tbl_MTG_Set[[#This Row],[Collector Booster Box Product Id]], tbl_Product[Product Id], tbl_Product[Best Source])</f>
        <v/>
      </c>
      <c r="AW982" s="4">
        <f>_xlfn.XLOOKUP(tbl_MTG_Set[[#This Row],[Collector Booster Box Product Id]], tbl_Product[Product Id], tbl_Product[Pack Size])</f>
        <v/>
      </c>
      <c r="AX982" s="10">
        <f>(tbl_MTG_Set[[#This Row],[Collector Booster Box Cost]] + v_Item_Shipping_Cost_In) / tbl_MTG_Set[[#This Row],[Collector Booster Box Size]]</f>
        <v/>
      </c>
      <c r="AY982" s="10">
        <f t="array" ref="AY98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2" s="10" t="n"/>
      <c r="BA9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2" s="17">
        <f>tbl_MTG_Set[[#This Row],[Collector Booster CardMarket Profit]]/tbl_MTG_Set[[#This Row],[Collector Booster Cost]]</f>
        <v/>
      </c>
      <c r="BC982" s="10" t="n"/>
      <c r="BF982" s="10">
        <f>tbl_MTG_Set[[#This Row],[Play Booster Sell Price CardMarket]]*tbl_MTG_Set[[#This Row],[Play Booster Expected Market Value]]/tbl_MTG_Set[[#This Row],[Play Boost Sealed Market Value]]</f>
        <v/>
      </c>
      <c r="BG9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2" s="10">
        <f>tbl_MTG_Set[[#This Row],[Play Singles CardMarket Profit]]/tbl_MTG_Set[[#This Row],[Play Booster Cost]]</f>
        <v/>
      </c>
      <c r="BI982" s="10">
        <f>tbl_MTG_Set[[#This Row],[Play Singles CardMarket Profit]]&gt;0</f>
        <v/>
      </c>
      <c r="BJ982" s="10" t="n"/>
      <c r="BK982" s="10" t="n"/>
      <c r="BL982" s="10">
        <f>tbl_MTG_Set[[#This Row],[Collector Booster Sell Price CardMarket]]*tbl_MTG_Set[[#This Row],[Collector Booster Expected Market Value]]/tbl_MTG_Set[[#This Row],[Collector Boost Sealed Market Value]]</f>
        <v/>
      </c>
      <c r="BM9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2" s="10">
        <f>tbl_MTG_Set[[#This Row],[Collector Singles CardMarket Profit]]/tbl_MTG_Set[[#This Row],[Collector Booster Cost]]</f>
        <v/>
      </c>
      <c r="BO982" s="10">
        <f>tbl_MTG_Set[[#This Row],[Collector Singles CardMarket Profit]]&gt;0</f>
        <v/>
      </c>
      <c r="BP9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3">
      <c r="A983" t="n">
        <v>981</v>
      </c>
      <c r="B983" t="inlineStr">
        <is>
          <t>Oversized League Prizes OLEP</t>
        </is>
      </c>
      <c r="C983" t="n">
        <v>83</v>
      </c>
      <c r="D983" s="3" t="n">
        <v>35580</v>
      </c>
      <c r="F983" t="inlineStr">
        <is>
          <t>en es fr de it pt ja ko ru 汉语 漢語</t>
        </is>
      </c>
      <c r="G983" t="n">
        <v>1908</v>
      </c>
      <c r="H983">
        <f>MONTH(NOW())+12*YEAR(NOW())-MONTH(tbl_MTG_Set[[#This Row],[Released On]])-12*YEAR(tbl_MTG_Set[[#This Row],[Released On]])</f>
        <v/>
      </c>
      <c r="I983">
        <f>_xlfn.XLOOKUP(tbl_MTG_Set[[#This Row],[Type Name]], tbl_MTG_Set_Type[Set Type], tbl_MTG_Set_Type[Index], "(Set Type not found)")</f>
        <v/>
      </c>
      <c r="J983">
        <f>_xlfn.XLOOKUP(tbl_MTG_Set[[#This Row],[Type Name]], tbl_MTG_Set_Type[Set Type], tbl_MTG_Set_Type[Buy Window Month Start], "(Set Type not found)")</f>
        <v/>
      </c>
      <c r="K983" s="3">
        <f>tbl_MTG_Set[[#This Row],[Released On]]+tbl_MTG_Set[[#This Row],[Buy Window Month Start]]*365.25/12</f>
        <v/>
      </c>
      <c r="L983">
        <f>_xlfn.XLOOKUP(tbl_MTG_Set[[#This Row],[Type Name]], tbl_MTG_Set_Type[Set Type], tbl_MTG_Set_Type[Buy Window Month End], "(Set Type not found)", 0, 1)</f>
        <v/>
      </c>
      <c r="M983" s="3">
        <f>tbl_MTG_Set[[#This Row],[Released On]]+tbl_MTG_Set[[#This Row],[Buy Window Month End]]*365.25/12</f>
        <v/>
      </c>
      <c r="N983" s="3">
        <f>AND(NOW()&gt;=tbl_MTG_Set[[#This Row],[Buy Window Start]], NOW()&lt;=tbl_MTG_Set[[#This Row],[Buy Window End]])</f>
        <v/>
      </c>
      <c r="O983">
        <f>_xlfn.XLOOKUP(tbl_MTG_Set[[#This Row],[Type Name]], tbl_MTG_Set_Type[Set Type], tbl_MTG_Set_Type[Heavy Printing Window Month Start], "(Set Type not found)", 0, 1)</f>
        <v/>
      </c>
      <c r="P983" s="3">
        <f>tbl_MTG_Set[[#This Row],[Released On]]+tbl_MTG_Set[[#This Row],[Heavy Printing Window Month Start]]*365.25/12</f>
        <v/>
      </c>
      <c r="Q983">
        <f>_xlfn.XLOOKUP(tbl_MTG_Set[[#This Row],[Type Name]], tbl_MTG_Set_Type[Set Type], tbl_MTG_Set_Type[Heavy Printing Window Month End], "(Set Type not found)", 0, 1)</f>
        <v/>
      </c>
      <c r="R983" s="3">
        <f>tbl_MTG_Set[[#This Row],[Released On]]+tbl_MTG_Set[[#This Row],[Heavy Printing Window Month End]]*365.25/12</f>
        <v/>
      </c>
      <c r="S983" s="3">
        <f>AND(NOW()&gt;=tbl_MTG_Set[[#This Row],[Heavy Printing Window Start]], NOW()&lt;=tbl_MTG_Set[[#This Row],[Heavy Printing Window End]])</f>
        <v/>
      </c>
      <c r="T983">
        <f>_xlfn.XLOOKUP(tbl_MTG_Set[[#This Row],[Type Name]], tbl_MTG_Set_Type[Set Type], tbl_MTG_Set_Type[Sell Window Month Start], "(Set Type not found)", 0, 1)</f>
        <v/>
      </c>
      <c r="U983" s="3">
        <f>tbl_MTG_Set[[#This Row],[Released On]]+tbl_MTG_Set[[#This Row],[Sell Window Month Start]]*365.25/12</f>
        <v/>
      </c>
      <c r="V983">
        <f>_xlfn.XLOOKUP(tbl_MTG_Set[[#This Row],[Type Name]], tbl_MTG_Set_Type[Set Type], tbl_MTG_Set_Type[Sell Window Month End], "(Set Type not found)", 0, 1)</f>
        <v/>
      </c>
      <c r="W983" s="3">
        <f>tbl_MTG_Set[[#This Row],[Released On]]+tbl_MTG_Set[[#This Row],[Sell Window Month End]]*365.25/12</f>
        <v/>
      </c>
      <c r="X983" s="3">
        <f>AND(NOW()&gt;=tbl_MTG_Set[[#This Row],[Sell Window Start]], NOW()&lt;=tbl_MTG_Set[[#This Row],[Sell Window End]])</f>
        <v/>
      </c>
      <c r="AG983" s="10" t="n"/>
      <c r="AH983" s="10" t="n"/>
      <c r="AM983" s="10">
        <f t="array" ref="AM9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3" s="10">
        <f t="array" ref="AN9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3" s="4">
        <f>_xlfn.XLOOKUP(tbl_MTG_Set[[#This Row],[Play Booster Box Product Id]], tbl_Product[Product Id], tbl_Product[Pack Size])</f>
        <v/>
      </c>
      <c r="AP983" s="10">
        <f>(tbl_MTG_Set[[#This Row],[Play Booster Box Cost]]+v_Item_Shipping_Cost_In)/tbl_MTG_Set[[#This Row],[Play Booster Box Size]]</f>
        <v/>
      </c>
      <c r="AQ983" s="10">
        <f t="array" ref="AQ98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3" s="10" t="n"/>
      <c r="AS983" s="10" t="n"/>
      <c r="AT983" s="17">
        <f>tbl_MTG_Set[[#This Row],[Play Booster CardMarket Profit]]/tbl_MTG_Set[[#This Row],[Play Booster Cost]]</f>
        <v/>
      </c>
      <c r="AU983" s="10">
        <f>_xlfn.XLOOKUP(tbl_MTG_Set[[#This Row],[Collector Booster Box Product Id]], tbl_Product[Product Id], tbl_Product[Min Cost])</f>
        <v/>
      </c>
      <c r="AV983" s="10">
        <f>_xlfn.XLOOKUP(tbl_MTG_Set[[#This Row],[Collector Booster Box Product Id]], tbl_Product[Product Id], tbl_Product[Best Source])</f>
        <v/>
      </c>
      <c r="AW983" s="4">
        <f>_xlfn.XLOOKUP(tbl_MTG_Set[[#This Row],[Collector Booster Box Product Id]], tbl_Product[Product Id], tbl_Product[Pack Size])</f>
        <v/>
      </c>
      <c r="AX983" s="10">
        <f>(tbl_MTG_Set[[#This Row],[Collector Booster Box Cost]] + v_Item_Shipping_Cost_In) / tbl_MTG_Set[[#This Row],[Collector Booster Box Size]]</f>
        <v/>
      </c>
      <c r="AY983" s="10">
        <f t="array" ref="AY98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3" s="10" t="n"/>
      <c r="BA9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3" s="17">
        <f>tbl_MTG_Set[[#This Row],[Collector Booster CardMarket Profit]]/tbl_MTG_Set[[#This Row],[Collector Booster Cost]]</f>
        <v/>
      </c>
      <c r="BC983" s="10" t="n"/>
      <c r="BF983" s="10">
        <f>tbl_MTG_Set[[#This Row],[Play Booster Sell Price CardMarket]]*tbl_MTG_Set[[#This Row],[Play Booster Expected Market Value]]/tbl_MTG_Set[[#This Row],[Play Boost Sealed Market Value]]</f>
        <v/>
      </c>
      <c r="BG9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3" s="10">
        <f>tbl_MTG_Set[[#This Row],[Play Singles CardMarket Profit]]/tbl_MTG_Set[[#This Row],[Play Booster Cost]]</f>
        <v/>
      </c>
      <c r="BI983" s="10">
        <f>tbl_MTG_Set[[#This Row],[Play Singles CardMarket Profit]]&gt;0</f>
        <v/>
      </c>
      <c r="BJ983" s="10" t="n"/>
      <c r="BK983" s="10" t="n"/>
      <c r="BL983" s="10">
        <f>tbl_MTG_Set[[#This Row],[Collector Booster Sell Price CardMarket]]*tbl_MTG_Set[[#This Row],[Collector Booster Expected Market Value]]/tbl_MTG_Set[[#This Row],[Collector Boost Sealed Market Value]]</f>
        <v/>
      </c>
      <c r="BM9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3" s="10">
        <f>tbl_MTG_Set[[#This Row],[Collector Singles CardMarket Profit]]/tbl_MTG_Set[[#This Row],[Collector Booster Cost]]</f>
        <v/>
      </c>
      <c r="BO983" s="10">
        <f>tbl_MTG_Set[[#This Row],[Collector Singles CardMarket Profit]]&gt;0</f>
        <v/>
      </c>
      <c r="BP9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4">
      <c r="A984" t="n">
        <v>982</v>
      </c>
      <c r="B984" t="inlineStr">
        <is>
          <t>Vanguard Series PVAN</t>
        </is>
      </c>
      <c r="C984" t="n">
        <v>32</v>
      </c>
      <c r="D984" s="3" t="n">
        <v>35551</v>
      </c>
      <c r="F984" t="inlineStr">
        <is>
          <t>en es fr de it pt ja ko ru 汉语 漢語</t>
        </is>
      </c>
      <c r="G984" t="n">
        <v>1910</v>
      </c>
      <c r="H984">
        <f>MONTH(NOW())+12*YEAR(NOW())-MONTH(tbl_MTG_Set[[#This Row],[Released On]])-12*YEAR(tbl_MTG_Set[[#This Row],[Released On]])</f>
        <v/>
      </c>
      <c r="I984">
        <f>_xlfn.XLOOKUP(tbl_MTG_Set[[#This Row],[Type Name]], tbl_MTG_Set_Type[Set Type], tbl_MTG_Set_Type[Index], "(Set Type not found)")</f>
        <v/>
      </c>
      <c r="J984">
        <f>_xlfn.XLOOKUP(tbl_MTG_Set[[#This Row],[Type Name]], tbl_MTG_Set_Type[Set Type], tbl_MTG_Set_Type[Buy Window Month Start], "(Set Type not found)")</f>
        <v/>
      </c>
      <c r="K984" s="3">
        <f>tbl_MTG_Set[[#This Row],[Released On]]+tbl_MTG_Set[[#This Row],[Buy Window Month Start]]*365.25/12</f>
        <v/>
      </c>
      <c r="L984">
        <f>_xlfn.XLOOKUP(tbl_MTG_Set[[#This Row],[Type Name]], tbl_MTG_Set_Type[Set Type], tbl_MTG_Set_Type[Buy Window Month End], "(Set Type not found)", 0, 1)</f>
        <v/>
      </c>
      <c r="M984" s="3">
        <f>tbl_MTG_Set[[#This Row],[Released On]]+tbl_MTG_Set[[#This Row],[Buy Window Month End]]*365.25/12</f>
        <v/>
      </c>
      <c r="N984" s="3">
        <f>AND(NOW()&gt;=tbl_MTG_Set[[#This Row],[Buy Window Start]], NOW()&lt;=tbl_MTG_Set[[#This Row],[Buy Window End]])</f>
        <v/>
      </c>
      <c r="O984">
        <f>_xlfn.XLOOKUP(tbl_MTG_Set[[#This Row],[Type Name]], tbl_MTG_Set_Type[Set Type], tbl_MTG_Set_Type[Heavy Printing Window Month Start], "(Set Type not found)", 0, 1)</f>
        <v/>
      </c>
      <c r="P984" s="3">
        <f>tbl_MTG_Set[[#This Row],[Released On]]+tbl_MTG_Set[[#This Row],[Heavy Printing Window Month Start]]*365.25/12</f>
        <v/>
      </c>
      <c r="Q984">
        <f>_xlfn.XLOOKUP(tbl_MTG_Set[[#This Row],[Type Name]], tbl_MTG_Set_Type[Set Type], tbl_MTG_Set_Type[Heavy Printing Window Month End], "(Set Type not found)", 0, 1)</f>
        <v/>
      </c>
      <c r="R984" s="3">
        <f>tbl_MTG_Set[[#This Row],[Released On]]+tbl_MTG_Set[[#This Row],[Heavy Printing Window Month End]]*365.25/12</f>
        <v/>
      </c>
      <c r="S984" s="3">
        <f>AND(NOW()&gt;=tbl_MTG_Set[[#This Row],[Heavy Printing Window Start]], NOW()&lt;=tbl_MTG_Set[[#This Row],[Heavy Printing Window End]])</f>
        <v/>
      </c>
      <c r="T984">
        <f>_xlfn.XLOOKUP(tbl_MTG_Set[[#This Row],[Type Name]], tbl_MTG_Set_Type[Set Type], tbl_MTG_Set_Type[Sell Window Month Start], "(Set Type not found)", 0, 1)</f>
        <v/>
      </c>
      <c r="U984" s="3">
        <f>tbl_MTG_Set[[#This Row],[Released On]]+tbl_MTG_Set[[#This Row],[Sell Window Month Start]]*365.25/12</f>
        <v/>
      </c>
      <c r="V984">
        <f>_xlfn.XLOOKUP(tbl_MTG_Set[[#This Row],[Type Name]], tbl_MTG_Set_Type[Set Type], tbl_MTG_Set_Type[Sell Window Month End], "(Set Type not found)", 0, 1)</f>
        <v/>
      </c>
      <c r="W984" s="3">
        <f>tbl_MTG_Set[[#This Row],[Released On]]+tbl_MTG_Set[[#This Row],[Sell Window Month End]]*365.25/12</f>
        <v/>
      </c>
      <c r="X984" s="3">
        <f>AND(NOW()&gt;=tbl_MTG_Set[[#This Row],[Sell Window Start]], NOW()&lt;=tbl_MTG_Set[[#This Row],[Sell Window End]])</f>
        <v/>
      </c>
      <c r="AG984" s="10" t="n"/>
      <c r="AH984" s="10" t="n"/>
      <c r="AM984" s="10">
        <f t="array" ref="AM9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4" s="10">
        <f t="array" ref="AN9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4" s="4">
        <f>_xlfn.XLOOKUP(tbl_MTG_Set[[#This Row],[Play Booster Box Product Id]], tbl_Product[Product Id], tbl_Product[Pack Size])</f>
        <v/>
      </c>
      <c r="AP984" s="10">
        <f>(tbl_MTG_Set[[#This Row],[Play Booster Box Cost]]+v_Item_Shipping_Cost_In)/tbl_MTG_Set[[#This Row],[Play Booster Box Size]]</f>
        <v/>
      </c>
      <c r="AQ984" s="10">
        <f t="array" ref="AQ98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4" s="10" t="n"/>
      <c r="AS984" s="10" t="n"/>
      <c r="AT984" s="17">
        <f>tbl_MTG_Set[[#This Row],[Play Booster CardMarket Profit]]/tbl_MTG_Set[[#This Row],[Play Booster Cost]]</f>
        <v/>
      </c>
      <c r="AU984" s="10">
        <f>_xlfn.XLOOKUP(tbl_MTG_Set[[#This Row],[Collector Booster Box Product Id]], tbl_Product[Product Id], tbl_Product[Min Cost])</f>
        <v/>
      </c>
      <c r="AV984" s="10">
        <f>_xlfn.XLOOKUP(tbl_MTG_Set[[#This Row],[Collector Booster Box Product Id]], tbl_Product[Product Id], tbl_Product[Best Source])</f>
        <v/>
      </c>
      <c r="AW984" s="4">
        <f>_xlfn.XLOOKUP(tbl_MTG_Set[[#This Row],[Collector Booster Box Product Id]], tbl_Product[Product Id], tbl_Product[Pack Size])</f>
        <v/>
      </c>
      <c r="AX984" s="10">
        <f>(tbl_MTG_Set[[#This Row],[Collector Booster Box Cost]] + v_Item_Shipping_Cost_In) / tbl_MTG_Set[[#This Row],[Collector Booster Box Size]]</f>
        <v/>
      </c>
      <c r="AY984" s="10">
        <f t="array" ref="AY98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4" s="10" t="n"/>
      <c r="BA9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4" s="17">
        <f>tbl_MTG_Set[[#This Row],[Collector Booster CardMarket Profit]]/tbl_MTG_Set[[#This Row],[Collector Booster Cost]]</f>
        <v/>
      </c>
      <c r="BC984" s="10" t="n"/>
      <c r="BF984" s="10">
        <f>tbl_MTG_Set[[#This Row],[Play Booster Sell Price CardMarket]]*tbl_MTG_Set[[#This Row],[Play Booster Expected Market Value]]/tbl_MTG_Set[[#This Row],[Play Boost Sealed Market Value]]</f>
        <v/>
      </c>
      <c r="BG9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4" s="10">
        <f>tbl_MTG_Set[[#This Row],[Play Singles CardMarket Profit]]/tbl_MTG_Set[[#This Row],[Play Booster Cost]]</f>
        <v/>
      </c>
      <c r="BI984" s="10">
        <f>tbl_MTG_Set[[#This Row],[Play Singles CardMarket Profit]]&gt;0</f>
        <v/>
      </c>
      <c r="BJ984" s="10" t="n"/>
      <c r="BK984" s="10" t="n"/>
      <c r="BL984" s="10">
        <f>tbl_MTG_Set[[#This Row],[Collector Booster Sell Price CardMarket]]*tbl_MTG_Set[[#This Row],[Collector Booster Expected Market Value]]/tbl_MTG_Set[[#This Row],[Collector Boost Sealed Market Value]]</f>
        <v/>
      </c>
      <c r="BM9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4" s="10">
        <f>tbl_MTG_Set[[#This Row],[Collector Singles CardMarket Profit]]/tbl_MTG_Set[[#This Row],[Collector Booster Cost]]</f>
        <v/>
      </c>
      <c r="BO984" s="10">
        <f>tbl_MTG_Set[[#This Row],[Collector Singles CardMarket Profit]]&gt;0</f>
        <v/>
      </c>
      <c r="BP9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5">
      <c r="A985" t="n">
        <v>983</v>
      </c>
      <c r="B985" t="inlineStr">
        <is>
          <t>Portal POR</t>
        </is>
      </c>
      <c r="C985" t="n">
        <v>257</v>
      </c>
      <c r="D985" s="3" t="n">
        <v>35551</v>
      </c>
      <c r="F985" t="inlineStr">
        <is>
          <t>en es fr de it pt ja ko ru 汉语 漢語</t>
        </is>
      </c>
      <c r="G985" t="n">
        <v>1912</v>
      </c>
      <c r="H985">
        <f>MONTH(NOW())+12*YEAR(NOW())-MONTH(tbl_MTG_Set[[#This Row],[Released On]])-12*YEAR(tbl_MTG_Set[[#This Row],[Released On]])</f>
        <v/>
      </c>
      <c r="I985">
        <f>_xlfn.XLOOKUP(tbl_MTG_Set[[#This Row],[Type Name]], tbl_MTG_Set_Type[Set Type], tbl_MTG_Set_Type[Index], "(Set Type not found)")</f>
        <v/>
      </c>
      <c r="J985">
        <f>_xlfn.XLOOKUP(tbl_MTG_Set[[#This Row],[Type Name]], tbl_MTG_Set_Type[Set Type], tbl_MTG_Set_Type[Buy Window Month Start], "(Set Type not found)")</f>
        <v/>
      </c>
      <c r="K985" s="3">
        <f>tbl_MTG_Set[[#This Row],[Released On]]+tbl_MTG_Set[[#This Row],[Buy Window Month Start]]*365.25/12</f>
        <v/>
      </c>
      <c r="L985">
        <f>_xlfn.XLOOKUP(tbl_MTG_Set[[#This Row],[Type Name]], tbl_MTG_Set_Type[Set Type], tbl_MTG_Set_Type[Buy Window Month End], "(Set Type not found)", 0, 1)</f>
        <v/>
      </c>
      <c r="M985" s="3">
        <f>tbl_MTG_Set[[#This Row],[Released On]]+tbl_MTG_Set[[#This Row],[Buy Window Month End]]*365.25/12</f>
        <v/>
      </c>
      <c r="N985" s="3">
        <f>AND(NOW()&gt;=tbl_MTG_Set[[#This Row],[Buy Window Start]], NOW()&lt;=tbl_MTG_Set[[#This Row],[Buy Window End]])</f>
        <v/>
      </c>
      <c r="O985">
        <f>_xlfn.XLOOKUP(tbl_MTG_Set[[#This Row],[Type Name]], tbl_MTG_Set_Type[Set Type], tbl_MTG_Set_Type[Heavy Printing Window Month Start], "(Set Type not found)", 0, 1)</f>
        <v/>
      </c>
      <c r="P985" s="3">
        <f>tbl_MTG_Set[[#This Row],[Released On]]+tbl_MTG_Set[[#This Row],[Heavy Printing Window Month Start]]*365.25/12</f>
        <v/>
      </c>
      <c r="Q985">
        <f>_xlfn.XLOOKUP(tbl_MTG_Set[[#This Row],[Type Name]], tbl_MTG_Set_Type[Set Type], tbl_MTG_Set_Type[Heavy Printing Window Month End], "(Set Type not found)", 0, 1)</f>
        <v/>
      </c>
      <c r="R985" s="3">
        <f>tbl_MTG_Set[[#This Row],[Released On]]+tbl_MTG_Set[[#This Row],[Heavy Printing Window Month End]]*365.25/12</f>
        <v/>
      </c>
      <c r="S985" s="3">
        <f>AND(NOW()&gt;=tbl_MTG_Set[[#This Row],[Heavy Printing Window Start]], NOW()&lt;=tbl_MTG_Set[[#This Row],[Heavy Printing Window End]])</f>
        <v/>
      </c>
      <c r="T985">
        <f>_xlfn.XLOOKUP(tbl_MTG_Set[[#This Row],[Type Name]], tbl_MTG_Set_Type[Set Type], tbl_MTG_Set_Type[Sell Window Month Start], "(Set Type not found)", 0, 1)</f>
        <v/>
      </c>
      <c r="U985" s="3">
        <f>tbl_MTG_Set[[#This Row],[Released On]]+tbl_MTG_Set[[#This Row],[Sell Window Month Start]]*365.25/12</f>
        <v/>
      </c>
      <c r="V985">
        <f>_xlfn.XLOOKUP(tbl_MTG_Set[[#This Row],[Type Name]], tbl_MTG_Set_Type[Set Type], tbl_MTG_Set_Type[Sell Window Month End], "(Set Type not found)", 0, 1)</f>
        <v/>
      </c>
      <c r="W985" s="3">
        <f>tbl_MTG_Set[[#This Row],[Released On]]+tbl_MTG_Set[[#This Row],[Sell Window Month End]]*365.25/12</f>
        <v/>
      </c>
      <c r="X985" s="3">
        <f>AND(NOW()&gt;=tbl_MTG_Set[[#This Row],[Sell Window Start]], NOW()&lt;=tbl_MTG_Set[[#This Row],[Sell Window End]])</f>
        <v/>
      </c>
      <c r="AG985" s="10" t="n"/>
      <c r="AH985" s="10" t="n"/>
      <c r="AM985" s="10">
        <f t="array" ref="AM9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5" s="10">
        <f t="array" ref="AN9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5" s="4">
        <f>_xlfn.XLOOKUP(tbl_MTG_Set[[#This Row],[Play Booster Box Product Id]], tbl_Product[Product Id], tbl_Product[Pack Size])</f>
        <v/>
      </c>
      <c r="AP985" s="10">
        <f>(tbl_MTG_Set[[#This Row],[Play Booster Box Cost]]+v_Item_Shipping_Cost_In)/tbl_MTG_Set[[#This Row],[Play Booster Box Size]]</f>
        <v/>
      </c>
      <c r="AQ985" s="10">
        <f t="array" ref="AQ98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5" s="10" t="n"/>
      <c r="AS985" s="10" t="n"/>
      <c r="AT985" s="17">
        <f>tbl_MTG_Set[[#This Row],[Play Booster CardMarket Profit]]/tbl_MTG_Set[[#This Row],[Play Booster Cost]]</f>
        <v/>
      </c>
      <c r="AU985" s="10">
        <f>_xlfn.XLOOKUP(tbl_MTG_Set[[#This Row],[Collector Booster Box Product Id]], tbl_Product[Product Id], tbl_Product[Min Cost])</f>
        <v/>
      </c>
      <c r="AV985" s="10">
        <f>_xlfn.XLOOKUP(tbl_MTG_Set[[#This Row],[Collector Booster Box Product Id]], tbl_Product[Product Id], tbl_Product[Best Source])</f>
        <v/>
      </c>
      <c r="AW985" s="4">
        <f>_xlfn.XLOOKUP(tbl_MTG_Set[[#This Row],[Collector Booster Box Product Id]], tbl_Product[Product Id], tbl_Product[Pack Size])</f>
        <v/>
      </c>
      <c r="AX985" s="10">
        <f>(tbl_MTG_Set[[#This Row],[Collector Booster Box Cost]] + v_Item_Shipping_Cost_In) / tbl_MTG_Set[[#This Row],[Collector Booster Box Size]]</f>
        <v/>
      </c>
      <c r="AY985" s="10">
        <f t="array" ref="AY98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5" s="10" t="n"/>
      <c r="BA9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5" s="17">
        <f>tbl_MTG_Set[[#This Row],[Collector Booster CardMarket Profit]]/tbl_MTG_Set[[#This Row],[Collector Booster Cost]]</f>
        <v/>
      </c>
      <c r="BC985" s="10" t="n"/>
      <c r="BF985" s="10">
        <f>tbl_MTG_Set[[#This Row],[Play Booster Sell Price CardMarket]]*tbl_MTG_Set[[#This Row],[Play Booster Expected Market Value]]/tbl_MTG_Set[[#This Row],[Play Boost Sealed Market Value]]</f>
        <v/>
      </c>
      <c r="BG9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5" s="10">
        <f>tbl_MTG_Set[[#This Row],[Play Singles CardMarket Profit]]/tbl_MTG_Set[[#This Row],[Play Booster Cost]]</f>
        <v/>
      </c>
      <c r="BI985" s="10">
        <f>tbl_MTG_Set[[#This Row],[Play Singles CardMarket Profit]]&gt;0</f>
        <v/>
      </c>
      <c r="BJ985" s="10" t="n"/>
      <c r="BK985" s="10" t="n"/>
      <c r="BL985" s="10">
        <f>tbl_MTG_Set[[#This Row],[Collector Booster Sell Price CardMarket]]*tbl_MTG_Set[[#This Row],[Collector Booster Expected Market Value]]/tbl_MTG_Set[[#This Row],[Collector Boost Sealed Market Value]]</f>
        <v/>
      </c>
      <c r="BM9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5" s="10">
        <f>tbl_MTG_Set[[#This Row],[Collector Singles CardMarket Profit]]/tbl_MTG_Set[[#This Row],[Collector Booster Cost]]</f>
        <v/>
      </c>
      <c r="BO985" s="10">
        <f>tbl_MTG_Set[[#This Row],[Collector Singles CardMarket Profit]]&gt;0</f>
        <v/>
      </c>
      <c r="BP9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6">
      <c r="A986" t="n">
        <v>984</v>
      </c>
      <c r="B986" t="inlineStr">
        <is>
          <t>Astral Cards PAST</t>
        </is>
      </c>
      <c r="C986" t="n">
        <v>12</v>
      </c>
      <c r="D986" s="3" t="n">
        <v>35521</v>
      </c>
      <c r="F986" t="inlineStr">
        <is>
          <t>en es fr de it pt ja ko ru 汉语 漢語</t>
        </is>
      </c>
      <c r="G986" t="n">
        <v>1914</v>
      </c>
      <c r="H986">
        <f>MONTH(NOW())+12*YEAR(NOW())-MONTH(tbl_MTG_Set[[#This Row],[Released On]])-12*YEAR(tbl_MTG_Set[[#This Row],[Released On]])</f>
        <v/>
      </c>
      <c r="I986">
        <f>_xlfn.XLOOKUP(tbl_MTG_Set[[#This Row],[Type Name]], tbl_MTG_Set_Type[Set Type], tbl_MTG_Set_Type[Index], "(Set Type not found)")</f>
        <v/>
      </c>
      <c r="J986">
        <f>_xlfn.XLOOKUP(tbl_MTG_Set[[#This Row],[Type Name]], tbl_MTG_Set_Type[Set Type], tbl_MTG_Set_Type[Buy Window Month Start], "(Set Type not found)")</f>
        <v/>
      </c>
      <c r="K986" s="3">
        <f>tbl_MTG_Set[[#This Row],[Released On]]+tbl_MTG_Set[[#This Row],[Buy Window Month Start]]*365.25/12</f>
        <v/>
      </c>
      <c r="L986">
        <f>_xlfn.XLOOKUP(tbl_MTG_Set[[#This Row],[Type Name]], tbl_MTG_Set_Type[Set Type], tbl_MTG_Set_Type[Buy Window Month End], "(Set Type not found)", 0, 1)</f>
        <v/>
      </c>
      <c r="M986" s="3">
        <f>tbl_MTG_Set[[#This Row],[Released On]]+tbl_MTG_Set[[#This Row],[Buy Window Month End]]*365.25/12</f>
        <v/>
      </c>
      <c r="N986" s="3">
        <f>AND(NOW()&gt;=tbl_MTG_Set[[#This Row],[Buy Window Start]], NOW()&lt;=tbl_MTG_Set[[#This Row],[Buy Window End]])</f>
        <v/>
      </c>
      <c r="O986">
        <f>_xlfn.XLOOKUP(tbl_MTG_Set[[#This Row],[Type Name]], tbl_MTG_Set_Type[Set Type], tbl_MTG_Set_Type[Heavy Printing Window Month Start], "(Set Type not found)", 0, 1)</f>
        <v/>
      </c>
      <c r="P986" s="3">
        <f>tbl_MTG_Set[[#This Row],[Released On]]+tbl_MTG_Set[[#This Row],[Heavy Printing Window Month Start]]*365.25/12</f>
        <v/>
      </c>
      <c r="Q986">
        <f>_xlfn.XLOOKUP(tbl_MTG_Set[[#This Row],[Type Name]], tbl_MTG_Set_Type[Set Type], tbl_MTG_Set_Type[Heavy Printing Window Month End], "(Set Type not found)", 0, 1)</f>
        <v/>
      </c>
      <c r="R986" s="3">
        <f>tbl_MTG_Set[[#This Row],[Released On]]+tbl_MTG_Set[[#This Row],[Heavy Printing Window Month End]]*365.25/12</f>
        <v/>
      </c>
      <c r="S986" s="3">
        <f>AND(NOW()&gt;=tbl_MTG_Set[[#This Row],[Heavy Printing Window Start]], NOW()&lt;=tbl_MTG_Set[[#This Row],[Heavy Printing Window End]])</f>
        <v/>
      </c>
      <c r="T986">
        <f>_xlfn.XLOOKUP(tbl_MTG_Set[[#This Row],[Type Name]], tbl_MTG_Set_Type[Set Type], tbl_MTG_Set_Type[Sell Window Month Start], "(Set Type not found)", 0, 1)</f>
        <v/>
      </c>
      <c r="U986" s="3">
        <f>tbl_MTG_Set[[#This Row],[Released On]]+tbl_MTG_Set[[#This Row],[Sell Window Month Start]]*365.25/12</f>
        <v/>
      </c>
      <c r="V986">
        <f>_xlfn.XLOOKUP(tbl_MTG_Set[[#This Row],[Type Name]], tbl_MTG_Set_Type[Set Type], tbl_MTG_Set_Type[Sell Window Month End], "(Set Type not found)", 0, 1)</f>
        <v/>
      </c>
      <c r="W986" s="3">
        <f>tbl_MTG_Set[[#This Row],[Released On]]+tbl_MTG_Set[[#This Row],[Sell Window Month End]]*365.25/12</f>
        <v/>
      </c>
      <c r="X986" s="3">
        <f>AND(NOW()&gt;=tbl_MTG_Set[[#This Row],[Sell Window Start]], NOW()&lt;=tbl_MTG_Set[[#This Row],[Sell Window End]])</f>
        <v/>
      </c>
      <c r="AG986" s="10" t="n"/>
      <c r="AH986" s="10" t="n"/>
      <c r="AM986" s="10">
        <f t="array" ref="AM9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6" s="10">
        <f t="array" ref="AN9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6" s="4">
        <f>_xlfn.XLOOKUP(tbl_MTG_Set[[#This Row],[Play Booster Box Product Id]], tbl_Product[Product Id], tbl_Product[Pack Size])</f>
        <v/>
      </c>
      <c r="AP986" s="10">
        <f>(tbl_MTG_Set[[#This Row],[Play Booster Box Cost]]+v_Item_Shipping_Cost_In)/tbl_MTG_Set[[#This Row],[Play Booster Box Size]]</f>
        <v/>
      </c>
      <c r="AQ986" s="10">
        <f t="array" ref="AQ98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6" s="10" t="n"/>
      <c r="AS986" s="10" t="n"/>
      <c r="AT986" s="17">
        <f>tbl_MTG_Set[[#This Row],[Play Booster CardMarket Profit]]/tbl_MTG_Set[[#This Row],[Play Booster Cost]]</f>
        <v/>
      </c>
      <c r="AU986" s="10">
        <f>_xlfn.XLOOKUP(tbl_MTG_Set[[#This Row],[Collector Booster Box Product Id]], tbl_Product[Product Id], tbl_Product[Min Cost])</f>
        <v/>
      </c>
      <c r="AV986" s="10">
        <f>_xlfn.XLOOKUP(tbl_MTG_Set[[#This Row],[Collector Booster Box Product Id]], tbl_Product[Product Id], tbl_Product[Best Source])</f>
        <v/>
      </c>
      <c r="AW986" s="4">
        <f>_xlfn.XLOOKUP(tbl_MTG_Set[[#This Row],[Collector Booster Box Product Id]], tbl_Product[Product Id], tbl_Product[Pack Size])</f>
        <v/>
      </c>
      <c r="AX986" s="10">
        <f>(tbl_MTG_Set[[#This Row],[Collector Booster Box Cost]] + v_Item_Shipping_Cost_In) / tbl_MTG_Set[[#This Row],[Collector Booster Box Size]]</f>
        <v/>
      </c>
      <c r="AY986" s="10">
        <f t="array" ref="AY98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6" s="10" t="n"/>
      <c r="BA9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6" s="17">
        <f>tbl_MTG_Set[[#This Row],[Collector Booster CardMarket Profit]]/tbl_MTG_Set[[#This Row],[Collector Booster Cost]]</f>
        <v/>
      </c>
      <c r="BC986" s="10" t="n"/>
      <c r="BF986" s="10">
        <f>tbl_MTG_Set[[#This Row],[Play Booster Sell Price CardMarket]]*tbl_MTG_Set[[#This Row],[Play Booster Expected Market Value]]/tbl_MTG_Set[[#This Row],[Play Boost Sealed Market Value]]</f>
        <v/>
      </c>
      <c r="BG9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6" s="10">
        <f>tbl_MTG_Set[[#This Row],[Play Singles CardMarket Profit]]/tbl_MTG_Set[[#This Row],[Play Booster Cost]]</f>
        <v/>
      </c>
      <c r="BI986" s="10">
        <f>tbl_MTG_Set[[#This Row],[Play Singles CardMarket Profit]]&gt;0</f>
        <v/>
      </c>
      <c r="BJ986" s="10" t="n"/>
      <c r="BK986" s="10" t="n"/>
      <c r="BL986" s="10">
        <f>tbl_MTG_Set[[#This Row],[Collector Booster Sell Price CardMarket]]*tbl_MTG_Set[[#This Row],[Collector Booster Expected Market Value]]/tbl_MTG_Set[[#This Row],[Collector Boost Sealed Market Value]]</f>
        <v/>
      </c>
      <c r="BM9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6" s="10">
        <f>tbl_MTG_Set[[#This Row],[Collector Singles CardMarket Profit]]/tbl_MTG_Set[[#This Row],[Collector Booster Cost]]</f>
        <v/>
      </c>
      <c r="BO986" s="10">
        <f>tbl_MTG_Set[[#This Row],[Collector Singles CardMarket Profit]]&gt;0</f>
        <v/>
      </c>
      <c r="BP9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7">
      <c r="A987" t="n">
        <v>985</v>
      </c>
      <c r="B987" t="inlineStr">
        <is>
          <t>MicroProse Promos PMIC</t>
        </is>
      </c>
      <c r="C987" t="n">
        <v>1</v>
      </c>
      <c r="D987" s="3" t="n">
        <v>35521</v>
      </c>
      <c r="F987" t="inlineStr">
        <is>
          <t>en es fr de it pt ja ko ru 汉语 漢語</t>
        </is>
      </c>
      <c r="G987" t="n">
        <v>1916</v>
      </c>
      <c r="H987">
        <f>MONTH(NOW())+12*YEAR(NOW())-MONTH(tbl_MTG_Set[[#This Row],[Released On]])-12*YEAR(tbl_MTG_Set[[#This Row],[Released On]])</f>
        <v/>
      </c>
      <c r="I987">
        <f>_xlfn.XLOOKUP(tbl_MTG_Set[[#This Row],[Type Name]], tbl_MTG_Set_Type[Set Type], tbl_MTG_Set_Type[Index], "(Set Type not found)")</f>
        <v/>
      </c>
      <c r="J987">
        <f>_xlfn.XLOOKUP(tbl_MTG_Set[[#This Row],[Type Name]], tbl_MTG_Set_Type[Set Type], tbl_MTG_Set_Type[Buy Window Month Start], "(Set Type not found)")</f>
        <v/>
      </c>
      <c r="K987" s="3">
        <f>tbl_MTG_Set[[#This Row],[Released On]]+tbl_MTG_Set[[#This Row],[Buy Window Month Start]]*365.25/12</f>
        <v/>
      </c>
      <c r="L987">
        <f>_xlfn.XLOOKUP(tbl_MTG_Set[[#This Row],[Type Name]], tbl_MTG_Set_Type[Set Type], tbl_MTG_Set_Type[Buy Window Month End], "(Set Type not found)", 0, 1)</f>
        <v/>
      </c>
      <c r="M987" s="3">
        <f>tbl_MTG_Set[[#This Row],[Released On]]+tbl_MTG_Set[[#This Row],[Buy Window Month End]]*365.25/12</f>
        <v/>
      </c>
      <c r="N987" s="3">
        <f>AND(NOW()&gt;=tbl_MTG_Set[[#This Row],[Buy Window Start]], NOW()&lt;=tbl_MTG_Set[[#This Row],[Buy Window End]])</f>
        <v/>
      </c>
      <c r="O987">
        <f>_xlfn.XLOOKUP(tbl_MTG_Set[[#This Row],[Type Name]], tbl_MTG_Set_Type[Set Type], tbl_MTG_Set_Type[Heavy Printing Window Month Start], "(Set Type not found)", 0, 1)</f>
        <v/>
      </c>
      <c r="P987" s="3">
        <f>tbl_MTG_Set[[#This Row],[Released On]]+tbl_MTG_Set[[#This Row],[Heavy Printing Window Month Start]]*365.25/12</f>
        <v/>
      </c>
      <c r="Q987">
        <f>_xlfn.XLOOKUP(tbl_MTG_Set[[#This Row],[Type Name]], tbl_MTG_Set_Type[Set Type], tbl_MTG_Set_Type[Heavy Printing Window Month End], "(Set Type not found)", 0, 1)</f>
        <v/>
      </c>
      <c r="R987" s="3">
        <f>tbl_MTG_Set[[#This Row],[Released On]]+tbl_MTG_Set[[#This Row],[Heavy Printing Window Month End]]*365.25/12</f>
        <v/>
      </c>
      <c r="S987" s="3">
        <f>AND(NOW()&gt;=tbl_MTG_Set[[#This Row],[Heavy Printing Window Start]], NOW()&lt;=tbl_MTG_Set[[#This Row],[Heavy Printing Window End]])</f>
        <v/>
      </c>
      <c r="T987">
        <f>_xlfn.XLOOKUP(tbl_MTG_Set[[#This Row],[Type Name]], tbl_MTG_Set_Type[Set Type], tbl_MTG_Set_Type[Sell Window Month Start], "(Set Type not found)", 0, 1)</f>
        <v/>
      </c>
      <c r="U987" s="3">
        <f>tbl_MTG_Set[[#This Row],[Released On]]+tbl_MTG_Set[[#This Row],[Sell Window Month Start]]*365.25/12</f>
        <v/>
      </c>
      <c r="V987">
        <f>_xlfn.XLOOKUP(tbl_MTG_Set[[#This Row],[Type Name]], tbl_MTG_Set_Type[Set Type], tbl_MTG_Set_Type[Sell Window Month End], "(Set Type not found)", 0, 1)</f>
        <v/>
      </c>
      <c r="W987" s="3">
        <f>tbl_MTG_Set[[#This Row],[Released On]]+tbl_MTG_Set[[#This Row],[Sell Window Month End]]*365.25/12</f>
        <v/>
      </c>
      <c r="X987" s="3">
        <f>AND(NOW()&gt;=tbl_MTG_Set[[#This Row],[Sell Window Start]], NOW()&lt;=tbl_MTG_Set[[#This Row],[Sell Window End]])</f>
        <v/>
      </c>
      <c r="AG987" s="10" t="n"/>
      <c r="AH987" s="10" t="n"/>
      <c r="AM987" s="10">
        <f t="array" ref="AM9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7" s="10">
        <f t="array" ref="AN9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7" s="4">
        <f>_xlfn.XLOOKUP(tbl_MTG_Set[[#This Row],[Play Booster Box Product Id]], tbl_Product[Product Id], tbl_Product[Pack Size])</f>
        <v/>
      </c>
      <c r="AP987" s="10">
        <f>(tbl_MTG_Set[[#This Row],[Play Booster Box Cost]]+v_Item_Shipping_Cost_In)/tbl_MTG_Set[[#This Row],[Play Booster Box Size]]</f>
        <v/>
      </c>
      <c r="AQ987" s="10">
        <f t="array" ref="AQ98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7" s="10" t="n"/>
      <c r="AS987" s="10" t="n"/>
      <c r="AT987" s="17">
        <f>tbl_MTG_Set[[#This Row],[Play Booster CardMarket Profit]]/tbl_MTG_Set[[#This Row],[Play Booster Cost]]</f>
        <v/>
      </c>
      <c r="AU987" s="10">
        <f>_xlfn.XLOOKUP(tbl_MTG_Set[[#This Row],[Collector Booster Box Product Id]], tbl_Product[Product Id], tbl_Product[Min Cost])</f>
        <v/>
      </c>
      <c r="AV987" s="10">
        <f>_xlfn.XLOOKUP(tbl_MTG_Set[[#This Row],[Collector Booster Box Product Id]], tbl_Product[Product Id], tbl_Product[Best Source])</f>
        <v/>
      </c>
      <c r="AW987" s="4">
        <f>_xlfn.XLOOKUP(tbl_MTG_Set[[#This Row],[Collector Booster Box Product Id]], tbl_Product[Product Id], tbl_Product[Pack Size])</f>
        <v/>
      </c>
      <c r="AX987" s="10">
        <f>(tbl_MTG_Set[[#This Row],[Collector Booster Box Cost]] + v_Item_Shipping_Cost_In) / tbl_MTG_Set[[#This Row],[Collector Booster Box Size]]</f>
        <v/>
      </c>
      <c r="AY987" s="10">
        <f t="array" ref="AY98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7" s="10" t="n"/>
      <c r="BA9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7" s="17">
        <f>tbl_MTG_Set[[#This Row],[Collector Booster CardMarket Profit]]/tbl_MTG_Set[[#This Row],[Collector Booster Cost]]</f>
        <v/>
      </c>
      <c r="BC987" s="10" t="n"/>
      <c r="BF987" s="10">
        <f>tbl_MTG_Set[[#This Row],[Play Booster Sell Price CardMarket]]*tbl_MTG_Set[[#This Row],[Play Booster Expected Market Value]]/tbl_MTG_Set[[#This Row],[Play Boost Sealed Market Value]]</f>
        <v/>
      </c>
      <c r="BG9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7" s="10">
        <f>tbl_MTG_Set[[#This Row],[Play Singles CardMarket Profit]]/tbl_MTG_Set[[#This Row],[Play Booster Cost]]</f>
        <v/>
      </c>
      <c r="BI987" s="10">
        <f>tbl_MTG_Set[[#This Row],[Play Singles CardMarket Profit]]&gt;0</f>
        <v/>
      </c>
      <c r="BJ987" s="10" t="n"/>
      <c r="BK987" s="10" t="n"/>
      <c r="BL987" s="10">
        <f>tbl_MTG_Set[[#This Row],[Collector Booster Sell Price CardMarket]]*tbl_MTG_Set[[#This Row],[Collector Booster Expected Market Value]]/tbl_MTG_Set[[#This Row],[Collector Boost Sealed Market Value]]</f>
        <v/>
      </c>
      <c r="BM9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7" s="10">
        <f>tbl_MTG_Set[[#This Row],[Collector Singles CardMarket Profit]]/tbl_MTG_Set[[#This Row],[Collector Booster Cost]]</f>
        <v/>
      </c>
      <c r="BO987" s="10">
        <f>tbl_MTG_Set[[#This Row],[Collector Singles CardMarket Profit]]&gt;0</f>
        <v/>
      </c>
      <c r="BP9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8">
      <c r="A988" t="n">
        <v>986</v>
      </c>
      <c r="B988" t="inlineStr">
        <is>
          <t>Fifth Edition 5ED</t>
        </is>
      </c>
      <c r="C988" t="n">
        <v>460</v>
      </c>
      <c r="D988" s="3" t="n">
        <v>35513</v>
      </c>
      <c r="F988" t="inlineStr">
        <is>
          <t>en es fr de it pt ja ko ru 汉语 漢語</t>
        </is>
      </c>
      <c r="G988" t="n">
        <v>1918</v>
      </c>
      <c r="H988">
        <f>MONTH(NOW())+12*YEAR(NOW())-MONTH(tbl_MTG_Set[[#This Row],[Released On]])-12*YEAR(tbl_MTG_Set[[#This Row],[Released On]])</f>
        <v/>
      </c>
      <c r="I988">
        <f>_xlfn.XLOOKUP(tbl_MTG_Set[[#This Row],[Type Name]], tbl_MTG_Set_Type[Set Type], tbl_MTG_Set_Type[Index], "(Set Type not found)")</f>
        <v/>
      </c>
      <c r="J988">
        <f>_xlfn.XLOOKUP(tbl_MTG_Set[[#This Row],[Type Name]], tbl_MTG_Set_Type[Set Type], tbl_MTG_Set_Type[Buy Window Month Start], "(Set Type not found)")</f>
        <v/>
      </c>
      <c r="K988" s="3">
        <f>tbl_MTG_Set[[#This Row],[Released On]]+tbl_MTG_Set[[#This Row],[Buy Window Month Start]]*365.25/12</f>
        <v/>
      </c>
      <c r="L988">
        <f>_xlfn.XLOOKUP(tbl_MTG_Set[[#This Row],[Type Name]], tbl_MTG_Set_Type[Set Type], tbl_MTG_Set_Type[Buy Window Month End], "(Set Type not found)", 0, 1)</f>
        <v/>
      </c>
      <c r="M988" s="3">
        <f>tbl_MTG_Set[[#This Row],[Released On]]+tbl_MTG_Set[[#This Row],[Buy Window Month End]]*365.25/12</f>
        <v/>
      </c>
      <c r="N988" s="3">
        <f>AND(NOW()&gt;=tbl_MTG_Set[[#This Row],[Buy Window Start]], NOW()&lt;=tbl_MTG_Set[[#This Row],[Buy Window End]])</f>
        <v/>
      </c>
      <c r="O988">
        <f>_xlfn.XLOOKUP(tbl_MTG_Set[[#This Row],[Type Name]], tbl_MTG_Set_Type[Set Type], tbl_MTG_Set_Type[Heavy Printing Window Month Start], "(Set Type not found)", 0, 1)</f>
        <v/>
      </c>
      <c r="P988" s="3">
        <f>tbl_MTG_Set[[#This Row],[Released On]]+tbl_MTG_Set[[#This Row],[Heavy Printing Window Month Start]]*365.25/12</f>
        <v/>
      </c>
      <c r="Q988">
        <f>_xlfn.XLOOKUP(tbl_MTG_Set[[#This Row],[Type Name]], tbl_MTG_Set_Type[Set Type], tbl_MTG_Set_Type[Heavy Printing Window Month End], "(Set Type not found)", 0, 1)</f>
        <v/>
      </c>
      <c r="R988" s="3">
        <f>tbl_MTG_Set[[#This Row],[Released On]]+tbl_MTG_Set[[#This Row],[Heavy Printing Window Month End]]*365.25/12</f>
        <v/>
      </c>
      <c r="S988" s="3">
        <f>AND(NOW()&gt;=tbl_MTG_Set[[#This Row],[Heavy Printing Window Start]], NOW()&lt;=tbl_MTG_Set[[#This Row],[Heavy Printing Window End]])</f>
        <v/>
      </c>
      <c r="T988">
        <f>_xlfn.XLOOKUP(tbl_MTG_Set[[#This Row],[Type Name]], tbl_MTG_Set_Type[Set Type], tbl_MTG_Set_Type[Sell Window Month Start], "(Set Type not found)", 0, 1)</f>
        <v/>
      </c>
      <c r="U988" s="3">
        <f>tbl_MTG_Set[[#This Row],[Released On]]+tbl_MTG_Set[[#This Row],[Sell Window Month Start]]*365.25/12</f>
        <v/>
      </c>
      <c r="V988">
        <f>_xlfn.XLOOKUP(tbl_MTG_Set[[#This Row],[Type Name]], tbl_MTG_Set_Type[Set Type], tbl_MTG_Set_Type[Sell Window Month End], "(Set Type not found)", 0, 1)</f>
        <v/>
      </c>
      <c r="W988" s="3">
        <f>tbl_MTG_Set[[#This Row],[Released On]]+tbl_MTG_Set[[#This Row],[Sell Window Month End]]*365.25/12</f>
        <v/>
      </c>
      <c r="X988" s="3">
        <f>AND(NOW()&gt;=tbl_MTG_Set[[#This Row],[Sell Window Start]], NOW()&lt;=tbl_MTG_Set[[#This Row],[Sell Window End]])</f>
        <v/>
      </c>
      <c r="AG988" s="10" t="n"/>
      <c r="AH988" s="10" t="n"/>
      <c r="AM988" s="10">
        <f t="array" ref="AM9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8" s="10">
        <f t="array" ref="AN9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8" s="4">
        <f>_xlfn.XLOOKUP(tbl_MTG_Set[[#This Row],[Play Booster Box Product Id]], tbl_Product[Product Id], tbl_Product[Pack Size])</f>
        <v/>
      </c>
      <c r="AP988" s="10">
        <f>(tbl_MTG_Set[[#This Row],[Play Booster Box Cost]]+v_Item_Shipping_Cost_In)/tbl_MTG_Set[[#This Row],[Play Booster Box Size]]</f>
        <v/>
      </c>
      <c r="AQ988" s="10">
        <f t="array" ref="AQ98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8" s="10" t="n"/>
      <c r="AS988" s="10" t="n"/>
      <c r="AT988" s="17">
        <f>tbl_MTG_Set[[#This Row],[Play Booster CardMarket Profit]]/tbl_MTG_Set[[#This Row],[Play Booster Cost]]</f>
        <v/>
      </c>
      <c r="AU988" s="10">
        <f>_xlfn.XLOOKUP(tbl_MTG_Set[[#This Row],[Collector Booster Box Product Id]], tbl_Product[Product Id], tbl_Product[Min Cost])</f>
        <v/>
      </c>
      <c r="AV988" s="10">
        <f>_xlfn.XLOOKUP(tbl_MTG_Set[[#This Row],[Collector Booster Box Product Id]], tbl_Product[Product Id], tbl_Product[Best Source])</f>
        <v/>
      </c>
      <c r="AW988" s="4">
        <f>_xlfn.XLOOKUP(tbl_MTG_Set[[#This Row],[Collector Booster Box Product Id]], tbl_Product[Product Id], tbl_Product[Pack Size])</f>
        <v/>
      </c>
      <c r="AX988" s="10">
        <f>(tbl_MTG_Set[[#This Row],[Collector Booster Box Cost]] + v_Item_Shipping_Cost_In) / tbl_MTG_Set[[#This Row],[Collector Booster Box Size]]</f>
        <v/>
      </c>
      <c r="AY988" s="10">
        <f t="array" ref="AY98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8" s="10" t="n"/>
      <c r="BA9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8" s="17">
        <f>tbl_MTG_Set[[#This Row],[Collector Booster CardMarket Profit]]/tbl_MTG_Set[[#This Row],[Collector Booster Cost]]</f>
        <v/>
      </c>
      <c r="BC988" s="10" t="n"/>
      <c r="BF988" s="10">
        <f>tbl_MTG_Set[[#This Row],[Play Booster Sell Price CardMarket]]*tbl_MTG_Set[[#This Row],[Play Booster Expected Market Value]]/tbl_MTG_Set[[#This Row],[Play Boost Sealed Market Value]]</f>
        <v/>
      </c>
      <c r="BG9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8" s="10">
        <f>tbl_MTG_Set[[#This Row],[Play Singles CardMarket Profit]]/tbl_MTG_Set[[#This Row],[Play Booster Cost]]</f>
        <v/>
      </c>
      <c r="BI988" s="10">
        <f>tbl_MTG_Set[[#This Row],[Play Singles CardMarket Profit]]&gt;0</f>
        <v/>
      </c>
      <c r="BJ988" s="10" t="n"/>
      <c r="BK988" s="10" t="n"/>
      <c r="BL988" s="10">
        <f>tbl_MTG_Set[[#This Row],[Collector Booster Sell Price CardMarket]]*tbl_MTG_Set[[#This Row],[Collector Booster Expected Market Value]]/tbl_MTG_Set[[#This Row],[Collector Boost Sealed Market Value]]</f>
        <v/>
      </c>
      <c r="BM9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8" s="10">
        <f>tbl_MTG_Set[[#This Row],[Collector Singles CardMarket Profit]]/tbl_MTG_Set[[#This Row],[Collector Booster Cost]]</f>
        <v/>
      </c>
      <c r="BO988" s="10">
        <f>tbl_MTG_Set[[#This Row],[Collector Singles CardMarket Profit]]&gt;0</f>
        <v/>
      </c>
      <c r="BP9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9">
      <c r="A989" t="n">
        <v>987</v>
      </c>
      <c r="B989" t="inlineStr">
        <is>
          <t>Visions VIS</t>
        </is>
      </c>
      <c r="C989" t="n">
        <v>167</v>
      </c>
      <c r="D989" s="3" t="n">
        <v>35464</v>
      </c>
      <c r="F989" t="inlineStr">
        <is>
          <t>en es fr de it pt ja ko ru 汉语 漢語</t>
        </is>
      </c>
      <c r="G989" t="n">
        <v>1920</v>
      </c>
      <c r="H989">
        <f>MONTH(NOW())+12*YEAR(NOW())-MONTH(tbl_MTG_Set[[#This Row],[Released On]])-12*YEAR(tbl_MTG_Set[[#This Row],[Released On]])</f>
        <v/>
      </c>
      <c r="I989">
        <f>_xlfn.XLOOKUP(tbl_MTG_Set[[#This Row],[Type Name]], tbl_MTG_Set_Type[Set Type], tbl_MTG_Set_Type[Index], "(Set Type not found)")</f>
        <v/>
      </c>
      <c r="J989">
        <f>_xlfn.XLOOKUP(tbl_MTG_Set[[#This Row],[Type Name]], tbl_MTG_Set_Type[Set Type], tbl_MTG_Set_Type[Buy Window Month Start], "(Set Type not found)")</f>
        <v/>
      </c>
      <c r="K989" s="3">
        <f>tbl_MTG_Set[[#This Row],[Released On]]+tbl_MTG_Set[[#This Row],[Buy Window Month Start]]*365.25/12</f>
        <v/>
      </c>
      <c r="L989">
        <f>_xlfn.XLOOKUP(tbl_MTG_Set[[#This Row],[Type Name]], tbl_MTG_Set_Type[Set Type], tbl_MTG_Set_Type[Buy Window Month End], "(Set Type not found)", 0, 1)</f>
        <v/>
      </c>
      <c r="M989" s="3">
        <f>tbl_MTG_Set[[#This Row],[Released On]]+tbl_MTG_Set[[#This Row],[Buy Window Month End]]*365.25/12</f>
        <v/>
      </c>
      <c r="N989" s="3">
        <f>AND(NOW()&gt;=tbl_MTG_Set[[#This Row],[Buy Window Start]], NOW()&lt;=tbl_MTG_Set[[#This Row],[Buy Window End]])</f>
        <v/>
      </c>
      <c r="O989">
        <f>_xlfn.XLOOKUP(tbl_MTG_Set[[#This Row],[Type Name]], tbl_MTG_Set_Type[Set Type], tbl_MTG_Set_Type[Heavy Printing Window Month Start], "(Set Type not found)", 0, 1)</f>
        <v/>
      </c>
      <c r="P989" s="3">
        <f>tbl_MTG_Set[[#This Row],[Released On]]+tbl_MTG_Set[[#This Row],[Heavy Printing Window Month Start]]*365.25/12</f>
        <v/>
      </c>
      <c r="Q989">
        <f>_xlfn.XLOOKUP(tbl_MTG_Set[[#This Row],[Type Name]], tbl_MTG_Set_Type[Set Type], tbl_MTG_Set_Type[Heavy Printing Window Month End], "(Set Type not found)", 0, 1)</f>
        <v/>
      </c>
      <c r="R989" s="3">
        <f>tbl_MTG_Set[[#This Row],[Released On]]+tbl_MTG_Set[[#This Row],[Heavy Printing Window Month End]]*365.25/12</f>
        <v/>
      </c>
      <c r="S989" s="3">
        <f>AND(NOW()&gt;=tbl_MTG_Set[[#This Row],[Heavy Printing Window Start]], NOW()&lt;=tbl_MTG_Set[[#This Row],[Heavy Printing Window End]])</f>
        <v/>
      </c>
      <c r="T989">
        <f>_xlfn.XLOOKUP(tbl_MTG_Set[[#This Row],[Type Name]], tbl_MTG_Set_Type[Set Type], tbl_MTG_Set_Type[Sell Window Month Start], "(Set Type not found)", 0, 1)</f>
        <v/>
      </c>
      <c r="U989" s="3">
        <f>tbl_MTG_Set[[#This Row],[Released On]]+tbl_MTG_Set[[#This Row],[Sell Window Month Start]]*365.25/12</f>
        <v/>
      </c>
      <c r="V989">
        <f>_xlfn.XLOOKUP(tbl_MTG_Set[[#This Row],[Type Name]], tbl_MTG_Set_Type[Set Type], tbl_MTG_Set_Type[Sell Window Month End], "(Set Type not found)", 0, 1)</f>
        <v/>
      </c>
      <c r="W989" s="3">
        <f>tbl_MTG_Set[[#This Row],[Released On]]+tbl_MTG_Set[[#This Row],[Sell Window Month End]]*365.25/12</f>
        <v/>
      </c>
      <c r="X989" s="3">
        <f>AND(NOW()&gt;=tbl_MTG_Set[[#This Row],[Sell Window Start]], NOW()&lt;=tbl_MTG_Set[[#This Row],[Sell Window End]])</f>
        <v/>
      </c>
      <c r="AG989" s="10" t="n"/>
      <c r="AH989" s="10" t="n"/>
      <c r="AM989" s="10">
        <f t="array" ref="AM9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9" s="10">
        <f t="array" ref="AN9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9" s="4">
        <f>_xlfn.XLOOKUP(tbl_MTG_Set[[#This Row],[Play Booster Box Product Id]], tbl_Product[Product Id], tbl_Product[Pack Size])</f>
        <v/>
      </c>
      <c r="AP989" s="10">
        <f>(tbl_MTG_Set[[#This Row],[Play Booster Box Cost]]+v_Item_Shipping_Cost_In)/tbl_MTG_Set[[#This Row],[Play Booster Box Size]]</f>
        <v/>
      </c>
      <c r="AQ989" s="10">
        <f t="array" ref="AQ98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89" s="10" t="n"/>
      <c r="AS989" s="10" t="n"/>
      <c r="AT989" s="17">
        <f>tbl_MTG_Set[[#This Row],[Play Booster CardMarket Profit]]/tbl_MTG_Set[[#This Row],[Play Booster Cost]]</f>
        <v/>
      </c>
      <c r="AU989" s="10">
        <f>_xlfn.XLOOKUP(tbl_MTG_Set[[#This Row],[Collector Booster Box Product Id]], tbl_Product[Product Id], tbl_Product[Min Cost])</f>
        <v/>
      </c>
      <c r="AV989" s="10">
        <f>_xlfn.XLOOKUP(tbl_MTG_Set[[#This Row],[Collector Booster Box Product Id]], tbl_Product[Product Id], tbl_Product[Best Source])</f>
        <v/>
      </c>
      <c r="AW989" s="4">
        <f>_xlfn.XLOOKUP(tbl_MTG_Set[[#This Row],[Collector Booster Box Product Id]], tbl_Product[Product Id], tbl_Product[Pack Size])</f>
        <v/>
      </c>
      <c r="AX989" s="10">
        <f>(tbl_MTG_Set[[#This Row],[Collector Booster Box Cost]] + v_Item_Shipping_Cost_In) / tbl_MTG_Set[[#This Row],[Collector Booster Box Size]]</f>
        <v/>
      </c>
      <c r="AY989" s="10">
        <f t="array" ref="AY98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89" s="10" t="n"/>
      <c r="BA9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9" s="17">
        <f>tbl_MTG_Set[[#This Row],[Collector Booster CardMarket Profit]]/tbl_MTG_Set[[#This Row],[Collector Booster Cost]]</f>
        <v/>
      </c>
      <c r="BC989" s="10" t="n"/>
      <c r="BF989" s="10">
        <f>tbl_MTG_Set[[#This Row],[Play Booster Sell Price CardMarket]]*tbl_MTG_Set[[#This Row],[Play Booster Expected Market Value]]/tbl_MTG_Set[[#This Row],[Play Boost Sealed Market Value]]</f>
        <v/>
      </c>
      <c r="BG9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9" s="10">
        <f>tbl_MTG_Set[[#This Row],[Play Singles CardMarket Profit]]/tbl_MTG_Set[[#This Row],[Play Booster Cost]]</f>
        <v/>
      </c>
      <c r="BI989" s="10">
        <f>tbl_MTG_Set[[#This Row],[Play Singles CardMarket Profit]]&gt;0</f>
        <v/>
      </c>
      <c r="BJ989" s="10" t="n"/>
      <c r="BK989" s="10" t="n"/>
      <c r="BL989" s="10">
        <f>tbl_MTG_Set[[#This Row],[Collector Booster Sell Price CardMarket]]*tbl_MTG_Set[[#This Row],[Collector Booster Expected Market Value]]/tbl_MTG_Set[[#This Row],[Collector Boost Sealed Market Value]]</f>
        <v/>
      </c>
      <c r="BM9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9" s="10">
        <f>tbl_MTG_Set[[#This Row],[Collector Singles CardMarket Profit]]/tbl_MTG_Set[[#This Row],[Collector Booster Cost]]</f>
        <v/>
      </c>
      <c r="BO989" s="10">
        <f>tbl_MTG_Set[[#This Row],[Collector Singles CardMarket Profit]]&gt;0</f>
        <v/>
      </c>
      <c r="BP9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0">
      <c r="A990" t="n">
        <v>988</v>
      </c>
      <c r="B990" t="inlineStr">
        <is>
          <t>Multiverse Gift Box MGB</t>
        </is>
      </c>
      <c r="C990" t="n">
        <v>10</v>
      </c>
      <c r="D990" s="3" t="n">
        <v>35370</v>
      </c>
      <c r="F990" t="inlineStr">
        <is>
          <t>en es fr de it pt ja ko ru 汉语 漢語</t>
        </is>
      </c>
      <c r="G990" t="n">
        <v>1922</v>
      </c>
      <c r="H990">
        <f>MONTH(NOW())+12*YEAR(NOW())-MONTH(tbl_MTG_Set[[#This Row],[Released On]])-12*YEAR(tbl_MTG_Set[[#This Row],[Released On]])</f>
        <v/>
      </c>
      <c r="I990">
        <f>_xlfn.XLOOKUP(tbl_MTG_Set[[#This Row],[Type Name]], tbl_MTG_Set_Type[Set Type], tbl_MTG_Set_Type[Index], "(Set Type not found)")</f>
        <v/>
      </c>
      <c r="J990">
        <f>_xlfn.XLOOKUP(tbl_MTG_Set[[#This Row],[Type Name]], tbl_MTG_Set_Type[Set Type], tbl_MTG_Set_Type[Buy Window Month Start], "(Set Type not found)")</f>
        <v/>
      </c>
      <c r="K990" s="3">
        <f>tbl_MTG_Set[[#This Row],[Released On]]+tbl_MTG_Set[[#This Row],[Buy Window Month Start]]*365.25/12</f>
        <v/>
      </c>
      <c r="L990">
        <f>_xlfn.XLOOKUP(tbl_MTG_Set[[#This Row],[Type Name]], tbl_MTG_Set_Type[Set Type], tbl_MTG_Set_Type[Buy Window Month End], "(Set Type not found)", 0, 1)</f>
        <v/>
      </c>
      <c r="M990" s="3">
        <f>tbl_MTG_Set[[#This Row],[Released On]]+tbl_MTG_Set[[#This Row],[Buy Window Month End]]*365.25/12</f>
        <v/>
      </c>
      <c r="N990" s="3">
        <f>AND(NOW()&gt;=tbl_MTG_Set[[#This Row],[Buy Window Start]], NOW()&lt;=tbl_MTG_Set[[#This Row],[Buy Window End]])</f>
        <v/>
      </c>
      <c r="O990">
        <f>_xlfn.XLOOKUP(tbl_MTG_Set[[#This Row],[Type Name]], tbl_MTG_Set_Type[Set Type], tbl_MTG_Set_Type[Heavy Printing Window Month Start], "(Set Type not found)", 0, 1)</f>
        <v/>
      </c>
      <c r="P990" s="3">
        <f>tbl_MTG_Set[[#This Row],[Released On]]+tbl_MTG_Set[[#This Row],[Heavy Printing Window Month Start]]*365.25/12</f>
        <v/>
      </c>
      <c r="Q990">
        <f>_xlfn.XLOOKUP(tbl_MTG_Set[[#This Row],[Type Name]], tbl_MTG_Set_Type[Set Type], tbl_MTG_Set_Type[Heavy Printing Window Month End], "(Set Type not found)", 0, 1)</f>
        <v/>
      </c>
      <c r="R990" s="3">
        <f>tbl_MTG_Set[[#This Row],[Released On]]+tbl_MTG_Set[[#This Row],[Heavy Printing Window Month End]]*365.25/12</f>
        <v/>
      </c>
      <c r="S990" s="3">
        <f>AND(NOW()&gt;=tbl_MTG_Set[[#This Row],[Heavy Printing Window Start]], NOW()&lt;=tbl_MTG_Set[[#This Row],[Heavy Printing Window End]])</f>
        <v/>
      </c>
      <c r="T990">
        <f>_xlfn.XLOOKUP(tbl_MTG_Set[[#This Row],[Type Name]], tbl_MTG_Set_Type[Set Type], tbl_MTG_Set_Type[Sell Window Month Start], "(Set Type not found)", 0, 1)</f>
        <v/>
      </c>
      <c r="U990" s="3">
        <f>tbl_MTG_Set[[#This Row],[Released On]]+tbl_MTG_Set[[#This Row],[Sell Window Month Start]]*365.25/12</f>
        <v/>
      </c>
      <c r="V990">
        <f>_xlfn.XLOOKUP(tbl_MTG_Set[[#This Row],[Type Name]], tbl_MTG_Set_Type[Set Type], tbl_MTG_Set_Type[Sell Window Month End], "(Set Type not found)", 0, 1)</f>
        <v/>
      </c>
      <c r="W990" s="3">
        <f>tbl_MTG_Set[[#This Row],[Released On]]+tbl_MTG_Set[[#This Row],[Sell Window Month End]]*365.25/12</f>
        <v/>
      </c>
      <c r="X990" s="3">
        <f>AND(NOW()&gt;=tbl_MTG_Set[[#This Row],[Sell Window Start]], NOW()&lt;=tbl_MTG_Set[[#This Row],[Sell Window End]])</f>
        <v/>
      </c>
      <c r="AG990" s="10" t="n"/>
      <c r="AH990" s="10" t="n"/>
      <c r="AM990" s="10">
        <f t="array" ref="AM9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0" s="10">
        <f t="array" ref="AN9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0" s="4">
        <f>_xlfn.XLOOKUP(tbl_MTG_Set[[#This Row],[Play Booster Box Product Id]], tbl_Product[Product Id], tbl_Product[Pack Size])</f>
        <v/>
      </c>
      <c r="AP990" s="10">
        <f>(tbl_MTG_Set[[#This Row],[Play Booster Box Cost]]+v_Item_Shipping_Cost_In)/tbl_MTG_Set[[#This Row],[Play Booster Box Size]]</f>
        <v/>
      </c>
      <c r="AQ990" s="10">
        <f t="array" ref="AQ99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0" s="10" t="n"/>
      <c r="AS990" s="10" t="n"/>
      <c r="AT990" s="17">
        <f>tbl_MTG_Set[[#This Row],[Play Booster CardMarket Profit]]/tbl_MTG_Set[[#This Row],[Play Booster Cost]]</f>
        <v/>
      </c>
      <c r="AU990" s="10">
        <f>_xlfn.XLOOKUP(tbl_MTG_Set[[#This Row],[Collector Booster Box Product Id]], tbl_Product[Product Id], tbl_Product[Min Cost])</f>
        <v/>
      </c>
      <c r="AV990" s="10">
        <f>_xlfn.XLOOKUP(tbl_MTG_Set[[#This Row],[Collector Booster Box Product Id]], tbl_Product[Product Id], tbl_Product[Best Source])</f>
        <v/>
      </c>
      <c r="AW990" s="4">
        <f>_xlfn.XLOOKUP(tbl_MTG_Set[[#This Row],[Collector Booster Box Product Id]], tbl_Product[Product Id], tbl_Product[Pack Size])</f>
        <v/>
      </c>
      <c r="AX990" s="10">
        <f>(tbl_MTG_Set[[#This Row],[Collector Booster Box Cost]] + v_Item_Shipping_Cost_In) / tbl_MTG_Set[[#This Row],[Collector Booster Box Size]]</f>
        <v/>
      </c>
      <c r="AY990" s="10">
        <f t="array" ref="AY99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0" s="10" t="n"/>
      <c r="BA9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0" s="17">
        <f>tbl_MTG_Set[[#This Row],[Collector Booster CardMarket Profit]]/tbl_MTG_Set[[#This Row],[Collector Booster Cost]]</f>
        <v/>
      </c>
      <c r="BC990" s="10" t="n"/>
      <c r="BF990" s="10">
        <f>tbl_MTG_Set[[#This Row],[Play Booster Sell Price CardMarket]]*tbl_MTG_Set[[#This Row],[Play Booster Expected Market Value]]/tbl_MTG_Set[[#This Row],[Play Boost Sealed Market Value]]</f>
        <v/>
      </c>
      <c r="BG9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0" s="10">
        <f>tbl_MTG_Set[[#This Row],[Play Singles CardMarket Profit]]/tbl_MTG_Set[[#This Row],[Play Booster Cost]]</f>
        <v/>
      </c>
      <c r="BI990" s="10">
        <f>tbl_MTG_Set[[#This Row],[Play Singles CardMarket Profit]]&gt;0</f>
        <v/>
      </c>
      <c r="BJ990" s="10" t="n"/>
      <c r="BK990" s="10" t="n"/>
      <c r="BL990" s="10">
        <f>tbl_MTG_Set[[#This Row],[Collector Booster Sell Price CardMarket]]*tbl_MTG_Set[[#This Row],[Collector Booster Expected Market Value]]/tbl_MTG_Set[[#This Row],[Collector Boost Sealed Market Value]]</f>
        <v/>
      </c>
      <c r="BM9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0" s="10">
        <f>tbl_MTG_Set[[#This Row],[Collector Singles CardMarket Profit]]/tbl_MTG_Set[[#This Row],[Collector Booster Cost]]</f>
        <v/>
      </c>
      <c r="BO990" s="10">
        <f>tbl_MTG_Set[[#This Row],[Collector Singles CardMarket Profit]]&gt;0</f>
        <v/>
      </c>
      <c r="BP9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1">
      <c r="A991" t="n">
        <v>989</v>
      </c>
      <c r="B991" t="inlineStr">
        <is>
          <t>Introductory Two-Player Set ITP</t>
        </is>
      </c>
      <c r="C991" t="n">
        <v>67</v>
      </c>
      <c r="D991" s="3" t="n">
        <v>35430</v>
      </c>
      <c r="F991" t="inlineStr">
        <is>
          <t>en es fr de it pt ja ko ru 汉语 漢語</t>
        </is>
      </c>
      <c r="G991" t="n">
        <v>1924</v>
      </c>
      <c r="H991">
        <f>MONTH(NOW())+12*YEAR(NOW())-MONTH(tbl_MTG_Set[[#This Row],[Released On]])-12*YEAR(tbl_MTG_Set[[#This Row],[Released On]])</f>
        <v/>
      </c>
      <c r="I991">
        <f>_xlfn.XLOOKUP(tbl_MTG_Set[[#This Row],[Type Name]], tbl_MTG_Set_Type[Set Type], tbl_MTG_Set_Type[Index], "(Set Type not found)")</f>
        <v/>
      </c>
      <c r="J991">
        <f>_xlfn.XLOOKUP(tbl_MTG_Set[[#This Row],[Type Name]], tbl_MTG_Set_Type[Set Type], tbl_MTG_Set_Type[Buy Window Month Start], "(Set Type not found)")</f>
        <v/>
      </c>
      <c r="K991" s="3">
        <f>tbl_MTG_Set[[#This Row],[Released On]]+tbl_MTG_Set[[#This Row],[Buy Window Month Start]]*365.25/12</f>
        <v/>
      </c>
      <c r="L991">
        <f>_xlfn.XLOOKUP(tbl_MTG_Set[[#This Row],[Type Name]], tbl_MTG_Set_Type[Set Type], tbl_MTG_Set_Type[Buy Window Month End], "(Set Type not found)", 0, 1)</f>
        <v/>
      </c>
      <c r="M991" s="3">
        <f>tbl_MTG_Set[[#This Row],[Released On]]+tbl_MTG_Set[[#This Row],[Buy Window Month End]]*365.25/12</f>
        <v/>
      </c>
      <c r="N991" s="3">
        <f>AND(NOW()&gt;=tbl_MTG_Set[[#This Row],[Buy Window Start]], NOW()&lt;=tbl_MTG_Set[[#This Row],[Buy Window End]])</f>
        <v/>
      </c>
      <c r="O991">
        <f>_xlfn.XLOOKUP(tbl_MTG_Set[[#This Row],[Type Name]], tbl_MTG_Set_Type[Set Type], tbl_MTG_Set_Type[Heavy Printing Window Month Start], "(Set Type not found)", 0, 1)</f>
        <v/>
      </c>
      <c r="P991" s="3">
        <f>tbl_MTG_Set[[#This Row],[Released On]]+tbl_MTG_Set[[#This Row],[Heavy Printing Window Month Start]]*365.25/12</f>
        <v/>
      </c>
      <c r="Q991">
        <f>_xlfn.XLOOKUP(tbl_MTG_Set[[#This Row],[Type Name]], tbl_MTG_Set_Type[Set Type], tbl_MTG_Set_Type[Heavy Printing Window Month End], "(Set Type not found)", 0, 1)</f>
        <v/>
      </c>
      <c r="R991" s="3">
        <f>tbl_MTG_Set[[#This Row],[Released On]]+tbl_MTG_Set[[#This Row],[Heavy Printing Window Month End]]*365.25/12</f>
        <v/>
      </c>
      <c r="S991" s="3">
        <f>AND(NOW()&gt;=tbl_MTG_Set[[#This Row],[Heavy Printing Window Start]], NOW()&lt;=tbl_MTG_Set[[#This Row],[Heavy Printing Window End]])</f>
        <v/>
      </c>
      <c r="T991">
        <f>_xlfn.XLOOKUP(tbl_MTG_Set[[#This Row],[Type Name]], tbl_MTG_Set_Type[Set Type], tbl_MTG_Set_Type[Sell Window Month Start], "(Set Type not found)", 0, 1)</f>
        <v/>
      </c>
      <c r="U991" s="3">
        <f>tbl_MTG_Set[[#This Row],[Released On]]+tbl_MTG_Set[[#This Row],[Sell Window Month Start]]*365.25/12</f>
        <v/>
      </c>
      <c r="V991">
        <f>_xlfn.XLOOKUP(tbl_MTG_Set[[#This Row],[Type Name]], tbl_MTG_Set_Type[Set Type], tbl_MTG_Set_Type[Sell Window Month End], "(Set Type not found)", 0, 1)</f>
        <v/>
      </c>
      <c r="W991" s="3">
        <f>tbl_MTG_Set[[#This Row],[Released On]]+tbl_MTG_Set[[#This Row],[Sell Window Month End]]*365.25/12</f>
        <v/>
      </c>
      <c r="X991" s="3">
        <f>AND(NOW()&gt;=tbl_MTG_Set[[#This Row],[Sell Window Start]], NOW()&lt;=tbl_MTG_Set[[#This Row],[Sell Window End]])</f>
        <v/>
      </c>
      <c r="AG991" s="10" t="n"/>
      <c r="AH991" s="10" t="n"/>
      <c r="AM991" s="10">
        <f t="array" ref="AM9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1" s="10">
        <f t="array" ref="AN9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1" s="4">
        <f>_xlfn.XLOOKUP(tbl_MTG_Set[[#This Row],[Play Booster Box Product Id]], tbl_Product[Product Id], tbl_Product[Pack Size])</f>
        <v/>
      </c>
      <c r="AP991" s="10">
        <f>(tbl_MTG_Set[[#This Row],[Play Booster Box Cost]]+v_Item_Shipping_Cost_In)/tbl_MTG_Set[[#This Row],[Play Booster Box Size]]</f>
        <v/>
      </c>
      <c r="AQ991" s="10">
        <f t="array" ref="AQ99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1" s="10" t="n"/>
      <c r="AS991" s="10" t="n"/>
      <c r="AT991" s="17">
        <f>tbl_MTG_Set[[#This Row],[Play Booster CardMarket Profit]]/tbl_MTG_Set[[#This Row],[Play Booster Cost]]</f>
        <v/>
      </c>
      <c r="AU991" s="10">
        <f>_xlfn.XLOOKUP(tbl_MTG_Set[[#This Row],[Collector Booster Box Product Id]], tbl_Product[Product Id], tbl_Product[Min Cost])</f>
        <v/>
      </c>
      <c r="AV991" s="10">
        <f>_xlfn.XLOOKUP(tbl_MTG_Set[[#This Row],[Collector Booster Box Product Id]], tbl_Product[Product Id], tbl_Product[Best Source])</f>
        <v/>
      </c>
      <c r="AW991" s="4">
        <f>_xlfn.XLOOKUP(tbl_MTG_Set[[#This Row],[Collector Booster Box Product Id]], tbl_Product[Product Id], tbl_Product[Pack Size])</f>
        <v/>
      </c>
      <c r="AX991" s="10">
        <f>(tbl_MTG_Set[[#This Row],[Collector Booster Box Cost]] + v_Item_Shipping_Cost_In) / tbl_MTG_Set[[#This Row],[Collector Booster Box Size]]</f>
        <v/>
      </c>
      <c r="AY991" s="10">
        <f t="array" ref="AY99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1" s="10" t="n"/>
      <c r="BA9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1" s="17">
        <f>tbl_MTG_Set[[#This Row],[Collector Booster CardMarket Profit]]/tbl_MTG_Set[[#This Row],[Collector Booster Cost]]</f>
        <v/>
      </c>
      <c r="BC991" s="10" t="n"/>
      <c r="BF991" s="10">
        <f>tbl_MTG_Set[[#This Row],[Play Booster Sell Price CardMarket]]*tbl_MTG_Set[[#This Row],[Play Booster Expected Market Value]]/tbl_MTG_Set[[#This Row],[Play Boost Sealed Market Value]]</f>
        <v/>
      </c>
      <c r="BG9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1" s="10">
        <f>tbl_MTG_Set[[#This Row],[Play Singles CardMarket Profit]]/tbl_MTG_Set[[#This Row],[Play Booster Cost]]</f>
        <v/>
      </c>
      <c r="BI991" s="10">
        <f>tbl_MTG_Set[[#This Row],[Play Singles CardMarket Profit]]&gt;0</f>
        <v/>
      </c>
      <c r="BJ991" s="10" t="n"/>
      <c r="BK991" s="10" t="n"/>
      <c r="BL991" s="10">
        <f>tbl_MTG_Set[[#This Row],[Collector Booster Sell Price CardMarket]]*tbl_MTG_Set[[#This Row],[Collector Booster Expected Market Value]]/tbl_MTG_Set[[#This Row],[Collector Boost Sealed Market Value]]</f>
        <v/>
      </c>
      <c r="BM9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1" s="10">
        <f>tbl_MTG_Set[[#This Row],[Collector Singles CardMarket Profit]]/tbl_MTG_Set[[#This Row],[Collector Booster Cost]]</f>
        <v/>
      </c>
      <c r="BO991" s="10">
        <f>tbl_MTG_Set[[#This Row],[Collector Singles CardMarket Profit]]&gt;0</f>
        <v/>
      </c>
      <c r="BP9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2">
      <c r="A992" t="n">
        <v>990</v>
      </c>
      <c r="B992" t="inlineStr">
        <is>
          <t>Mirage MIR</t>
        </is>
      </c>
      <c r="C992" t="n">
        <v>353</v>
      </c>
      <c r="D992" s="3" t="n">
        <v>35346</v>
      </c>
      <c r="F992" t="inlineStr">
        <is>
          <t>en es fr de it pt ja ko ru 汉语 漢語</t>
        </is>
      </c>
      <c r="G992" t="n">
        <v>1926</v>
      </c>
      <c r="H992">
        <f>MONTH(NOW())+12*YEAR(NOW())-MONTH(tbl_MTG_Set[[#This Row],[Released On]])-12*YEAR(tbl_MTG_Set[[#This Row],[Released On]])</f>
        <v/>
      </c>
      <c r="I992">
        <f>_xlfn.XLOOKUP(tbl_MTG_Set[[#This Row],[Type Name]], tbl_MTG_Set_Type[Set Type], tbl_MTG_Set_Type[Index], "(Set Type not found)")</f>
        <v/>
      </c>
      <c r="J992">
        <f>_xlfn.XLOOKUP(tbl_MTG_Set[[#This Row],[Type Name]], tbl_MTG_Set_Type[Set Type], tbl_MTG_Set_Type[Buy Window Month Start], "(Set Type not found)")</f>
        <v/>
      </c>
      <c r="K992" s="3">
        <f>tbl_MTG_Set[[#This Row],[Released On]]+tbl_MTG_Set[[#This Row],[Buy Window Month Start]]*365.25/12</f>
        <v/>
      </c>
      <c r="L992">
        <f>_xlfn.XLOOKUP(tbl_MTG_Set[[#This Row],[Type Name]], tbl_MTG_Set_Type[Set Type], tbl_MTG_Set_Type[Buy Window Month End], "(Set Type not found)", 0, 1)</f>
        <v/>
      </c>
      <c r="M992" s="3">
        <f>tbl_MTG_Set[[#This Row],[Released On]]+tbl_MTG_Set[[#This Row],[Buy Window Month End]]*365.25/12</f>
        <v/>
      </c>
      <c r="N992" s="3">
        <f>AND(NOW()&gt;=tbl_MTG_Set[[#This Row],[Buy Window Start]], NOW()&lt;=tbl_MTG_Set[[#This Row],[Buy Window End]])</f>
        <v/>
      </c>
      <c r="O992">
        <f>_xlfn.XLOOKUP(tbl_MTG_Set[[#This Row],[Type Name]], tbl_MTG_Set_Type[Set Type], tbl_MTG_Set_Type[Heavy Printing Window Month Start], "(Set Type not found)", 0, 1)</f>
        <v/>
      </c>
      <c r="P992" s="3">
        <f>tbl_MTG_Set[[#This Row],[Released On]]+tbl_MTG_Set[[#This Row],[Heavy Printing Window Month Start]]*365.25/12</f>
        <v/>
      </c>
      <c r="Q992">
        <f>_xlfn.XLOOKUP(tbl_MTG_Set[[#This Row],[Type Name]], tbl_MTG_Set_Type[Set Type], tbl_MTG_Set_Type[Heavy Printing Window Month End], "(Set Type not found)", 0, 1)</f>
        <v/>
      </c>
      <c r="R992" s="3">
        <f>tbl_MTG_Set[[#This Row],[Released On]]+tbl_MTG_Set[[#This Row],[Heavy Printing Window Month End]]*365.25/12</f>
        <v/>
      </c>
      <c r="S992" s="3">
        <f>AND(NOW()&gt;=tbl_MTG_Set[[#This Row],[Heavy Printing Window Start]], NOW()&lt;=tbl_MTG_Set[[#This Row],[Heavy Printing Window End]])</f>
        <v/>
      </c>
      <c r="T992">
        <f>_xlfn.XLOOKUP(tbl_MTG_Set[[#This Row],[Type Name]], tbl_MTG_Set_Type[Set Type], tbl_MTG_Set_Type[Sell Window Month Start], "(Set Type not found)", 0, 1)</f>
        <v/>
      </c>
      <c r="U992" s="3">
        <f>tbl_MTG_Set[[#This Row],[Released On]]+tbl_MTG_Set[[#This Row],[Sell Window Month Start]]*365.25/12</f>
        <v/>
      </c>
      <c r="V992">
        <f>_xlfn.XLOOKUP(tbl_MTG_Set[[#This Row],[Type Name]], tbl_MTG_Set_Type[Set Type], tbl_MTG_Set_Type[Sell Window Month End], "(Set Type not found)", 0, 1)</f>
        <v/>
      </c>
      <c r="W992" s="3">
        <f>tbl_MTG_Set[[#This Row],[Released On]]+tbl_MTG_Set[[#This Row],[Sell Window Month End]]*365.25/12</f>
        <v/>
      </c>
      <c r="X992" s="3">
        <f>AND(NOW()&gt;=tbl_MTG_Set[[#This Row],[Sell Window Start]], NOW()&lt;=tbl_MTG_Set[[#This Row],[Sell Window End]])</f>
        <v/>
      </c>
      <c r="AG992" s="10" t="n"/>
      <c r="AH992" s="10" t="n"/>
      <c r="AM992" s="10">
        <f t="array" ref="AM9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2" s="10">
        <f t="array" ref="AN9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2" s="4">
        <f>_xlfn.XLOOKUP(tbl_MTG_Set[[#This Row],[Play Booster Box Product Id]], tbl_Product[Product Id], tbl_Product[Pack Size])</f>
        <v/>
      </c>
      <c r="AP992" s="10">
        <f>(tbl_MTG_Set[[#This Row],[Play Booster Box Cost]]+v_Item_Shipping_Cost_In)/tbl_MTG_Set[[#This Row],[Play Booster Box Size]]</f>
        <v/>
      </c>
      <c r="AQ992" s="10">
        <f t="array" ref="AQ99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2" s="10" t="n"/>
      <c r="AS992" s="10" t="n"/>
      <c r="AT992" s="17">
        <f>tbl_MTG_Set[[#This Row],[Play Booster CardMarket Profit]]/tbl_MTG_Set[[#This Row],[Play Booster Cost]]</f>
        <v/>
      </c>
      <c r="AU992" s="10">
        <f>_xlfn.XLOOKUP(tbl_MTG_Set[[#This Row],[Collector Booster Box Product Id]], tbl_Product[Product Id], tbl_Product[Min Cost])</f>
        <v/>
      </c>
      <c r="AV992" s="10">
        <f>_xlfn.XLOOKUP(tbl_MTG_Set[[#This Row],[Collector Booster Box Product Id]], tbl_Product[Product Id], tbl_Product[Best Source])</f>
        <v/>
      </c>
      <c r="AW992" s="4">
        <f>_xlfn.XLOOKUP(tbl_MTG_Set[[#This Row],[Collector Booster Box Product Id]], tbl_Product[Product Id], tbl_Product[Pack Size])</f>
        <v/>
      </c>
      <c r="AX992" s="10">
        <f>(tbl_MTG_Set[[#This Row],[Collector Booster Box Cost]] + v_Item_Shipping_Cost_In) / tbl_MTG_Set[[#This Row],[Collector Booster Box Size]]</f>
        <v/>
      </c>
      <c r="AY992" s="10">
        <f t="array" ref="AY99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2" s="10" t="n"/>
      <c r="BA9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2" s="17">
        <f>tbl_MTG_Set[[#This Row],[Collector Booster CardMarket Profit]]/tbl_MTG_Set[[#This Row],[Collector Booster Cost]]</f>
        <v/>
      </c>
      <c r="BC992" s="10" t="n"/>
      <c r="BF992" s="10">
        <f>tbl_MTG_Set[[#This Row],[Play Booster Sell Price CardMarket]]*tbl_MTG_Set[[#This Row],[Play Booster Expected Market Value]]/tbl_MTG_Set[[#This Row],[Play Boost Sealed Market Value]]</f>
        <v/>
      </c>
      <c r="BG9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2" s="10">
        <f>tbl_MTG_Set[[#This Row],[Play Singles CardMarket Profit]]/tbl_MTG_Set[[#This Row],[Play Booster Cost]]</f>
        <v/>
      </c>
      <c r="BI992" s="10">
        <f>tbl_MTG_Set[[#This Row],[Play Singles CardMarket Profit]]&gt;0</f>
        <v/>
      </c>
      <c r="BJ992" s="10" t="n"/>
      <c r="BK992" s="10" t="n"/>
      <c r="BL992" s="10">
        <f>tbl_MTG_Set[[#This Row],[Collector Booster Sell Price CardMarket]]*tbl_MTG_Set[[#This Row],[Collector Booster Expected Market Value]]/tbl_MTG_Set[[#This Row],[Collector Boost Sealed Market Value]]</f>
        <v/>
      </c>
      <c r="BM9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2" s="10">
        <f>tbl_MTG_Set[[#This Row],[Collector Singles CardMarket Profit]]/tbl_MTG_Set[[#This Row],[Collector Booster Cost]]</f>
        <v/>
      </c>
      <c r="BO992" s="10">
        <f>tbl_MTG_Set[[#This Row],[Collector Singles CardMarket Profit]]&gt;0</f>
        <v/>
      </c>
      <c r="BP9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3">
      <c r="A993" t="n">
        <v>991</v>
      </c>
      <c r="B993" t="inlineStr">
        <is>
          <t>Redemption Program PRED</t>
        </is>
      </c>
      <c r="C993" t="n">
        <v>1</v>
      </c>
      <c r="D993" s="3" t="n">
        <v>35339</v>
      </c>
      <c r="F993" t="inlineStr">
        <is>
          <t>en es fr de it pt ja ko ru 汉语 漢語</t>
        </is>
      </c>
      <c r="G993" t="n">
        <v>1928</v>
      </c>
      <c r="H993">
        <f>MONTH(NOW())+12*YEAR(NOW())-MONTH(tbl_MTG_Set[[#This Row],[Released On]])-12*YEAR(tbl_MTG_Set[[#This Row],[Released On]])</f>
        <v/>
      </c>
      <c r="I993">
        <f>_xlfn.XLOOKUP(tbl_MTG_Set[[#This Row],[Type Name]], tbl_MTG_Set_Type[Set Type], tbl_MTG_Set_Type[Index], "(Set Type not found)")</f>
        <v/>
      </c>
      <c r="J993">
        <f>_xlfn.XLOOKUP(tbl_MTG_Set[[#This Row],[Type Name]], tbl_MTG_Set_Type[Set Type], tbl_MTG_Set_Type[Buy Window Month Start], "(Set Type not found)")</f>
        <v/>
      </c>
      <c r="K993" s="3">
        <f>tbl_MTG_Set[[#This Row],[Released On]]+tbl_MTG_Set[[#This Row],[Buy Window Month Start]]*365.25/12</f>
        <v/>
      </c>
      <c r="L993">
        <f>_xlfn.XLOOKUP(tbl_MTG_Set[[#This Row],[Type Name]], tbl_MTG_Set_Type[Set Type], tbl_MTG_Set_Type[Buy Window Month End], "(Set Type not found)", 0, 1)</f>
        <v/>
      </c>
      <c r="M993" s="3">
        <f>tbl_MTG_Set[[#This Row],[Released On]]+tbl_MTG_Set[[#This Row],[Buy Window Month End]]*365.25/12</f>
        <v/>
      </c>
      <c r="N993" s="3">
        <f>AND(NOW()&gt;=tbl_MTG_Set[[#This Row],[Buy Window Start]], NOW()&lt;=tbl_MTG_Set[[#This Row],[Buy Window End]])</f>
        <v/>
      </c>
      <c r="O993">
        <f>_xlfn.XLOOKUP(tbl_MTG_Set[[#This Row],[Type Name]], tbl_MTG_Set_Type[Set Type], tbl_MTG_Set_Type[Heavy Printing Window Month Start], "(Set Type not found)", 0, 1)</f>
        <v/>
      </c>
      <c r="P993" s="3">
        <f>tbl_MTG_Set[[#This Row],[Released On]]+tbl_MTG_Set[[#This Row],[Heavy Printing Window Month Start]]*365.25/12</f>
        <v/>
      </c>
      <c r="Q993">
        <f>_xlfn.XLOOKUP(tbl_MTG_Set[[#This Row],[Type Name]], tbl_MTG_Set_Type[Set Type], tbl_MTG_Set_Type[Heavy Printing Window Month End], "(Set Type not found)", 0, 1)</f>
        <v/>
      </c>
      <c r="R993" s="3">
        <f>tbl_MTG_Set[[#This Row],[Released On]]+tbl_MTG_Set[[#This Row],[Heavy Printing Window Month End]]*365.25/12</f>
        <v/>
      </c>
      <c r="S993" s="3">
        <f>AND(NOW()&gt;=tbl_MTG_Set[[#This Row],[Heavy Printing Window Start]], NOW()&lt;=tbl_MTG_Set[[#This Row],[Heavy Printing Window End]])</f>
        <v/>
      </c>
      <c r="T993">
        <f>_xlfn.XLOOKUP(tbl_MTG_Set[[#This Row],[Type Name]], tbl_MTG_Set_Type[Set Type], tbl_MTG_Set_Type[Sell Window Month Start], "(Set Type not found)", 0, 1)</f>
        <v/>
      </c>
      <c r="U993" s="3">
        <f>tbl_MTG_Set[[#This Row],[Released On]]+tbl_MTG_Set[[#This Row],[Sell Window Month Start]]*365.25/12</f>
        <v/>
      </c>
      <c r="V993">
        <f>_xlfn.XLOOKUP(tbl_MTG_Set[[#This Row],[Type Name]], tbl_MTG_Set_Type[Set Type], tbl_MTG_Set_Type[Sell Window Month End], "(Set Type not found)", 0, 1)</f>
        <v/>
      </c>
      <c r="W993" s="3">
        <f>tbl_MTG_Set[[#This Row],[Released On]]+tbl_MTG_Set[[#This Row],[Sell Window Month End]]*365.25/12</f>
        <v/>
      </c>
      <c r="X993" s="3">
        <f>AND(NOW()&gt;=tbl_MTG_Set[[#This Row],[Sell Window Start]], NOW()&lt;=tbl_MTG_Set[[#This Row],[Sell Window End]])</f>
        <v/>
      </c>
      <c r="AG993" s="10" t="n"/>
      <c r="AH993" s="10" t="n"/>
      <c r="AM993" s="10">
        <f t="array" ref="AM9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3" s="10">
        <f t="array" ref="AN9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3" s="4">
        <f>_xlfn.XLOOKUP(tbl_MTG_Set[[#This Row],[Play Booster Box Product Id]], tbl_Product[Product Id], tbl_Product[Pack Size])</f>
        <v/>
      </c>
      <c r="AP993" s="10">
        <f>(tbl_MTG_Set[[#This Row],[Play Booster Box Cost]]+v_Item_Shipping_Cost_In)/tbl_MTG_Set[[#This Row],[Play Booster Box Size]]</f>
        <v/>
      </c>
      <c r="AQ993" s="10">
        <f t="array" ref="AQ99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3" s="10" t="n"/>
      <c r="AS993" s="10" t="n"/>
      <c r="AT993" s="17">
        <f>tbl_MTG_Set[[#This Row],[Play Booster CardMarket Profit]]/tbl_MTG_Set[[#This Row],[Play Booster Cost]]</f>
        <v/>
      </c>
      <c r="AU993" s="10">
        <f>_xlfn.XLOOKUP(tbl_MTG_Set[[#This Row],[Collector Booster Box Product Id]], tbl_Product[Product Id], tbl_Product[Min Cost])</f>
        <v/>
      </c>
      <c r="AV993" s="10">
        <f>_xlfn.XLOOKUP(tbl_MTG_Set[[#This Row],[Collector Booster Box Product Id]], tbl_Product[Product Id], tbl_Product[Best Source])</f>
        <v/>
      </c>
      <c r="AW993" s="4">
        <f>_xlfn.XLOOKUP(tbl_MTG_Set[[#This Row],[Collector Booster Box Product Id]], tbl_Product[Product Id], tbl_Product[Pack Size])</f>
        <v/>
      </c>
      <c r="AX993" s="10">
        <f>(tbl_MTG_Set[[#This Row],[Collector Booster Box Cost]] + v_Item_Shipping_Cost_In) / tbl_MTG_Set[[#This Row],[Collector Booster Box Size]]</f>
        <v/>
      </c>
      <c r="AY993" s="10">
        <f t="array" ref="AY99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3" s="10" t="n"/>
      <c r="BA9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3" s="17">
        <f>tbl_MTG_Set[[#This Row],[Collector Booster CardMarket Profit]]/tbl_MTG_Set[[#This Row],[Collector Booster Cost]]</f>
        <v/>
      </c>
      <c r="BC993" s="10" t="n"/>
      <c r="BF993" s="10">
        <f>tbl_MTG_Set[[#This Row],[Play Booster Sell Price CardMarket]]*tbl_MTG_Set[[#This Row],[Play Booster Expected Market Value]]/tbl_MTG_Set[[#This Row],[Play Boost Sealed Market Value]]</f>
        <v/>
      </c>
      <c r="BG9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3" s="10">
        <f>tbl_MTG_Set[[#This Row],[Play Singles CardMarket Profit]]/tbl_MTG_Set[[#This Row],[Play Booster Cost]]</f>
        <v/>
      </c>
      <c r="BI993" s="10">
        <f>tbl_MTG_Set[[#This Row],[Play Singles CardMarket Profit]]&gt;0</f>
        <v/>
      </c>
      <c r="BJ993" s="10" t="n"/>
      <c r="BK993" s="10" t="n"/>
      <c r="BL993" s="10">
        <f>tbl_MTG_Set[[#This Row],[Collector Booster Sell Price CardMarket]]*tbl_MTG_Set[[#This Row],[Collector Booster Expected Market Value]]/tbl_MTG_Set[[#This Row],[Collector Boost Sealed Market Value]]</f>
        <v/>
      </c>
      <c r="BM9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3" s="10">
        <f>tbl_MTG_Set[[#This Row],[Collector Singles CardMarket Profit]]/tbl_MTG_Set[[#This Row],[Collector Booster Cost]]</f>
        <v/>
      </c>
      <c r="BO993" s="10">
        <f>tbl_MTG_Set[[#This Row],[Collector Singles CardMarket Profit]]&gt;0</f>
        <v/>
      </c>
      <c r="BP9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4">
      <c r="A994" t="n">
        <v>992</v>
      </c>
      <c r="B994" t="inlineStr">
        <is>
          <t>Celebration Cards PCEL</t>
        </is>
      </c>
      <c r="C994" t="n">
        <v>9</v>
      </c>
      <c r="D994" s="3" t="n">
        <v>35291</v>
      </c>
      <c r="F994" t="inlineStr">
        <is>
          <t>en es fr de it pt ja ko ru 汉语 漢語</t>
        </is>
      </c>
      <c r="G994" t="n">
        <v>1930</v>
      </c>
      <c r="H994">
        <f>MONTH(NOW())+12*YEAR(NOW())-MONTH(tbl_MTG_Set[[#This Row],[Released On]])-12*YEAR(tbl_MTG_Set[[#This Row],[Released On]])</f>
        <v/>
      </c>
      <c r="I994">
        <f>_xlfn.XLOOKUP(tbl_MTG_Set[[#This Row],[Type Name]], tbl_MTG_Set_Type[Set Type], tbl_MTG_Set_Type[Index], "(Set Type not found)")</f>
        <v/>
      </c>
      <c r="J994">
        <f>_xlfn.XLOOKUP(tbl_MTG_Set[[#This Row],[Type Name]], tbl_MTG_Set_Type[Set Type], tbl_MTG_Set_Type[Buy Window Month Start], "(Set Type not found)")</f>
        <v/>
      </c>
      <c r="K994" s="3">
        <f>tbl_MTG_Set[[#This Row],[Released On]]+tbl_MTG_Set[[#This Row],[Buy Window Month Start]]*365.25/12</f>
        <v/>
      </c>
      <c r="L994">
        <f>_xlfn.XLOOKUP(tbl_MTG_Set[[#This Row],[Type Name]], tbl_MTG_Set_Type[Set Type], tbl_MTG_Set_Type[Buy Window Month End], "(Set Type not found)", 0, 1)</f>
        <v/>
      </c>
      <c r="M994" s="3">
        <f>tbl_MTG_Set[[#This Row],[Released On]]+tbl_MTG_Set[[#This Row],[Buy Window Month End]]*365.25/12</f>
        <v/>
      </c>
      <c r="N994" s="3">
        <f>AND(NOW()&gt;=tbl_MTG_Set[[#This Row],[Buy Window Start]], NOW()&lt;=tbl_MTG_Set[[#This Row],[Buy Window End]])</f>
        <v/>
      </c>
      <c r="O994">
        <f>_xlfn.XLOOKUP(tbl_MTG_Set[[#This Row],[Type Name]], tbl_MTG_Set_Type[Set Type], tbl_MTG_Set_Type[Heavy Printing Window Month Start], "(Set Type not found)", 0, 1)</f>
        <v/>
      </c>
      <c r="P994" s="3">
        <f>tbl_MTG_Set[[#This Row],[Released On]]+tbl_MTG_Set[[#This Row],[Heavy Printing Window Month Start]]*365.25/12</f>
        <v/>
      </c>
      <c r="Q994">
        <f>_xlfn.XLOOKUP(tbl_MTG_Set[[#This Row],[Type Name]], tbl_MTG_Set_Type[Set Type], tbl_MTG_Set_Type[Heavy Printing Window Month End], "(Set Type not found)", 0, 1)</f>
        <v/>
      </c>
      <c r="R994" s="3">
        <f>tbl_MTG_Set[[#This Row],[Released On]]+tbl_MTG_Set[[#This Row],[Heavy Printing Window Month End]]*365.25/12</f>
        <v/>
      </c>
      <c r="S994" s="3">
        <f>AND(NOW()&gt;=tbl_MTG_Set[[#This Row],[Heavy Printing Window Start]], NOW()&lt;=tbl_MTG_Set[[#This Row],[Heavy Printing Window End]])</f>
        <v/>
      </c>
      <c r="T994">
        <f>_xlfn.XLOOKUP(tbl_MTG_Set[[#This Row],[Type Name]], tbl_MTG_Set_Type[Set Type], tbl_MTG_Set_Type[Sell Window Month Start], "(Set Type not found)", 0, 1)</f>
        <v/>
      </c>
      <c r="U994" s="3">
        <f>tbl_MTG_Set[[#This Row],[Released On]]+tbl_MTG_Set[[#This Row],[Sell Window Month Start]]*365.25/12</f>
        <v/>
      </c>
      <c r="V994">
        <f>_xlfn.XLOOKUP(tbl_MTG_Set[[#This Row],[Type Name]], tbl_MTG_Set_Type[Set Type], tbl_MTG_Set_Type[Sell Window Month End], "(Set Type not found)", 0, 1)</f>
        <v/>
      </c>
      <c r="W994" s="3">
        <f>tbl_MTG_Set[[#This Row],[Released On]]+tbl_MTG_Set[[#This Row],[Sell Window Month End]]*365.25/12</f>
        <v/>
      </c>
      <c r="X994" s="3">
        <f>AND(NOW()&gt;=tbl_MTG_Set[[#This Row],[Sell Window Start]], NOW()&lt;=tbl_MTG_Set[[#This Row],[Sell Window End]])</f>
        <v/>
      </c>
      <c r="AG994" s="10" t="n"/>
      <c r="AH994" s="10" t="n"/>
      <c r="AM994" s="10">
        <f t="array" ref="AM9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4" s="10">
        <f t="array" ref="AN9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4" s="4">
        <f>_xlfn.XLOOKUP(tbl_MTG_Set[[#This Row],[Play Booster Box Product Id]], tbl_Product[Product Id], tbl_Product[Pack Size])</f>
        <v/>
      </c>
      <c r="AP994" s="10">
        <f>(tbl_MTG_Set[[#This Row],[Play Booster Box Cost]]+v_Item_Shipping_Cost_In)/tbl_MTG_Set[[#This Row],[Play Booster Box Size]]</f>
        <v/>
      </c>
      <c r="AQ994" s="10">
        <f t="array" ref="AQ99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4" s="10" t="n"/>
      <c r="AS994" s="10" t="n"/>
      <c r="AT994" s="17">
        <f>tbl_MTG_Set[[#This Row],[Play Booster CardMarket Profit]]/tbl_MTG_Set[[#This Row],[Play Booster Cost]]</f>
        <v/>
      </c>
      <c r="AU994" s="10">
        <f>_xlfn.XLOOKUP(tbl_MTG_Set[[#This Row],[Collector Booster Box Product Id]], tbl_Product[Product Id], tbl_Product[Min Cost])</f>
        <v/>
      </c>
      <c r="AV994" s="10">
        <f>_xlfn.XLOOKUP(tbl_MTG_Set[[#This Row],[Collector Booster Box Product Id]], tbl_Product[Product Id], tbl_Product[Best Source])</f>
        <v/>
      </c>
      <c r="AW994" s="4">
        <f>_xlfn.XLOOKUP(tbl_MTG_Set[[#This Row],[Collector Booster Box Product Id]], tbl_Product[Product Id], tbl_Product[Pack Size])</f>
        <v/>
      </c>
      <c r="AX994" s="10">
        <f>(tbl_MTG_Set[[#This Row],[Collector Booster Box Cost]] + v_Item_Shipping_Cost_In) / tbl_MTG_Set[[#This Row],[Collector Booster Box Size]]</f>
        <v/>
      </c>
      <c r="AY994" s="10">
        <f t="array" ref="AY99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4" s="10" t="n"/>
      <c r="BA9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4" s="17">
        <f>tbl_MTG_Set[[#This Row],[Collector Booster CardMarket Profit]]/tbl_MTG_Set[[#This Row],[Collector Booster Cost]]</f>
        <v/>
      </c>
      <c r="BC994" s="10" t="n"/>
      <c r="BF994" s="10">
        <f>tbl_MTG_Set[[#This Row],[Play Booster Sell Price CardMarket]]*tbl_MTG_Set[[#This Row],[Play Booster Expected Market Value]]/tbl_MTG_Set[[#This Row],[Play Boost Sealed Market Value]]</f>
        <v/>
      </c>
      <c r="BG9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4" s="10">
        <f>tbl_MTG_Set[[#This Row],[Play Singles CardMarket Profit]]/tbl_MTG_Set[[#This Row],[Play Booster Cost]]</f>
        <v/>
      </c>
      <c r="BI994" s="10">
        <f>tbl_MTG_Set[[#This Row],[Play Singles CardMarket Profit]]&gt;0</f>
        <v/>
      </c>
      <c r="BJ994" s="10" t="n"/>
      <c r="BK994" s="10" t="n"/>
      <c r="BL994" s="10">
        <f>tbl_MTG_Set[[#This Row],[Collector Booster Sell Price CardMarket]]*tbl_MTG_Set[[#This Row],[Collector Booster Expected Market Value]]/tbl_MTG_Set[[#This Row],[Collector Boost Sealed Market Value]]</f>
        <v/>
      </c>
      <c r="BM9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4" s="10">
        <f>tbl_MTG_Set[[#This Row],[Collector Singles CardMarket Profit]]/tbl_MTG_Set[[#This Row],[Collector Booster Cost]]</f>
        <v/>
      </c>
      <c r="BO994" s="10">
        <f>tbl_MTG_Set[[#This Row],[Collector Singles CardMarket Profit]]&gt;0</f>
        <v/>
      </c>
      <c r="BP9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5">
      <c r="A995" t="n">
        <v>993</v>
      </c>
      <c r="B995" t="inlineStr">
        <is>
          <t>Arena League 1996 PARL</t>
        </is>
      </c>
      <c r="C995" t="n">
        <v>7</v>
      </c>
      <c r="D995" s="3" t="n">
        <v>35279</v>
      </c>
      <c r="F995" t="inlineStr">
        <is>
          <t>en es fr de it pt ja ko ru 汉语 漢語</t>
        </is>
      </c>
      <c r="G995" t="n">
        <v>1932</v>
      </c>
      <c r="H995">
        <f>MONTH(NOW())+12*YEAR(NOW())-MONTH(tbl_MTG_Set[[#This Row],[Released On]])-12*YEAR(tbl_MTG_Set[[#This Row],[Released On]])</f>
        <v/>
      </c>
      <c r="I995">
        <f>_xlfn.XLOOKUP(tbl_MTG_Set[[#This Row],[Type Name]], tbl_MTG_Set_Type[Set Type], tbl_MTG_Set_Type[Index], "(Set Type not found)")</f>
        <v/>
      </c>
      <c r="J995">
        <f>_xlfn.XLOOKUP(tbl_MTG_Set[[#This Row],[Type Name]], tbl_MTG_Set_Type[Set Type], tbl_MTG_Set_Type[Buy Window Month Start], "(Set Type not found)")</f>
        <v/>
      </c>
      <c r="K995" s="3">
        <f>tbl_MTG_Set[[#This Row],[Released On]]+tbl_MTG_Set[[#This Row],[Buy Window Month Start]]*365.25/12</f>
        <v/>
      </c>
      <c r="L995">
        <f>_xlfn.XLOOKUP(tbl_MTG_Set[[#This Row],[Type Name]], tbl_MTG_Set_Type[Set Type], tbl_MTG_Set_Type[Buy Window Month End], "(Set Type not found)", 0, 1)</f>
        <v/>
      </c>
      <c r="M995" s="3">
        <f>tbl_MTG_Set[[#This Row],[Released On]]+tbl_MTG_Set[[#This Row],[Buy Window Month End]]*365.25/12</f>
        <v/>
      </c>
      <c r="N995" s="3">
        <f>AND(NOW()&gt;=tbl_MTG_Set[[#This Row],[Buy Window Start]], NOW()&lt;=tbl_MTG_Set[[#This Row],[Buy Window End]])</f>
        <v/>
      </c>
      <c r="O995">
        <f>_xlfn.XLOOKUP(tbl_MTG_Set[[#This Row],[Type Name]], tbl_MTG_Set_Type[Set Type], tbl_MTG_Set_Type[Heavy Printing Window Month Start], "(Set Type not found)", 0, 1)</f>
        <v/>
      </c>
      <c r="P995" s="3">
        <f>tbl_MTG_Set[[#This Row],[Released On]]+tbl_MTG_Set[[#This Row],[Heavy Printing Window Month Start]]*365.25/12</f>
        <v/>
      </c>
      <c r="Q995">
        <f>_xlfn.XLOOKUP(tbl_MTG_Set[[#This Row],[Type Name]], tbl_MTG_Set_Type[Set Type], tbl_MTG_Set_Type[Heavy Printing Window Month End], "(Set Type not found)", 0, 1)</f>
        <v/>
      </c>
      <c r="R995" s="3">
        <f>tbl_MTG_Set[[#This Row],[Released On]]+tbl_MTG_Set[[#This Row],[Heavy Printing Window Month End]]*365.25/12</f>
        <v/>
      </c>
      <c r="S995" s="3">
        <f>AND(NOW()&gt;=tbl_MTG_Set[[#This Row],[Heavy Printing Window Start]], NOW()&lt;=tbl_MTG_Set[[#This Row],[Heavy Printing Window End]])</f>
        <v/>
      </c>
      <c r="T995">
        <f>_xlfn.XLOOKUP(tbl_MTG_Set[[#This Row],[Type Name]], tbl_MTG_Set_Type[Set Type], tbl_MTG_Set_Type[Sell Window Month Start], "(Set Type not found)", 0, 1)</f>
        <v/>
      </c>
      <c r="U995" s="3">
        <f>tbl_MTG_Set[[#This Row],[Released On]]+tbl_MTG_Set[[#This Row],[Sell Window Month Start]]*365.25/12</f>
        <v/>
      </c>
      <c r="V995">
        <f>_xlfn.XLOOKUP(tbl_MTG_Set[[#This Row],[Type Name]], tbl_MTG_Set_Type[Set Type], tbl_MTG_Set_Type[Sell Window Month End], "(Set Type not found)", 0, 1)</f>
        <v/>
      </c>
      <c r="W995" s="3">
        <f>tbl_MTG_Set[[#This Row],[Released On]]+tbl_MTG_Set[[#This Row],[Sell Window Month End]]*365.25/12</f>
        <v/>
      </c>
      <c r="X995" s="3">
        <f>AND(NOW()&gt;=tbl_MTG_Set[[#This Row],[Sell Window Start]], NOW()&lt;=tbl_MTG_Set[[#This Row],[Sell Window End]])</f>
        <v/>
      </c>
      <c r="AG995" s="10" t="n"/>
      <c r="AH995" s="10" t="n"/>
      <c r="AM995" s="10">
        <f t="array" ref="AM9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5" s="10">
        <f t="array" ref="AN9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5" s="4">
        <f>_xlfn.XLOOKUP(tbl_MTG_Set[[#This Row],[Play Booster Box Product Id]], tbl_Product[Product Id], tbl_Product[Pack Size])</f>
        <v/>
      </c>
      <c r="AP995" s="10">
        <f>(tbl_MTG_Set[[#This Row],[Play Booster Box Cost]]+v_Item_Shipping_Cost_In)/tbl_MTG_Set[[#This Row],[Play Booster Box Size]]</f>
        <v/>
      </c>
      <c r="AQ995" s="10">
        <f t="array" ref="AQ99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5" s="10" t="n"/>
      <c r="AS995" s="10" t="n"/>
      <c r="AT995" s="17">
        <f>tbl_MTG_Set[[#This Row],[Play Booster CardMarket Profit]]/tbl_MTG_Set[[#This Row],[Play Booster Cost]]</f>
        <v/>
      </c>
      <c r="AU995" s="10">
        <f>_xlfn.XLOOKUP(tbl_MTG_Set[[#This Row],[Collector Booster Box Product Id]], tbl_Product[Product Id], tbl_Product[Min Cost])</f>
        <v/>
      </c>
      <c r="AV995" s="10">
        <f>_xlfn.XLOOKUP(tbl_MTG_Set[[#This Row],[Collector Booster Box Product Id]], tbl_Product[Product Id], tbl_Product[Best Source])</f>
        <v/>
      </c>
      <c r="AW995" s="4">
        <f>_xlfn.XLOOKUP(tbl_MTG_Set[[#This Row],[Collector Booster Box Product Id]], tbl_Product[Product Id], tbl_Product[Pack Size])</f>
        <v/>
      </c>
      <c r="AX995" s="10">
        <f>(tbl_MTG_Set[[#This Row],[Collector Booster Box Cost]] + v_Item_Shipping_Cost_In) / tbl_MTG_Set[[#This Row],[Collector Booster Box Size]]</f>
        <v/>
      </c>
      <c r="AY995" s="10">
        <f t="array" ref="AY99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5" s="10" t="n"/>
      <c r="BA9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5" s="17">
        <f>tbl_MTG_Set[[#This Row],[Collector Booster CardMarket Profit]]/tbl_MTG_Set[[#This Row],[Collector Booster Cost]]</f>
        <v/>
      </c>
      <c r="BC995" s="10" t="n"/>
      <c r="BF995" s="10">
        <f>tbl_MTG_Set[[#This Row],[Play Booster Sell Price CardMarket]]*tbl_MTG_Set[[#This Row],[Play Booster Expected Market Value]]/tbl_MTG_Set[[#This Row],[Play Boost Sealed Market Value]]</f>
        <v/>
      </c>
      <c r="BG9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5" s="10">
        <f>tbl_MTG_Set[[#This Row],[Play Singles CardMarket Profit]]/tbl_MTG_Set[[#This Row],[Play Booster Cost]]</f>
        <v/>
      </c>
      <c r="BI995" s="10">
        <f>tbl_MTG_Set[[#This Row],[Play Singles CardMarket Profit]]&gt;0</f>
        <v/>
      </c>
      <c r="BJ995" s="10" t="n"/>
      <c r="BK995" s="10" t="n"/>
      <c r="BL995" s="10">
        <f>tbl_MTG_Set[[#This Row],[Collector Booster Sell Price CardMarket]]*tbl_MTG_Set[[#This Row],[Collector Booster Expected Market Value]]/tbl_MTG_Set[[#This Row],[Collector Boost Sealed Market Value]]</f>
        <v/>
      </c>
      <c r="BM9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5" s="10">
        <f>tbl_MTG_Set[[#This Row],[Collector Singles CardMarket Profit]]/tbl_MTG_Set[[#This Row],[Collector Booster Cost]]</f>
        <v/>
      </c>
      <c r="BO995" s="10">
        <f>tbl_MTG_Set[[#This Row],[Collector Singles CardMarket Profit]]&gt;0</f>
        <v/>
      </c>
      <c r="BP9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6">
      <c r="A996" t="n">
        <v>994</v>
      </c>
      <c r="B996" t="inlineStr">
        <is>
          <t>DCI Legend Membership PLGM</t>
        </is>
      </c>
      <c r="C996" t="n">
        <v>2</v>
      </c>
      <c r="D996" s="3" t="n">
        <v>35247</v>
      </c>
      <c r="F996" t="inlineStr">
        <is>
          <t>en es fr de it pt ja ko ru 汉语 漢語</t>
        </is>
      </c>
      <c r="G996" t="n">
        <v>1934</v>
      </c>
      <c r="H996">
        <f>MONTH(NOW())+12*YEAR(NOW())-MONTH(tbl_MTG_Set[[#This Row],[Released On]])-12*YEAR(tbl_MTG_Set[[#This Row],[Released On]])</f>
        <v/>
      </c>
      <c r="I996">
        <f>_xlfn.XLOOKUP(tbl_MTG_Set[[#This Row],[Type Name]], tbl_MTG_Set_Type[Set Type], tbl_MTG_Set_Type[Index], "(Set Type not found)")</f>
        <v/>
      </c>
      <c r="J996">
        <f>_xlfn.XLOOKUP(tbl_MTG_Set[[#This Row],[Type Name]], tbl_MTG_Set_Type[Set Type], tbl_MTG_Set_Type[Buy Window Month Start], "(Set Type not found)")</f>
        <v/>
      </c>
      <c r="K996" s="3">
        <f>tbl_MTG_Set[[#This Row],[Released On]]+tbl_MTG_Set[[#This Row],[Buy Window Month Start]]*365.25/12</f>
        <v/>
      </c>
      <c r="L996">
        <f>_xlfn.XLOOKUP(tbl_MTG_Set[[#This Row],[Type Name]], tbl_MTG_Set_Type[Set Type], tbl_MTG_Set_Type[Buy Window Month End], "(Set Type not found)", 0, 1)</f>
        <v/>
      </c>
      <c r="M996" s="3">
        <f>tbl_MTG_Set[[#This Row],[Released On]]+tbl_MTG_Set[[#This Row],[Buy Window Month End]]*365.25/12</f>
        <v/>
      </c>
      <c r="N996" s="3">
        <f>AND(NOW()&gt;=tbl_MTG_Set[[#This Row],[Buy Window Start]], NOW()&lt;=tbl_MTG_Set[[#This Row],[Buy Window End]])</f>
        <v/>
      </c>
      <c r="O996">
        <f>_xlfn.XLOOKUP(tbl_MTG_Set[[#This Row],[Type Name]], tbl_MTG_Set_Type[Set Type], tbl_MTG_Set_Type[Heavy Printing Window Month Start], "(Set Type not found)", 0, 1)</f>
        <v/>
      </c>
      <c r="P996" s="3">
        <f>tbl_MTG_Set[[#This Row],[Released On]]+tbl_MTG_Set[[#This Row],[Heavy Printing Window Month Start]]*365.25/12</f>
        <v/>
      </c>
      <c r="Q996">
        <f>_xlfn.XLOOKUP(tbl_MTG_Set[[#This Row],[Type Name]], tbl_MTG_Set_Type[Set Type], tbl_MTG_Set_Type[Heavy Printing Window Month End], "(Set Type not found)", 0, 1)</f>
        <v/>
      </c>
      <c r="R996" s="3">
        <f>tbl_MTG_Set[[#This Row],[Released On]]+tbl_MTG_Set[[#This Row],[Heavy Printing Window Month End]]*365.25/12</f>
        <v/>
      </c>
      <c r="S996" s="3">
        <f>AND(NOW()&gt;=tbl_MTG_Set[[#This Row],[Heavy Printing Window Start]], NOW()&lt;=tbl_MTG_Set[[#This Row],[Heavy Printing Window End]])</f>
        <v/>
      </c>
      <c r="T996">
        <f>_xlfn.XLOOKUP(tbl_MTG_Set[[#This Row],[Type Name]], tbl_MTG_Set_Type[Set Type], tbl_MTG_Set_Type[Sell Window Month Start], "(Set Type not found)", 0, 1)</f>
        <v/>
      </c>
      <c r="U996" s="3">
        <f>tbl_MTG_Set[[#This Row],[Released On]]+tbl_MTG_Set[[#This Row],[Sell Window Month Start]]*365.25/12</f>
        <v/>
      </c>
      <c r="V996">
        <f>_xlfn.XLOOKUP(tbl_MTG_Set[[#This Row],[Type Name]], tbl_MTG_Set_Type[Set Type], tbl_MTG_Set_Type[Sell Window Month End], "(Set Type not found)", 0, 1)</f>
        <v/>
      </c>
      <c r="W996" s="3">
        <f>tbl_MTG_Set[[#This Row],[Released On]]+tbl_MTG_Set[[#This Row],[Sell Window Month End]]*365.25/12</f>
        <v/>
      </c>
      <c r="X996" s="3">
        <f>AND(NOW()&gt;=tbl_MTG_Set[[#This Row],[Sell Window Start]], NOW()&lt;=tbl_MTG_Set[[#This Row],[Sell Window End]])</f>
        <v/>
      </c>
      <c r="AG996" s="10" t="n"/>
      <c r="AH996" s="10" t="n"/>
      <c r="AM996" s="10">
        <f t="array" ref="AM9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6" s="10">
        <f t="array" ref="AN9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6" s="4">
        <f>_xlfn.XLOOKUP(tbl_MTG_Set[[#This Row],[Play Booster Box Product Id]], tbl_Product[Product Id], tbl_Product[Pack Size])</f>
        <v/>
      </c>
      <c r="AP996" s="10">
        <f>(tbl_MTG_Set[[#This Row],[Play Booster Box Cost]]+v_Item_Shipping_Cost_In)/tbl_MTG_Set[[#This Row],[Play Booster Box Size]]</f>
        <v/>
      </c>
      <c r="AQ996" s="10">
        <f t="array" ref="AQ99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6" s="10" t="n"/>
      <c r="AS996" s="10" t="n"/>
      <c r="AT996" s="17">
        <f>tbl_MTG_Set[[#This Row],[Play Booster CardMarket Profit]]/tbl_MTG_Set[[#This Row],[Play Booster Cost]]</f>
        <v/>
      </c>
      <c r="AU996" s="10">
        <f>_xlfn.XLOOKUP(tbl_MTG_Set[[#This Row],[Collector Booster Box Product Id]], tbl_Product[Product Id], tbl_Product[Min Cost])</f>
        <v/>
      </c>
      <c r="AV996" s="10">
        <f>_xlfn.XLOOKUP(tbl_MTG_Set[[#This Row],[Collector Booster Box Product Id]], tbl_Product[Product Id], tbl_Product[Best Source])</f>
        <v/>
      </c>
      <c r="AW996" s="4">
        <f>_xlfn.XLOOKUP(tbl_MTG_Set[[#This Row],[Collector Booster Box Product Id]], tbl_Product[Product Id], tbl_Product[Pack Size])</f>
        <v/>
      </c>
      <c r="AX996" s="10">
        <f>(tbl_MTG_Set[[#This Row],[Collector Booster Box Cost]] + v_Item_Shipping_Cost_In) / tbl_MTG_Set[[#This Row],[Collector Booster Box Size]]</f>
        <v/>
      </c>
      <c r="AY996" s="10">
        <f t="array" ref="AY99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6" s="10" t="n"/>
      <c r="BA9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6" s="17">
        <f>tbl_MTG_Set[[#This Row],[Collector Booster CardMarket Profit]]/tbl_MTG_Set[[#This Row],[Collector Booster Cost]]</f>
        <v/>
      </c>
      <c r="BC996" s="10" t="n"/>
      <c r="BF996" s="10">
        <f>tbl_MTG_Set[[#This Row],[Play Booster Sell Price CardMarket]]*tbl_MTG_Set[[#This Row],[Play Booster Expected Market Value]]/tbl_MTG_Set[[#This Row],[Play Boost Sealed Market Value]]</f>
        <v/>
      </c>
      <c r="BG9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6" s="10">
        <f>tbl_MTG_Set[[#This Row],[Play Singles CardMarket Profit]]/tbl_MTG_Set[[#This Row],[Play Booster Cost]]</f>
        <v/>
      </c>
      <c r="BI996" s="10">
        <f>tbl_MTG_Set[[#This Row],[Play Singles CardMarket Profit]]&gt;0</f>
        <v/>
      </c>
      <c r="BJ996" s="10" t="n"/>
      <c r="BK996" s="10" t="n"/>
      <c r="BL996" s="10">
        <f>tbl_MTG_Set[[#This Row],[Collector Booster Sell Price CardMarket]]*tbl_MTG_Set[[#This Row],[Collector Booster Expected Market Value]]/tbl_MTG_Set[[#This Row],[Collector Boost Sealed Market Value]]</f>
        <v/>
      </c>
      <c r="BM9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6" s="10">
        <f>tbl_MTG_Set[[#This Row],[Collector Singles CardMarket Profit]]/tbl_MTG_Set[[#This Row],[Collector Booster Cost]]</f>
        <v/>
      </c>
      <c r="BO996" s="10">
        <f>tbl_MTG_Set[[#This Row],[Collector Singles CardMarket Profit]]&gt;0</f>
        <v/>
      </c>
      <c r="BP9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7">
      <c r="A997" t="n">
        <v>995</v>
      </c>
      <c r="B997" t="inlineStr">
        <is>
          <t>Rivals Quick Start Set RQS</t>
        </is>
      </c>
      <c r="C997" t="n">
        <v>65</v>
      </c>
      <c r="D997" s="3" t="n">
        <v>35247</v>
      </c>
      <c r="F997" t="inlineStr">
        <is>
          <t>en es fr de it pt ja ko ru 汉语 漢語</t>
        </is>
      </c>
      <c r="G997" t="n">
        <v>1936</v>
      </c>
      <c r="H997">
        <f>MONTH(NOW())+12*YEAR(NOW())-MONTH(tbl_MTG_Set[[#This Row],[Released On]])-12*YEAR(tbl_MTG_Set[[#This Row],[Released On]])</f>
        <v/>
      </c>
      <c r="I997">
        <f>_xlfn.XLOOKUP(tbl_MTG_Set[[#This Row],[Type Name]], tbl_MTG_Set_Type[Set Type], tbl_MTG_Set_Type[Index], "(Set Type not found)")</f>
        <v/>
      </c>
      <c r="J997">
        <f>_xlfn.XLOOKUP(tbl_MTG_Set[[#This Row],[Type Name]], tbl_MTG_Set_Type[Set Type], tbl_MTG_Set_Type[Buy Window Month Start], "(Set Type not found)")</f>
        <v/>
      </c>
      <c r="K997" s="3">
        <f>tbl_MTG_Set[[#This Row],[Released On]]+tbl_MTG_Set[[#This Row],[Buy Window Month Start]]*365.25/12</f>
        <v/>
      </c>
      <c r="L997">
        <f>_xlfn.XLOOKUP(tbl_MTG_Set[[#This Row],[Type Name]], tbl_MTG_Set_Type[Set Type], tbl_MTG_Set_Type[Buy Window Month End], "(Set Type not found)", 0, 1)</f>
        <v/>
      </c>
      <c r="M997" s="3">
        <f>tbl_MTG_Set[[#This Row],[Released On]]+tbl_MTG_Set[[#This Row],[Buy Window Month End]]*365.25/12</f>
        <v/>
      </c>
      <c r="N997" s="3">
        <f>AND(NOW()&gt;=tbl_MTG_Set[[#This Row],[Buy Window Start]], NOW()&lt;=tbl_MTG_Set[[#This Row],[Buy Window End]])</f>
        <v/>
      </c>
      <c r="O997">
        <f>_xlfn.XLOOKUP(tbl_MTG_Set[[#This Row],[Type Name]], tbl_MTG_Set_Type[Set Type], tbl_MTG_Set_Type[Heavy Printing Window Month Start], "(Set Type not found)", 0, 1)</f>
        <v/>
      </c>
      <c r="P997" s="3">
        <f>tbl_MTG_Set[[#This Row],[Released On]]+tbl_MTG_Set[[#This Row],[Heavy Printing Window Month Start]]*365.25/12</f>
        <v/>
      </c>
      <c r="Q997">
        <f>_xlfn.XLOOKUP(tbl_MTG_Set[[#This Row],[Type Name]], tbl_MTG_Set_Type[Set Type], tbl_MTG_Set_Type[Heavy Printing Window Month End], "(Set Type not found)", 0, 1)</f>
        <v/>
      </c>
      <c r="R997" s="3">
        <f>tbl_MTG_Set[[#This Row],[Released On]]+tbl_MTG_Set[[#This Row],[Heavy Printing Window Month End]]*365.25/12</f>
        <v/>
      </c>
      <c r="S997" s="3">
        <f>AND(NOW()&gt;=tbl_MTG_Set[[#This Row],[Heavy Printing Window Start]], NOW()&lt;=tbl_MTG_Set[[#This Row],[Heavy Printing Window End]])</f>
        <v/>
      </c>
      <c r="T997">
        <f>_xlfn.XLOOKUP(tbl_MTG_Set[[#This Row],[Type Name]], tbl_MTG_Set_Type[Set Type], tbl_MTG_Set_Type[Sell Window Month Start], "(Set Type not found)", 0, 1)</f>
        <v/>
      </c>
      <c r="U997" s="3">
        <f>tbl_MTG_Set[[#This Row],[Released On]]+tbl_MTG_Set[[#This Row],[Sell Window Month Start]]*365.25/12</f>
        <v/>
      </c>
      <c r="V997">
        <f>_xlfn.XLOOKUP(tbl_MTG_Set[[#This Row],[Type Name]], tbl_MTG_Set_Type[Set Type], tbl_MTG_Set_Type[Sell Window Month End], "(Set Type not found)", 0, 1)</f>
        <v/>
      </c>
      <c r="W997" s="3">
        <f>tbl_MTG_Set[[#This Row],[Released On]]+tbl_MTG_Set[[#This Row],[Sell Window Month End]]*365.25/12</f>
        <v/>
      </c>
      <c r="X997" s="3">
        <f>AND(NOW()&gt;=tbl_MTG_Set[[#This Row],[Sell Window Start]], NOW()&lt;=tbl_MTG_Set[[#This Row],[Sell Window End]])</f>
        <v/>
      </c>
      <c r="AG997" s="10" t="n"/>
      <c r="AH997" s="10" t="n"/>
      <c r="AM997" s="10">
        <f t="array" ref="AM9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7" s="10">
        <f t="array" ref="AN9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7" s="4">
        <f>_xlfn.XLOOKUP(tbl_MTG_Set[[#This Row],[Play Booster Box Product Id]], tbl_Product[Product Id], tbl_Product[Pack Size])</f>
        <v/>
      </c>
      <c r="AP997" s="10">
        <f>(tbl_MTG_Set[[#This Row],[Play Booster Box Cost]]+v_Item_Shipping_Cost_In)/tbl_MTG_Set[[#This Row],[Play Booster Box Size]]</f>
        <v/>
      </c>
      <c r="AQ997" s="10">
        <f t="array" ref="AQ99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7" s="10" t="n"/>
      <c r="AS997" s="10" t="n"/>
      <c r="AT997" s="17">
        <f>tbl_MTG_Set[[#This Row],[Play Booster CardMarket Profit]]/tbl_MTG_Set[[#This Row],[Play Booster Cost]]</f>
        <v/>
      </c>
      <c r="AU997" s="10">
        <f>_xlfn.XLOOKUP(tbl_MTG_Set[[#This Row],[Collector Booster Box Product Id]], tbl_Product[Product Id], tbl_Product[Min Cost])</f>
        <v/>
      </c>
      <c r="AV997" s="10">
        <f>_xlfn.XLOOKUP(tbl_MTG_Set[[#This Row],[Collector Booster Box Product Id]], tbl_Product[Product Id], tbl_Product[Best Source])</f>
        <v/>
      </c>
      <c r="AW997" s="4">
        <f>_xlfn.XLOOKUP(tbl_MTG_Set[[#This Row],[Collector Booster Box Product Id]], tbl_Product[Product Id], tbl_Product[Pack Size])</f>
        <v/>
      </c>
      <c r="AX997" s="10">
        <f>(tbl_MTG_Set[[#This Row],[Collector Booster Box Cost]] + v_Item_Shipping_Cost_In) / tbl_MTG_Set[[#This Row],[Collector Booster Box Size]]</f>
        <v/>
      </c>
      <c r="AY997" s="10">
        <f t="array" ref="AY99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7" s="10" t="n"/>
      <c r="BA9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7" s="17">
        <f>tbl_MTG_Set[[#This Row],[Collector Booster CardMarket Profit]]/tbl_MTG_Set[[#This Row],[Collector Booster Cost]]</f>
        <v/>
      </c>
      <c r="BC997" s="10" t="n"/>
      <c r="BF997" s="10">
        <f>tbl_MTG_Set[[#This Row],[Play Booster Sell Price CardMarket]]*tbl_MTG_Set[[#This Row],[Play Booster Expected Market Value]]/tbl_MTG_Set[[#This Row],[Play Boost Sealed Market Value]]</f>
        <v/>
      </c>
      <c r="BG9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7" s="10">
        <f>tbl_MTG_Set[[#This Row],[Play Singles CardMarket Profit]]/tbl_MTG_Set[[#This Row],[Play Booster Cost]]</f>
        <v/>
      </c>
      <c r="BI997" s="10">
        <f>tbl_MTG_Set[[#This Row],[Play Singles CardMarket Profit]]&gt;0</f>
        <v/>
      </c>
      <c r="BJ997" s="10" t="n"/>
      <c r="BK997" s="10" t="n"/>
      <c r="BL997" s="10">
        <f>tbl_MTG_Set[[#This Row],[Collector Booster Sell Price CardMarket]]*tbl_MTG_Set[[#This Row],[Collector Booster Expected Market Value]]/tbl_MTG_Set[[#This Row],[Collector Boost Sealed Market Value]]</f>
        <v/>
      </c>
      <c r="BM9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7" s="10">
        <f>tbl_MTG_Set[[#This Row],[Collector Singles CardMarket Profit]]/tbl_MTG_Set[[#This Row],[Collector Booster Cost]]</f>
        <v/>
      </c>
      <c r="BO997" s="10">
        <f>tbl_MTG_Set[[#This Row],[Collector Singles CardMarket Profit]]&gt;0</f>
        <v/>
      </c>
      <c r="BP9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8">
      <c r="A998" t="n">
        <v>996</v>
      </c>
      <c r="B998" t="inlineStr">
        <is>
          <t>Alliances ALL</t>
        </is>
      </c>
      <c r="C998" t="n">
        <v>199</v>
      </c>
      <c r="D998" s="3" t="n">
        <v>35226</v>
      </c>
      <c r="F998" t="inlineStr">
        <is>
          <t>en es fr de it pt ja ko ru 汉语 漢語</t>
        </is>
      </c>
      <c r="G998" t="n">
        <v>1938</v>
      </c>
      <c r="H998">
        <f>MONTH(NOW())+12*YEAR(NOW())-MONTH(tbl_MTG_Set[[#This Row],[Released On]])-12*YEAR(tbl_MTG_Set[[#This Row],[Released On]])</f>
        <v/>
      </c>
      <c r="I998">
        <f>_xlfn.XLOOKUP(tbl_MTG_Set[[#This Row],[Type Name]], tbl_MTG_Set_Type[Set Type], tbl_MTG_Set_Type[Index], "(Set Type not found)")</f>
        <v/>
      </c>
      <c r="J998">
        <f>_xlfn.XLOOKUP(tbl_MTG_Set[[#This Row],[Type Name]], tbl_MTG_Set_Type[Set Type], tbl_MTG_Set_Type[Buy Window Month Start], "(Set Type not found)")</f>
        <v/>
      </c>
      <c r="K998" s="3">
        <f>tbl_MTG_Set[[#This Row],[Released On]]+tbl_MTG_Set[[#This Row],[Buy Window Month Start]]*365.25/12</f>
        <v/>
      </c>
      <c r="L998">
        <f>_xlfn.XLOOKUP(tbl_MTG_Set[[#This Row],[Type Name]], tbl_MTG_Set_Type[Set Type], tbl_MTG_Set_Type[Buy Window Month End], "(Set Type not found)", 0, 1)</f>
        <v/>
      </c>
      <c r="M998" s="3">
        <f>tbl_MTG_Set[[#This Row],[Released On]]+tbl_MTG_Set[[#This Row],[Buy Window Month End]]*365.25/12</f>
        <v/>
      </c>
      <c r="N998" s="3">
        <f>AND(NOW()&gt;=tbl_MTG_Set[[#This Row],[Buy Window Start]], NOW()&lt;=tbl_MTG_Set[[#This Row],[Buy Window End]])</f>
        <v/>
      </c>
      <c r="O998">
        <f>_xlfn.XLOOKUP(tbl_MTG_Set[[#This Row],[Type Name]], tbl_MTG_Set_Type[Set Type], tbl_MTG_Set_Type[Heavy Printing Window Month Start], "(Set Type not found)", 0, 1)</f>
        <v/>
      </c>
      <c r="P998" s="3">
        <f>tbl_MTG_Set[[#This Row],[Released On]]+tbl_MTG_Set[[#This Row],[Heavy Printing Window Month Start]]*365.25/12</f>
        <v/>
      </c>
      <c r="Q998">
        <f>_xlfn.XLOOKUP(tbl_MTG_Set[[#This Row],[Type Name]], tbl_MTG_Set_Type[Set Type], tbl_MTG_Set_Type[Heavy Printing Window Month End], "(Set Type not found)", 0, 1)</f>
        <v/>
      </c>
      <c r="R998" s="3">
        <f>tbl_MTG_Set[[#This Row],[Released On]]+tbl_MTG_Set[[#This Row],[Heavy Printing Window Month End]]*365.25/12</f>
        <v/>
      </c>
      <c r="S998" s="3">
        <f>AND(NOW()&gt;=tbl_MTG_Set[[#This Row],[Heavy Printing Window Start]], NOW()&lt;=tbl_MTG_Set[[#This Row],[Heavy Printing Window End]])</f>
        <v/>
      </c>
      <c r="T998">
        <f>_xlfn.XLOOKUP(tbl_MTG_Set[[#This Row],[Type Name]], tbl_MTG_Set_Type[Set Type], tbl_MTG_Set_Type[Sell Window Month Start], "(Set Type not found)", 0, 1)</f>
        <v/>
      </c>
      <c r="U998" s="3">
        <f>tbl_MTG_Set[[#This Row],[Released On]]+tbl_MTG_Set[[#This Row],[Sell Window Month Start]]*365.25/12</f>
        <v/>
      </c>
      <c r="V998">
        <f>_xlfn.XLOOKUP(tbl_MTG_Set[[#This Row],[Type Name]], tbl_MTG_Set_Type[Set Type], tbl_MTG_Set_Type[Sell Window Month End], "(Set Type not found)", 0, 1)</f>
        <v/>
      </c>
      <c r="W998" s="3">
        <f>tbl_MTG_Set[[#This Row],[Released On]]+tbl_MTG_Set[[#This Row],[Sell Window Month End]]*365.25/12</f>
        <v/>
      </c>
      <c r="X998" s="3">
        <f>AND(NOW()&gt;=tbl_MTG_Set[[#This Row],[Sell Window Start]], NOW()&lt;=tbl_MTG_Set[[#This Row],[Sell Window End]])</f>
        <v/>
      </c>
      <c r="AG998" s="10" t="n"/>
      <c r="AH998" s="10" t="n"/>
      <c r="AM998" s="10">
        <f t="array" ref="AM9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8" s="10">
        <f t="array" ref="AN9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8" s="4">
        <f>_xlfn.XLOOKUP(tbl_MTG_Set[[#This Row],[Play Booster Box Product Id]], tbl_Product[Product Id], tbl_Product[Pack Size])</f>
        <v/>
      </c>
      <c r="AP998" s="10">
        <f>(tbl_MTG_Set[[#This Row],[Play Booster Box Cost]]+v_Item_Shipping_Cost_In)/tbl_MTG_Set[[#This Row],[Play Booster Box Size]]</f>
        <v/>
      </c>
      <c r="AQ998" s="10">
        <f t="array" ref="AQ99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8" s="10" t="n"/>
      <c r="AS998" s="10" t="n"/>
      <c r="AT998" s="17">
        <f>tbl_MTG_Set[[#This Row],[Play Booster CardMarket Profit]]/tbl_MTG_Set[[#This Row],[Play Booster Cost]]</f>
        <v/>
      </c>
      <c r="AU998" s="10">
        <f>_xlfn.XLOOKUP(tbl_MTG_Set[[#This Row],[Collector Booster Box Product Id]], tbl_Product[Product Id], tbl_Product[Min Cost])</f>
        <v/>
      </c>
      <c r="AV998" s="10">
        <f>_xlfn.XLOOKUP(tbl_MTG_Set[[#This Row],[Collector Booster Box Product Id]], tbl_Product[Product Id], tbl_Product[Best Source])</f>
        <v/>
      </c>
      <c r="AW998" s="4">
        <f>_xlfn.XLOOKUP(tbl_MTG_Set[[#This Row],[Collector Booster Box Product Id]], tbl_Product[Product Id], tbl_Product[Pack Size])</f>
        <v/>
      </c>
      <c r="AX998" s="10">
        <f>(tbl_MTG_Set[[#This Row],[Collector Booster Box Cost]] + v_Item_Shipping_Cost_In) / tbl_MTG_Set[[#This Row],[Collector Booster Box Size]]</f>
        <v/>
      </c>
      <c r="AY998" s="10">
        <f t="array" ref="AY99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8" s="10" t="n"/>
      <c r="BA9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8" s="17">
        <f>tbl_MTG_Set[[#This Row],[Collector Booster CardMarket Profit]]/tbl_MTG_Set[[#This Row],[Collector Booster Cost]]</f>
        <v/>
      </c>
      <c r="BC998" s="10" t="n"/>
      <c r="BF998" s="10">
        <f>tbl_MTG_Set[[#This Row],[Play Booster Sell Price CardMarket]]*tbl_MTG_Set[[#This Row],[Play Booster Expected Market Value]]/tbl_MTG_Set[[#This Row],[Play Boost Sealed Market Value]]</f>
        <v/>
      </c>
      <c r="BG9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8" s="10">
        <f>tbl_MTG_Set[[#This Row],[Play Singles CardMarket Profit]]/tbl_MTG_Set[[#This Row],[Play Booster Cost]]</f>
        <v/>
      </c>
      <c r="BI998" s="10">
        <f>tbl_MTG_Set[[#This Row],[Play Singles CardMarket Profit]]&gt;0</f>
        <v/>
      </c>
      <c r="BJ998" s="10" t="n"/>
      <c r="BK998" s="10" t="n"/>
      <c r="BL998" s="10">
        <f>tbl_MTG_Set[[#This Row],[Collector Booster Sell Price CardMarket]]*tbl_MTG_Set[[#This Row],[Collector Booster Expected Market Value]]/tbl_MTG_Set[[#This Row],[Collector Boost Sealed Market Value]]</f>
        <v/>
      </c>
      <c r="BM9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8" s="10">
        <f>tbl_MTG_Set[[#This Row],[Collector Singles CardMarket Profit]]/tbl_MTG_Set[[#This Row],[Collector Booster Cost]]</f>
        <v/>
      </c>
      <c r="BO998" s="10">
        <f>tbl_MTG_Set[[#This Row],[Collector Singles CardMarket Profit]]&gt;0</f>
        <v/>
      </c>
      <c r="BP9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9">
      <c r="A999" t="n">
        <v>997</v>
      </c>
      <c r="B999" t="inlineStr">
        <is>
          <t>Pro Tour Collector Set PTC</t>
        </is>
      </c>
      <c r="C999" t="n">
        <v>308</v>
      </c>
      <c r="D999" s="3" t="n">
        <v>35186</v>
      </c>
      <c r="F999" t="inlineStr">
        <is>
          <t>en es fr de it pt ja ko ru 汉语 漢語</t>
        </is>
      </c>
      <c r="G999" t="n">
        <v>1940</v>
      </c>
      <c r="H999">
        <f>MONTH(NOW())+12*YEAR(NOW())-MONTH(tbl_MTG_Set[[#This Row],[Released On]])-12*YEAR(tbl_MTG_Set[[#This Row],[Released On]])</f>
        <v/>
      </c>
      <c r="I999">
        <f>_xlfn.XLOOKUP(tbl_MTG_Set[[#This Row],[Type Name]], tbl_MTG_Set_Type[Set Type], tbl_MTG_Set_Type[Index], "(Set Type not found)")</f>
        <v/>
      </c>
      <c r="J999">
        <f>_xlfn.XLOOKUP(tbl_MTG_Set[[#This Row],[Type Name]], tbl_MTG_Set_Type[Set Type], tbl_MTG_Set_Type[Buy Window Month Start], "(Set Type not found)")</f>
        <v/>
      </c>
      <c r="K999" s="3">
        <f>tbl_MTG_Set[[#This Row],[Released On]]+tbl_MTG_Set[[#This Row],[Buy Window Month Start]]*365.25/12</f>
        <v/>
      </c>
      <c r="L999">
        <f>_xlfn.XLOOKUP(tbl_MTG_Set[[#This Row],[Type Name]], tbl_MTG_Set_Type[Set Type], tbl_MTG_Set_Type[Buy Window Month End], "(Set Type not found)", 0, 1)</f>
        <v/>
      </c>
      <c r="M999" s="3">
        <f>tbl_MTG_Set[[#This Row],[Released On]]+tbl_MTG_Set[[#This Row],[Buy Window Month End]]*365.25/12</f>
        <v/>
      </c>
      <c r="N999" s="3">
        <f>AND(NOW()&gt;=tbl_MTG_Set[[#This Row],[Buy Window Start]], NOW()&lt;=tbl_MTG_Set[[#This Row],[Buy Window End]])</f>
        <v/>
      </c>
      <c r="O999">
        <f>_xlfn.XLOOKUP(tbl_MTG_Set[[#This Row],[Type Name]], tbl_MTG_Set_Type[Set Type], tbl_MTG_Set_Type[Heavy Printing Window Month Start], "(Set Type not found)", 0, 1)</f>
        <v/>
      </c>
      <c r="P999" s="3">
        <f>tbl_MTG_Set[[#This Row],[Released On]]+tbl_MTG_Set[[#This Row],[Heavy Printing Window Month Start]]*365.25/12</f>
        <v/>
      </c>
      <c r="Q999">
        <f>_xlfn.XLOOKUP(tbl_MTG_Set[[#This Row],[Type Name]], tbl_MTG_Set_Type[Set Type], tbl_MTG_Set_Type[Heavy Printing Window Month End], "(Set Type not found)", 0, 1)</f>
        <v/>
      </c>
      <c r="R999" s="3">
        <f>tbl_MTG_Set[[#This Row],[Released On]]+tbl_MTG_Set[[#This Row],[Heavy Printing Window Month End]]*365.25/12</f>
        <v/>
      </c>
      <c r="S999" s="3">
        <f>AND(NOW()&gt;=tbl_MTG_Set[[#This Row],[Heavy Printing Window Start]], NOW()&lt;=tbl_MTG_Set[[#This Row],[Heavy Printing Window End]])</f>
        <v/>
      </c>
      <c r="T999">
        <f>_xlfn.XLOOKUP(tbl_MTG_Set[[#This Row],[Type Name]], tbl_MTG_Set_Type[Set Type], tbl_MTG_Set_Type[Sell Window Month Start], "(Set Type not found)", 0, 1)</f>
        <v/>
      </c>
      <c r="U999" s="3">
        <f>tbl_MTG_Set[[#This Row],[Released On]]+tbl_MTG_Set[[#This Row],[Sell Window Month Start]]*365.25/12</f>
        <v/>
      </c>
      <c r="V999">
        <f>_xlfn.XLOOKUP(tbl_MTG_Set[[#This Row],[Type Name]], tbl_MTG_Set_Type[Set Type], tbl_MTG_Set_Type[Sell Window Month End], "(Set Type not found)", 0, 1)</f>
        <v/>
      </c>
      <c r="W999" s="3">
        <f>tbl_MTG_Set[[#This Row],[Released On]]+tbl_MTG_Set[[#This Row],[Sell Window Month End]]*365.25/12</f>
        <v/>
      </c>
      <c r="X999" s="3">
        <f>AND(NOW()&gt;=tbl_MTG_Set[[#This Row],[Sell Window Start]], NOW()&lt;=tbl_MTG_Set[[#This Row],[Sell Window End]])</f>
        <v/>
      </c>
      <c r="AG999" s="10" t="n"/>
      <c r="AH999" s="10" t="n"/>
      <c r="AM999" s="10">
        <f t="array" ref="AM9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9" s="10">
        <f t="array" ref="AN9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9" s="4">
        <f>_xlfn.XLOOKUP(tbl_MTG_Set[[#This Row],[Play Booster Box Product Id]], tbl_Product[Product Id], tbl_Product[Pack Size])</f>
        <v/>
      </c>
      <c r="AP999" s="10">
        <f>(tbl_MTG_Set[[#This Row],[Play Booster Box Cost]]+v_Item_Shipping_Cost_In)/tbl_MTG_Set[[#This Row],[Play Booster Box Size]]</f>
        <v/>
      </c>
      <c r="AQ999" s="10">
        <f t="array" ref="AQ99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999" s="10" t="n"/>
      <c r="AS999" s="10" t="n"/>
      <c r="AT999" s="17">
        <f>tbl_MTG_Set[[#This Row],[Play Booster CardMarket Profit]]/tbl_MTG_Set[[#This Row],[Play Booster Cost]]</f>
        <v/>
      </c>
      <c r="AU999" s="10">
        <f>_xlfn.XLOOKUP(tbl_MTG_Set[[#This Row],[Collector Booster Box Product Id]], tbl_Product[Product Id], tbl_Product[Min Cost])</f>
        <v/>
      </c>
      <c r="AV999" s="10">
        <f>_xlfn.XLOOKUP(tbl_MTG_Set[[#This Row],[Collector Booster Box Product Id]], tbl_Product[Product Id], tbl_Product[Best Source])</f>
        <v/>
      </c>
      <c r="AW999" s="4">
        <f>_xlfn.XLOOKUP(tbl_MTG_Set[[#This Row],[Collector Booster Box Product Id]], tbl_Product[Product Id], tbl_Product[Pack Size])</f>
        <v/>
      </c>
      <c r="AX999" s="10">
        <f>(tbl_MTG_Set[[#This Row],[Collector Booster Box Cost]] + v_Item_Shipping_Cost_In) / tbl_MTG_Set[[#This Row],[Collector Booster Box Size]]</f>
        <v/>
      </c>
      <c r="AY999" s="10">
        <f t="array" ref="AY99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999" s="10" t="n"/>
      <c r="BA9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9" s="17">
        <f>tbl_MTG_Set[[#This Row],[Collector Booster CardMarket Profit]]/tbl_MTG_Set[[#This Row],[Collector Booster Cost]]</f>
        <v/>
      </c>
      <c r="BC999" s="10" t="n"/>
      <c r="BF999" s="10">
        <f>tbl_MTG_Set[[#This Row],[Play Booster Sell Price CardMarket]]*tbl_MTG_Set[[#This Row],[Play Booster Expected Market Value]]/tbl_MTG_Set[[#This Row],[Play Boost Sealed Market Value]]</f>
        <v/>
      </c>
      <c r="BG9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9" s="10">
        <f>tbl_MTG_Set[[#This Row],[Play Singles CardMarket Profit]]/tbl_MTG_Set[[#This Row],[Play Booster Cost]]</f>
        <v/>
      </c>
      <c r="BI999" s="10">
        <f>tbl_MTG_Set[[#This Row],[Play Singles CardMarket Profit]]&gt;0</f>
        <v/>
      </c>
      <c r="BJ999" s="10" t="n"/>
      <c r="BK999" s="10" t="n"/>
      <c r="BL999" s="10">
        <f>tbl_MTG_Set[[#This Row],[Collector Booster Sell Price CardMarket]]*tbl_MTG_Set[[#This Row],[Collector Booster Expected Market Value]]/tbl_MTG_Set[[#This Row],[Collector Boost Sealed Market Value]]</f>
        <v/>
      </c>
      <c r="BM9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9" s="10">
        <f>tbl_MTG_Set[[#This Row],[Collector Singles CardMarket Profit]]/tbl_MTG_Set[[#This Row],[Collector Booster Cost]]</f>
        <v/>
      </c>
      <c r="BO999" s="10">
        <f>tbl_MTG_Set[[#This Row],[Collector Singles CardMarket Profit]]&gt;0</f>
        <v/>
      </c>
      <c r="BP9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0">
      <c r="A1000" t="n">
        <v>998</v>
      </c>
      <c r="B1000" t="inlineStr">
        <is>
          <t>Oversized 90's Promos O90P</t>
        </is>
      </c>
      <c r="C1000" t="n">
        <v>10</v>
      </c>
      <c r="D1000" s="3" t="n">
        <v>35156</v>
      </c>
      <c r="F1000" t="inlineStr">
        <is>
          <t>en es fr de it pt ja ko ru 汉语 漢語</t>
        </is>
      </c>
      <c r="G1000" t="n">
        <v>1942</v>
      </c>
      <c r="H1000">
        <f>MONTH(NOW())+12*YEAR(NOW())-MONTH(tbl_MTG_Set[[#This Row],[Released On]])-12*YEAR(tbl_MTG_Set[[#This Row],[Released On]])</f>
        <v/>
      </c>
      <c r="I1000">
        <f>_xlfn.XLOOKUP(tbl_MTG_Set[[#This Row],[Type Name]], tbl_MTG_Set_Type[Set Type], tbl_MTG_Set_Type[Index], "(Set Type not found)")</f>
        <v/>
      </c>
      <c r="J1000">
        <f>_xlfn.XLOOKUP(tbl_MTG_Set[[#This Row],[Type Name]], tbl_MTG_Set_Type[Set Type], tbl_MTG_Set_Type[Buy Window Month Start], "(Set Type not found)")</f>
        <v/>
      </c>
      <c r="K1000" s="3">
        <f>tbl_MTG_Set[[#This Row],[Released On]]+tbl_MTG_Set[[#This Row],[Buy Window Month Start]]*365.25/12</f>
        <v/>
      </c>
      <c r="L1000">
        <f>_xlfn.XLOOKUP(tbl_MTG_Set[[#This Row],[Type Name]], tbl_MTG_Set_Type[Set Type], tbl_MTG_Set_Type[Buy Window Month End], "(Set Type not found)", 0, 1)</f>
        <v/>
      </c>
      <c r="M1000" s="3">
        <f>tbl_MTG_Set[[#This Row],[Released On]]+tbl_MTG_Set[[#This Row],[Buy Window Month End]]*365.25/12</f>
        <v/>
      </c>
      <c r="N1000" s="3">
        <f>AND(NOW()&gt;=tbl_MTG_Set[[#This Row],[Buy Window Start]], NOW()&lt;=tbl_MTG_Set[[#This Row],[Buy Window End]])</f>
        <v/>
      </c>
      <c r="O1000">
        <f>_xlfn.XLOOKUP(tbl_MTG_Set[[#This Row],[Type Name]], tbl_MTG_Set_Type[Set Type], tbl_MTG_Set_Type[Heavy Printing Window Month Start], "(Set Type not found)", 0, 1)</f>
        <v/>
      </c>
      <c r="P1000" s="3">
        <f>tbl_MTG_Set[[#This Row],[Released On]]+tbl_MTG_Set[[#This Row],[Heavy Printing Window Month Start]]*365.25/12</f>
        <v/>
      </c>
      <c r="Q1000">
        <f>_xlfn.XLOOKUP(tbl_MTG_Set[[#This Row],[Type Name]], tbl_MTG_Set_Type[Set Type], tbl_MTG_Set_Type[Heavy Printing Window Month End], "(Set Type not found)", 0, 1)</f>
        <v/>
      </c>
      <c r="R1000" s="3">
        <f>tbl_MTG_Set[[#This Row],[Released On]]+tbl_MTG_Set[[#This Row],[Heavy Printing Window Month End]]*365.25/12</f>
        <v/>
      </c>
      <c r="S1000" s="3">
        <f>AND(NOW()&gt;=tbl_MTG_Set[[#This Row],[Heavy Printing Window Start]], NOW()&lt;=tbl_MTG_Set[[#This Row],[Heavy Printing Window End]])</f>
        <v/>
      </c>
      <c r="T1000">
        <f>_xlfn.XLOOKUP(tbl_MTG_Set[[#This Row],[Type Name]], tbl_MTG_Set_Type[Set Type], tbl_MTG_Set_Type[Sell Window Month Start], "(Set Type not found)", 0, 1)</f>
        <v/>
      </c>
      <c r="U1000" s="3">
        <f>tbl_MTG_Set[[#This Row],[Released On]]+tbl_MTG_Set[[#This Row],[Sell Window Month Start]]*365.25/12</f>
        <v/>
      </c>
      <c r="V1000">
        <f>_xlfn.XLOOKUP(tbl_MTG_Set[[#This Row],[Type Name]], tbl_MTG_Set_Type[Set Type], tbl_MTG_Set_Type[Sell Window Month End], "(Set Type not found)", 0, 1)</f>
        <v/>
      </c>
      <c r="W1000" s="3">
        <f>tbl_MTG_Set[[#This Row],[Released On]]+tbl_MTG_Set[[#This Row],[Sell Window Month End]]*365.25/12</f>
        <v/>
      </c>
      <c r="X1000" s="3">
        <f>AND(NOW()&gt;=tbl_MTG_Set[[#This Row],[Sell Window Start]], NOW()&lt;=tbl_MTG_Set[[#This Row],[Sell Window End]])</f>
        <v/>
      </c>
      <c r="AG1000" s="10" t="n"/>
      <c r="AH1000" s="10" t="n"/>
      <c r="AM1000" s="10">
        <f t="array" ref="AM10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0" s="10">
        <f t="array" ref="AN10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0" s="4">
        <f>_xlfn.XLOOKUP(tbl_MTG_Set[[#This Row],[Play Booster Box Product Id]], tbl_Product[Product Id], tbl_Product[Pack Size])</f>
        <v/>
      </c>
      <c r="AP1000" s="10">
        <f>(tbl_MTG_Set[[#This Row],[Play Booster Box Cost]]+v_Item_Shipping_Cost_In)/tbl_MTG_Set[[#This Row],[Play Booster Box Size]]</f>
        <v/>
      </c>
      <c r="AQ1000" s="10">
        <f t="array" ref="AQ100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0" s="10" t="n"/>
      <c r="AS1000" s="10" t="n"/>
      <c r="AT1000" s="17">
        <f>tbl_MTG_Set[[#This Row],[Play Booster CardMarket Profit]]/tbl_MTG_Set[[#This Row],[Play Booster Cost]]</f>
        <v/>
      </c>
      <c r="AU1000" s="10">
        <f>_xlfn.XLOOKUP(tbl_MTG_Set[[#This Row],[Collector Booster Box Product Id]], tbl_Product[Product Id], tbl_Product[Min Cost])</f>
        <v/>
      </c>
      <c r="AV1000" s="10">
        <f>_xlfn.XLOOKUP(tbl_MTG_Set[[#This Row],[Collector Booster Box Product Id]], tbl_Product[Product Id], tbl_Product[Best Source])</f>
        <v/>
      </c>
      <c r="AW1000" s="4">
        <f>_xlfn.XLOOKUP(tbl_MTG_Set[[#This Row],[Collector Booster Box Product Id]], tbl_Product[Product Id], tbl_Product[Pack Size])</f>
        <v/>
      </c>
      <c r="AX1000" s="10">
        <f>(tbl_MTG_Set[[#This Row],[Collector Booster Box Cost]] + v_Item_Shipping_Cost_In) / tbl_MTG_Set[[#This Row],[Collector Booster Box Size]]</f>
        <v/>
      </c>
      <c r="AY1000" s="10">
        <f t="array" ref="AY100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0" s="10" t="n"/>
      <c r="BA10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0" s="17">
        <f>tbl_MTG_Set[[#This Row],[Collector Booster CardMarket Profit]]/tbl_MTG_Set[[#This Row],[Collector Booster Cost]]</f>
        <v/>
      </c>
      <c r="BC1000" s="10" t="n"/>
      <c r="BF1000" s="10">
        <f>tbl_MTG_Set[[#This Row],[Play Booster Sell Price CardMarket]]*tbl_MTG_Set[[#This Row],[Play Booster Expected Market Value]]/tbl_MTG_Set[[#This Row],[Play Boost Sealed Market Value]]</f>
        <v/>
      </c>
      <c r="BG10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0" s="10">
        <f>tbl_MTG_Set[[#This Row],[Play Singles CardMarket Profit]]/tbl_MTG_Set[[#This Row],[Play Booster Cost]]</f>
        <v/>
      </c>
      <c r="BI1000" s="10">
        <f>tbl_MTG_Set[[#This Row],[Play Singles CardMarket Profit]]&gt;0</f>
        <v/>
      </c>
      <c r="BJ1000" s="10" t="n"/>
      <c r="BK1000" s="10" t="n"/>
      <c r="BL1000" s="10">
        <f>tbl_MTG_Set[[#This Row],[Collector Booster Sell Price CardMarket]]*tbl_MTG_Set[[#This Row],[Collector Booster Expected Market Value]]/tbl_MTG_Set[[#This Row],[Collector Boost Sealed Market Value]]</f>
        <v/>
      </c>
      <c r="BM10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0" s="10">
        <f>tbl_MTG_Set[[#This Row],[Collector Singles CardMarket Profit]]/tbl_MTG_Set[[#This Row],[Collector Booster Cost]]</f>
        <v/>
      </c>
      <c r="BO1000" s="10">
        <f>tbl_MTG_Set[[#This Row],[Collector Singles CardMarket Profit]]&gt;0</f>
        <v/>
      </c>
      <c r="BP10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1">
      <c r="A1001" t="n">
        <v>999</v>
      </c>
      <c r="B1001" t="inlineStr">
        <is>
          <t>Homelands HML</t>
        </is>
      </c>
      <c r="C1001" t="n">
        <v>140</v>
      </c>
      <c r="D1001" s="3" t="n">
        <v>34973</v>
      </c>
      <c r="F1001" t="inlineStr">
        <is>
          <t>en es fr de it pt ja ko ru 汉语 漢語</t>
        </is>
      </c>
      <c r="G1001" t="n">
        <v>1944</v>
      </c>
      <c r="H1001">
        <f>MONTH(NOW())+12*YEAR(NOW())-MONTH(tbl_MTG_Set[[#This Row],[Released On]])-12*YEAR(tbl_MTG_Set[[#This Row],[Released On]])</f>
        <v/>
      </c>
      <c r="I1001">
        <f>_xlfn.XLOOKUP(tbl_MTG_Set[[#This Row],[Type Name]], tbl_MTG_Set_Type[Set Type], tbl_MTG_Set_Type[Index], "(Set Type not found)")</f>
        <v/>
      </c>
      <c r="J1001">
        <f>_xlfn.XLOOKUP(tbl_MTG_Set[[#This Row],[Type Name]], tbl_MTG_Set_Type[Set Type], tbl_MTG_Set_Type[Buy Window Month Start], "(Set Type not found)")</f>
        <v/>
      </c>
      <c r="K1001" s="3">
        <f>tbl_MTG_Set[[#This Row],[Released On]]+tbl_MTG_Set[[#This Row],[Buy Window Month Start]]*365.25/12</f>
        <v/>
      </c>
      <c r="L1001">
        <f>_xlfn.XLOOKUP(tbl_MTG_Set[[#This Row],[Type Name]], tbl_MTG_Set_Type[Set Type], tbl_MTG_Set_Type[Buy Window Month End], "(Set Type not found)", 0, 1)</f>
        <v/>
      </c>
      <c r="M1001" s="3">
        <f>tbl_MTG_Set[[#This Row],[Released On]]+tbl_MTG_Set[[#This Row],[Buy Window Month End]]*365.25/12</f>
        <v/>
      </c>
      <c r="N1001" s="3">
        <f>AND(NOW()&gt;=tbl_MTG_Set[[#This Row],[Buy Window Start]], NOW()&lt;=tbl_MTG_Set[[#This Row],[Buy Window End]])</f>
        <v/>
      </c>
      <c r="O1001">
        <f>_xlfn.XLOOKUP(tbl_MTG_Set[[#This Row],[Type Name]], tbl_MTG_Set_Type[Set Type], tbl_MTG_Set_Type[Heavy Printing Window Month Start], "(Set Type not found)", 0, 1)</f>
        <v/>
      </c>
      <c r="P1001" s="3">
        <f>tbl_MTG_Set[[#This Row],[Released On]]+tbl_MTG_Set[[#This Row],[Heavy Printing Window Month Start]]*365.25/12</f>
        <v/>
      </c>
      <c r="Q1001">
        <f>_xlfn.XLOOKUP(tbl_MTG_Set[[#This Row],[Type Name]], tbl_MTG_Set_Type[Set Type], tbl_MTG_Set_Type[Heavy Printing Window Month End], "(Set Type not found)", 0, 1)</f>
        <v/>
      </c>
      <c r="R1001" s="3">
        <f>tbl_MTG_Set[[#This Row],[Released On]]+tbl_MTG_Set[[#This Row],[Heavy Printing Window Month End]]*365.25/12</f>
        <v/>
      </c>
      <c r="S1001" s="3">
        <f>AND(NOW()&gt;=tbl_MTG_Set[[#This Row],[Heavy Printing Window Start]], NOW()&lt;=tbl_MTG_Set[[#This Row],[Heavy Printing Window End]])</f>
        <v/>
      </c>
      <c r="T1001">
        <f>_xlfn.XLOOKUP(tbl_MTG_Set[[#This Row],[Type Name]], tbl_MTG_Set_Type[Set Type], tbl_MTG_Set_Type[Sell Window Month Start], "(Set Type not found)", 0, 1)</f>
        <v/>
      </c>
      <c r="U1001" s="3">
        <f>tbl_MTG_Set[[#This Row],[Released On]]+tbl_MTG_Set[[#This Row],[Sell Window Month Start]]*365.25/12</f>
        <v/>
      </c>
      <c r="V1001">
        <f>_xlfn.XLOOKUP(tbl_MTG_Set[[#This Row],[Type Name]], tbl_MTG_Set_Type[Set Type], tbl_MTG_Set_Type[Sell Window Month End], "(Set Type not found)", 0, 1)</f>
        <v/>
      </c>
      <c r="W1001" s="3">
        <f>tbl_MTG_Set[[#This Row],[Released On]]+tbl_MTG_Set[[#This Row],[Sell Window Month End]]*365.25/12</f>
        <v/>
      </c>
      <c r="X1001" s="3">
        <f>AND(NOW()&gt;=tbl_MTG_Set[[#This Row],[Sell Window Start]], NOW()&lt;=tbl_MTG_Set[[#This Row],[Sell Window End]])</f>
        <v/>
      </c>
      <c r="AG1001" s="10" t="n"/>
      <c r="AH1001" s="10" t="n"/>
      <c r="AM1001" s="10">
        <f t="array" ref="AM10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1" s="10">
        <f t="array" ref="AN10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1" s="4">
        <f>_xlfn.XLOOKUP(tbl_MTG_Set[[#This Row],[Play Booster Box Product Id]], tbl_Product[Product Id], tbl_Product[Pack Size])</f>
        <v/>
      </c>
      <c r="AP1001" s="10">
        <f>(tbl_MTG_Set[[#This Row],[Play Booster Box Cost]]+v_Item_Shipping_Cost_In)/tbl_MTG_Set[[#This Row],[Play Booster Box Size]]</f>
        <v/>
      </c>
      <c r="AQ1001" s="10">
        <f t="array" ref="AQ100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1" s="10" t="n"/>
      <c r="AS1001" s="10" t="n"/>
      <c r="AT1001" s="17">
        <f>tbl_MTG_Set[[#This Row],[Play Booster CardMarket Profit]]/tbl_MTG_Set[[#This Row],[Play Booster Cost]]</f>
        <v/>
      </c>
      <c r="AU1001" s="10">
        <f>_xlfn.XLOOKUP(tbl_MTG_Set[[#This Row],[Collector Booster Box Product Id]], tbl_Product[Product Id], tbl_Product[Min Cost])</f>
        <v/>
      </c>
      <c r="AV1001" s="10">
        <f>_xlfn.XLOOKUP(tbl_MTG_Set[[#This Row],[Collector Booster Box Product Id]], tbl_Product[Product Id], tbl_Product[Best Source])</f>
        <v/>
      </c>
      <c r="AW1001" s="4">
        <f>_xlfn.XLOOKUP(tbl_MTG_Set[[#This Row],[Collector Booster Box Product Id]], tbl_Product[Product Id], tbl_Product[Pack Size])</f>
        <v/>
      </c>
      <c r="AX1001" s="10">
        <f>(tbl_MTG_Set[[#This Row],[Collector Booster Box Cost]] + v_Item_Shipping_Cost_In) / tbl_MTG_Set[[#This Row],[Collector Booster Box Size]]</f>
        <v/>
      </c>
      <c r="AY1001" s="10">
        <f t="array" ref="AY100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1" s="10" t="n"/>
      <c r="BA10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1" s="17">
        <f>tbl_MTG_Set[[#This Row],[Collector Booster CardMarket Profit]]/tbl_MTG_Set[[#This Row],[Collector Booster Cost]]</f>
        <v/>
      </c>
      <c r="BC1001" s="10" t="n"/>
      <c r="BF1001" s="10">
        <f>tbl_MTG_Set[[#This Row],[Play Booster Sell Price CardMarket]]*tbl_MTG_Set[[#This Row],[Play Booster Expected Market Value]]/tbl_MTG_Set[[#This Row],[Play Boost Sealed Market Value]]</f>
        <v/>
      </c>
      <c r="BG10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1" s="10">
        <f>tbl_MTG_Set[[#This Row],[Play Singles CardMarket Profit]]/tbl_MTG_Set[[#This Row],[Play Booster Cost]]</f>
        <v/>
      </c>
      <c r="BI1001" s="10">
        <f>tbl_MTG_Set[[#This Row],[Play Singles CardMarket Profit]]&gt;0</f>
        <v/>
      </c>
      <c r="BJ1001" s="10" t="n"/>
      <c r="BK1001" s="10" t="n"/>
      <c r="BL1001" s="10">
        <f>tbl_MTG_Set[[#This Row],[Collector Booster Sell Price CardMarket]]*tbl_MTG_Set[[#This Row],[Collector Booster Expected Market Value]]/tbl_MTG_Set[[#This Row],[Collector Boost Sealed Market Value]]</f>
        <v/>
      </c>
      <c r="BM10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1" s="10">
        <f>tbl_MTG_Set[[#This Row],[Collector Singles CardMarket Profit]]/tbl_MTG_Set[[#This Row],[Collector Booster Cost]]</f>
        <v/>
      </c>
      <c r="BO1001" s="10">
        <f>tbl_MTG_Set[[#This Row],[Collector Singles CardMarket Profit]]&gt;0</f>
        <v/>
      </c>
      <c r="BP10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2">
      <c r="A1002" t="n">
        <v>1000</v>
      </c>
      <c r="B1002" t="inlineStr">
        <is>
          <t>Renaissance REN</t>
        </is>
      </c>
      <c r="C1002" t="n">
        <v>122</v>
      </c>
      <c r="D1002" s="3" t="n">
        <v>34912</v>
      </c>
      <c r="F1002" t="inlineStr">
        <is>
          <t>en es fr de it pt ja ko ru 汉语 漢語</t>
        </is>
      </c>
      <c r="G1002" t="n">
        <v>1946</v>
      </c>
      <c r="H1002">
        <f>MONTH(NOW())+12*YEAR(NOW())-MONTH(tbl_MTG_Set[[#This Row],[Released On]])-12*YEAR(tbl_MTG_Set[[#This Row],[Released On]])</f>
        <v/>
      </c>
      <c r="I1002">
        <f>_xlfn.XLOOKUP(tbl_MTG_Set[[#This Row],[Type Name]], tbl_MTG_Set_Type[Set Type], tbl_MTG_Set_Type[Index], "(Set Type not found)")</f>
        <v/>
      </c>
      <c r="J1002">
        <f>_xlfn.XLOOKUP(tbl_MTG_Set[[#This Row],[Type Name]], tbl_MTG_Set_Type[Set Type], tbl_MTG_Set_Type[Buy Window Month Start], "(Set Type not found)")</f>
        <v/>
      </c>
      <c r="K1002" s="3">
        <f>tbl_MTG_Set[[#This Row],[Released On]]+tbl_MTG_Set[[#This Row],[Buy Window Month Start]]*365.25/12</f>
        <v/>
      </c>
      <c r="L1002">
        <f>_xlfn.XLOOKUP(tbl_MTG_Set[[#This Row],[Type Name]], tbl_MTG_Set_Type[Set Type], tbl_MTG_Set_Type[Buy Window Month End], "(Set Type not found)", 0, 1)</f>
        <v/>
      </c>
      <c r="M1002" s="3">
        <f>tbl_MTG_Set[[#This Row],[Released On]]+tbl_MTG_Set[[#This Row],[Buy Window Month End]]*365.25/12</f>
        <v/>
      </c>
      <c r="N1002" s="3">
        <f>AND(NOW()&gt;=tbl_MTG_Set[[#This Row],[Buy Window Start]], NOW()&lt;=tbl_MTG_Set[[#This Row],[Buy Window End]])</f>
        <v/>
      </c>
      <c r="O1002">
        <f>_xlfn.XLOOKUP(tbl_MTG_Set[[#This Row],[Type Name]], tbl_MTG_Set_Type[Set Type], tbl_MTG_Set_Type[Heavy Printing Window Month Start], "(Set Type not found)", 0, 1)</f>
        <v/>
      </c>
      <c r="P1002" s="3">
        <f>tbl_MTG_Set[[#This Row],[Released On]]+tbl_MTG_Set[[#This Row],[Heavy Printing Window Month Start]]*365.25/12</f>
        <v/>
      </c>
      <c r="Q1002">
        <f>_xlfn.XLOOKUP(tbl_MTG_Set[[#This Row],[Type Name]], tbl_MTG_Set_Type[Set Type], tbl_MTG_Set_Type[Heavy Printing Window Month End], "(Set Type not found)", 0, 1)</f>
        <v/>
      </c>
      <c r="R1002" s="3">
        <f>tbl_MTG_Set[[#This Row],[Released On]]+tbl_MTG_Set[[#This Row],[Heavy Printing Window Month End]]*365.25/12</f>
        <v/>
      </c>
      <c r="S1002" s="3">
        <f>AND(NOW()&gt;=tbl_MTG_Set[[#This Row],[Heavy Printing Window Start]], NOW()&lt;=tbl_MTG_Set[[#This Row],[Heavy Printing Window End]])</f>
        <v/>
      </c>
      <c r="T1002">
        <f>_xlfn.XLOOKUP(tbl_MTG_Set[[#This Row],[Type Name]], tbl_MTG_Set_Type[Set Type], tbl_MTG_Set_Type[Sell Window Month Start], "(Set Type not found)", 0, 1)</f>
        <v/>
      </c>
      <c r="U1002" s="3">
        <f>tbl_MTG_Set[[#This Row],[Released On]]+tbl_MTG_Set[[#This Row],[Sell Window Month Start]]*365.25/12</f>
        <v/>
      </c>
      <c r="V1002">
        <f>_xlfn.XLOOKUP(tbl_MTG_Set[[#This Row],[Type Name]], tbl_MTG_Set_Type[Set Type], tbl_MTG_Set_Type[Sell Window Month End], "(Set Type not found)", 0, 1)</f>
        <v/>
      </c>
      <c r="W1002" s="3">
        <f>tbl_MTG_Set[[#This Row],[Released On]]+tbl_MTG_Set[[#This Row],[Sell Window Month End]]*365.25/12</f>
        <v/>
      </c>
      <c r="X1002" s="3">
        <f>AND(NOW()&gt;=tbl_MTG_Set[[#This Row],[Sell Window Start]], NOW()&lt;=tbl_MTG_Set[[#This Row],[Sell Window End]])</f>
        <v/>
      </c>
      <c r="AG1002" s="10" t="n"/>
      <c r="AH1002" s="10" t="n"/>
      <c r="AM1002" s="10">
        <f t="array" ref="AM10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2" s="10">
        <f t="array" ref="AN10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2" s="4">
        <f>_xlfn.XLOOKUP(tbl_MTG_Set[[#This Row],[Play Booster Box Product Id]], tbl_Product[Product Id], tbl_Product[Pack Size])</f>
        <v/>
      </c>
      <c r="AP1002" s="10">
        <f>(tbl_MTG_Set[[#This Row],[Play Booster Box Cost]]+v_Item_Shipping_Cost_In)/tbl_MTG_Set[[#This Row],[Play Booster Box Size]]</f>
        <v/>
      </c>
      <c r="AQ1002" s="10">
        <f t="array" ref="AQ100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2" s="10" t="n"/>
      <c r="AS1002" s="10" t="n"/>
      <c r="AT1002" s="17">
        <f>tbl_MTG_Set[[#This Row],[Play Booster CardMarket Profit]]/tbl_MTG_Set[[#This Row],[Play Booster Cost]]</f>
        <v/>
      </c>
      <c r="AU1002" s="10">
        <f>_xlfn.XLOOKUP(tbl_MTG_Set[[#This Row],[Collector Booster Box Product Id]], tbl_Product[Product Id], tbl_Product[Min Cost])</f>
        <v/>
      </c>
      <c r="AV1002" s="10">
        <f>_xlfn.XLOOKUP(tbl_MTG_Set[[#This Row],[Collector Booster Box Product Id]], tbl_Product[Product Id], tbl_Product[Best Source])</f>
        <v/>
      </c>
      <c r="AW1002" s="4">
        <f>_xlfn.XLOOKUP(tbl_MTG_Set[[#This Row],[Collector Booster Box Product Id]], tbl_Product[Product Id], tbl_Product[Pack Size])</f>
        <v/>
      </c>
      <c r="AX1002" s="10">
        <f>(tbl_MTG_Set[[#This Row],[Collector Booster Box Cost]] + v_Item_Shipping_Cost_In) / tbl_MTG_Set[[#This Row],[Collector Booster Box Size]]</f>
        <v/>
      </c>
      <c r="AY1002" s="10">
        <f t="array" ref="AY100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2" s="10" t="n"/>
      <c r="BA10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2" s="17">
        <f>tbl_MTG_Set[[#This Row],[Collector Booster CardMarket Profit]]/tbl_MTG_Set[[#This Row],[Collector Booster Cost]]</f>
        <v/>
      </c>
      <c r="BC1002" s="10" t="n"/>
      <c r="BF1002" s="10">
        <f>tbl_MTG_Set[[#This Row],[Play Booster Sell Price CardMarket]]*tbl_MTG_Set[[#This Row],[Play Booster Expected Market Value]]/tbl_MTG_Set[[#This Row],[Play Boost Sealed Market Value]]</f>
        <v/>
      </c>
      <c r="BG10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2" s="10">
        <f>tbl_MTG_Set[[#This Row],[Play Singles CardMarket Profit]]/tbl_MTG_Set[[#This Row],[Play Booster Cost]]</f>
        <v/>
      </c>
      <c r="BI1002" s="10">
        <f>tbl_MTG_Set[[#This Row],[Play Singles CardMarket Profit]]&gt;0</f>
        <v/>
      </c>
      <c r="BJ1002" s="10" t="n"/>
      <c r="BK1002" s="10" t="n"/>
      <c r="BL1002" s="10">
        <f>tbl_MTG_Set[[#This Row],[Collector Booster Sell Price CardMarket]]*tbl_MTG_Set[[#This Row],[Collector Booster Expected Market Value]]/tbl_MTG_Set[[#This Row],[Collector Boost Sealed Market Value]]</f>
        <v/>
      </c>
      <c r="BM10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2" s="10">
        <f>tbl_MTG_Set[[#This Row],[Collector Singles CardMarket Profit]]/tbl_MTG_Set[[#This Row],[Collector Booster Cost]]</f>
        <v/>
      </c>
      <c r="BO1002" s="10">
        <f>tbl_MTG_Set[[#This Row],[Collector Singles CardMarket Profit]]&gt;0</f>
        <v/>
      </c>
      <c r="BP10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3">
      <c r="A1003" t="n">
        <v>1001</v>
      </c>
      <c r="B1003" t="inlineStr">
        <is>
          <t>Rinascimento RIN</t>
        </is>
      </c>
      <c r="C1003" t="n">
        <v>69</v>
      </c>
      <c r="D1003" s="3" t="n">
        <v>34912</v>
      </c>
      <c r="F1003" t="inlineStr">
        <is>
          <t>en es fr de it pt ja ko ru 汉语 漢語</t>
        </is>
      </c>
      <c r="G1003" t="n">
        <v>1948</v>
      </c>
      <c r="H1003">
        <f>MONTH(NOW())+12*YEAR(NOW())-MONTH(tbl_MTG_Set[[#This Row],[Released On]])-12*YEAR(tbl_MTG_Set[[#This Row],[Released On]])</f>
        <v/>
      </c>
      <c r="I1003">
        <f>_xlfn.XLOOKUP(tbl_MTG_Set[[#This Row],[Type Name]], tbl_MTG_Set_Type[Set Type], tbl_MTG_Set_Type[Index], "(Set Type not found)")</f>
        <v/>
      </c>
      <c r="J1003">
        <f>_xlfn.XLOOKUP(tbl_MTG_Set[[#This Row],[Type Name]], tbl_MTG_Set_Type[Set Type], tbl_MTG_Set_Type[Buy Window Month Start], "(Set Type not found)")</f>
        <v/>
      </c>
      <c r="K1003" s="3">
        <f>tbl_MTG_Set[[#This Row],[Released On]]+tbl_MTG_Set[[#This Row],[Buy Window Month Start]]*365.25/12</f>
        <v/>
      </c>
      <c r="L1003">
        <f>_xlfn.XLOOKUP(tbl_MTG_Set[[#This Row],[Type Name]], tbl_MTG_Set_Type[Set Type], tbl_MTG_Set_Type[Buy Window Month End], "(Set Type not found)", 0, 1)</f>
        <v/>
      </c>
      <c r="M1003" s="3">
        <f>tbl_MTG_Set[[#This Row],[Released On]]+tbl_MTG_Set[[#This Row],[Buy Window Month End]]*365.25/12</f>
        <v/>
      </c>
      <c r="N1003" s="3">
        <f>AND(NOW()&gt;=tbl_MTG_Set[[#This Row],[Buy Window Start]], NOW()&lt;=tbl_MTG_Set[[#This Row],[Buy Window End]])</f>
        <v/>
      </c>
      <c r="O1003">
        <f>_xlfn.XLOOKUP(tbl_MTG_Set[[#This Row],[Type Name]], tbl_MTG_Set_Type[Set Type], tbl_MTG_Set_Type[Heavy Printing Window Month Start], "(Set Type not found)", 0, 1)</f>
        <v/>
      </c>
      <c r="P1003" s="3">
        <f>tbl_MTG_Set[[#This Row],[Released On]]+tbl_MTG_Set[[#This Row],[Heavy Printing Window Month Start]]*365.25/12</f>
        <v/>
      </c>
      <c r="Q1003">
        <f>_xlfn.XLOOKUP(tbl_MTG_Set[[#This Row],[Type Name]], tbl_MTG_Set_Type[Set Type], tbl_MTG_Set_Type[Heavy Printing Window Month End], "(Set Type not found)", 0, 1)</f>
        <v/>
      </c>
      <c r="R1003" s="3">
        <f>tbl_MTG_Set[[#This Row],[Released On]]+tbl_MTG_Set[[#This Row],[Heavy Printing Window Month End]]*365.25/12</f>
        <v/>
      </c>
      <c r="S1003" s="3">
        <f>AND(NOW()&gt;=tbl_MTG_Set[[#This Row],[Heavy Printing Window Start]], NOW()&lt;=tbl_MTG_Set[[#This Row],[Heavy Printing Window End]])</f>
        <v/>
      </c>
      <c r="T1003">
        <f>_xlfn.XLOOKUP(tbl_MTG_Set[[#This Row],[Type Name]], tbl_MTG_Set_Type[Set Type], tbl_MTG_Set_Type[Sell Window Month Start], "(Set Type not found)", 0, 1)</f>
        <v/>
      </c>
      <c r="U1003" s="3">
        <f>tbl_MTG_Set[[#This Row],[Released On]]+tbl_MTG_Set[[#This Row],[Sell Window Month Start]]*365.25/12</f>
        <v/>
      </c>
      <c r="V1003">
        <f>_xlfn.XLOOKUP(tbl_MTG_Set[[#This Row],[Type Name]], tbl_MTG_Set_Type[Set Type], tbl_MTG_Set_Type[Sell Window Month End], "(Set Type not found)", 0, 1)</f>
        <v/>
      </c>
      <c r="W1003" s="3">
        <f>tbl_MTG_Set[[#This Row],[Released On]]+tbl_MTG_Set[[#This Row],[Sell Window Month End]]*365.25/12</f>
        <v/>
      </c>
      <c r="X1003" s="3">
        <f>AND(NOW()&gt;=tbl_MTG_Set[[#This Row],[Sell Window Start]], NOW()&lt;=tbl_MTG_Set[[#This Row],[Sell Window End]])</f>
        <v/>
      </c>
      <c r="AG1003" s="10" t="n"/>
      <c r="AH1003" s="10" t="n"/>
      <c r="AM1003" s="10">
        <f t="array" ref="AM10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3" s="10">
        <f t="array" ref="AN10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3" s="4">
        <f>_xlfn.XLOOKUP(tbl_MTG_Set[[#This Row],[Play Booster Box Product Id]], tbl_Product[Product Id], tbl_Product[Pack Size])</f>
        <v/>
      </c>
      <c r="AP1003" s="10">
        <f>(tbl_MTG_Set[[#This Row],[Play Booster Box Cost]]+v_Item_Shipping_Cost_In)/tbl_MTG_Set[[#This Row],[Play Booster Box Size]]</f>
        <v/>
      </c>
      <c r="AQ1003" s="10">
        <f t="array" ref="AQ100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3" s="10" t="n"/>
      <c r="AS1003" s="10" t="n"/>
      <c r="AT1003" s="17">
        <f>tbl_MTG_Set[[#This Row],[Play Booster CardMarket Profit]]/tbl_MTG_Set[[#This Row],[Play Booster Cost]]</f>
        <v/>
      </c>
      <c r="AU1003" s="10">
        <f>_xlfn.XLOOKUP(tbl_MTG_Set[[#This Row],[Collector Booster Box Product Id]], tbl_Product[Product Id], tbl_Product[Min Cost])</f>
        <v/>
      </c>
      <c r="AV1003" s="10">
        <f>_xlfn.XLOOKUP(tbl_MTG_Set[[#This Row],[Collector Booster Box Product Id]], tbl_Product[Product Id], tbl_Product[Best Source])</f>
        <v/>
      </c>
      <c r="AW1003" s="4">
        <f>_xlfn.XLOOKUP(tbl_MTG_Set[[#This Row],[Collector Booster Box Product Id]], tbl_Product[Product Id], tbl_Product[Pack Size])</f>
        <v/>
      </c>
      <c r="AX1003" s="10">
        <f>(tbl_MTG_Set[[#This Row],[Collector Booster Box Cost]] + v_Item_Shipping_Cost_In) / tbl_MTG_Set[[#This Row],[Collector Booster Box Size]]</f>
        <v/>
      </c>
      <c r="AY1003" s="10">
        <f t="array" ref="AY100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3" s="10" t="n"/>
      <c r="BA10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3" s="17">
        <f>tbl_MTG_Set[[#This Row],[Collector Booster CardMarket Profit]]/tbl_MTG_Set[[#This Row],[Collector Booster Cost]]</f>
        <v/>
      </c>
      <c r="BC1003" s="10" t="n"/>
      <c r="BF1003" s="10">
        <f>tbl_MTG_Set[[#This Row],[Play Booster Sell Price CardMarket]]*tbl_MTG_Set[[#This Row],[Play Booster Expected Market Value]]/tbl_MTG_Set[[#This Row],[Play Boost Sealed Market Value]]</f>
        <v/>
      </c>
      <c r="BG10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3" s="10">
        <f>tbl_MTG_Set[[#This Row],[Play Singles CardMarket Profit]]/tbl_MTG_Set[[#This Row],[Play Booster Cost]]</f>
        <v/>
      </c>
      <c r="BI1003" s="10">
        <f>tbl_MTG_Set[[#This Row],[Play Singles CardMarket Profit]]&gt;0</f>
        <v/>
      </c>
      <c r="BJ1003" s="10" t="n"/>
      <c r="BK1003" s="10" t="n"/>
      <c r="BL1003" s="10">
        <f>tbl_MTG_Set[[#This Row],[Collector Booster Sell Price CardMarket]]*tbl_MTG_Set[[#This Row],[Collector Booster Expected Market Value]]/tbl_MTG_Set[[#This Row],[Collector Boost Sealed Market Value]]</f>
        <v/>
      </c>
      <c r="BM10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3" s="10">
        <f>tbl_MTG_Set[[#This Row],[Collector Singles CardMarket Profit]]/tbl_MTG_Set[[#This Row],[Collector Booster Cost]]</f>
        <v/>
      </c>
      <c r="BO1003" s="10">
        <f>tbl_MTG_Set[[#This Row],[Collector Singles CardMarket Profit]]&gt;0</f>
        <v/>
      </c>
      <c r="BP10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4">
      <c r="A1004" t="n">
        <v>1002</v>
      </c>
      <c r="B1004" t="inlineStr">
        <is>
          <t>Chronicles CHR</t>
        </is>
      </c>
      <c r="C1004" t="n">
        <v>125</v>
      </c>
      <c r="D1004" s="3" t="n">
        <v>34881</v>
      </c>
      <c r="F1004" t="inlineStr">
        <is>
          <t>en es fr de it pt ja ko ru 汉语 漢語</t>
        </is>
      </c>
      <c r="G1004" t="n">
        <v>1950</v>
      </c>
      <c r="H1004">
        <f>MONTH(NOW())+12*YEAR(NOW())-MONTH(tbl_MTG_Set[[#This Row],[Released On]])-12*YEAR(tbl_MTG_Set[[#This Row],[Released On]])</f>
        <v/>
      </c>
      <c r="I1004">
        <f>_xlfn.XLOOKUP(tbl_MTG_Set[[#This Row],[Type Name]], tbl_MTG_Set_Type[Set Type], tbl_MTG_Set_Type[Index], "(Set Type not found)")</f>
        <v/>
      </c>
      <c r="J1004">
        <f>_xlfn.XLOOKUP(tbl_MTG_Set[[#This Row],[Type Name]], tbl_MTG_Set_Type[Set Type], tbl_MTG_Set_Type[Buy Window Month Start], "(Set Type not found)")</f>
        <v/>
      </c>
      <c r="K1004" s="3">
        <f>tbl_MTG_Set[[#This Row],[Released On]]+tbl_MTG_Set[[#This Row],[Buy Window Month Start]]*365.25/12</f>
        <v/>
      </c>
      <c r="L1004">
        <f>_xlfn.XLOOKUP(tbl_MTG_Set[[#This Row],[Type Name]], tbl_MTG_Set_Type[Set Type], tbl_MTG_Set_Type[Buy Window Month End], "(Set Type not found)", 0, 1)</f>
        <v/>
      </c>
      <c r="M1004" s="3">
        <f>tbl_MTG_Set[[#This Row],[Released On]]+tbl_MTG_Set[[#This Row],[Buy Window Month End]]*365.25/12</f>
        <v/>
      </c>
      <c r="N1004" s="3">
        <f>AND(NOW()&gt;=tbl_MTG_Set[[#This Row],[Buy Window Start]], NOW()&lt;=tbl_MTG_Set[[#This Row],[Buy Window End]])</f>
        <v/>
      </c>
      <c r="O1004">
        <f>_xlfn.XLOOKUP(tbl_MTG_Set[[#This Row],[Type Name]], tbl_MTG_Set_Type[Set Type], tbl_MTG_Set_Type[Heavy Printing Window Month Start], "(Set Type not found)", 0, 1)</f>
        <v/>
      </c>
      <c r="P1004" s="3">
        <f>tbl_MTG_Set[[#This Row],[Released On]]+tbl_MTG_Set[[#This Row],[Heavy Printing Window Month Start]]*365.25/12</f>
        <v/>
      </c>
      <c r="Q1004">
        <f>_xlfn.XLOOKUP(tbl_MTG_Set[[#This Row],[Type Name]], tbl_MTG_Set_Type[Set Type], tbl_MTG_Set_Type[Heavy Printing Window Month End], "(Set Type not found)", 0, 1)</f>
        <v/>
      </c>
      <c r="R1004" s="3">
        <f>tbl_MTG_Set[[#This Row],[Released On]]+tbl_MTG_Set[[#This Row],[Heavy Printing Window Month End]]*365.25/12</f>
        <v/>
      </c>
      <c r="S1004" s="3">
        <f>AND(NOW()&gt;=tbl_MTG_Set[[#This Row],[Heavy Printing Window Start]], NOW()&lt;=tbl_MTG_Set[[#This Row],[Heavy Printing Window End]])</f>
        <v/>
      </c>
      <c r="T1004">
        <f>_xlfn.XLOOKUP(tbl_MTG_Set[[#This Row],[Type Name]], tbl_MTG_Set_Type[Set Type], tbl_MTG_Set_Type[Sell Window Month Start], "(Set Type not found)", 0, 1)</f>
        <v/>
      </c>
      <c r="U1004" s="3">
        <f>tbl_MTG_Set[[#This Row],[Released On]]+tbl_MTG_Set[[#This Row],[Sell Window Month Start]]*365.25/12</f>
        <v/>
      </c>
      <c r="V1004">
        <f>_xlfn.XLOOKUP(tbl_MTG_Set[[#This Row],[Type Name]], tbl_MTG_Set_Type[Set Type], tbl_MTG_Set_Type[Sell Window Month End], "(Set Type not found)", 0, 1)</f>
        <v/>
      </c>
      <c r="W1004" s="3">
        <f>tbl_MTG_Set[[#This Row],[Released On]]+tbl_MTG_Set[[#This Row],[Sell Window Month End]]*365.25/12</f>
        <v/>
      </c>
      <c r="X1004" s="3">
        <f>AND(NOW()&gt;=tbl_MTG_Set[[#This Row],[Sell Window Start]], NOW()&lt;=tbl_MTG_Set[[#This Row],[Sell Window End]])</f>
        <v/>
      </c>
      <c r="AG1004" s="10" t="n"/>
      <c r="AH1004" s="10" t="n"/>
      <c r="AM1004" s="10">
        <f t="array" ref="AM10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4" s="10">
        <f t="array" ref="AN10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4" s="4">
        <f>_xlfn.XLOOKUP(tbl_MTG_Set[[#This Row],[Play Booster Box Product Id]], tbl_Product[Product Id], tbl_Product[Pack Size])</f>
        <v/>
      </c>
      <c r="AP1004" s="10">
        <f>(tbl_MTG_Set[[#This Row],[Play Booster Box Cost]]+v_Item_Shipping_Cost_In)/tbl_MTG_Set[[#This Row],[Play Booster Box Size]]</f>
        <v/>
      </c>
      <c r="AQ1004" s="10">
        <f t="array" ref="AQ100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4" s="10" t="n"/>
      <c r="AS1004" s="10" t="n"/>
      <c r="AT1004" s="17">
        <f>tbl_MTG_Set[[#This Row],[Play Booster CardMarket Profit]]/tbl_MTG_Set[[#This Row],[Play Booster Cost]]</f>
        <v/>
      </c>
      <c r="AU1004" s="10">
        <f>_xlfn.XLOOKUP(tbl_MTG_Set[[#This Row],[Collector Booster Box Product Id]], tbl_Product[Product Id], tbl_Product[Min Cost])</f>
        <v/>
      </c>
      <c r="AV1004" s="10">
        <f>_xlfn.XLOOKUP(tbl_MTG_Set[[#This Row],[Collector Booster Box Product Id]], tbl_Product[Product Id], tbl_Product[Best Source])</f>
        <v/>
      </c>
      <c r="AW1004" s="4">
        <f>_xlfn.XLOOKUP(tbl_MTG_Set[[#This Row],[Collector Booster Box Product Id]], tbl_Product[Product Id], tbl_Product[Pack Size])</f>
        <v/>
      </c>
      <c r="AX1004" s="10">
        <f>(tbl_MTG_Set[[#This Row],[Collector Booster Box Cost]] + v_Item_Shipping_Cost_In) / tbl_MTG_Set[[#This Row],[Collector Booster Box Size]]</f>
        <v/>
      </c>
      <c r="AY1004" s="10">
        <f t="array" ref="AY100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4" s="10" t="n"/>
      <c r="BA10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4" s="17">
        <f>tbl_MTG_Set[[#This Row],[Collector Booster CardMarket Profit]]/tbl_MTG_Set[[#This Row],[Collector Booster Cost]]</f>
        <v/>
      </c>
      <c r="BC1004" s="10" t="n"/>
      <c r="BF1004" s="10">
        <f>tbl_MTG_Set[[#This Row],[Play Booster Sell Price CardMarket]]*tbl_MTG_Set[[#This Row],[Play Booster Expected Market Value]]/tbl_MTG_Set[[#This Row],[Play Boost Sealed Market Value]]</f>
        <v/>
      </c>
      <c r="BG10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4" s="10">
        <f>tbl_MTG_Set[[#This Row],[Play Singles CardMarket Profit]]/tbl_MTG_Set[[#This Row],[Play Booster Cost]]</f>
        <v/>
      </c>
      <c r="BI1004" s="10">
        <f>tbl_MTG_Set[[#This Row],[Play Singles CardMarket Profit]]&gt;0</f>
        <v/>
      </c>
      <c r="BJ1004" s="10" t="n"/>
      <c r="BK1004" s="10" t="n"/>
      <c r="BL1004" s="10">
        <f>tbl_MTG_Set[[#This Row],[Collector Booster Sell Price CardMarket]]*tbl_MTG_Set[[#This Row],[Collector Booster Expected Market Value]]/tbl_MTG_Set[[#This Row],[Collector Boost Sealed Market Value]]</f>
        <v/>
      </c>
      <c r="BM10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4" s="10">
        <f>tbl_MTG_Set[[#This Row],[Collector Singles CardMarket Profit]]/tbl_MTG_Set[[#This Row],[Collector Booster Cost]]</f>
        <v/>
      </c>
      <c r="BO1004" s="10">
        <f>tbl_MTG_Set[[#This Row],[Collector Singles CardMarket Profit]]&gt;0</f>
        <v/>
      </c>
      <c r="BP10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5">
      <c r="A1005" t="n">
        <v>1003</v>
      </c>
      <c r="B1005" t="inlineStr">
        <is>
          <t>Chronicles Foreign Black Border BCHR</t>
        </is>
      </c>
      <c r="C1005" t="n">
        <v>125</v>
      </c>
      <c r="D1005" s="3" t="n">
        <v>34881</v>
      </c>
      <c r="F1005" t="inlineStr">
        <is>
          <t>en es fr de it pt ja ko ru 汉语 漢語</t>
        </is>
      </c>
      <c r="G1005" t="n">
        <v>1952</v>
      </c>
      <c r="H1005">
        <f>MONTH(NOW())+12*YEAR(NOW())-MONTH(tbl_MTG_Set[[#This Row],[Released On]])-12*YEAR(tbl_MTG_Set[[#This Row],[Released On]])</f>
        <v/>
      </c>
      <c r="I1005">
        <f>_xlfn.XLOOKUP(tbl_MTG_Set[[#This Row],[Type Name]], tbl_MTG_Set_Type[Set Type], tbl_MTG_Set_Type[Index], "(Set Type not found)")</f>
        <v/>
      </c>
      <c r="J1005">
        <f>_xlfn.XLOOKUP(tbl_MTG_Set[[#This Row],[Type Name]], tbl_MTG_Set_Type[Set Type], tbl_MTG_Set_Type[Buy Window Month Start], "(Set Type not found)")</f>
        <v/>
      </c>
      <c r="K1005" s="3">
        <f>tbl_MTG_Set[[#This Row],[Released On]]+tbl_MTG_Set[[#This Row],[Buy Window Month Start]]*365.25/12</f>
        <v/>
      </c>
      <c r="L1005">
        <f>_xlfn.XLOOKUP(tbl_MTG_Set[[#This Row],[Type Name]], tbl_MTG_Set_Type[Set Type], tbl_MTG_Set_Type[Buy Window Month End], "(Set Type not found)", 0, 1)</f>
        <v/>
      </c>
      <c r="M1005" s="3">
        <f>tbl_MTG_Set[[#This Row],[Released On]]+tbl_MTG_Set[[#This Row],[Buy Window Month End]]*365.25/12</f>
        <v/>
      </c>
      <c r="N1005" s="3">
        <f>AND(NOW()&gt;=tbl_MTG_Set[[#This Row],[Buy Window Start]], NOW()&lt;=tbl_MTG_Set[[#This Row],[Buy Window End]])</f>
        <v/>
      </c>
      <c r="O1005">
        <f>_xlfn.XLOOKUP(tbl_MTG_Set[[#This Row],[Type Name]], tbl_MTG_Set_Type[Set Type], tbl_MTG_Set_Type[Heavy Printing Window Month Start], "(Set Type not found)", 0, 1)</f>
        <v/>
      </c>
      <c r="P1005" s="3">
        <f>tbl_MTG_Set[[#This Row],[Released On]]+tbl_MTG_Set[[#This Row],[Heavy Printing Window Month Start]]*365.25/12</f>
        <v/>
      </c>
      <c r="Q1005">
        <f>_xlfn.XLOOKUP(tbl_MTG_Set[[#This Row],[Type Name]], tbl_MTG_Set_Type[Set Type], tbl_MTG_Set_Type[Heavy Printing Window Month End], "(Set Type not found)", 0, 1)</f>
        <v/>
      </c>
      <c r="R1005" s="3">
        <f>tbl_MTG_Set[[#This Row],[Released On]]+tbl_MTG_Set[[#This Row],[Heavy Printing Window Month End]]*365.25/12</f>
        <v/>
      </c>
      <c r="S1005" s="3">
        <f>AND(NOW()&gt;=tbl_MTG_Set[[#This Row],[Heavy Printing Window Start]], NOW()&lt;=tbl_MTG_Set[[#This Row],[Heavy Printing Window End]])</f>
        <v/>
      </c>
      <c r="T1005">
        <f>_xlfn.XLOOKUP(tbl_MTG_Set[[#This Row],[Type Name]], tbl_MTG_Set_Type[Set Type], tbl_MTG_Set_Type[Sell Window Month Start], "(Set Type not found)", 0, 1)</f>
        <v/>
      </c>
      <c r="U1005" s="3">
        <f>tbl_MTG_Set[[#This Row],[Released On]]+tbl_MTG_Set[[#This Row],[Sell Window Month Start]]*365.25/12</f>
        <v/>
      </c>
      <c r="V1005">
        <f>_xlfn.XLOOKUP(tbl_MTG_Set[[#This Row],[Type Name]], tbl_MTG_Set_Type[Set Type], tbl_MTG_Set_Type[Sell Window Month End], "(Set Type not found)", 0, 1)</f>
        <v/>
      </c>
      <c r="W1005" s="3">
        <f>tbl_MTG_Set[[#This Row],[Released On]]+tbl_MTG_Set[[#This Row],[Sell Window Month End]]*365.25/12</f>
        <v/>
      </c>
      <c r="X1005" s="3">
        <f>AND(NOW()&gt;=tbl_MTG_Set[[#This Row],[Sell Window Start]], NOW()&lt;=tbl_MTG_Set[[#This Row],[Sell Window End]])</f>
        <v/>
      </c>
      <c r="AG1005" s="10" t="n"/>
      <c r="AH1005" s="10" t="n"/>
      <c r="AM1005" s="10">
        <f t="array" ref="AM10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5" s="10">
        <f t="array" ref="AN10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5" s="4">
        <f>_xlfn.XLOOKUP(tbl_MTG_Set[[#This Row],[Play Booster Box Product Id]], tbl_Product[Product Id], tbl_Product[Pack Size])</f>
        <v/>
      </c>
      <c r="AP1005" s="10">
        <f>(tbl_MTG_Set[[#This Row],[Play Booster Box Cost]]+v_Item_Shipping_Cost_In)/tbl_MTG_Set[[#This Row],[Play Booster Box Size]]</f>
        <v/>
      </c>
      <c r="AQ1005" s="10">
        <f t="array" ref="AQ100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5" s="10" t="n"/>
      <c r="AS1005" s="10" t="n"/>
      <c r="AT1005" s="17">
        <f>tbl_MTG_Set[[#This Row],[Play Booster CardMarket Profit]]/tbl_MTG_Set[[#This Row],[Play Booster Cost]]</f>
        <v/>
      </c>
      <c r="AU1005" s="10">
        <f>_xlfn.XLOOKUP(tbl_MTG_Set[[#This Row],[Collector Booster Box Product Id]], tbl_Product[Product Id], tbl_Product[Min Cost])</f>
        <v/>
      </c>
      <c r="AV1005" s="10">
        <f>_xlfn.XLOOKUP(tbl_MTG_Set[[#This Row],[Collector Booster Box Product Id]], tbl_Product[Product Id], tbl_Product[Best Source])</f>
        <v/>
      </c>
      <c r="AW1005" s="4">
        <f>_xlfn.XLOOKUP(tbl_MTG_Set[[#This Row],[Collector Booster Box Product Id]], tbl_Product[Product Id], tbl_Product[Pack Size])</f>
        <v/>
      </c>
      <c r="AX1005" s="10">
        <f>(tbl_MTG_Set[[#This Row],[Collector Booster Box Cost]] + v_Item_Shipping_Cost_In) / tbl_MTG_Set[[#This Row],[Collector Booster Box Size]]</f>
        <v/>
      </c>
      <c r="AY1005" s="10">
        <f t="array" ref="AY100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5" s="10" t="n"/>
      <c r="BA10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5" s="17">
        <f>tbl_MTG_Set[[#This Row],[Collector Booster CardMarket Profit]]/tbl_MTG_Set[[#This Row],[Collector Booster Cost]]</f>
        <v/>
      </c>
      <c r="BC1005" s="10" t="n"/>
      <c r="BF1005" s="10">
        <f>tbl_MTG_Set[[#This Row],[Play Booster Sell Price CardMarket]]*tbl_MTG_Set[[#This Row],[Play Booster Expected Market Value]]/tbl_MTG_Set[[#This Row],[Play Boost Sealed Market Value]]</f>
        <v/>
      </c>
      <c r="BG10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5" s="10">
        <f>tbl_MTG_Set[[#This Row],[Play Singles CardMarket Profit]]/tbl_MTG_Set[[#This Row],[Play Booster Cost]]</f>
        <v/>
      </c>
      <c r="BI1005" s="10">
        <f>tbl_MTG_Set[[#This Row],[Play Singles CardMarket Profit]]&gt;0</f>
        <v/>
      </c>
      <c r="BJ1005" s="10" t="n"/>
      <c r="BK1005" s="10" t="n"/>
      <c r="BL1005" s="10">
        <f>tbl_MTG_Set[[#This Row],[Collector Booster Sell Price CardMarket]]*tbl_MTG_Set[[#This Row],[Collector Booster Expected Market Value]]/tbl_MTG_Set[[#This Row],[Collector Boost Sealed Market Value]]</f>
        <v/>
      </c>
      <c r="BM10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5" s="10">
        <f>tbl_MTG_Set[[#This Row],[Collector Singles CardMarket Profit]]/tbl_MTG_Set[[#This Row],[Collector Booster Cost]]</f>
        <v/>
      </c>
      <c r="BO1005" s="10">
        <f>tbl_MTG_Set[[#This Row],[Collector Singles CardMarket Profit]]&gt;0</f>
        <v/>
      </c>
      <c r="BP10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6">
      <c r="A1006" t="n">
        <v>1004</v>
      </c>
      <c r="B1006" t="inlineStr">
        <is>
          <t>Ice Age ICE</t>
        </is>
      </c>
      <c r="C1006" t="n">
        <v>383</v>
      </c>
      <c r="D1006" s="3" t="n">
        <v>34853</v>
      </c>
      <c r="F1006" t="inlineStr">
        <is>
          <t>en es fr de it pt ja ko ru 汉语 漢語</t>
        </is>
      </c>
      <c r="G1006" t="n">
        <v>1954</v>
      </c>
      <c r="H1006">
        <f>MONTH(NOW())+12*YEAR(NOW())-MONTH(tbl_MTG_Set[[#This Row],[Released On]])-12*YEAR(tbl_MTG_Set[[#This Row],[Released On]])</f>
        <v/>
      </c>
      <c r="I1006">
        <f>_xlfn.XLOOKUP(tbl_MTG_Set[[#This Row],[Type Name]], tbl_MTG_Set_Type[Set Type], tbl_MTG_Set_Type[Index], "(Set Type not found)")</f>
        <v/>
      </c>
      <c r="J1006">
        <f>_xlfn.XLOOKUP(tbl_MTG_Set[[#This Row],[Type Name]], tbl_MTG_Set_Type[Set Type], tbl_MTG_Set_Type[Buy Window Month Start], "(Set Type not found)")</f>
        <v/>
      </c>
      <c r="K1006" s="3">
        <f>tbl_MTG_Set[[#This Row],[Released On]]+tbl_MTG_Set[[#This Row],[Buy Window Month Start]]*365.25/12</f>
        <v/>
      </c>
      <c r="L1006">
        <f>_xlfn.XLOOKUP(tbl_MTG_Set[[#This Row],[Type Name]], tbl_MTG_Set_Type[Set Type], tbl_MTG_Set_Type[Buy Window Month End], "(Set Type not found)", 0, 1)</f>
        <v/>
      </c>
      <c r="M1006" s="3">
        <f>tbl_MTG_Set[[#This Row],[Released On]]+tbl_MTG_Set[[#This Row],[Buy Window Month End]]*365.25/12</f>
        <v/>
      </c>
      <c r="N1006" s="3">
        <f>AND(NOW()&gt;=tbl_MTG_Set[[#This Row],[Buy Window Start]], NOW()&lt;=tbl_MTG_Set[[#This Row],[Buy Window End]])</f>
        <v/>
      </c>
      <c r="O1006">
        <f>_xlfn.XLOOKUP(tbl_MTG_Set[[#This Row],[Type Name]], tbl_MTG_Set_Type[Set Type], tbl_MTG_Set_Type[Heavy Printing Window Month Start], "(Set Type not found)", 0, 1)</f>
        <v/>
      </c>
      <c r="P1006" s="3">
        <f>tbl_MTG_Set[[#This Row],[Released On]]+tbl_MTG_Set[[#This Row],[Heavy Printing Window Month Start]]*365.25/12</f>
        <v/>
      </c>
      <c r="Q1006">
        <f>_xlfn.XLOOKUP(tbl_MTG_Set[[#This Row],[Type Name]], tbl_MTG_Set_Type[Set Type], tbl_MTG_Set_Type[Heavy Printing Window Month End], "(Set Type not found)", 0, 1)</f>
        <v/>
      </c>
      <c r="R1006" s="3">
        <f>tbl_MTG_Set[[#This Row],[Released On]]+tbl_MTG_Set[[#This Row],[Heavy Printing Window Month End]]*365.25/12</f>
        <v/>
      </c>
      <c r="S1006" s="3">
        <f>AND(NOW()&gt;=tbl_MTG_Set[[#This Row],[Heavy Printing Window Start]], NOW()&lt;=tbl_MTG_Set[[#This Row],[Heavy Printing Window End]])</f>
        <v/>
      </c>
      <c r="T1006">
        <f>_xlfn.XLOOKUP(tbl_MTG_Set[[#This Row],[Type Name]], tbl_MTG_Set_Type[Set Type], tbl_MTG_Set_Type[Sell Window Month Start], "(Set Type not found)", 0, 1)</f>
        <v/>
      </c>
      <c r="U1006" s="3">
        <f>tbl_MTG_Set[[#This Row],[Released On]]+tbl_MTG_Set[[#This Row],[Sell Window Month Start]]*365.25/12</f>
        <v/>
      </c>
      <c r="V1006">
        <f>_xlfn.XLOOKUP(tbl_MTG_Set[[#This Row],[Type Name]], tbl_MTG_Set_Type[Set Type], tbl_MTG_Set_Type[Sell Window Month End], "(Set Type not found)", 0, 1)</f>
        <v/>
      </c>
      <c r="W1006" s="3">
        <f>tbl_MTG_Set[[#This Row],[Released On]]+tbl_MTG_Set[[#This Row],[Sell Window Month End]]*365.25/12</f>
        <v/>
      </c>
      <c r="X1006" s="3">
        <f>AND(NOW()&gt;=tbl_MTG_Set[[#This Row],[Sell Window Start]], NOW()&lt;=tbl_MTG_Set[[#This Row],[Sell Window End]])</f>
        <v/>
      </c>
      <c r="AG1006" s="10" t="n"/>
      <c r="AH1006" s="10" t="n"/>
      <c r="AM1006" s="10">
        <f t="array" ref="AM10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6" s="10">
        <f t="array" ref="AN10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6" s="4">
        <f>_xlfn.XLOOKUP(tbl_MTG_Set[[#This Row],[Play Booster Box Product Id]], tbl_Product[Product Id], tbl_Product[Pack Size])</f>
        <v/>
      </c>
      <c r="AP1006" s="10">
        <f>(tbl_MTG_Set[[#This Row],[Play Booster Box Cost]]+v_Item_Shipping_Cost_In)/tbl_MTG_Set[[#This Row],[Play Booster Box Size]]</f>
        <v/>
      </c>
      <c r="AQ1006" s="10">
        <f t="array" ref="AQ100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6" s="10" t="n"/>
      <c r="AS1006" s="10" t="n"/>
      <c r="AT1006" s="17">
        <f>tbl_MTG_Set[[#This Row],[Play Booster CardMarket Profit]]/tbl_MTG_Set[[#This Row],[Play Booster Cost]]</f>
        <v/>
      </c>
      <c r="AU1006" s="10">
        <f>_xlfn.XLOOKUP(tbl_MTG_Set[[#This Row],[Collector Booster Box Product Id]], tbl_Product[Product Id], tbl_Product[Min Cost])</f>
        <v/>
      </c>
      <c r="AV1006" s="10">
        <f>_xlfn.XLOOKUP(tbl_MTG_Set[[#This Row],[Collector Booster Box Product Id]], tbl_Product[Product Id], tbl_Product[Best Source])</f>
        <v/>
      </c>
      <c r="AW1006" s="4">
        <f>_xlfn.XLOOKUP(tbl_MTG_Set[[#This Row],[Collector Booster Box Product Id]], tbl_Product[Product Id], tbl_Product[Pack Size])</f>
        <v/>
      </c>
      <c r="AX1006" s="10">
        <f>(tbl_MTG_Set[[#This Row],[Collector Booster Box Cost]] + v_Item_Shipping_Cost_In) / tbl_MTG_Set[[#This Row],[Collector Booster Box Size]]</f>
        <v/>
      </c>
      <c r="AY1006" s="10">
        <f t="array" ref="AY100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6" s="10" t="n"/>
      <c r="BA10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6" s="17">
        <f>tbl_MTG_Set[[#This Row],[Collector Booster CardMarket Profit]]/tbl_MTG_Set[[#This Row],[Collector Booster Cost]]</f>
        <v/>
      </c>
      <c r="BC1006" s="10" t="n"/>
      <c r="BF1006" s="10">
        <f>tbl_MTG_Set[[#This Row],[Play Booster Sell Price CardMarket]]*tbl_MTG_Set[[#This Row],[Play Booster Expected Market Value]]/tbl_MTG_Set[[#This Row],[Play Boost Sealed Market Value]]</f>
        <v/>
      </c>
      <c r="BG10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6" s="10">
        <f>tbl_MTG_Set[[#This Row],[Play Singles CardMarket Profit]]/tbl_MTG_Set[[#This Row],[Play Booster Cost]]</f>
        <v/>
      </c>
      <c r="BI1006" s="10">
        <f>tbl_MTG_Set[[#This Row],[Play Singles CardMarket Profit]]&gt;0</f>
        <v/>
      </c>
      <c r="BJ1006" s="10" t="n"/>
      <c r="BK1006" s="10" t="n"/>
      <c r="BL1006" s="10">
        <f>tbl_MTG_Set[[#This Row],[Collector Booster Sell Price CardMarket]]*tbl_MTG_Set[[#This Row],[Collector Booster Expected Market Value]]/tbl_MTG_Set[[#This Row],[Collector Boost Sealed Market Value]]</f>
        <v/>
      </c>
      <c r="BM10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6" s="10">
        <f>tbl_MTG_Set[[#This Row],[Collector Singles CardMarket Profit]]/tbl_MTG_Set[[#This Row],[Collector Booster Cost]]</f>
        <v/>
      </c>
      <c r="BO1006" s="10">
        <f>tbl_MTG_Set[[#This Row],[Collector Singles CardMarket Profit]]&gt;0</f>
        <v/>
      </c>
      <c r="BP10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7">
      <c r="A1007" t="n">
        <v>1005</v>
      </c>
      <c r="B1007" t="inlineStr">
        <is>
          <t>Fourth Edition 4ED</t>
        </is>
      </c>
      <c r="C1007" t="n">
        <v>380</v>
      </c>
      <c r="D1007" s="3" t="n">
        <v>34790</v>
      </c>
      <c r="F1007" t="inlineStr">
        <is>
          <t>en es fr de it pt ja ko ru 汉语 漢語</t>
        </is>
      </c>
      <c r="G1007" t="n">
        <v>1956</v>
      </c>
      <c r="H1007">
        <f>MONTH(NOW())+12*YEAR(NOW())-MONTH(tbl_MTG_Set[[#This Row],[Released On]])-12*YEAR(tbl_MTG_Set[[#This Row],[Released On]])</f>
        <v/>
      </c>
      <c r="I1007">
        <f>_xlfn.XLOOKUP(tbl_MTG_Set[[#This Row],[Type Name]], tbl_MTG_Set_Type[Set Type], tbl_MTG_Set_Type[Index], "(Set Type not found)")</f>
        <v/>
      </c>
      <c r="J1007">
        <f>_xlfn.XLOOKUP(tbl_MTG_Set[[#This Row],[Type Name]], tbl_MTG_Set_Type[Set Type], tbl_MTG_Set_Type[Buy Window Month Start], "(Set Type not found)")</f>
        <v/>
      </c>
      <c r="K1007" s="3">
        <f>tbl_MTG_Set[[#This Row],[Released On]]+tbl_MTG_Set[[#This Row],[Buy Window Month Start]]*365.25/12</f>
        <v/>
      </c>
      <c r="L1007">
        <f>_xlfn.XLOOKUP(tbl_MTG_Set[[#This Row],[Type Name]], tbl_MTG_Set_Type[Set Type], tbl_MTG_Set_Type[Buy Window Month End], "(Set Type not found)", 0, 1)</f>
        <v/>
      </c>
      <c r="M1007" s="3">
        <f>tbl_MTG_Set[[#This Row],[Released On]]+tbl_MTG_Set[[#This Row],[Buy Window Month End]]*365.25/12</f>
        <v/>
      </c>
      <c r="N1007" s="3">
        <f>AND(NOW()&gt;=tbl_MTG_Set[[#This Row],[Buy Window Start]], NOW()&lt;=tbl_MTG_Set[[#This Row],[Buy Window End]])</f>
        <v/>
      </c>
      <c r="O1007">
        <f>_xlfn.XLOOKUP(tbl_MTG_Set[[#This Row],[Type Name]], tbl_MTG_Set_Type[Set Type], tbl_MTG_Set_Type[Heavy Printing Window Month Start], "(Set Type not found)", 0, 1)</f>
        <v/>
      </c>
      <c r="P1007" s="3">
        <f>tbl_MTG_Set[[#This Row],[Released On]]+tbl_MTG_Set[[#This Row],[Heavy Printing Window Month Start]]*365.25/12</f>
        <v/>
      </c>
      <c r="Q1007">
        <f>_xlfn.XLOOKUP(tbl_MTG_Set[[#This Row],[Type Name]], tbl_MTG_Set_Type[Set Type], tbl_MTG_Set_Type[Heavy Printing Window Month End], "(Set Type not found)", 0, 1)</f>
        <v/>
      </c>
      <c r="R1007" s="3">
        <f>tbl_MTG_Set[[#This Row],[Released On]]+tbl_MTG_Set[[#This Row],[Heavy Printing Window Month End]]*365.25/12</f>
        <v/>
      </c>
      <c r="S1007" s="3">
        <f>AND(NOW()&gt;=tbl_MTG_Set[[#This Row],[Heavy Printing Window Start]], NOW()&lt;=tbl_MTG_Set[[#This Row],[Heavy Printing Window End]])</f>
        <v/>
      </c>
      <c r="T1007">
        <f>_xlfn.XLOOKUP(tbl_MTG_Set[[#This Row],[Type Name]], tbl_MTG_Set_Type[Set Type], tbl_MTG_Set_Type[Sell Window Month Start], "(Set Type not found)", 0, 1)</f>
        <v/>
      </c>
      <c r="U1007" s="3">
        <f>tbl_MTG_Set[[#This Row],[Released On]]+tbl_MTG_Set[[#This Row],[Sell Window Month Start]]*365.25/12</f>
        <v/>
      </c>
      <c r="V1007">
        <f>_xlfn.XLOOKUP(tbl_MTG_Set[[#This Row],[Type Name]], tbl_MTG_Set_Type[Set Type], tbl_MTG_Set_Type[Sell Window Month End], "(Set Type not found)", 0, 1)</f>
        <v/>
      </c>
      <c r="W1007" s="3">
        <f>tbl_MTG_Set[[#This Row],[Released On]]+tbl_MTG_Set[[#This Row],[Sell Window Month End]]*365.25/12</f>
        <v/>
      </c>
      <c r="X1007" s="3">
        <f>AND(NOW()&gt;=tbl_MTG_Set[[#This Row],[Sell Window Start]], NOW()&lt;=tbl_MTG_Set[[#This Row],[Sell Window End]])</f>
        <v/>
      </c>
      <c r="AG1007" s="10" t="n"/>
      <c r="AH1007" s="10" t="n"/>
      <c r="AM1007" s="10">
        <f t="array" ref="AM10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7" s="10">
        <f t="array" ref="AN10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7" s="4">
        <f>_xlfn.XLOOKUP(tbl_MTG_Set[[#This Row],[Play Booster Box Product Id]], tbl_Product[Product Id], tbl_Product[Pack Size])</f>
        <v/>
      </c>
      <c r="AP1007" s="10">
        <f>(tbl_MTG_Set[[#This Row],[Play Booster Box Cost]]+v_Item_Shipping_Cost_In)/tbl_MTG_Set[[#This Row],[Play Booster Box Size]]</f>
        <v/>
      </c>
      <c r="AQ1007" s="10">
        <f t="array" ref="AQ100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7" s="10" t="n"/>
      <c r="AS1007" s="10" t="n"/>
      <c r="AT1007" s="17">
        <f>tbl_MTG_Set[[#This Row],[Play Booster CardMarket Profit]]/tbl_MTG_Set[[#This Row],[Play Booster Cost]]</f>
        <v/>
      </c>
      <c r="AU1007" s="10">
        <f>_xlfn.XLOOKUP(tbl_MTG_Set[[#This Row],[Collector Booster Box Product Id]], tbl_Product[Product Id], tbl_Product[Min Cost])</f>
        <v/>
      </c>
      <c r="AV1007" s="10">
        <f>_xlfn.XLOOKUP(tbl_MTG_Set[[#This Row],[Collector Booster Box Product Id]], tbl_Product[Product Id], tbl_Product[Best Source])</f>
        <v/>
      </c>
      <c r="AW1007" s="4">
        <f>_xlfn.XLOOKUP(tbl_MTG_Set[[#This Row],[Collector Booster Box Product Id]], tbl_Product[Product Id], tbl_Product[Pack Size])</f>
        <v/>
      </c>
      <c r="AX1007" s="10">
        <f>(tbl_MTG_Set[[#This Row],[Collector Booster Box Cost]] + v_Item_Shipping_Cost_In) / tbl_MTG_Set[[#This Row],[Collector Booster Box Size]]</f>
        <v/>
      </c>
      <c r="AY1007" s="10">
        <f t="array" ref="AY100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7" s="10" t="n"/>
      <c r="BA10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7" s="17">
        <f>tbl_MTG_Set[[#This Row],[Collector Booster CardMarket Profit]]/tbl_MTG_Set[[#This Row],[Collector Booster Cost]]</f>
        <v/>
      </c>
      <c r="BC1007" s="10" t="n"/>
      <c r="BF1007" s="10">
        <f>tbl_MTG_Set[[#This Row],[Play Booster Sell Price CardMarket]]*tbl_MTG_Set[[#This Row],[Play Booster Expected Market Value]]/tbl_MTG_Set[[#This Row],[Play Boost Sealed Market Value]]</f>
        <v/>
      </c>
      <c r="BG10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7" s="10">
        <f>tbl_MTG_Set[[#This Row],[Play Singles CardMarket Profit]]/tbl_MTG_Set[[#This Row],[Play Booster Cost]]</f>
        <v/>
      </c>
      <c r="BI1007" s="10">
        <f>tbl_MTG_Set[[#This Row],[Play Singles CardMarket Profit]]&gt;0</f>
        <v/>
      </c>
      <c r="BJ1007" s="10" t="n"/>
      <c r="BK1007" s="10" t="n"/>
      <c r="BL1007" s="10">
        <f>tbl_MTG_Set[[#This Row],[Collector Booster Sell Price CardMarket]]*tbl_MTG_Set[[#This Row],[Collector Booster Expected Market Value]]/tbl_MTG_Set[[#This Row],[Collector Boost Sealed Market Value]]</f>
        <v/>
      </c>
      <c r="BM10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7" s="10">
        <f>tbl_MTG_Set[[#This Row],[Collector Singles CardMarket Profit]]/tbl_MTG_Set[[#This Row],[Collector Booster Cost]]</f>
        <v/>
      </c>
      <c r="BO1007" s="10">
        <f>tbl_MTG_Set[[#This Row],[Collector Singles CardMarket Profit]]&gt;0</f>
        <v/>
      </c>
      <c r="BP10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8">
      <c r="A1008" t="n">
        <v>1006</v>
      </c>
      <c r="B1008" t="inlineStr">
        <is>
          <t>Fourth Edition Foreign Black Border 4BB</t>
        </is>
      </c>
      <c r="C1008" t="n">
        <v>378</v>
      </c>
      <c r="D1008" s="3" t="n">
        <v>34790</v>
      </c>
      <c r="F1008" t="inlineStr">
        <is>
          <t>en es fr de it pt ja ko ru 汉语 漢語</t>
        </is>
      </c>
      <c r="G1008" t="n">
        <v>1958</v>
      </c>
      <c r="H1008">
        <f>MONTH(NOW())+12*YEAR(NOW())-MONTH(tbl_MTG_Set[[#This Row],[Released On]])-12*YEAR(tbl_MTG_Set[[#This Row],[Released On]])</f>
        <v/>
      </c>
      <c r="I1008">
        <f>_xlfn.XLOOKUP(tbl_MTG_Set[[#This Row],[Type Name]], tbl_MTG_Set_Type[Set Type], tbl_MTG_Set_Type[Index], "(Set Type not found)")</f>
        <v/>
      </c>
      <c r="J1008">
        <f>_xlfn.XLOOKUP(tbl_MTG_Set[[#This Row],[Type Name]], tbl_MTG_Set_Type[Set Type], tbl_MTG_Set_Type[Buy Window Month Start], "(Set Type not found)")</f>
        <v/>
      </c>
      <c r="K1008" s="3">
        <f>tbl_MTG_Set[[#This Row],[Released On]]+tbl_MTG_Set[[#This Row],[Buy Window Month Start]]*365.25/12</f>
        <v/>
      </c>
      <c r="L1008">
        <f>_xlfn.XLOOKUP(tbl_MTG_Set[[#This Row],[Type Name]], tbl_MTG_Set_Type[Set Type], tbl_MTG_Set_Type[Buy Window Month End], "(Set Type not found)", 0, 1)</f>
        <v/>
      </c>
      <c r="M1008" s="3">
        <f>tbl_MTG_Set[[#This Row],[Released On]]+tbl_MTG_Set[[#This Row],[Buy Window Month End]]*365.25/12</f>
        <v/>
      </c>
      <c r="N1008" s="3">
        <f>AND(NOW()&gt;=tbl_MTG_Set[[#This Row],[Buy Window Start]], NOW()&lt;=tbl_MTG_Set[[#This Row],[Buy Window End]])</f>
        <v/>
      </c>
      <c r="O1008">
        <f>_xlfn.XLOOKUP(tbl_MTG_Set[[#This Row],[Type Name]], tbl_MTG_Set_Type[Set Type], tbl_MTG_Set_Type[Heavy Printing Window Month Start], "(Set Type not found)", 0, 1)</f>
        <v/>
      </c>
      <c r="P1008" s="3">
        <f>tbl_MTG_Set[[#This Row],[Released On]]+tbl_MTG_Set[[#This Row],[Heavy Printing Window Month Start]]*365.25/12</f>
        <v/>
      </c>
      <c r="Q1008">
        <f>_xlfn.XLOOKUP(tbl_MTG_Set[[#This Row],[Type Name]], tbl_MTG_Set_Type[Set Type], tbl_MTG_Set_Type[Heavy Printing Window Month End], "(Set Type not found)", 0, 1)</f>
        <v/>
      </c>
      <c r="R1008" s="3">
        <f>tbl_MTG_Set[[#This Row],[Released On]]+tbl_MTG_Set[[#This Row],[Heavy Printing Window Month End]]*365.25/12</f>
        <v/>
      </c>
      <c r="S1008" s="3">
        <f>AND(NOW()&gt;=tbl_MTG_Set[[#This Row],[Heavy Printing Window Start]], NOW()&lt;=tbl_MTG_Set[[#This Row],[Heavy Printing Window End]])</f>
        <v/>
      </c>
      <c r="T1008">
        <f>_xlfn.XLOOKUP(tbl_MTG_Set[[#This Row],[Type Name]], tbl_MTG_Set_Type[Set Type], tbl_MTG_Set_Type[Sell Window Month Start], "(Set Type not found)", 0, 1)</f>
        <v/>
      </c>
      <c r="U1008" s="3">
        <f>tbl_MTG_Set[[#This Row],[Released On]]+tbl_MTG_Set[[#This Row],[Sell Window Month Start]]*365.25/12</f>
        <v/>
      </c>
      <c r="V1008">
        <f>_xlfn.XLOOKUP(tbl_MTG_Set[[#This Row],[Type Name]], tbl_MTG_Set_Type[Set Type], tbl_MTG_Set_Type[Sell Window Month End], "(Set Type not found)", 0, 1)</f>
        <v/>
      </c>
      <c r="W1008" s="3">
        <f>tbl_MTG_Set[[#This Row],[Released On]]+tbl_MTG_Set[[#This Row],[Sell Window Month End]]*365.25/12</f>
        <v/>
      </c>
      <c r="X1008" s="3">
        <f>AND(NOW()&gt;=tbl_MTG_Set[[#This Row],[Sell Window Start]], NOW()&lt;=tbl_MTG_Set[[#This Row],[Sell Window End]])</f>
        <v/>
      </c>
      <c r="AG1008" s="10" t="n"/>
      <c r="AH1008" s="10" t="n"/>
      <c r="AM1008" s="10">
        <f t="array" ref="AM10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8" s="10">
        <f t="array" ref="AN10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8" s="4">
        <f>_xlfn.XLOOKUP(tbl_MTG_Set[[#This Row],[Play Booster Box Product Id]], tbl_Product[Product Id], tbl_Product[Pack Size])</f>
        <v/>
      </c>
      <c r="AP1008" s="10">
        <f>(tbl_MTG_Set[[#This Row],[Play Booster Box Cost]]+v_Item_Shipping_Cost_In)/tbl_MTG_Set[[#This Row],[Play Booster Box Size]]</f>
        <v/>
      </c>
      <c r="AQ1008" s="10">
        <f t="array" ref="AQ100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8" s="10" t="n"/>
      <c r="AS1008" s="10" t="n"/>
      <c r="AT1008" s="17">
        <f>tbl_MTG_Set[[#This Row],[Play Booster CardMarket Profit]]/tbl_MTG_Set[[#This Row],[Play Booster Cost]]</f>
        <v/>
      </c>
      <c r="AU1008" s="10">
        <f>_xlfn.XLOOKUP(tbl_MTG_Set[[#This Row],[Collector Booster Box Product Id]], tbl_Product[Product Id], tbl_Product[Min Cost])</f>
        <v/>
      </c>
      <c r="AV1008" s="10">
        <f>_xlfn.XLOOKUP(tbl_MTG_Set[[#This Row],[Collector Booster Box Product Id]], tbl_Product[Product Id], tbl_Product[Best Source])</f>
        <v/>
      </c>
      <c r="AW1008" s="4">
        <f>_xlfn.XLOOKUP(tbl_MTG_Set[[#This Row],[Collector Booster Box Product Id]], tbl_Product[Product Id], tbl_Product[Pack Size])</f>
        <v/>
      </c>
      <c r="AX1008" s="10">
        <f>(tbl_MTG_Set[[#This Row],[Collector Booster Box Cost]] + v_Item_Shipping_Cost_In) / tbl_MTG_Set[[#This Row],[Collector Booster Box Size]]</f>
        <v/>
      </c>
      <c r="AY1008" s="10">
        <f t="array" ref="AY100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8" s="10" t="n"/>
      <c r="BA10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8" s="17">
        <f>tbl_MTG_Set[[#This Row],[Collector Booster CardMarket Profit]]/tbl_MTG_Set[[#This Row],[Collector Booster Cost]]</f>
        <v/>
      </c>
      <c r="BC1008" s="10" t="n"/>
      <c r="BF1008" s="10">
        <f>tbl_MTG_Set[[#This Row],[Play Booster Sell Price CardMarket]]*tbl_MTG_Set[[#This Row],[Play Booster Expected Market Value]]/tbl_MTG_Set[[#This Row],[Play Boost Sealed Market Value]]</f>
        <v/>
      </c>
      <c r="BG10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8" s="10">
        <f>tbl_MTG_Set[[#This Row],[Play Singles CardMarket Profit]]/tbl_MTG_Set[[#This Row],[Play Booster Cost]]</f>
        <v/>
      </c>
      <c r="BI1008" s="10">
        <f>tbl_MTG_Set[[#This Row],[Play Singles CardMarket Profit]]&gt;0</f>
        <v/>
      </c>
      <c r="BJ1008" s="10" t="n"/>
      <c r="BK1008" s="10" t="n"/>
      <c r="BL1008" s="10">
        <f>tbl_MTG_Set[[#This Row],[Collector Booster Sell Price CardMarket]]*tbl_MTG_Set[[#This Row],[Collector Booster Expected Market Value]]/tbl_MTG_Set[[#This Row],[Collector Boost Sealed Market Value]]</f>
        <v/>
      </c>
      <c r="BM10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8" s="10">
        <f>tbl_MTG_Set[[#This Row],[Collector Singles CardMarket Profit]]/tbl_MTG_Set[[#This Row],[Collector Booster Cost]]</f>
        <v/>
      </c>
      <c r="BO1008" s="10">
        <f>tbl_MTG_Set[[#This Row],[Collector Singles CardMarket Profit]]&gt;0</f>
        <v/>
      </c>
      <c r="BP10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9">
      <c r="A1009" t="n">
        <v>1007</v>
      </c>
      <c r="B1009" t="inlineStr">
        <is>
          <t>Media and Collaboration Promos PMEI</t>
        </is>
      </c>
      <c r="C1009" t="n">
        <v>82</v>
      </c>
      <c r="D1009" s="3" t="n">
        <v>34700</v>
      </c>
      <c r="F1009" t="inlineStr">
        <is>
          <t>en es fr de it pt ja ko ru 汉语 漢語</t>
        </is>
      </c>
      <c r="G1009" t="n">
        <v>1960</v>
      </c>
      <c r="H1009">
        <f>MONTH(NOW())+12*YEAR(NOW())-MONTH(tbl_MTG_Set[[#This Row],[Released On]])-12*YEAR(tbl_MTG_Set[[#This Row],[Released On]])</f>
        <v/>
      </c>
      <c r="I1009">
        <f>_xlfn.XLOOKUP(tbl_MTG_Set[[#This Row],[Type Name]], tbl_MTG_Set_Type[Set Type], tbl_MTG_Set_Type[Index], "(Set Type not found)")</f>
        <v/>
      </c>
      <c r="J1009">
        <f>_xlfn.XLOOKUP(tbl_MTG_Set[[#This Row],[Type Name]], tbl_MTG_Set_Type[Set Type], tbl_MTG_Set_Type[Buy Window Month Start], "(Set Type not found)")</f>
        <v/>
      </c>
      <c r="K1009" s="3">
        <f>tbl_MTG_Set[[#This Row],[Released On]]+tbl_MTG_Set[[#This Row],[Buy Window Month Start]]*365.25/12</f>
        <v/>
      </c>
      <c r="L1009">
        <f>_xlfn.XLOOKUP(tbl_MTG_Set[[#This Row],[Type Name]], tbl_MTG_Set_Type[Set Type], tbl_MTG_Set_Type[Buy Window Month End], "(Set Type not found)", 0, 1)</f>
        <v/>
      </c>
      <c r="M1009" s="3">
        <f>tbl_MTG_Set[[#This Row],[Released On]]+tbl_MTG_Set[[#This Row],[Buy Window Month End]]*365.25/12</f>
        <v/>
      </c>
      <c r="N1009" s="3">
        <f>AND(NOW()&gt;=tbl_MTG_Set[[#This Row],[Buy Window Start]], NOW()&lt;=tbl_MTG_Set[[#This Row],[Buy Window End]])</f>
        <v/>
      </c>
      <c r="O1009">
        <f>_xlfn.XLOOKUP(tbl_MTG_Set[[#This Row],[Type Name]], tbl_MTG_Set_Type[Set Type], tbl_MTG_Set_Type[Heavy Printing Window Month Start], "(Set Type not found)", 0, 1)</f>
        <v/>
      </c>
      <c r="P1009" s="3">
        <f>tbl_MTG_Set[[#This Row],[Released On]]+tbl_MTG_Set[[#This Row],[Heavy Printing Window Month Start]]*365.25/12</f>
        <v/>
      </c>
      <c r="Q1009">
        <f>_xlfn.XLOOKUP(tbl_MTG_Set[[#This Row],[Type Name]], tbl_MTG_Set_Type[Set Type], tbl_MTG_Set_Type[Heavy Printing Window Month End], "(Set Type not found)", 0, 1)</f>
        <v/>
      </c>
      <c r="R1009" s="3">
        <f>tbl_MTG_Set[[#This Row],[Released On]]+tbl_MTG_Set[[#This Row],[Heavy Printing Window Month End]]*365.25/12</f>
        <v/>
      </c>
      <c r="S1009" s="3">
        <f>AND(NOW()&gt;=tbl_MTG_Set[[#This Row],[Heavy Printing Window Start]], NOW()&lt;=tbl_MTG_Set[[#This Row],[Heavy Printing Window End]])</f>
        <v/>
      </c>
      <c r="T1009">
        <f>_xlfn.XLOOKUP(tbl_MTG_Set[[#This Row],[Type Name]], tbl_MTG_Set_Type[Set Type], tbl_MTG_Set_Type[Sell Window Month Start], "(Set Type not found)", 0, 1)</f>
        <v/>
      </c>
      <c r="U1009" s="3">
        <f>tbl_MTG_Set[[#This Row],[Released On]]+tbl_MTG_Set[[#This Row],[Sell Window Month Start]]*365.25/12</f>
        <v/>
      </c>
      <c r="V1009">
        <f>_xlfn.XLOOKUP(tbl_MTG_Set[[#This Row],[Type Name]], tbl_MTG_Set_Type[Set Type], tbl_MTG_Set_Type[Sell Window Month End], "(Set Type not found)", 0, 1)</f>
        <v/>
      </c>
      <c r="W1009" s="3">
        <f>tbl_MTG_Set[[#This Row],[Released On]]+tbl_MTG_Set[[#This Row],[Sell Window Month End]]*365.25/12</f>
        <v/>
      </c>
      <c r="X1009" s="3">
        <f>AND(NOW()&gt;=tbl_MTG_Set[[#This Row],[Sell Window Start]], NOW()&lt;=tbl_MTG_Set[[#This Row],[Sell Window End]])</f>
        <v/>
      </c>
      <c r="AG1009" s="10" t="n"/>
      <c r="AH1009" s="10" t="n"/>
      <c r="AM1009" s="10">
        <f t="array" ref="AM10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9" s="10">
        <f t="array" ref="AN10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9" s="4">
        <f>_xlfn.XLOOKUP(tbl_MTG_Set[[#This Row],[Play Booster Box Product Id]], tbl_Product[Product Id], tbl_Product[Pack Size])</f>
        <v/>
      </c>
      <c r="AP1009" s="10">
        <f>(tbl_MTG_Set[[#This Row],[Play Booster Box Cost]]+v_Item_Shipping_Cost_In)/tbl_MTG_Set[[#This Row],[Play Booster Box Size]]</f>
        <v/>
      </c>
      <c r="AQ1009" s="10">
        <f t="array" ref="AQ100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09" s="10" t="n"/>
      <c r="AS1009" s="10" t="n"/>
      <c r="AT1009" s="17">
        <f>tbl_MTG_Set[[#This Row],[Play Booster CardMarket Profit]]/tbl_MTG_Set[[#This Row],[Play Booster Cost]]</f>
        <v/>
      </c>
      <c r="AU1009" s="10">
        <f>_xlfn.XLOOKUP(tbl_MTG_Set[[#This Row],[Collector Booster Box Product Id]], tbl_Product[Product Id], tbl_Product[Min Cost])</f>
        <v/>
      </c>
      <c r="AV1009" s="10">
        <f>_xlfn.XLOOKUP(tbl_MTG_Set[[#This Row],[Collector Booster Box Product Id]], tbl_Product[Product Id], tbl_Product[Best Source])</f>
        <v/>
      </c>
      <c r="AW1009" s="4">
        <f>_xlfn.XLOOKUP(tbl_MTG_Set[[#This Row],[Collector Booster Box Product Id]], tbl_Product[Product Id], tbl_Product[Pack Size])</f>
        <v/>
      </c>
      <c r="AX1009" s="10">
        <f>(tbl_MTG_Set[[#This Row],[Collector Booster Box Cost]] + v_Item_Shipping_Cost_In) / tbl_MTG_Set[[#This Row],[Collector Booster Box Size]]</f>
        <v/>
      </c>
      <c r="AY1009" s="10">
        <f t="array" ref="AY100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09" s="10" t="n"/>
      <c r="BA10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9" s="17">
        <f>tbl_MTG_Set[[#This Row],[Collector Booster CardMarket Profit]]/tbl_MTG_Set[[#This Row],[Collector Booster Cost]]</f>
        <v/>
      </c>
      <c r="BC1009" s="10" t="n"/>
      <c r="BF1009" s="10">
        <f>tbl_MTG_Set[[#This Row],[Play Booster Sell Price CardMarket]]*tbl_MTG_Set[[#This Row],[Play Booster Expected Market Value]]/tbl_MTG_Set[[#This Row],[Play Boost Sealed Market Value]]</f>
        <v/>
      </c>
      <c r="BG10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9" s="10">
        <f>tbl_MTG_Set[[#This Row],[Play Singles CardMarket Profit]]/tbl_MTG_Set[[#This Row],[Play Booster Cost]]</f>
        <v/>
      </c>
      <c r="BI1009" s="10">
        <f>tbl_MTG_Set[[#This Row],[Play Singles CardMarket Profit]]&gt;0</f>
        <v/>
      </c>
      <c r="BJ1009" s="10" t="n"/>
      <c r="BK1009" s="10" t="n"/>
      <c r="BL1009" s="10">
        <f>tbl_MTG_Set[[#This Row],[Collector Booster Sell Price CardMarket]]*tbl_MTG_Set[[#This Row],[Collector Booster Expected Market Value]]/tbl_MTG_Set[[#This Row],[Collector Boost Sealed Market Value]]</f>
        <v/>
      </c>
      <c r="BM10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9" s="10">
        <f>tbl_MTG_Set[[#This Row],[Collector Singles CardMarket Profit]]/tbl_MTG_Set[[#This Row],[Collector Booster Cost]]</f>
        <v/>
      </c>
      <c r="BO1009" s="10">
        <f>tbl_MTG_Set[[#This Row],[Collector Singles CardMarket Profit]]&gt;0</f>
        <v/>
      </c>
      <c r="BP10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0">
      <c r="A1010" t="n">
        <v>1008</v>
      </c>
      <c r="B1010" t="inlineStr">
        <is>
          <t>Fallen Empires FEM</t>
        </is>
      </c>
      <c r="C1010" t="n">
        <v>187</v>
      </c>
      <c r="D1010" s="3" t="n">
        <v>34639</v>
      </c>
      <c r="F1010" t="inlineStr">
        <is>
          <t>en es fr de it pt ja ko ru 汉语 漢語</t>
        </is>
      </c>
      <c r="G1010" t="n">
        <v>1962</v>
      </c>
      <c r="H1010">
        <f>MONTH(NOW())+12*YEAR(NOW())-MONTH(tbl_MTG_Set[[#This Row],[Released On]])-12*YEAR(tbl_MTG_Set[[#This Row],[Released On]])</f>
        <v/>
      </c>
      <c r="I1010">
        <f>_xlfn.XLOOKUP(tbl_MTG_Set[[#This Row],[Type Name]], tbl_MTG_Set_Type[Set Type], tbl_MTG_Set_Type[Index], "(Set Type not found)")</f>
        <v/>
      </c>
      <c r="J1010">
        <f>_xlfn.XLOOKUP(tbl_MTG_Set[[#This Row],[Type Name]], tbl_MTG_Set_Type[Set Type], tbl_MTG_Set_Type[Buy Window Month Start], "(Set Type not found)")</f>
        <v/>
      </c>
      <c r="K1010" s="3">
        <f>tbl_MTG_Set[[#This Row],[Released On]]+tbl_MTG_Set[[#This Row],[Buy Window Month Start]]*365.25/12</f>
        <v/>
      </c>
      <c r="L1010">
        <f>_xlfn.XLOOKUP(tbl_MTG_Set[[#This Row],[Type Name]], tbl_MTG_Set_Type[Set Type], tbl_MTG_Set_Type[Buy Window Month End], "(Set Type not found)", 0, 1)</f>
        <v/>
      </c>
      <c r="M1010" s="3">
        <f>tbl_MTG_Set[[#This Row],[Released On]]+tbl_MTG_Set[[#This Row],[Buy Window Month End]]*365.25/12</f>
        <v/>
      </c>
      <c r="N1010" s="3">
        <f>AND(NOW()&gt;=tbl_MTG_Set[[#This Row],[Buy Window Start]], NOW()&lt;=tbl_MTG_Set[[#This Row],[Buy Window End]])</f>
        <v/>
      </c>
      <c r="O1010">
        <f>_xlfn.XLOOKUP(tbl_MTG_Set[[#This Row],[Type Name]], tbl_MTG_Set_Type[Set Type], tbl_MTG_Set_Type[Heavy Printing Window Month Start], "(Set Type not found)", 0, 1)</f>
        <v/>
      </c>
      <c r="P1010" s="3">
        <f>tbl_MTG_Set[[#This Row],[Released On]]+tbl_MTG_Set[[#This Row],[Heavy Printing Window Month Start]]*365.25/12</f>
        <v/>
      </c>
      <c r="Q1010">
        <f>_xlfn.XLOOKUP(tbl_MTG_Set[[#This Row],[Type Name]], tbl_MTG_Set_Type[Set Type], tbl_MTG_Set_Type[Heavy Printing Window Month End], "(Set Type not found)", 0, 1)</f>
        <v/>
      </c>
      <c r="R1010" s="3">
        <f>tbl_MTG_Set[[#This Row],[Released On]]+tbl_MTG_Set[[#This Row],[Heavy Printing Window Month End]]*365.25/12</f>
        <v/>
      </c>
      <c r="S1010" s="3">
        <f>AND(NOW()&gt;=tbl_MTG_Set[[#This Row],[Heavy Printing Window Start]], NOW()&lt;=tbl_MTG_Set[[#This Row],[Heavy Printing Window End]])</f>
        <v/>
      </c>
      <c r="T1010">
        <f>_xlfn.XLOOKUP(tbl_MTG_Set[[#This Row],[Type Name]], tbl_MTG_Set_Type[Set Type], tbl_MTG_Set_Type[Sell Window Month Start], "(Set Type not found)", 0, 1)</f>
        <v/>
      </c>
      <c r="U1010" s="3">
        <f>tbl_MTG_Set[[#This Row],[Released On]]+tbl_MTG_Set[[#This Row],[Sell Window Month Start]]*365.25/12</f>
        <v/>
      </c>
      <c r="V1010">
        <f>_xlfn.XLOOKUP(tbl_MTG_Set[[#This Row],[Type Name]], tbl_MTG_Set_Type[Set Type], tbl_MTG_Set_Type[Sell Window Month End], "(Set Type not found)", 0, 1)</f>
        <v/>
      </c>
      <c r="W1010" s="3">
        <f>tbl_MTG_Set[[#This Row],[Released On]]+tbl_MTG_Set[[#This Row],[Sell Window Month End]]*365.25/12</f>
        <v/>
      </c>
      <c r="X1010" s="3">
        <f>AND(NOW()&gt;=tbl_MTG_Set[[#This Row],[Sell Window Start]], NOW()&lt;=tbl_MTG_Set[[#This Row],[Sell Window End]])</f>
        <v/>
      </c>
      <c r="AG1010" s="10" t="n"/>
      <c r="AH1010" s="10" t="n"/>
      <c r="AM1010" s="10">
        <f t="array" ref="AM10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0" s="10">
        <f t="array" ref="AN10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0" s="4">
        <f>_xlfn.XLOOKUP(tbl_MTG_Set[[#This Row],[Play Booster Box Product Id]], tbl_Product[Product Id], tbl_Product[Pack Size])</f>
        <v/>
      </c>
      <c r="AP1010" s="10">
        <f>(tbl_MTG_Set[[#This Row],[Play Booster Box Cost]]+v_Item_Shipping_Cost_In)/tbl_MTG_Set[[#This Row],[Play Booster Box Size]]</f>
        <v/>
      </c>
      <c r="AQ1010" s="10">
        <f t="array" ref="AQ101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0" s="10" t="n"/>
      <c r="AS1010" s="10" t="n"/>
      <c r="AT1010" s="17">
        <f>tbl_MTG_Set[[#This Row],[Play Booster CardMarket Profit]]/tbl_MTG_Set[[#This Row],[Play Booster Cost]]</f>
        <v/>
      </c>
      <c r="AU1010" s="10">
        <f>_xlfn.XLOOKUP(tbl_MTG_Set[[#This Row],[Collector Booster Box Product Id]], tbl_Product[Product Id], tbl_Product[Min Cost])</f>
        <v/>
      </c>
      <c r="AV1010" s="10">
        <f>_xlfn.XLOOKUP(tbl_MTG_Set[[#This Row],[Collector Booster Box Product Id]], tbl_Product[Product Id], tbl_Product[Best Source])</f>
        <v/>
      </c>
      <c r="AW1010" s="4">
        <f>_xlfn.XLOOKUP(tbl_MTG_Set[[#This Row],[Collector Booster Box Product Id]], tbl_Product[Product Id], tbl_Product[Pack Size])</f>
        <v/>
      </c>
      <c r="AX1010" s="10">
        <f>(tbl_MTG_Set[[#This Row],[Collector Booster Box Cost]] + v_Item_Shipping_Cost_In) / tbl_MTG_Set[[#This Row],[Collector Booster Box Size]]</f>
        <v/>
      </c>
      <c r="AY1010" s="10">
        <f t="array" ref="AY101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0" s="10" t="n"/>
      <c r="BA10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0" s="17">
        <f>tbl_MTG_Set[[#This Row],[Collector Booster CardMarket Profit]]/tbl_MTG_Set[[#This Row],[Collector Booster Cost]]</f>
        <v/>
      </c>
      <c r="BC1010" s="10" t="n"/>
      <c r="BF1010" s="10">
        <f>tbl_MTG_Set[[#This Row],[Play Booster Sell Price CardMarket]]*tbl_MTG_Set[[#This Row],[Play Booster Expected Market Value]]/tbl_MTG_Set[[#This Row],[Play Boost Sealed Market Value]]</f>
        <v/>
      </c>
      <c r="BG10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0" s="10">
        <f>tbl_MTG_Set[[#This Row],[Play Singles CardMarket Profit]]/tbl_MTG_Set[[#This Row],[Play Booster Cost]]</f>
        <v/>
      </c>
      <c r="BI1010" s="10">
        <f>tbl_MTG_Set[[#This Row],[Play Singles CardMarket Profit]]&gt;0</f>
        <v/>
      </c>
      <c r="BJ1010" s="10" t="n"/>
      <c r="BK1010" s="10" t="n"/>
      <c r="BL1010" s="10">
        <f>tbl_MTG_Set[[#This Row],[Collector Booster Sell Price CardMarket]]*tbl_MTG_Set[[#This Row],[Collector Booster Expected Market Value]]/tbl_MTG_Set[[#This Row],[Collector Boost Sealed Market Value]]</f>
        <v/>
      </c>
      <c r="BM10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0" s="10">
        <f>tbl_MTG_Set[[#This Row],[Collector Singles CardMarket Profit]]/tbl_MTG_Set[[#This Row],[Collector Booster Cost]]</f>
        <v/>
      </c>
      <c r="BO1010" s="10">
        <f>tbl_MTG_Set[[#This Row],[Collector Singles CardMarket Profit]]&gt;0</f>
        <v/>
      </c>
      <c r="BP10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1">
      <c r="A1011" t="n">
        <v>1009</v>
      </c>
      <c r="B1011" t="inlineStr">
        <is>
          <t>HarperPrism Book Promos PHPR</t>
        </is>
      </c>
      <c r="C1011" t="n">
        <v>5</v>
      </c>
      <c r="D1011" s="3" t="n">
        <v>34578</v>
      </c>
      <c r="F1011" t="inlineStr">
        <is>
          <t>en es fr de it pt ja ko ru 汉语 漢語</t>
        </is>
      </c>
      <c r="G1011" t="n">
        <v>1964</v>
      </c>
      <c r="H1011">
        <f>MONTH(NOW())+12*YEAR(NOW())-MONTH(tbl_MTG_Set[[#This Row],[Released On]])-12*YEAR(tbl_MTG_Set[[#This Row],[Released On]])</f>
        <v/>
      </c>
      <c r="I1011">
        <f>_xlfn.XLOOKUP(tbl_MTG_Set[[#This Row],[Type Name]], tbl_MTG_Set_Type[Set Type], tbl_MTG_Set_Type[Index], "(Set Type not found)")</f>
        <v/>
      </c>
      <c r="J1011">
        <f>_xlfn.XLOOKUP(tbl_MTG_Set[[#This Row],[Type Name]], tbl_MTG_Set_Type[Set Type], tbl_MTG_Set_Type[Buy Window Month Start], "(Set Type not found)")</f>
        <v/>
      </c>
      <c r="K1011" s="3">
        <f>tbl_MTG_Set[[#This Row],[Released On]]+tbl_MTG_Set[[#This Row],[Buy Window Month Start]]*365.25/12</f>
        <v/>
      </c>
      <c r="L1011">
        <f>_xlfn.XLOOKUP(tbl_MTG_Set[[#This Row],[Type Name]], tbl_MTG_Set_Type[Set Type], tbl_MTG_Set_Type[Buy Window Month End], "(Set Type not found)", 0, 1)</f>
        <v/>
      </c>
      <c r="M1011" s="3">
        <f>tbl_MTG_Set[[#This Row],[Released On]]+tbl_MTG_Set[[#This Row],[Buy Window Month End]]*365.25/12</f>
        <v/>
      </c>
      <c r="N1011" s="3">
        <f>AND(NOW()&gt;=tbl_MTG_Set[[#This Row],[Buy Window Start]], NOW()&lt;=tbl_MTG_Set[[#This Row],[Buy Window End]])</f>
        <v/>
      </c>
      <c r="O1011">
        <f>_xlfn.XLOOKUP(tbl_MTG_Set[[#This Row],[Type Name]], tbl_MTG_Set_Type[Set Type], tbl_MTG_Set_Type[Heavy Printing Window Month Start], "(Set Type not found)", 0, 1)</f>
        <v/>
      </c>
      <c r="P1011" s="3">
        <f>tbl_MTG_Set[[#This Row],[Released On]]+tbl_MTG_Set[[#This Row],[Heavy Printing Window Month Start]]*365.25/12</f>
        <v/>
      </c>
      <c r="Q1011">
        <f>_xlfn.XLOOKUP(tbl_MTG_Set[[#This Row],[Type Name]], tbl_MTG_Set_Type[Set Type], tbl_MTG_Set_Type[Heavy Printing Window Month End], "(Set Type not found)", 0, 1)</f>
        <v/>
      </c>
      <c r="R1011" s="3">
        <f>tbl_MTG_Set[[#This Row],[Released On]]+tbl_MTG_Set[[#This Row],[Heavy Printing Window Month End]]*365.25/12</f>
        <v/>
      </c>
      <c r="S1011" s="3">
        <f>AND(NOW()&gt;=tbl_MTG_Set[[#This Row],[Heavy Printing Window Start]], NOW()&lt;=tbl_MTG_Set[[#This Row],[Heavy Printing Window End]])</f>
        <v/>
      </c>
      <c r="T1011">
        <f>_xlfn.XLOOKUP(tbl_MTG_Set[[#This Row],[Type Name]], tbl_MTG_Set_Type[Set Type], tbl_MTG_Set_Type[Sell Window Month Start], "(Set Type not found)", 0, 1)</f>
        <v/>
      </c>
      <c r="U1011" s="3">
        <f>tbl_MTG_Set[[#This Row],[Released On]]+tbl_MTG_Set[[#This Row],[Sell Window Month Start]]*365.25/12</f>
        <v/>
      </c>
      <c r="V1011">
        <f>_xlfn.XLOOKUP(tbl_MTG_Set[[#This Row],[Type Name]], tbl_MTG_Set_Type[Set Type], tbl_MTG_Set_Type[Sell Window Month End], "(Set Type not found)", 0, 1)</f>
        <v/>
      </c>
      <c r="W1011" s="3">
        <f>tbl_MTG_Set[[#This Row],[Released On]]+tbl_MTG_Set[[#This Row],[Sell Window Month End]]*365.25/12</f>
        <v/>
      </c>
      <c r="X1011" s="3">
        <f>AND(NOW()&gt;=tbl_MTG_Set[[#This Row],[Sell Window Start]], NOW()&lt;=tbl_MTG_Set[[#This Row],[Sell Window End]])</f>
        <v/>
      </c>
      <c r="AG1011" s="10" t="n"/>
      <c r="AH1011" s="10" t="n"/>
      <c r="AM1011" s="10">
        <f t="array" ref="AM10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1" s="10">
        <f t="array" ref="AN10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1" s="4">
        <f>_xlfn.XLOOKUP(tbl_MTG_Set[[#This Row],[Play Booster Box Product Id]], tbl_Product[Product Id], tbl_Product[Pack Size])</f>
        <v/>
      </c>
      <c r="AP1011" s="10">
        <f>(tbl_MTG_Set[[#This Row],[Play Booster Box Cost]]+v_Item_Shipping_Cost_In)/tbl_MTG_Set[[#This Row],[Play Booster Box Size]]</f>
        <v/>
      </c>
      <c r="AQ1011" s="10">
        <f t="array" ref="AQ101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1" s="10" t="n"/>
      <c r="AS1011" s="10" t="n"/>
      <c r="AT1011" s="17">
        <f>tbl_MTG_Set[[#This Row],[Play Booster CardMarket Profit]]/tbl_MTG_Set[[#This Row],[Play Booster Cost]]</f>
        <v/>
      </c>
      <c r="AU1011" s="10">
        <f>_xlfn.XLOOKUP(tbl_MTG_Set[[#This Row],[Collector Booster Box Product Id]], tbl_Product[Product Id], tbl_Product[Min Cost])</f>
        <v/>
      </c>
      <c r="AV1011" s="10">
        <f>_xlfn.XLOOKUP(tbl_MTG_Set[[#This Row],[Collector Booster Box Product Id]], tbl_Product[Product Id], tbl_Product[Best Source])</f>
        <v/>
      </c>
      <c r="AW1011" s="4">
        <f>_xlfn.XLOOKUP(tbl_MTG_Set[[#This Row],[Collector Booster Box Product Id]], tbl_Product[Product Id], tbl_Product[Pack Size])</f>
        <v/>
      </c>
      <c r="AX1011" s="10">
        <f>(tbl_MTG_Set[[#This Row],[Collector Booster Box Cost]] + v_Item_Shipping_Cost_In) / tbl_MTG_Set[[#This Row],[Collector Booster Box Size]]</f>
        <v/>
      </c>
      <c r="AY1011" s="10">
        <f t="array" ref="AY101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1" s="10" t="n"/>
      <c r="BA10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1" s="17">
        <f>tbl_MTG_Set[[#This Row],[Collector Booster CardMarket Profit]]/tbl_MTG_Set[[#This Row],[Collector Booster Cost]]</f>
        <v/>
      </c>
      <c r="BC1011" s="10" t="n"/>
      <c r="BF1011" s="10">
        <f>tbl_MTG_Set[[#This Row],[Play Booster Sell Price CardMarket]]*tbl_MTG_Set[[#This Row],[Play Booster Expected Market Value]]/tbl_MTG_Set[[#This Row],[Play Boost Sealed Market Value]]</f>
        <v/>
      </c>
      <c r="BG10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1" s="10">
        <f>tbl_MTG_Set[[#This Row],[Play Singles CardMarket Profit]]/tbl_MTG_Set[[#This Row],[Play Booster Cost]]</f>
        <v/>
      </c>
      <c r="BI1011" s="10">
        <f>tbl_MTG_Set[[#This Row],[Play Singles CardMarket Profit]]&gt;0</f>
        <v/>
      </c>
      <c r="BJ1011" s="10" t="n"/>
      <c r="BK1011" s="10" t="n"/>
      <c r="BL1011" s="10">
        <f>tbl_MTG_Set[[#This Row],[Collector Booster Sell Price CardMarket]]*tbl_MTG_Set[[#This Row],[Collector Booster Expected Market Value]]/tbl_MTG_Set[[#This Row],[Collector Boost Sealed Market Value]]</f>
        <v/>
      </c>
      <c r="BM10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1" s="10">
        <f>tbl_MTG_Set[[#This Row],[Collector Singles CardMarket Profit]]/tbl_MTG_Set[[#This Row],[Collector Booster Cost]]</f>
        <v/>
      </c>
      <c r="BO1011" s="10">
        <f>tbl_MTG_Set[[#This Row],[Collector Singles CardMarket Profit]]&gt;0</f>
        <v/>
      </c>
      <c r="BP10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2">
      <c r="A1012" t="n">
        <v>1010</v>
      </c>
      <c r="B1012" t="inlineStr">
        <is>
          <t>The Dark DRK</t>
        </is>
      </c>
      <c r="C1012" t="n">
        <v>122</v>
      </c>
      <c r="D1012" s="3" t="n">
        <v>34547</v>
      </c>
      <c r="F1012" t="inlineStr">
        <is>
          <t>en es fr de it pt ja ko ru 汉语 漢語</t>
        </is>
      </c>
      <c r="G1012" t="n">
        <v>1966</v>
      </c>
      <c r="H1012">
        <f>MONTH(NOW())+12*YEAR(NOW())-MONTH(tbl_MTG_Set[[#This Row],[Released On]])-12*YEAR(tbl_MTG_Set[[#This Row],[Released On]])</f>
        <v/>
      </c>
      <c r="I1012">
        <f>_xlfn.XLOOKUP(tbl_MTG_Set[[#This Row],[Type Name]], tbl_MTG_Set_Type[Set Type], tbl_MTG_Set_Type[Index], "(Set Type not found)")</f>
        <v/>
      </c>
      <c r="J1012">
        <f>_xlfn.XLOOKUP(tbl_MTG_Set[[#This Row],[Type Name]], tbl_MTG_Set_Type[Set Type], tbl_MTG_Set_Type[Buy Window Month Start], "(Set Type not found)")</f>
        <v/>
      </c>
      <c r="K1012" s="3">
        <f>tbl_MTG_Set[[#This Row],[Released On]]+tbl_MTG_Set[[#This Row],[Buy Window Month Start]]*365.25/12</f>
        <v/>
      </c>
      <c r="L1012">
        <f>_xlfn.XLOOKUP(tbl_MTG_Set[[#This Row],[Type Name]], tbl_MTG_Set_Type[Set Type], tbl_MTG_Set_Type[Buy Window Month End], "(Set Type not found)", 0, 1)</f>
        <v/>
      </c>
      <c r="M1012" s="3">
        <f>tbl_MTG_Set[[#This Row],[Released On]]+tbl_MTG_Set[[#This Row],[Buy Window Month End]]*365.25/12</f>
        <v/>
      </c>
      <c r="N1012" s="3">
        <f>AND(NOW()&gt;=tbl_MTG_Set[[#This Row],[Buy Window Start]], NOW()&lt;=tbl_MTG_Set[[#This Row],[Buy Window End]])</f>
        <v/>
      </c>
      <c r="O1012">
        <f>_xlfn.XLOOKUP(tbl_MTG_Set[[#This Row],[Type Name]], tbl_MTG_Set_Type[Set Type], tbl_MTG_Set_Type[Heavy Printing Window Month Start], "(Set Type not found)", 0, 1)</f>
        <v/>
      </c>
      <c r="P1012" s="3">
        <f>tbl_MTG_Set[[#This Row],[Released On]]+tbl_MTG_Set[[#This Row],[Heavy Printing Window Month Start]]*365.25/12</f>
        <v/>
      </c>
      <c r="Q1012">
        <f>_xlfn.XLOOKUP(tbl_MTG_Set[[#This Row],[Type Name]], tbl_MTG_Set_Type[Set Type], tbl_MTG_Set_Type[Heavy Printing Window Month End], "(Set Type not found)", 0, 1)</f>
        <v/>
      </c>
      <c r="R1012" s="3">
        <f>tbl_MTG_Set[[#This Row],[Released On]]+tbl_MTG_Set[[#This Row],[Heavy Printing Window Month End]]*365.25/12</f>
        <v/>
      </c>
      <c r="S1012" s="3">
        <f>AND(NOW()&gt;=tbl_MTG_Set[[#This Row],[Heavy Printing Window Start]], NOW()&lt;=tbl_MTG_Set[[#This Row],[Heavy Printing Window End]])</f>
        <v/>
      </c>
      <c r="T1012">
        <f>_xlfn.XLOOKUP(tbl_MTG_Set[[#This Row],[Type Name]], tbl_MTG_Set_Type[Set Type], tbl_MTG_Set_Type[Sell Window Month Start], "(Set Type not found)", 0, 1)</f>
        <v/>
      </c>
      <c r="U1012" s="3">
        <f>tbl_MTG_Set[[#This Row],[Released On]]+tbl_MTG_Set[[#This Row],[Sell Window Month Start]]*365.25/12</f>
        <v/>
      </c>
      <c r="V1012">
        <f>_xlfn.XLOOKUP(tbl_MTG_Set[[#This Row],[Type Name]], tbl_MTG_Set_Type[Set Type], tbl_MTG_Set_Type[Sell Window Month End], "(Set Type not found)", 0, 1)</f>
        <v/>
      </c>
      <c r="W1012" s="3">
        <f>tbl_MTG_Set[[#This Row],[Released On]]+tbl_MTG_Set[[#This Row],[Sell Window Month End]]*365.25/12</f>
        <v/>
      </c>
      <c r="X1012" s="3">
        <f>AND(NOW()&gt;=tbl_MTG_Set[[#This Row],[Sell Window Start]], NOW()&lt;=tbl_MTG_Set[[#This Row],[Sell Window End]])</f>
        <v/>
      </c>
      <c r="AG1012" s="10" t="n"/>
      <c r="AH1012" s="10" t="n"/>
      <c r="AM1012" s="10">
        <f t="array" ref="AM10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2" s="10">
        <f t="array" ref="AN10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2" s="4">
        <f>_xlfn.XLOOKUP(tbl_MTG_Set[[#This Row],[Play Booster Box Product Id]], tbl_Product[Product Id], tbl_Product[Pack Size])</f>
        <v/>
      </c>
      <c r="AP1012" s="10">
        <f>(tbl_MTG_Set[[#This Row],[Play Booster Box Cost]]+v_Item_Shipping_Cost_In)/tbl_MTG_Set[[#This Row],[Play Booster Box Size]]</f>
        <v/>
      </c>
      <c r="AQ1012" s="10">
        <f t="array" ref="AQ101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2" s="10" t="n"/>
      <c r="AS1012" s="10" t="n"/>
      <c r="AT1012" s="17">
        <f>tbl_MTG_Set[[#This Row],[Play Booster CardMarket Profit]]/tbl_MTG_Set[[#This Row],[Play Booster Cost]]</f>
        <v/>
      </c>
      <c r="AU1012" s="10">
        <f>_xlfn.XLOOKUP(tbl_MTG_Set[[#This Row],[Collector Booster Box Product Id]], tbl_Product[Product Id], tbl_Product[Min Cost])</f>
        <v/>
      </c>
      <c r="AV1012" s="10">
        <f>_xlfn.XLOOKUP(tbl_MTG_Set[[#This Row],[Collector Booster Box Product Id]], tbl_Product[Product Id], tbl_Product[Best Source])</f>
        <v/>
      </c>
      <c r="AW1012" s="4">
        <f>_xlfn.XLOOKUP(tbl_MTG_Set[[#This Row],[Collector Booster Box Product Id]], tbl_Product[Product Id], tbl_Product[Pack Size])</f>
        <v/>
      </c>
      <c r="AX1012" s="10">
        <f>(tbl_MTG_Set[[#This Row],[Collector Booster Box Cost]] + v_Item_Shipping_Cost_In) / tbl_MTG_Set[[#This Row],[Collector Booster Box Size]]</f>
        <v/>
      </c>
      <c r="AY1012" s="10">
        <f t="array" ref="AY101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2" s="10" t="n"/>
      <c r="BA10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2" s="17">
        <f>tbl_MTG_Set[[#This Row],[Collector Booster CardMarket Profit]]/tbl_MTG_Set[[#This Row],[Collector Booster Cost]]</f>
        <v/>
      </c>
      <c r="BC1012" s="10" t="n"/>
      <c r="BF1012" s="10">
        <f>tbl_MTG_Set[[#This Row],[Play Booster Sell Price CardMarket]]*tbl_MTG_Set[[#This Row],[Play Booster Expected Market Value]]/tbl_MTG_Set[[#This Row],[Play Boost Sealed Market Value]]</f>
        <v/>
      </c>
      <c r="BG10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2" s="10">
        <f>tbl_MTG_Set[[#This Row],[Play Singles CardMarket Profit]]/tbl_MTG_Set[[#This Row],[Play Booster Cost]]</f>
        <v/>
      </c>
      <c r="BI1012" s="10">
        <f>tbl_MTG_Set[[#This Row],[Play Singles CardMarket Profit]]&gt;0</f>
        <v/>
      </c>
      <c r="BJ1012" s="10" t="n"/>
      <c r="BK1012" s="10" t="n"/>
      <c r="BL1012" s="10">
        <f>tbl_MTG_Set[[#This Row],[Collector Booster Sell Price CardMarket]]*tbl_MTG_Set[[#This Row],[Collector Booster Expected Market Value]]/tbl_MTG_Set[[#This Row],[Collector Boost Sealed Market Value]]</f>
        <v/>
      </c>
      <c r="BM10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2" s="10">
        <f>tbl_MTG_Set[[#This Row],[Collector Singles CardMarket Profit]]/tbl_MTG_Set[[#This Row],[Collector Booster Cost]]</f>
        <v/>
      </c>
      <c r="BO1012" s="10">
        <f>tbl_MTG_Set[[#This Row],[Collector Singles CardMarket Profit]]&gt;0</f>
        <v/>
      </c>
      <c r="BP10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3">
      <c r="A1013" t="n">
        <v>1011</v>
      </c>
      <c r="B1013" t="inlineStr">
        <is>
          <t>Dragon Con PDRC</t>
        </is>
      </c>
      <c r="C1013" t="n">
        <v>1</v>
      </c>
      <c r="D1013" s="3" t="n">
        <v>34530</v>
      </c>
      <c r="F1013" t="inlineStr">
        <is>
          <t>en es fr de it pt ja ko ru 汉语 漢語</t>
        </is>
      </c>
      <c r="G1013" t="n">
        <v>1968</v>
      </c>
      <c r="H1013">
        <f>MONTH(NOW())+12*YEAR(NOW())-MONTH(tbl_MTG_Set[[#This Row],[Released On]])-12*YEAR(tbl_MTG_Set[[#This Row],[Released On]])</f>
        <v/>
      </c>
      <c r="I1013">
        <f>_xlfn.XLOOKUP(tbl_MTG_Set[[#This Row],[Type Name]], tbl_MTG_Set_Type[Set Type], tbl_MTG_Set_Type[Index], "(Set Type not found)")</f>
        <v/>
      </c>
      <c r="J1013">
        <f>_xlfn.XLOOKUP(tbl_MTG_Set[[#This Row],[Type Name]], tbl_MTG_Set_Type[Set Type], tbl_MTG_Set_Type[Buy Window Month Start], "(Set Type not found)")</f>
        <v/>
      </c>
      <c r="K1013" s="3">
        <f>tbl_MTG_Set[[#This Row],[Released On]]+tbl_MTG_Set[[#This Row],[Buy Window Month Start]]*365.25/12</f>
        <v/>
      </c>
      <c r="L1013">
        <f>_xlfn.XLOOKUP(tbl_MTG_Set[[#This Row],[Type Name]], tbl_MTG_Set_Type[Set Type], tbl_MTG_Set_Type[Buy Window Month End], "(Set Type not found)", 0, 1)</f>
        <v/>
      </c>
      <c r="M1013" s="3">
        <f>tbl_MTG_Set[[#This Row],[Released On]]+tbl_MTG_Set[[#This Row],[Buy Window Month End]]*365.25/12</f>
        <v/>
      </c>
      <c r="N1013" s="3">
        <f>AND(NOW()&gt;=tbl_MTG_Set[[#This Row],[Buy Window Start]], NOW()&lt;=tbl_MTG_Set[[#This Row],[Buy Window End]])</f>
        <v/>
      </c>
      <c r="O1013">
        <f>_xlfn.XLOOKUP(tbl_MTG_Set[[#This Row],[Type Name]], tbl_MTG_Set_Type[Set Type], tbl_MTG_Set_Type[Heavy Printing Window Month Start], "(Set Type not found)", 0, 1)</f>
        <v/>
      </c>
      <c r="P1013" s="3">
        <f>tbl_MTG_Set[[#This Row],[Released On]]+tbl_MTG_Set[[#This Row],[Heavy Printing Window Month Start]]*365.25/12</f>
        <v/>
      </c>
      <c r="Q1013">
        <f>_xlfn.XLOOKUP(tbl_MTG_Set[[#This Row],[Type Name]], tbl_MTG_Set_Type[Set Type], tbl_MTG_Set_Type[Heavy Printing Window Month End], "(Set Type not found)", 0, 1)</f>
        <v/>
      </c>
      <c r="R1013" s="3">
        <f>tbl_MTG_Set[[#This Row],[Released On]]+tbl_MTG_Set[[#This Row],[Heavy Printing Window Month End]]*365.25/12</f>
        <v/>
      </c>
      <c r="S1013" s="3">
        <f>AND(NOW()&gt;=tbl_MTG_Set[[#This Row],[Heavy Printing Window Start]], NOW()&lt;=tbl_MTG_Set[[#This Row],[Heavy Printing Window End]])</f>
        <v/>
      </c>
      <c r="T1013">
        <f>_xlfn.XLOOKUP(tbl_MTG_Set[[#This Row],[Type Name]], tbl_MTG_Set_Type[Set Type], tbl_MTG_Set_Type[Sell Window Month Start], "(Set Type not found)", 0, 1)</f>
        <v/>
      </c>
      <c r="U1013" s="3">
        <f>tbl_MTG_Set[[#This Row],[Released On]]+tbl_MTG_Set[[#This Row],[Sell Window Month Start]]*365.25/12</f>
        <v/>
      </c>
      <c r="V1013">
        <f>_xlfn.XLOOKUP(tbl_MTG_Set[[#This Row],[Type Name]], tbl_MTG_Set_Type[Set Type], tbl_MTG_Set_Type[Sell Window Month End], "(Set Type not found)", 0, 1)</f>
        <v/>
      </c>
      <c r="W1013" s="3">
        <f>tbl_MTG_Set[[#This Row],[Released On]]+tbl_MTG_Set[[#This Row],[Sell Window Month End]]*365.25/12</f>
        <v/>
      </c>
      <c r="X1013" s="3">
        <f>AND(NOW()&gt;=tbl_MTG_Set[[#This Row],[Sell Window Start]], NOW()&lt;=tbl_MTG_Set[[#This Row],[Sell Window End]])</f>
        <v/>
      </c>
      <c r="AG1013" s="10" t="n"/>
      <c r="AH1013" s="10" t="n"/>
      <c r="AM1013" s="10">
        <f t="array" ref="AM10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3" s="10">
        <f t="array" ref="AN10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3" s="4">
        <f>_xlfn.XLOOKUP(tbl_MTG_Set[[#This Row],[Play Booster Box Product Id]], tbl_Product[Product Id], tbl_Product[Pack Size])</f>
        <v/>
      </c>
      <c r="AP1013" s="10">
        <f>(tbl_MTG_Set[[#This Row],[Play Booster Box Cost]]+v_Item_Shipping_Cost_In)/tbl_MTG_Set[[#This Row],[Play Booster Box Size]]</f>
        <v/>
      </c>
      <c r="AQ1013" s="10">
        <f t="array" ref="AQ101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3" s="10" t="n"/>
      <c r="AS1013" s="10" t="n"/>
      <c r="AT1013" s="17">
        <f>tbl_MTG_Set[[#This Row],[Play Booster CardMarket Profit]]/tbl_MTG_Set[[#This Row],[Play Booster Cost]]</f>
        <v/>
      </c>
      <c r="AU1013" s="10">
        <f>_xlfn.XLOOKUP(tbl_MTG_Set[[#This Row],[Collector Booster Box Product Id]], tbl_Product[Product Id], tbl_Product[Min Cost])</f>
        <v/>
      </c>
      <c r="AV1013" s="10">
        <f>_xlfn.XLOOKUP(tbl_MTG_Set[[#This Row],[Collector Booster Box Product Id]], tbl_Product[Product Id], tbl_Product[Best Source])</f>
        <v/>
      </c>
      <c r="AW1013" s="4">
        <f>_xlfn.XLOOKUP(tbl_MTG_Set[[#This Row],[Collector Booster Box Product Id]], tbl_Product[Product Id], tbl_Product[Pack Size])</f>
        <v/>
      </c>
      <c r="AX1013" s="10">
        <f>(tbl_MTG_Set[[#This Row],[Collector Booster Box Cost]] + v_Item_Shipping_Cost_In) / tbl_MTG_Set[[#This Row],[Collector Booster Box Size]]</f>
        <v/>
      </c>
      <c r="AY1013" s="10">
        <f t="array" ref="AY101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3" s="10" t="n"/>
      <c r="BA10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3" s="17">
        <f>tbl_MTG_Set[[#This Row],[Collector Booster CardMarket Profit]]/tbl_MTG_Set[[#This Row],[Collector Booster Cost]]</f>
        <v/>
      </c>
      <c r="BC1013" s="10" t="n"/>
      <c r="BF1013" s="10">
        <f>tbl_MTG_Set[[#This Row],[Play Booster Sell Price CardMarket]]*tbl_MTG_Set[[#This Row],[Play Booster Expected Market Value]]/tbl_MTG_Set[[#This Row],[Play Boost Sealed Market Value]]</f>
        <v/>
      </c>
      <c r="BG10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3" s="10">
        <f>tbl_MTG_Set[[#This Row],[Play Singles CardMarket Profit]]/tbl_MTG_Set[[#This Row],[Play Booster Cost]]</f>
        <v/>
      </c>
      <c r="BI1013" s="10">
        <f>tbl_MTG_Set[[#This Row],[Play Singles CardMarket Profit]]&gt;0</f>
        <v/>
      </c>
      <c r="BJ1013" s="10" t="n"/>
      <c r="BK1013" s="10" t="n"/>
      <c r="BL1013" s="10">
        <f>tbl_MTG_Set[[#This Row],[Collector Booster Sell Price CardMarket]]*tbl_MTG_Set[[#This Row],[Collector Booster Expected Market Value]]/tbl_MTG_Set[[#This Row],[Collector Boost Sealed Market Value]]</f>
        <v/>
      </c>
      <c r="BM10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3" s="10">
        <f>tbl_MTG_Set[[#This Row],[Collector Singles CardMarket Profit]]/tbl_MTG_Set[[#This Row],[Collector Booster Cost]]</f>
        <v/>
      </c>
      <c r="BO1013" s="10">
        <f>tbl_MTG_Set[[#This Row],[Collector Singles CardMarket Profit]]&gt;0</f>
        <v/>
      </c>
      <c r="BP10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4">
      <c r="A1014" t="n">
        <v>1012</v>
      </c>
      <c r="B1014" t="inlineStr">
        <is>
          <t>Summer Magic / Edgar SUM</t>
        </is>
      </c>
      <c r="C1014" t="n">
        <v>306</v>
      </c>
      <c r="D1014" s="3" t="n">
        <v>34506</v>
      </c>
      <c r="F1014" t="inlineStr">
        <is>
          <t>en es fr de it pt ja ko ru 汉语 漢語</t>
        </is>
      </c>
      <c r="G1014" t="n">
        <v>1970</v>
      </c>
      <c r="H1014">
        <f>MONTH(NOW())+12*YEAR(NOW())-MONTH(tbl_MTG_Set[[#This Row],[Released On]])-12*YEAR(tbl_MTG_Set[[#This Row],[Released On]])</f>
        <v/>
      </c>
      <c r="I1014">
        <f>_xlfn.XLOOKUP(tbl_MTG_Set[[#This Row],[Type Name]], tbl_MTG_Set_Type[Set Type], tbl_MTG_Set_Type[Index], "(Set Type not found)")</f>
        <v/>
      </c>
      <c r="J1014">
        <f>_xlfn.XLOOKUP(tbl_MTG_Set[[#This Row],[Type Name]], tbl_MTG_Set_Type[Set Type], tbl_MTG_Set_Type[Buy Window Month Start], "(Set Type not found)")</f>
        <v/>
      </c>
      <c r="K1014" s="3">
        <f>tbl_MTG_Set[[#This Row],[Released On]]+tbl_MTG_Set[[#This Row],[Buy Window Month Start]]*365.25/12</f>
        <v/>
      </c>
      <c r="L1014">
        <f>_xlfn.XLOOKUP(tbl_MTG_Set[[#This Row],[Type Name]], tbl_MTG_Set_Type[Set Type], tbl_MTG_Set_Type[Buy Window Month End], "(Set Type not found)", 0, 1)</f>
        <v/>
      </c>
      <c r="M1014" s="3">
        <f>tbl_MTG_Set[[#This Row],[Released On]]+tbl_MTG_Set[[#This Row],[Buy Window Month End]]*365.25/12</f>
        <v/>
      </c>
      <c r="N1014" s="3">
        <f>AND(NOW()&gt;=tbl_MTG_Set[[#This Row],[Buy Window Start]], NOW()&lt;=tbl_MTG_Set[[#This Row],[Buy Window End]])</f>
        <v/>
      </c>
      <c r="O1014">
        <f>_xlfn.XLOOKUP(tbl_MTG_Set[[#This Row],[Type Name]], tbl_MTG_Set_Type[Set Type], tbl_MTG_Set_Type[Heavy Printing Window Month Start], "(Set Type not found)", 0, 1)</f>
        <v/>
      </c>
      <c r="P1014" s="3">
        <f>tbl_MTG_Set[[#This Row],[Released On]]+tbl_MTG_Set[[#This Row],[Heavy Printing Window Month Start]]*365.25/12</f>
        <v/>
      </c>
      <c r="Q1014">
        <f>_xlfn.XLOOKUP(tbl_MTG_Set[[#This Row],[Type Name]], tbl_MTG_Set_Type[Set Type], tbl_MTG_Set_Type[Heavy Printing Window Month End], "(Set Type not found)", 0, 1)</f>
        <v/>
      </c>
      <c r="R1014" s="3">
        <f>tbl_MTG_Set[[#This Row],[Released On]]+tbl_MTG_Set[[#This Row],[Heavy Printing Window Month End]]*365.25/12</f>
        <v/>
      </c>
      <c r="S1014" s="3">
        <f>AND(NOW()&gt;=tbl_MTG_Set[[#This Row],[Heavy Printing Window Start]], NOW()&lt;=tbl_MTG_Set[[#This Row],[Heavy Printing Window End]])</f>
        <v/>
      </c>
      <c r="T1014">
        <f>_xlfn.XLOOKUP(tbl_MTG_Set[[#This Row],[Type Name]], tbl_MTG_Set_Type[Set Type], tbl_MTG_Set_Type[Sell Window Month Start], "(Set Type not found)", 0, 1)</f>
        <v/>
      </c>
      <c r="U1014" s="3">
        <f>tbl_MTG_Set[[#This Row],[Released On]]+tbl_MTG_Set[[#This Row],[Sell Window Month Start]]*365.25/12</f>
        <v/>
      </c>
      <c r="V1014">
        <f>_xlfn.XLOOKUP(tbl_MTG_Set[[#This Row],[Type Name]], tbl_MTG_Set_Type[Set Type], tbl_MTG_Set_Type[Sell Window Month End], "(Set Type not found)", 0, 1)</f>
        <v/>
      </c>
      <c r="W1014" s="3">
        <f>tbl_MTG_Set[[#This Row],[Released On]]+tbl_MTG_Set[[#This Row],[Sell Window Month End]]*365.25/12</f>
        <v/>
      </c>
      <c r="X1014" s="3">
        <f>AND(NOW()&gt;=tbl_MTG_Set[[#This Row],[Sell Window Start]], NOW()&lt;=tbl_MTG_Set[[#This Row],[Sell Window End]])</f>
        <v/>
      </c>
      <c r="AG1014" s="10" t="n"/>
      <c r="AH1014" s="10" t="n"/>
      <c r="AM1014" s="10">
        <f t="array" ref="AM10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4" s="10">
        <f t="array" ref="AN10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4" s="4">
        <f>_xlfn.XLOOKUP(tbl_MTG_Set[[#This Row],[Play Booster Box Product Id]], tbl_Product[Product Id], tbl_Product[Pack Size])</f>
        <v/>
      </c>
      <c r="AP1014" s="10">
        <f>(tbl_MTG_Set[[#This Row],[Play Booster Box Cost]]+v_Item_Shipping_Cost_In)/tbl_MTG_Set[[#This Row],[Play Booster Box Size]]</f>
        <v/>
      </c>
      <c r="AQ1014" s="10">
        <f t="array" ref="AQ101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4" s="10" t="n"/>
      <c r="AS1014" s="10" t="n"/>
      <c r="AT1014" s="17">
        <f>tbl_MTG_Set[[#This Row],[Play Booster CardMarket Profit]]/tbl_MTG_Set[[#This Row],[Play Booster Cost]]</f>
        <v/>
      </c>
      <c r="AU1014" s="10">
        <f>_xlfn.XLOOKUP(tbl_MTG_Set[[#This Row],[Collector Booster Box Product Id]], tbl_Product[Product Id], tbl_Product[Min Cost])</f>
        <v/>
      </c>
      <c r="AV1014" s="10">
        <f>_xlfn.XLOOKUP(tbl_MTG_Set[[#This Row],[Collector Booster Box Product Id]], tbl_Product[Product Id], tbl_Product[Best Source])</f>
        <v/>
      </c>
      <c r="AW1014" s="4">
        <f>_xlfn.XLOOKUP(tbl_MTG_Set[[#This Row],[Collector Booster Box Product Id]], tbl_Product[Product Id], tbl_Product[Pack Size])</f>
        <v/>
      </c>
      <c r="AX1014" s="10">
        <f>(tbl_MTG_Set[[#This Row],[Collector Booster Box Cost]] + v_Item_Shipping_Cost_In) / tbl_MTG_Set[[#This Row],[Collector Booster Box Size]]</f>
        <v/>
      </c>
      <c r="AY1014" s="10">
        <f t="array" ref="AY101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4" s="10" t="n"/>
      <c r="BA10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4" s="17">
        <f>tbl_MTG_Set[[#This Row],[Collector Booster CardMarket Profit]]/tbl_MTG_Set[[#This Row],[Collector Booster Cost]]</f>
        <v/>
      </c>
      <c r="BC1014" s="10" t="n"/>
      <c r="BF1014" s="10">
        <f>tbl_MTG_Set[[#This Row],[Play Booster Sell Price CardMarket]]*tbl_MTG_Set[[#This Row],[Play Booster Expected Market Value]]/tbl_MTG_Set[[#This Row],[Play Boost Sealed Market Value]]</f>
        <v/>
      </c>
      <c r="BG10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4" s="10">
        <f>tbl_MTG_Set[[#This Row],[Play Singles CardMarket Profit]]/tbl_MTG_Set[[#This Row],[Play Booster Cost]]</f>
        <v/>
      </c>
      <c r="BI1014" s="10">
        <f>tbl_MTG_Set[[#This Row],[Play Singles CardMarket Profit]]&gt;0</f>
        <v/>
      </c>
      <c r="BJ1014" s="10" t="n"/>
      <c r="BK1014" s="10" t="n"/>
      <c r="BL1014" s="10">
        <f>tbl_MTG_Set[[#This Row],[Collector Booster Sell Price CardMarket]]*tbl_MTG_Set[[#This Row],[Collector Booster Expected Market Value]]/tbl_MTG_Set[[#This Row],[Collector Boost Sealed Market Value]]</f>
        <v/>
      </c>
      <c r="BM10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4" s="10">
        <f>tbl_MTG_Set[[#This Row],[Collector Singles CardMarket Profit]]/tbl_MTG_Set[[#This Row],[Collector Booster Cost]]</f>
        <v/>
      </c>
      <c r="BO1014" s="10">
        <f>tbl_MTG_Set[[#This Row],[Collector Singles CardMarket Profit]]&gt;0</f>
        <v/>
      </c>
      <c r="BP10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5">
      <c r="A1015" t="n">
        <v>1013</v>
      </c>
      <c r="B1015" t="inlineStr">
        <is>
          <t>Legends LEG</t>
        </is>
      </c>
      <c r="C1015" t="n">
        <v>310</v>
      </c>
      <c r="D1015" s="3" t="n">
        <v>34486</v>
      </c>
      <c r="F1015" t="inlineStr">
        <is>
          <t>en es fr de it pt ja ko ru 汉语 漢語</t>
        </is>
      </c>
      <c r="G1015" t="n">
        <v>1972</v>
      </c>
      <c r="H1015">
        <f>MONTH(NOW())+12*YEAR(NOW())-MONTH(tbl_MTG_Set[[#This Row],[Released On]])-12*YEAR(tbl_MTG_Set[[#This Row],[Released On]])</f>
        <v/>
      </c>
      <c r="I1015">
        <f>_xlfn.XLOOKUP(tbl_MTG_Set[[#This Row],[Type Name]], tbl_MTG_Set_Type[Set Type], tbl_MTG_Set_Type[Index], "(Set Type not found)")</f>
        <v/>
      </c>
      <c r="J1015">
        <f>_xlfn.XLOOKUP(tbl_MTG_Set[[#This Row],[Type Name]], tbl_MTG_Set_Type[Set Type], tbl_MTG_Set_Type[Buy Window Month Start], "(Set Type not found)")</f>
        <v/>
      </c>
      <c r="K1015" s="3">
        <f>tbl_MTG_Set[[#This Row],[Released On]]+tbl_MTG_Set[[#This Row],[Buy Window Month Start]]*365.25/12</f>
        <v/>
      </c>
      <c r="L1015">
        <f>_xlfn.XLOOKUP(tbl_MTG_Set[[#This Row],[Type Name]], tbl_MTG_Set_Type[Set Type], tbl_MTG_Set_Type[Buy Window Month End], "(Set Type not found)", 0, 1)</f>
        <v/>
      </c>
      <c r="M1015" s="3">
        <f>tbl_MTG_Set[[#This Row],[Released On]]+tbl_MTG_Set[[#This Row],[Buy Window Month End]]*365.25/12</f>
        <v/>
      </c>
      <c r="N1015" s="3">
        <f>AND(NOW()&gt;=tbl_MTG_Set[[#This Row],[Buy Window Start]], NOW()&lt;=tbl_MTG_Set[[#This Row],[Buy Window End]])</f>
        <v/>
      </c>
      <c r="O1015">
        <f>_xlfn.XLOOKUP(tbl_MTG_Set[[#This Row],[Type Name]], tbl_MTG_Set_Type[Set Type], tbl_MTG_Set_Type[Heavy Printing Window Month Start], "(Set Type not found)", 0, 1)</f>
        <v/>
      </c>
      <c r="P1015" s="3">
        <f>tbl_MTG_Set[[#This Row],[Released On]]+tbl_MTG_Set[[#This Row],[Heavy Printing Window Month Start]]*365.25/12</f>
        <v/>
      </c>
      <c r="Q1015">
        <f>_xlfn.XLOOKUP(tbl_MTG_Set[[#This Row],[Type Name]], tbl_MTG_Set_Type[Set Type], tbl_MTG_Set_Type[Heavy Printing Window Month End], "(Set Type not found)", 0, 1)</f>
        <v/>
      </c>
      <c r="R1015" s="3">
        <f>tbl_MTG_Set[[#This Row],[Released On]]+tbl_MTG_Set[[#This Row],[Heavy Printing Window Month End]]*365.25/12</f>
        <v/>
      </c>
      <c r="S1015" s="3">
        <f>AND(NOW()&gt;=tbl_MTG_Set[[#This Row],[Heavy Printing Window Start]], NOW()&lt;=tbl_MTG_Set[[#This Row],[Heavy Printing Window End]])</f>
        <v/>
      </c>
      <c r="T1015">
        <f>_xlfn.XLOOKUP(tbl_MTG_Set[[#This Row],[Type Name]], tbl_MTG_Set_Type[Set Type], tbl_MTG_Set_Type[Sell Window Month Start], "(Set Type not found)", 0, 1)</f>
        <v/>
      </c>
      <c r="U1015" s="3">
        <f>tbl_MTG_Set[[#This Row],[Released On]]+tbl_MTG_Set[[#This Row],[Sell Window Month Start]]*365.25/12</f>
        <v/>
      </c>
      <c r="V1015">
        <f>_xlfn.XLOOKUP(tbl_MTG_Set[[#This Row],[Type Name]], tbl_MTG_Set_Type[Set Type], tbl_MTG_Set_Type[Sell Window Month End], "(Set Type not found)", 0, 1)</f>
        <v/>
      </c>
      <c r="W1015" s="3">
        <f>tbl_MTG_Set[[#This Row],[Released On]]+tbl_MTG_Set[[#This Row],[Sell Window Month End]]*365.25/12</f>
        <v/>
      </c>
      <c r="X1015" s="3">
        <f>AND(NOW()&gt;=tbl_MTG_Set[[#This Row],[Sell Window Start]], NOW()&lt;=tbl_MTG_Set[[#This Row],[Sell Window End]])</f>
        <v/>
      </c>
      <c r="AG1015" s="10" t="n"/>
      <c r="AH1015" s="10" t="n"/>
      <c r="AM1015" s="10">
        <f t="array" ref="AM10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5" s="10">
        <f t="array" ref="AN10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5" s="4">
        <f>_xlfn.XLOOKUP(tbl_MTG_Set[[#This Row],[Play Booster Box Product Id]], tbl_Product[Product Id], tbl_Product[Pack Size])</f>
        <v/>
      </c>
      <c r="AP1015" s="10">
        <f>(tbl_MTG_Set[[#This Row],[Play Booster Box Cost]]+v_Item_Shipping_Cost_In)/tbl_MTG_Set[[#This Row],[Play Booster Box Size]]</f>
        <v/>
      </c>
      <c r="AQ1015" s="10">
        <f t="array" ref="AQ1015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5" s="10" t="n"/>
      <c r="AS1015" s="10" t="n"/>
      <c r="AT1015" s="17">
        <f>tbl_MTG_Set[[#This Row],[Play Booster CardMarket Profit]]/tbl_MTG_Set[[#This Row],[Play Booster Cost]]</f>
        <v/>
      </c>
      <c r="AU1015" s="10">
        <f>_xlfn.XLOOKUP(tbl_MTG_Set[[#This Row],[Collector Booster Box Product Id]], tbl_Product[Product Id], tbl_Product[Min Cost])</f>
        <v/>
      </c>
      <c r="AV1015" s="10">
        <f>_xlfn.XLOOKUP(tbl_MTG_Set[[#This Row],[Collector Booster Box Product Id]], tbl_Product[Product Id], tbl_Product[Best Source])</f>
        <v/>
      </c>
      <c r="AW1015" s="4">
        <f>_xlfn.XLOOKUP(tbl_MTG_Set[[#This Row],[Collector Booster Box Product Id]], tbl_Product[Product Id], tbl_Product[Pack Size])</f>
        <v/>
      </c>
      <c r="AX1015" s="10">
        <f>(tbl_MTG_Set[[#This Row],[Collector Booster Box Cost]] + v_Item_Shipping_Cost_In) / tbl_MTG_Set[[#This Row],[Collector Booster Box Size]]</f>
        <v/>
      </c>
      <c r="AY1015" s="10">
        <f t="array" ref="AY1015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5" s="10" t="n"/>
      <c r="BA10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5" s="17">
        <f>tbl_MTG_Set[[#This Row],[Collector Booster CardMarket Profit]]/tbl_MTG_Set[[#This Row],[Collector Booster Cost]]</f>
        <v/>
      </c>
      <c r="BC1015" s="10" t="n"/>
      <c r="BF1015" s="10">
        <f>tbl_MTG_Set[[#This Row],[Play Booster Sell Price CardMarket]]*tbl_MTG_Set[[#This Row],[Play Booster Expected Market Value]]/tbl_MTG_Set[[#This Row],[Play Boost Sealed Market Value]]</f>
        <v/>
      </c>
      <c r="BG10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5" s="10">
        <f>tbl_MTG_Set[[#This Row],[Play Singles CardMarket Profit]]/tbl_MTG_Set[[#This Row],[Play Booster Cost]]</f>
        <v/>
      </c>
      <c r="BI1015" s="10">
        <f>tbl_MTG_Set[[#This Row],[Play Singles CardMarket Profit]]&gt;0</f>
        <v/>
      </c>
      <c r="BJ1015" s="10" t="n"/>
      <c r="BK1015" s="10" t="n"/>
      <c r="BL1015" s="10">
        <f>tbl_MTG_Set[[#This Row],[Collector Booster Sell Price CardMarket]]*tbl_MTG_Set[[#This Row],[Collector Booster Expected Market Value]]/tbl_MTG_Set[[#This Row],[Collector Boost Sealed Market Value]]</f>
        <v/>
      </c>
      <c r="BM10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5" s="10">
        <f>tbl_MTG_Set[[#This Row],[Collector Singles CardMarket Profit]]/tbl_MTG_Set[[#This Row],[Collector Booster Cost]]</f>
        <v/>
      </c>
      <c r="BO1015" s="10">
        <f>tbl_MTG_Set[[#This Row],[Collector Singles CardMarket Profit]]&gt;0</f>
        <v/>
      </c>
      <c r="BP10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6">
      <c r="A1016" t="n">
        <v>1014</v>
      </c>
      <c r="B1016" t="inlineStr">
        <is>
          <t>Revised Edition 3ED</t>
        </is>
      </c>
      <c r="C1016" t="n">
        <v>306</v>
      </c>
      <c r="D1016" s="3" t="n">
        <v>34435</v>
      </c>
      <c r="F1016" t="inlineStr">
        <is>
          <t>en es fr de it pt ja ko ru 汉语 漢語</t>
        </is>
      </c>
      <c r="G1016" t="n">
        <v>1974</v>
      </c>
      <c r="H1016">
        <f>MONTH(NOW())+12*YEAR(NOW())-MONTH(tbl_MTG_Set[[#This Row],[Released On]])-12*YEAR(tbl_MTG_Set[[#This Row],[Released On]])</f>
        <v/>
      </c>
      <c r="I1016">
        <f>_xlfn.XLOOKUP(tbl_MTG_Set[[#This Row],[Type Name]], tbl_MTG_Set_Type[Set Type], tbl_MTG_Set_Type[Index], "(Set Type not found)")</f>
        <v/>
      </c>
      <c r="J1016">
        <f>_xlfn.XLOOKUP(tbl_MTG_Set[[#This Row],[Type Name]], tbl_MTG_Set_Type[Set Type], tbl_MTG_Set_Type[Buy Window Month Start], "(Set Type not found)")</f>
        <v/>
      </c>
      <c r="K1016" s="3">
        <f>tbl_MTG_Set[[#This Row],[Released On]]+tbl_MTG_Set[[#This Row],[Buy Window Month Start]]*365.25/12</f>
        <v/>
      </c>
      <c r="L1016">
        <f>_xlfn.XLOOKUP(tbl_MTG_Set[[#This Row],[Type Name]], tbl_MTG_Set_Type[Set Type], tbl_MTG_Set_Type[Buy Window Month End], "(Set Type not found)", 0, 1)</f>
        <v/>
      </c>
      <c r="M1016" s="3">
        <f>tbl_MTG_Set[[#This Row],[Released On]]+tbl_MTG_Set[[#This Row],[Buy Window Month End]]*365.25/12</f>
        <v/>
      </c>
      <c r="N1016" s="3">
        <f>AND(NOW()&gt;=tbl_MTG_Set[[#This Row],[Buy Window Start]], NOW()&lt;=tbl_MTG_Set[[#This Row],[Buy Window End]])</f>
        <v/>
      </c>
      <c r="O1016">
        <f>_xlfn.XLOOKUP(tbl_MTG_Set[[#This Row],[Type Name]], tbl_MTG_Set_Type[Set Type], tbl_MTG_Set_Type[Heavy Printing Window Month Start], "(Set Type not found)", 0, 1)</f>
        <v/>
      </c>
      <c r="P1016" s="3">
        <f>tbl_MTG_Set[[#This Row],[Released On]]+tbl_MTG_Set[[#This Row],[Heavy Printing Window Month Start]]*365.25/12</f>
        <v/>
      </c>
      <c r="Q1016">
        <f>_xlfn.XLOOKUP(tbl_MTG_Set[[#This Row],[Type Name]], tbl_MTG_Set_Type[Set Type], tbl_MTG_Set_Type[Heavy Printing Window Month End], "(Set Type not found)", 0, 1)</f>
        <v/>
      </c>
      <c r="R1016" s="3">
        <f>tbl_MTG_Set[[#This Row],[Released On]]+tbl_MTG_Set[[#This Row],[Heavy Printing Window Month End]]*365.25/12</f>
        <v/>
      </c>
      <c r="S1016" s="3">
        <f>AND(NOW()&gt;=tbl_MTG_Set[[#This Row],[Heavy Printing Window Start]], NOW()&lt;=tbl_MTG_Set[[#This Row],[Heavy Printing Window End]])</f>
        <v/>
      </c>
      <c r="T1016">
        <f>_xlfn.XLOOKUP(tbl_MTG_Set[[#This Row],[Type Name]], tbl_MTG_Set_Type[Set Type], tbl_MTG_Set_Type[Sell Window Month Start], "(Set Type not found)", 0, 1)</f>
        <v/>
      </c>
      <c r="U1016" s="3">
        <f>tbl_MTG_Set[[#This Row],[Released On]]+tbl_MTG_Set[[#This Row],[Sell Window Month Start]]*365.25/12</f>
        <v/>
      </c>
      <c r="V1016">
        <f>_xlfn.XLOOKUP(tbl_MTG_Set[[#This Row],[Type Name]], tbl_MTG_Set_Type[Set Type], tbl_MTG_Set_Type[Sell Window Month End], "(Set Type not found)", 0, 1)</f>
        <v/>
      </c>
      <c r="W1016" s="3">
        <f>tbl_MTG_Set[[#This Row],[Released On]]+tbl_MTG_Set[[#This Row],[Sell Window Month End]]*365.25/12</f>
        <v/>
      </c>
      <c r="X1016" s="3">
        <f>AND(NOW()&gt;=tbl_MTG_Set[[#This Row],[Sell Window Start]], NOW()&lt;=tbl_MTG_Set[[#This Row],[Sell Window End]])</f>
        <v/>
      </c>
      <c r="AG1016" s="10" t="n"/>
      <c r="AH1016" s="10" t="n"/>
      <c r="AM1016" s="10">
        <f t="array" ref="AM10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6" s="10">
        <f t="array" ref="AN10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6" s="4">
        <f>_xlfn.XLOOKUP(tbl_MTG_Set[[#This Row],[Play Booster Box Product Id]], tbl_Product[Product Id], tbl_Product[Pack Size])</f>
        <v/>
      </c>
      <c r="AP1016" s="10">
        <f>(tbl_MTG_Set[[#This Row],[Play Booster Box Cost]]+v_Item_Shipping_Cost_In)/tbl_MTG_Set[[#This Row],[Play Booster Box Size]]</f>
        <v/>
      </c>
      <c r="AQ1016" s="10">
        <f t="array" ref="AQ1016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6" s="10" t="n"/>
      <c r="AS1016" s="10" t="n"/>
      <c r="AT1016" s="17">
        <f>tbl_MTG_Set[[#This Row],[Play Booster CardMarket Profit]]/tbl_MTG_Set[[#This Row],[Play Booster Cost]]</f>
        <v/>
      </c>
      <c r="AU1016" s="10">
        <f>_xlfn.XLOOKUP(tbl_MTG_Set[[#This Row],[Collector Booster Box Product Id]], tbl_Product[Product Id], tbl_Product[Min Cost])</f>
        <v/>
      </c>
      <c r="AV1016" s="10">
        <f>_xlfn.XLOOKUP(tbl_MTG_Set[[#This Row],[Collector Booster Box Product Id]], tbl_Product[Product Id], tbl_Product[Best Source])</f>
        <v/>
      </c>
      <c r="AW1016" s="4">
        <f>_xlfn.XLOOKUP(tbl_MTG_Set[[#This Row],[Collector Booster Box Product Id]], tbl_Product[Product Id], tbl_Product[Pack Size])</f>
        <v/>
      </c>
      <c r="AX1016" s="10">
        <f>(tbl_MTG_Set[[#This Row],[Collector Booster Box Cost]] + v_Item_Shipping_Cost_In) / tbl_MTG_Set[[#This Row],[Collector Booster Box Size]]</f>
        <v/>
      </c>
      <c r="AY1016" s="10">
        <f t="array" ref="AY1016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6" s="10" t="n"/>
      <c r="BA10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6" s="17">
        <f>tbl_MTG_Set[[#This Row],[Collector Booster CardMarket Profit]]/tbl_MTG_Set[[#This Row],[Collector Booster Cost]]</f>
        <v/>
      </c>
      <c r="BC1016" s="10" t="n"/>
      <c r="BF1016" s="10">
        <f>tbl_MTG_Set[[#This Row],[Play Booster Sell Price CardMarket]]*tbl_MTG_Set[[#This Row],[Play Booster Expected Market Value]]/tbl_MTG_Set[[#This Row],[Play Boost Sealed Market Value]]</f>
        <v/>
      </c>
      <c r="BG10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6" s="10">
        <f>tbl_MTG_Set[[#This Row],[Play Singles CardMarket Profit]]/tbl_MTG_Set[[#This Row],[Play Booster Cost]]</f>
        <v/>
      </c>
      <c r="BI1016" s="10">
        <f>tbl_MTG_Set[[#This Row],[Play Singles CardMarket Profit]]&gt;0</f>
        <v/>
      </c>
      <c r="BJ1016" s="10" t="n"/>
      <c r="BK1016" s="10" t="n"/>
      <c r="BL1016" s="10">
        <f>tbl_MTG_Set[[#This Row],[Collector Booster Sell Price CardMarket]]*tbl_MTG_Set[[#This Row],[Collector Booster Expected Market Value]]/tbl_MTG_Set[[#This Row],[Collector Boost Sealed Market Value]]</f>
        <v/>
      </c>
      <c r="BM10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6" s="10">
        <f>tbl_MTG_Set[[#This Row],[Collector Singles CardMarket Profit]]/tbl_MTG_Set[[#This Row],[Collector Booster Cost]]</f>
        <v/>
      </c>
      <c r="BO1016" s="10">
        <f>tbl_MTG_Set[[#This Row],[Collector Singles CardMarket Profit]]&gt;0</f>
        <v/>
      </c>
      <c r="BP10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7">
      <c r="A1017" t="n">
        <v>1015</v>
      </c>
      <c r="B1017" t="inlineStr">
        <is>
          <t>Foreign Black Border FBB</t>
        </is>
      </c>
      <c r="C1017" t="n">
        <v>307</v>
      </c>
      <c r="D1017" s="3" t="n">
        <v>34435</v>
      </c>
      <c r="F1017" t="inlineStr">
        <is>
          <t>en es fr de it pt ja ko ru 汉语 漢語</t>
        </is>
      </c>
      <c r="G1017" t="n">
        <v>1976</v>
      </c>
      <c r="H1017">
        <f>MONTH(NOW())+12*YEAR(NOW())-MONTH(tbl_MTG_Set[[#This Row],[Released On]])-12*YEAR(tbl_MTG_Set[[#This Row],[Released On]])</f>
        <v/>
      </c>
      <c r="I1017">
        <f>_xlfn.XLOOKUP(tbl_MTG_Set[[#This Row],[Type Name]], tbl_MTG_Set_Type[Set Type], tbl_MTG_Set_Type[Index], "(Set Type not found)")</f>
        <v/>
      </c>
      <c r="J1017">
        <f>_xlfn.XLOOKUP(tbl_MTG_Set[[#This Row],[Type Name]], tbl_MTG_Set_Type[Set Type], tbl_MTG_Set_Type[Buy Window Month Start], "(Set Type not found)")</f>
        <v/>
      </c>
      <c r="K1017" s="3">
        <f>tbl_MTG_Set[[#This Row],[Released On]]+tbl_MTG_Set[[#This Row],[Buy Window Month Start]]*365.25/12</f>
        <v/>
      </c>
      <c r="L1017">
        <f>_xlfn.XLOOKUP(tbl_MTG_Set[[#This Row],[Type Name]], tbl_MTG_Set_Type[Set Type], tbl_MTG_Set_Type[Buy Window Month End], "(Set Type not found)", 0, 1)</f>
        <v/>
      </c>
      <c r="M1017" s="3">
        <f>tbl_MTG_Set[[#This Row],[Released On]]+tbl_MTG_Set[[#This Row],[Buy Window Month End]]*365.25/12</f>
        <v/>
      </c>
      <c r="N1017" s="3">
        <f>AND(NOW()&gt;=tbl_MTG_Set[[#This Row],[Buy Window Start]], NOW()&lt;=tbl_MTG_Set[[#This Row],[Buy Window End]])</f>
        <v/>
      </c>
      <c r="O1017">
        <f>_xlfn.XLOOKUP(tbl_MTG_Set[[#This Row],[Type Name]], tbl_MTG_Set_Type[Set Type], tbl_MTG_Set_Type[Heavy Printing Window Month Start], "(Set Type not found)", 0, 1)</f>
        <v/>
      </c>
      <c r="P1017" s="3">
        <f>tbl_MTG_Set[[#This Row],[Released On]]+tbl_MTG_Set[[#This Row],[Heavy Printing Window Month Start]]*365.25/12</f>
        <v/>
      </c>
      <c r="Q1017">
        <f>_xlfn.XLOOKUP(tbl_MTG_Set[[#This Row],[Type Name]], tbl_MTG_Set_Type[Set Type], tbl_MTG_Set_Type[Heavy Printing Window Month End], "(Set Type not found)", 0, 1)</f>
        <v/>
      </c>
      <c r="R1017" s="3">
        <f>tbl_MTG_Set[[#This Row],[Released On]]+tbl_MTG_Set[[#This Row],[Heavy Printing Window Month End]]*365.25/12</f>
        <v/>
      </c>
      <c r="S1017" s="3">
        <f>AND(NOW()&gt;=tbl_MTG_Set[[#This Row],[Heavy Printing Window Start]], NOW()&lt;=tbl_MTG_Set[[#This Row],[Heavy Printing Window End]])</f>
        <v/>
      </c>
      <c r="T1017">
        <f>_xlfn.XLOOKUP(tbl_MTG_Set[[#This Row],[Type Name]], tbl_MTG_Set_Type[Set Type], tbl_MTG_Set_Type[Sell Window Month Start], "(Set Type not found)", 0, 1)</f>
        <v/>
      </c>
      <c r="U1017" s="3">
        <f>tbl_MTG_Set[[#This Row],[Released On]]+tbl_MTG_Set[[#This Row],[Sell Window Month Start]]*365.25/12</f>
        <v/>
      </c>
      <c r="V1017">
        <f>_xlfn.XLOOKUP(tbl_MTG_Set[[#This Row],[Type Name]], tbl_MTG_Set_Type[Set Type], tbl_MTG_Set_Type[Sell Window Month End], "(Set Type not found)", 0, 1)</f>
        <v/>
      </c>
      <c r="W1017" s="3">
        <f>tbl_MTG_Set[[#This Row],[Released On]]+tbl_MTG_Set[[#This Row],[Sell Window Month End]]*365.25/12</f>
        <v/>
      </c>
      <c r="X1017" s="3">
        <f>AND(NOW()&gt;=tbl_MTG_Set[[#This Row],[Sell Window Start]], NOW()&lt;=tbl_MTG_Set[[#This Row],[Sell Window End]])</f>
        <v/>
      </c>
      <c r="AG1017" s="10" t="n"/>
      <c r="AH1017" s="10" t="n"/>
      <c r="AM1017" s="10">
        <f t="array" ref="AM10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7" s="10">
        <f t="array" ref="AN10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7" s="4">
        <f>_xlfn.XLOOKUP(tbl_MTG_Set[[#This Row],[Play Booster Box Product Id]], tbl_Product[Product Id], tbl_Product[Pack Size])</f>
        <v/>
      </c>
      <c r="AP1017" s="10">
        <f>(tbl_MTG_Set[[#This Row],[Play Booster Box Cost]]+v_Item_Shipping_Cost_In)/tbl_MTG_Set[[#This Row],[Play Booster Box Size]]</f>
        <v/>
      </c>
      <c r="AQ1017" s="10">
        <f t="array" ref="AQ1017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7" s="10" t="n"/>
      <c r="AS1017" s="10" t="n"/>
      <c r="AT1017" s="17">
        <f>tbl_MTG_Set[[#This Row],[Play Booster CardMarket Profit]]/tbl_MTG_Set[[#This Row],[Play Booster Cost]]</f>
        <v/>
      </c>
      <c r="AU1017" s="10">
        <f>_xlfn.XLOOKUP(tbl_MTG_Set[[#This Row],[Collector Booster Box Product Id]], tbl_Product[Product Id], tbl_Product[Min Cost])</f>
        <v/>
      </c>
      <c r="AV1017" s="10">
        <f>_xlfn.XLOOKUP(tbl_MTG_Set[[#This Row],[Collector Booster Box Product Id]], tbl_Product[Product Id], tbl_Product[Best Source])</f>
        <v/>
      </c>
      <c r="AW1017" s="4">
        <f>_xlfn.XLOOKUP(tbl_MTG_Set[[#This Row],[Collector Booster Box Product Id]], tbl_Product[Product Id], tbl_Product[Pack Size])</f>
        <v/>
      </c>
      <c r="AX1017" s="10">
        <f>(tbl_MTG_Set[[#This Row],[Collector Booster Box Cost]] + v_Item_Shipping_Cost_In) / tbl_MTG_Set[[#This Row],[Collector Booster Box Size]]</f>
        <v/>
      </c>
      <c r="AY1017" s="10">
        <f t="array" ref="AY1017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7" s="10" t="n"/>
      <c r="BA10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7" s="17">
        <f>tbl_MTG_Set[[#This Row],[Collector Booster CardMarket Profit]]/tbl_MTG_Set[[#This Row],[Collector Booster Cost]]</f>
        <v/>
      </c>
      <c r="BC1017" s="10" t="n"/>
      <c r="BF1017" s="10">
        <f>tbl_MTG_Set[[#This Row],[Play Booster Sell Price CardMarket]]*tbl_MTG_Set[[#This Row],[Play Booster Expected Market Value]]/tbl_MTG_Set[[#This Row],[Play Boost Sealed Market Value]]</f>
        <v/>
      </c>
      <c r="BG10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7" s="10">
        <f>tbl_MTG_Set[[#This Row],[Play Singles CardMarket Profit]]/tbl_MTG_Set[[#This Row],[Play Booster Cost]]</f>
        <v/>
      </c>
      <c r="BI1017" s="10">
        <f>tbl_MTG_Set[[#This Row],[Play Singles CardMarket Profit]]&gt;0</f>
        <v/>
      </c>
      <c r="BJ1017" s="10" t="n"/>
      <c r="BK1017" s="10" t="n"/>
      <c r="BL1017" s="10">
        <f>tbl_MTG_Set[[#This Row],[Collector Booster Sell Price CardMarket]]*tbl_MTG_Set[[#This Row],[Collector Booster Expected Market Value]]/tbl_MTG_Set[[#This Row],[Collector Boost Sealed Market Value]]</f>
        <v/>
      </c>
      <c r="BM10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7" s="10">
        <f>tbl_MTG_Set[[#This Row],[Collector Singles CardMarket Profit]]/tbl_MTG_Set[[#This Row],[Collector Booster Cost]]</f>
        <v/>
      </c>
      <c r="BO1017" s="10">
        <f>tbl_MTG_Set[[#This Row],[Collector Singles CardMarket Profit]]&gt;0</f>
        <v/>
      </c>
      <c r="BP10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8">
      <c r="A1018" t="n">
        <v>1016</v>
      </c>
      <c r="B1018" t="inlineStr">
        <is>
          <t>Antiquities ATQ</t>
        </is>
      </c>
      <c r="C1018" t="n">
        <v>102</v>
      </c>
      <c r="D1018" s="3" t="n">
        <v>34397</v>
      </c>
      <c r="F1018" t="inlineStr">
        <is>
          <t>en es fr de it pt ja ko ru 汉语 漢語</t>
        </is>
      </c>
      <c r="G1018" t="n">
        <v>1978</v>
      </c>
      <c r="H1018">
        <f>MONTH(NOW())+12*YEAR(NOW())-MONTH(tbl_MTG_Set[[#This Row],[Released On]])-12*YEAR(tbl_MTG_Set[[#This Row],[Released On]])</f>
        <v/>
      </c>
      <c r="I1018">
        <f>_xlfn.XLOOKUP(tbl_MTG_Set[[#This Row],[Type Name]], tbl_MTG_Set_Type[Set Type], tbl_MTG_Set_Type[Index], "(Set Type not found)")</f>
        <v/>
      </c>
      <c r="J1018">
        <f>_xlfn.XLOOKUP(tbl_MTG_Set[[#This Row],[Type Name]], tbl_MTG_Set_Type[Set Type], tbl_MTG_Set_Type[Buy Window Month Start], "(Set Type not found)")</f>
        <v/>
      </c>
      <c r="K1018" s="3">
        <f>tbl_MTG_Set[[#This Row],[Released On]]+tbl_MTG_Set[[#This Row],[Buy Window Month Start]]*365.25/12</f>
        <v/>
      </c>
      <c r="L1018">
        <f>_xlfn.XLOOKUP(tbl_MTG_Set[[#This Row],[Type Name]], tbl_MTG_Set_Type[Set Type], tbl_MTG_Set_Type[Buy Window Month End], "(Set Type not found)", 0, 1)</f>
        <v/>
      </c>
      <c r="M1018" s="3">
        <f>tbl_MTG_Set[[#This Row],[Released On]]+tbl_MTG_Set[[#This Row],[Buy Window Month End]]*365.25/12</f>
        <v/>
      </c>
      <c r="N1018" s="3">
        <f>AND(NOW()&gt;=tbl_MTG_Set[[#This Row],[Buy Window Start]], NOW()&lt;=tbl_MTG_Set[[#This Row],[Buy Window End]])</f>
        <v/>
      </c>
      <c r="O1018">
        <f>_xlfn.XLOOKUP(tbl_MTG_Set[[#This Row],[Type Name]], tbl_MTG_Set_Type[Set Type], tbl_MTG_Set_Type[Heavy Printing Window Month Start], "(Set Type not found)", 0, 1)</f>
        <v/>
      </c>
      <c r="P1018" s="3">
        <f>tbl_MTG_Set[[#This Row],[Released On]]+tbl_MTG_Set[[#This Row],[Heavy Printing Window Month Start]]*365.25/12</f>
        <v/>
      </c>
      <c r="Q1018">
        <f>_xlfn.XLOOKUP(tbl_MTG_Set[[#This Row],[Type Name]], tbl_MTG_Set_Type[Set Type], tbl_MTG_Set_Type[Heavy Printing Window Month End], "(Set Type not found)", 0, 1)</f>
        <v/>
      </c>
      <c r="R1018" s="3">
        <f>tbl_MTG_Set[[#This Row],[Released On]]+tbl_MTG_Set[[#This Row],[Heavy Printing Window Month End]]*365.25/12</f>
        <v/>
      </c>
      <c r="S1018" s="3">
        <f>AND(NOW()&gt;=tbl_MTG_Set[[#This Row],[Heavy Printing Window Start]], NOW()&lt;=tbl_MTG_Set[[#This Row],[Heavy Printing Window End]])</f>
        <v/>
      </c>
      <c r="T1018">
        <f>_xlfn.XLOOKUP(tbl_MTG_Set[[#This Row],[Type Name]], tbl_MTG_Set_Type[Set Type], tbl_MTG_Set_Type[Sell Window Month Start], "(Set Type not found)", 0, 1)</f>
        <v/>
      </c>
      <c r="U1018" s="3">
        <f>tbl_MTG_Set[[#This Row],[Released On]]+tbl_MTG_Set[[#This Row],[Sell Window Month Start]]*365.25/12</f>
        <v/>
      </c>
      <c r="V1018">
        <f>_xlfn.XLOOKUP(tbl_MTG_Set[[#This Row],[Type Name]], tbl_MTG_Set_Type[Set Type], tbl_MTG_Set_Type[Sell Window Month End], "(Set Type not found)", 0, 1)</f>
        <v/>
      </c>
      <c r="W1018" s="3">
        <f>tbl_MTG_Set[[#This Row],[Released On]]+tbl_MTG_Set[[#This Row],[Sell Window Month End]]*365.25/12</f>
        <v/>
      </c>
      <c r="X1018" s="3">
        <f>AND(NOW()&gt;=tbl_MTG_Set[[#This Row],[Sell Window Start]], NOW()&lt;=tbl_MTG_Set[[#This Row],[Sell Window End]])</f>
        <v/>
      </c>
      <c r="AG1018" s="10" t="n"/>
      <c r="AH1018" s="10" t="n"/>
      <c r="AM1018" s="10">
        <f t="array" ref="AM10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8" s="10">
        <f t="array" ref="AN10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8" s="4">
        <f>_xlfn.XLOOKUP(tbl_MTG_Set[[#This Row],[Play Booster Box Product Id]], tbl_Product[Product Id], tbl_Product[Pack Size])</f>
        <v/>
      </c>
      <c r="AP1018" s="10">
        <f>(tbl_MTG_Set[[#This Row],[Play Booster Box Cost]]+v_Item_Shipping_Cost_In)/tbl_MTG_Set[[#This Row],[Play Booster Box Size]]</f>
        <v/>
      </c>
      <c r="AQ1018" s="10">
        <f t="array" ref="AQ1018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8" s="10" t="n"/>
      <c r="AS1018" s="10" t="n"/>
      <c r="AT1018" s="17">
        <f>tbl_MTG_Set[[#This Row],[Play Booster CardMarket Profit]]/tbl_MTG_Set[[#This Row],[Play Booster Cost]]</f>
        <v/>
      </c>
      <c r="AU1018" s="10">
        <f>_xlfn.XLOOKUP(tbl_MTG_Set[[#This Row],[Collector Booster Box Product Id]], tbl_Product[Product Id], tbl_Product[Min Cost])</f>
        <v/>
      </c>
      <c r="AV1018" s="10">
        <f>_xlfn.XLOOKUP(tbl_MTG_Set[[#This Row],[Collector Booster Box Product Id]], tbl_Product[Product Id], tbl_Product[Best Source])</f>
        <v/>
      </c>
      <c r="AW1018" s="4">
        <f>_xlfn.XLOOKUP(tbl_MTG_Set[[#This Row],[Collector Booster Box Product Id]], tbl_Product[Product Id], tbl_Product[Pack Size])</f>
        <v/>
      </c>
      <c r="AX1018" s="10">
        <f>(tbl_MTG_Set[[#This Row],[Collector Booster Box Cost]] + v_Item_Shipping_Cost_In) / tbl_MTG_Set[[#This Row],[Collector Booster Box Size]]</f>
        <v/>
      </c>
      <c r="AY1018" s="10">
        <f t="array" ref="AY1018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8" s="10" t="n"/>
      <c r="BA10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8" s="17">
        <f>tbl_MTG_Set[[#This Row],[Collector Booster CardMarket Profit]]/tbl_MTG_Set[[#This Row],[Collector Booster Cost]]</f>
        <v/>
      </c>
      <c r="BC1018" s="10" t="n"/>
      <c r="BF1018" s="10">
        <f>tbl_MTG_Set[[#This Row],[Play Booster Sell Price CardMarket]]*tbl_MTG_Set[[#This Row],[Play Booster Expected Market Value]]/tbl_MTG_Set[[#This Row],[Play Boost Sealed Market Value]]</f>
        <v/>
      </c>
      <c r="BG10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8" s="10">
        <f>tbl_MTG_Set[[#This Row],[Play Singles CardMarket Profit]]/tbl_MTG_Set[[#This Row],[Play Booster Cost]]</f>
        <v/>
      </c>
      <c r="BI1018" s="10">
        <f>tbl_MTG_Set[[#This Row],[Play Singles CardMarket Profit]]&gt;0</f>
        <v/>
      </c>
      <c r="BJ1018" s="10" t="n"/>
      <c r="BK1018" s="10" t="n"/>
      <c r="BL1018" s="10">
        <f>tbl_MTG_Set[[#This Row],[Collector Booster Sell Price CardMarket]]*tbl_MTG_Set[[#This Row],[Collector Booster Expected Market Value]]/tbl_MTG_Set[[#This Row],[Collector Boost Sealed Market Value]]</f>
        <v/>
      </c>
      <c r="BM10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8" s="10">
        <f>tbl_MTG_Set[[#This Row],[Collector Singles CardMarket Profit]]/tbl_MTG_Set[[#This Row],[Collector Booster Cost]]</f>
        <v/>
      </c>
      <c r="BO1018" s="10">
        <f>tbl_MTG_Set[[#This Row],[Collector Singles CardMarket Profit]]&gt;0</f>
        <v/>
      </c>
      <c r="BP10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9">
      <c r="A1019" t="n">
        <v>1017</v>
      </c>
      <c r="B1019" t="inlineStr">
        <is>
          <t>Arabian Nights ARN</t>
        </is>
      </c>
      <c r="C1019" t="n">
        <v>92</v>
      </c>
      <c r="D1019" s="3" t="n">
        <v>34320</v>
      </c>
      <c r="F1019" t="inlineStr">
        <is>
          <t>en es fr de it pt ja ko ru 汉语 漢語</t>
        </is>
      </c>
      <c r="G1019" t="n">
        <v>1980</v>
      </c>
      <c r="H1019">
        <f>MONTH(NOW())+12*YEAR(NOW())-MONTH(tbl_MTG_Set[[#This Row],[Released On]])-12*YEAR(tbl_MTG_Set[[#This Row],[Released On]])</f>
        <v/>
      </c>
      <c r="I1019">
        <f>_xlfn.XLOOKUP(tbl_MTG_Set[[#This Row],[Type Name]], tbl_MTG_Set_Type[Set Type], tbl_MTG_Set_Type[Index], "(Set Type not found)")</f>
        <v/>
      </c>
      <c r="J1019">
        <f>_xlfn.XLOOKUP(tbl_MTG_Set[[#This Row],[Type Name]], tbl_MTG_Set_Type[Set Type], tbl_MTG_Set_Type[Buy Window Month Start], "(Set Type not found)")</f>
        <v/>
      </c>
      <c r="K1019" s="3">
        <f>tbl_MTG_Set[[#This Row],[Released On]]+tbl_MTG_Set[[#This Row],[Buy Window Month Start]]*365.25/12</f>
        <v/>
      </c>
      <c r="L1019">
        <f>_xlfn.XLOOKUP(tbl_MTG_Set[[#This Row],[Type Name]], tbl_MTG_Set_Type[Set Type], tbl_MTG_Set_Type[Buy Window Month End], "(Set Type not found)", 0, 1)</f>
        <v/>
      </c>
      <c r="M1019" s="3">
        <f>tbl_MTG_Set[[#This Row],[Released On]]+tbl_MTG_Set[[#This Row],[Buy Window Month End]]*365.25/12</f>
        <v/>
      </c>
      <c r="N1019" s="3">
        <f>AND(NOW()&gt;=tbl_MTG_Set[[#This Row],[Buy Window Start]], NOW()&lt;=tbl_MTG_Set[[#This Row],[Buy Window End]])</f>
        <v/>
      </c>
      <c r="O1019">
        <f>_xlfn.XLOOKUP(tbl_MTG_Set[[#This Row],[Type Name]], tbl_MTG_Set_Type[Set Type], tbl_MTG_Set_Type[Heavy Printing Window Month Start], "(Set Type not found)", 0, 1)</f>
        <v/>
      </c>
      <c r="P1019" s="3">
        <f>tbl_MTG_Set[[#This Row],[Released On]]+tbl_MTG_Set[[#This Row],[Heavy Printing Window Month Start]]*365.25/12</f>
        <v/>
      </c>
      <c r="Q1019">
        <f>_xlfn.XLOOKUP(tbl_MTG_Set[[#This Row],[Type Name]], tbl_MTG_Set_Type[Set Type], tbl_MTG_Set_Type[Heavy Printing Window Month End], "(Set Type not found)", 0, 1)</f>
        <v/>
      </c>
      <c r="R1019" s="3">
        <f>tbl_MTG_Set[[#This Row],[Released On]]+tbl_MTG_Set[[#This Row],[Heavy Printing Window Month End]]*365.25/12</f>
        <v/>
      </c>
      <c r="S1019" s="3">
        <f>AND(NOW()&gt;=tbl_MTG_Set[[#This Row],[Heavy Printing Window Start]], NOW()&lt;=tbl_MTG_Set[[#This Row],[Heavy Printing Window End]])</f>
        <v/>
      </c>
      <c r="T1019">
        <f>_xlfn.XLOOKUP(tbl_MTG_Set[[#This Row],[Type Name]], tbl_MTG_Set_Type[Set Type], tbl_MTG_Set_Type[Sell Window Month Start], "(Set Type not found)", 0, 1)</f>
        <v/>
      </c>
      <c r="U1019" s="3">
        <f>tbl_MTG_Set[[#This Row],[Released On]]+tbl_MTG_Set[[#This Row],[Sell Window Month Start]]*365.25/12</f>
        <v/>
      </c>
      <c r="V1019">
        <f>_xlfn.XLOOKUP(tbl_MTG_Set[[#This Row],[Type Name]], tbl_MTG_Set_Type[Set Type], tbl_MTG_Set_Type[Sell Window Month End], "(Set Type not found)", 0, 1)</f>
        <v/>
      </c>
      <c r="W1019" s="3">
        <f>tbl_MTG_Set[[#This Row],[Released On]]+tbl_MTG_Set[[#This Row],[Sell Window Month End]]*365.25/12</f>
        <v/>
      </c>
      <c r="X1019" s="3">
        <f>AND(NOW()&gt;=tbl_MTG_Set[[#This Row],[Sell Window Start]], NOW()&lt;=tbl_MTG_Set[[#This Row],[Sell Window End]])</f>
        <v/>
      </c>
      <c r="AG1019" s="10" t="n"/>
      <c r="AH1019" s="10" t="n"/>
      <c r="AM1019" s="10">
        <f t="array" ref="AM10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9" s="10">
        <f t="array" ref="AN10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9" s="4">
        <f>_xlfn.XLOOKUP(tbl_MTG_Set[[#This Row],[Play Booster Box Product Id]], tbl_Product[Product Id], tbl_Product[Pack Size])</f>
        <v/>
      </c>
      <c r="AP1019" s="10">
        <f>(tbl_MTG_Set[[#This Row],[Play Booster Box Cost]]+v_Item_Shipping_Cost_In)/tbl_MTG_Set[[#This Row],[Play Booster Box Size]]</f>
        <v/>
      </c>
      <c r="AQ1019" s="10">
        <f t="array" ref="AQ1019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19" s="10" t="n"/>
      <c r="AS1019" s="10" t="n"/>
      <c r="AT1019" s="17">
        <f>tbl_MTG_Set[[#This Row],[Play Booster CardMarket Profit]]/tbl_MTG_Set[[#This Row],[Play Booster Cost]]</f>
        <v/>
      </c>
      <c r="AU1019" s="10">
        <f>_xlfn.XLOOKUP(tbl_MTG_Set[[#This Row],[Collector Booster Box Product Id]], tbl_Product[Product Id], tbl_Product[Min Cost])</f>
        <v/>
      </c>
      <c r="AV1019" s="10">
        <f>_xlfn.XLOOKUP(tbl_MTG_Set[[#This Row],[Collector Booster Box Product Id]], tbl_Product[Product Id], tbl_Product[Best Source])</f>
        <v/>
      </c>
      <c r="AW1019" s="4">
        <f>_xlfn.XLOOKUP(tbl_MTG_Set[[#This Row],[Collector Booster Box Product Id]], tbl_Product[Product Id], tbl_Product[Pack Size])</f>
        <v/>
      </c>
      <c r="AX1019" s="10">
        <f>(tbl_MTG_Set[[#This Row],[Collector Booster Box Cost]] + v_Item_Shipping_Cost_In) / tbl_MTG_Set[[#This Row],[Collector Booster Box Size]]</f>
        <v/>
      </c>
      <c r="AY1019" s="10">
        <f t="array" ref="AY1019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19" s="10" t="n"/>
      <c r="BA10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9" s="17">
        <f>tbl_MTG_Set[[#This Row],[Collector Booster CardMarket Profit]]/tbl_MTG_Set[[#This Row],[Collector Booster Cost]]</f>
        <v/>
      </c>
      <c r="BC1019" s="10" t="n"/>
      <c r="BF1019" s="10">
        <f>tbl_MTG_Set[[#This Row],[Play Booster Sell Price CardMarket]]*tbl_MTG_Set[[#This Row],[Play Booster Expected Market Value]]/tbl_MTG_Set[[#This Row],[Play Boost Sealed Market Value]]</f>
        <v/>
      </c>
      <c r="BG10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9" s="10">
        <f>tbl_MTG_Set[[#This Row],[Play Singles CardMarket Profit]]/tbl_MTG_Set[[#This Row],[Play Booster Cost]]</f>
        <v/>
      </c>
      <c r="BI1019" s="10">
        <f>tbl_MTG_Set[[#This Row],[Play Singles CardMarket Profit]]&gt;0</f>
        <v/>
      </c>
      <c r="BJ1019" s="10" t="n"/>
      <c r="BK1019" s="10" t="n"/>
      <c r="BL1019" s="10">
        <f>tbl_MTG_Set[[#This Row],[Collector Booster Sell Price CardMarket]]*tbl_MTG_Set[[#This Row],[Collector Booster Expected Market Value]]/tbl_MTG_Set[[#This Row],[Collector Boost Sealed Market Value]]</f>
        <v/>
      </c>
      <c r="BM10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9" s="10">
        <f>tbl_MTG_Set[[#This Row],[Collector Singles CardMarket Profit]]/tbl_MTG_Set[[#This Row],[Collector Booster Cost]]</f>
        <v/>
      </c>
      <c r="BO1019" s="10">
        <f>tbl_MTG_Set[[#This Row],[Collector Singles CardMarket Profit]]&gt;0</f>
        <v/>
      </c>
      <c r="BP10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0">
      <c r="A1020" t="n">
        <v>1018</v>
      </c>
      <c r="B1020" t="inlineStr">
        <is>
          <t>Intl. Collectors' Edition CEI</t>
        </is>
      </c>
      <c r="C1020" t="n">
        <v>302</v>
      </c>
      <c r="D1020" s="3" t="n">
        <v>34313</v>
      </c>
      <c r="F1020" t="inlineStr">
        <is>
          <t>en es fr de it pt ja ko ru 汉语 漢語</t>
        </is>
      </c>
      <c r="G1020" t="n">
        <v>1982</v>
      </c>
      <c r="H1020">
        <f>MONTH(NOW())+12*YEAR(NOW())-MONTH(tbl_MTG_Set[[#This Row],[Released On]])-12*YEAR(tbl_MTG_Set[[#This Row],[Released On]])</f>
        <v/>
      </c>
      <c r="I1020">
        <f>_xlfn.XLOOKUP(tbl_MTG_Set[[#This Row],[Type Name]], tbl_MTG_Set_Type[Set Type], tbl_MTG_Set_Type[Index], "(Set Type not found)")</f>
        <v/>
      </c>
      <c r="J1020">
        <f>_xlfn.XLOOKUP(tbl_MTG_Set[[#This Row],[Type Name]], tbl_MTG_Set_Type[Set Type], tbl_MTG_Set_Type[Buy Window Month Start], "(Set Type not found)")</f>
        <v/>
      </c>
      <c r="K1020" s="3">
        <f>tbl_MTG_Set[[#This Row],[Released On]]+tbl_MTG_Set[[#This Row],[Buy Window Month Start]]*365.25/12</f>
        <v/>
      </c>
      <c r="L1020">
        <f>_xlfn.XLOOKUP(tbl_MTG_Set[[#This Row],[Type Name]], tbl_MTG_Set_Type[Set Type], tbl_MTG_Set_Type[Buy Window Month End], "(Set Type not found)", 0, 1)</f>
        <v/>
      </c>
      <c r="M1020" s="3">
        <f>tbl_MTG_Set[[#This Row],[Released On]]+tbl_MTG_Set[[#This Row],[Buy Window Month End]]*365.25/12</f>
        <v/>
      </c>
      <c r="N1020" s="3">
        <f>AND(NOW()&gt;=tbl_MTG_Set[[#This Row],[Buy Window Start]], NOW()&lt;=tbl_MTG_Set[[#This Row],[Buy Window End]])</f>
        <v/>
      </c>
      <c r="O1020">
        <f>_xlfn.XLOOKUP(tbl_MTG_Set[[#This Row],[Type Name]], tbl_MTG_Set_Type[Set Type], tbl_MTG_Set_Type[Heavy Printing Window Month Start], "(Set Type not found)", 0, 1)</f>
        <v/>
      </c>
      <c r="P1020" s="3">
        <f>tbl_MTG_Set[[#This Row],[Released On]]+tbl_MTG_Set[[#This Row],[Heavy Printing Window Month Start]]*365.25/12</f>
        <v/>
      </c>
      <c r="Q1020">
        <f>_xlfn.XLOOKUP(tbl_MTG_Set[[#This Row],[Type Name]], tbl_MTG_Set_Type[Set Type], tbl_MTG_Set_Type[Heavy Printing Window Month End], "(Set Type not found)", 0, 1)</f>
        <v/>
      </c>
      <c r="R1020" s="3">
        <f>tbl_MTG_Set[[#This Row],[Released On]]+tbl_MTG_Set[[#This Row],[Heavy Printing Window Month End]]*365.25/12</f>
        <v/>
      </c>
      <c r="S1020" s="3">
        <f>AND(NOW()&gt;=tbl_MTG_Set[[#This Row],[Heavy Printing Window Start]], NOW()&lt;=tbl_MTG_Set[[#This Row],[Heavy Printing Window End]])</f>
        <v/>
      </c>
      <c r="T1020">
        <f>_xlfn.XLOOKUP(tbl_MTG_Set[[#This Row],[Type Name]], tbl_MTG_Set_Type[Set Type], tbl_MTG_Set_Type[Sell Window Month Start], "(Set Type not found)", 0, 1)</f>
        <v/>
      </c>
      <c r="U1020" s="3">
        <f>tbl_MTG_Set[[#This Row],[Released On]]+tbl_MTG_Set[[#This Row],[Sell Window Month Start]]*365.25/12</f>
        <v/>
      </c>
      <c r="V1020">
        <f>_xlfn.XLOOKUP(tbl_MTG_Set[[#This Row],[Type Name]], tbl_MTG_Set_Type[Set Type], tbl_MTG_Set_Type[Sell Window Month End], "(Set Type not found)", 0, 1)</f>
        <v/>
      </c>
      <c r="W1020" s="3">
        <f>tbl_MTG_Set[[#This Row],[Released On]]+tbl_MTG_Set[[#This Row],[Sell Window Month End]]*365.25/12</f>
        <v/>
      </c>
      <c r="X1020" s="3">
        <f>AND(NOW()&gt;=tbl_MTG_Set[[#This Row],[Sell Window Start]], NOW()&lt;=tbl_MTG_Set[[#This Row],[Sell Window End]])</f>
        <v/>
      </c>
      <c r="AG1020" s="10" t="n"/>
      <c r="AH1020" s="10" t="n"/>
      <c r="AM1020" s="10">
        <f t="array" ref="AM10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0" s="10">
        <f t="array" ref="AN10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0" s="4">
        <f>_xlfn.XLOOKUP(tbl_MTG_Set[[#This Row],[Play Booster Box Product Id]], tbl_Product[Product Id], tbl_Product[Pack Size])</f>
        <v/>
      </c>
      <c r="AP1020" s="10">
        <f>(tbl_MTG_Set[[#This Row],[Play Booster Box Cost]]+v_Item_Shipping_Cost_In)/tbl_MTG_Set[[#This Row],[Play Booster Box Size]]</f>
        <v/>
      </c>
      <c r="AQ1020" s="10">
        <f t="array" ref="AQ1020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20" s="10" t="n"/>
      <c r="AS1020" s="10" t="n"/>
      <c r="AT1020" s="17">
        <f>tbl_MTG_Set[[#This Row],[Play Booster CardMarket Profit]]/tbl_MTG_Set[[#This Row],[Play Booster Cost]]</f>
        <v/>
      </c>
      <c r="AU1020" s="10">
        <f>_xlfn.XLOOKUP(tbl_MTG_Set[[#This Row],[Collector Booster Box Product Id]], tbl_Product[Product Id], tbl_Product[Min Cost])</f>
        <v/>
      </c>
      <c r="AV1020" s="10">
        <f>_xlfn.XLOOKUP(tbl_MTG_Set[[#This Row],[Collector Booster Box Product Id]], tbl_Product[Product Id], tbl_Product[Best Source])</f>
        <v/>
      </c>
      <c r="AW1020" s="4">
        <f>_xlfn.XLOOKUP(tbl_MTG_Set[[#This Row],[Collector Booster Box Product Id]], tbl_Product[Product Id], tbl_Product[Pack Size])</f>
        <v/>
      </c>
      <c r="AX1020" s="10">
        <f>(tbl_MTG_Set[[#This Row],[Collector Booster Box Cost]] + v_Item_Shipping_Cost_In) / tbl_MTG_Set[[#This Row],[Collector Booster Box Size]]</f>
        <v/>
      </c>
      <c r="AY1020" s="10">
        <f t="array" ref="AY1020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20" s="10" t="n"/>
      <c r="BA10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0" s="17">
        <f>tbl_MTG_Set[[#This Row],[Collector Booster CardMarket Profit]]/tbl_MTG_Set[[#This Row],[Collector Booster Cost]]</f>
        <v/>
      </c>
      <c r="BC1020" s="10" t="n"/>
      <c r="BF1020" s="10">
        <f>tbl_MTG_Set[[#This Row],[Play Booster Sell Price CardMarket]]*tbl_MTG_Set[[#This Row],[Play Booster Expected Market Value]]/tbl_MTG_Set[[#This Row],[Play Boost Sealed Market Value]]</f>
        <v/>
      </c>
      <c r="BG10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0" s="10">
        <f>tbl_MTG_Set[[#This Row],[Play Singles CardMarket Profit]]/tbl_MTG_Set[[#This Row],[Play Booster Cost]]</f>
        <v/>
      </c>
      <c r="BI1020" s="10">
        <f>tbl_MTG_Set[[#This Row],[Play Singles CardMarket Profit]]&gt;0</f>
        <v/>
      </c>
      <c r="BJ1020" s="10" t="n"/>
      <c r="BK1020" s="10" t="n"/>
      <c r="BL1020" s="10">
        <f>tbl_MTG_Set[[#This Row],[Collector Booster Sell Price CardMarket]]*tbl_MTG_Set[[#This Row],[Collector Booster Expected Market Value]]/tbl_MTG_Set[[#This Row],[Collector Boost Sealed Market Value]]</f>
        <v/>
      </c>
      <c r="BM10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0" s="10">
        <f>tbl_MTG_Set[[#This Row],[Collector Singles CardMarket Profit]]/tbl_MTG_Set[[#This Row],[Collector Booster Cost]]</f>
        <v/>
      </c>
      <c r="BO1020" s="10">
        <f>tbl_MTG_Set[[#This Row],[Collector Singles CardMarket Profit]]&gt;0</f>
        <v/>
      </c>
      <c r="BP10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1">
      <c r="A1021" t="n">
        <v>1019</v>
      </c>
      <c r="B1021" t="inlineStr">
        <is>
          <t>Collectors' Edition CED</t>
        </is>
      </c>
      <c r="C1021" t="n">
        <v>302</v>
      </c>
      <c r="D1021" s="3" t="n">
        <v>34313</v>
      </c>
      <c r="F1021" t="inlineStr">
        <is>
          <t>en es fr de it pt ja ko ru 汉语 漢語</t>
        </is>
      </c>
      <c r="G1021" t="n">
        <v>1984</v>
      </c>
      <c r="H1021">
        <f>MONTH(NOW())+12*YEAR(NOW())-MONTH(tbl_MTG_Set[[#This Row],[Released On]])-12*YEAR(tbl_MTG_Set[[#This Row],[Released On]])</f>
        <v/>
      </c>
      <c r="I1021">
        <f>_xlfn.XLOOKUP(tbl_MTG_Set[[#This Row],[Type Name]], tbl_MTG_Set_Type[Set Type], tbl_MTG_Set_Type[Index], "(Set Type not found)")</f>
        <v/>
      </c>
      <c r="J1021">
        <f>_xlfn.XLOOKUP(tbl_MTG_Set[[#This Row],[Type Name]], tbl_MTG_Set_Type[Set Type], tbl_MTG_Set_Type[Buy Window Month Start], "(Set Type not found)")</f>
        <v/>
      </c>
      <c r="K1021" s="3">
        <f>tbl_MTG_Set[[#This Row],[Released On]]+tbl_MTG_Set[[#This Row],[Buy Window Month Start]]*365.25/12</f>
        <v/>
      </c>
      <c r="L1021">
        <f>_xlfn.XLOOKUP(tbl_MTG_Set[[#This Row],[Type Name]], tbl_MTG_Set_Type[Set Type], tbl_MTG_Set_Type[Buy Window Month End], "(Set Type not found)", 0, 1)</f>
        <v/>
      </c>
      <c r="M1021" s="3">
        <f>tbl_MTG_Set[[#This Row],[Released On]]+tbl_MTG_Set[[#This Row],[Buy Window Month End]]*365.25/12</f>
        <v/>
      </c>
      <c r="N1021" s="3">
        <f>AND(NOW()&gt;=tbl_MTG_Set[[#This Row],[Buy Window Start]], NOW()&lt;=tbl_MTG_Set[[#This Row],[Buy Window End]])</f>
        <v/>
      </c>
      <c r="O1021">
        <f>_xlfn.XLOOKUP(tbl_MTG_Set[[#This Row],[Type Name]], tbl_MTG_Set_Type[Set Type], tbl_MTG_Set_Type[Heavy Printing Window Month Start], "(Set Type not found)", 0, 1)</f>
        <v/>
      </c>
      <c r="P1021" s="3">
        <f>tbl_MTG_Set[[#This Row],[Released On]]+tbl_MTG_Set[[#This Row],[Heavy Printing Window Month Start]]*365.25/12</f>
        <v/>
      </c>
      <c r="Q1021">
        <f>_xlfn.XLOOKUP(tbl_MTG_Set[[#This Row],[Type Name]], tbl_MTG_Set_Type[Set Type], tbl_MTG_Set_Type[Heavy Printing Window Month End], "(Set Type not found)", 0, 1)</f>
        <v/>
      </c>
      <c r="R1021" s="3">
        <f>tbl_MTG_Set[[#This Row],[Released On]]+tbl_MTG_Set[[#This Row],[Heavy Printing Window Month End]]*365.25/12</f>
        <v/>
      </c>
      <c r="S1021" s="3">
        <f>AND(NOW()&gt;=tbl_MTG_Set[[#This Row],[Heavy Printing Window Start]], NOW()&lt;=tbl_MTG_Set[[#This Row],[Heavy Printing Window End]])</f>
        <v/>
      </c>
      <c r="T1021">
        <f>_xlfn.XLOOKUP(tbl_MTG_Set[[#This Row],[Type Name]], tbl_MTG_Set_Type[Set Type], tbl_MTG_Set_Type[Sell Window Month Start], "(Set Type not found)", 0, 1)</f>
        <v/>
      </c>
      <c r="U1021" s="3">
        <f>tbl_MTG_Set[[#This Row],[Released On]]+tbl_MTG_Set[[#This Row],[Sell Window Month Start]]*365.25/12</f>
        <v/>
      </c>
      <c r="V1021">
        <f>_xlfn.XLOOKUP(tbl_MTG_Set[[#This Row],[Type Name]], tbl_MTG_Set_Type[Set Type], tbl_MTG_Set_Type[Sell Window Month End], "(Set Type not found)", 0, 1)</f>
        <v/>
      </c>
      <c r="W1021" s="3">
        <f>tbl_MTG_Set[[#This Row],[Released On]]+tbl_MTG_Set[[#This Row],[Sell Window Month End]]*365.25/12</f>
        <v/>
      </c>
      <c r="X1021" s="3">
        <f>AND(NOW()&gt;=tbl_MTG_Set[[#This Row],[Sell Window Start]], NOW()&lt;=tbl_MTG_Set[[#This Row],[Sell Window End]])</f>
        <v/>
      </c>
      <c r="AG1021" s="10" t="n"/>
      <c r="AH1021" s="10" t="n"/>
      <c r="AM1021" s="10">
        <f t="array" ref="AM10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1" s="10">
        <f t="array" ref="AN10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1" s="4">
        <f>_xlfn.XLOOKUP(tbl_MTG_Set[[#This Row],[Play Booster Box Product Id]], tbl_Product[Product Id], tbl_Product[Pack Size])</f>
        <v/>
      </c>
      <c r="AP1021" s="10">
        <f>(tbl_MTG_Set[[#This Row],[Play Booster Box Cost]]+v_Item_Shipping_Cost_In)/tbl_MTG_Set[[#This Row],[Play Booster Box Size]]</f>
        <v/>
      </c>
      <c r="AQ1021" s="10">
        <f t="array" ref="AQ1021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21" s="10" t="n"/>
      <c r="AS1021" s="10" t="n"/>
      <c r="AT1021" s="17">
        <f>tbl_MTG_Set[[#This Row],[Play Booster CardMarket Profit]]/tbl_MTG_Set[[#This Row],[Play Booster Cost]]</f>
        <v/>
      </c>
      <c r="AU1021" s="10">
        <f>_xlfn.XLOOKUP(tbl_MTG_Set[[#This Row],[Collector Booster Box Product Id]], tbl_Product[Product Id], tbl_Product[Min Cost])</f>
        <v/>
      </c>
      <c r="AV1021" s="10">
        <f>_xlfn.XLOOKUP(tbl_MTG_Set[[#This Row],[Collector Booster Box Product Id]], tbl_Product[Product Id], tbl_Product[Best Source])</f>
        <v/>
      </c>
      <c r="AW1021" s="4">
        <f>_xlfn.XLOOKUP(tbl_MTG_Set[[#This Row],[Collector Booster Box Product Id]], tbl_Product[Product Id], tbl_Product[Pack Size])</f>
        <v/>
      </c>
      <c r="AX1021" s="10">
        <f>(tbl_MTG_Set[[#This Row],[Collector Booster Box Cost]] + v_Item_Shipping_Cost_In) / tbl_MTG_Set[[#This Row],[Collector Booster Box Size]]</f>
        <v/>
      </c>
      <c r="AY1021" s="10">
        <f t="array" ref="AY1021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21" s="10" t="n"/>
      <c r="BA10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1" s="17">
        <f>tbl_MTG_Set[[#This Row],[Collector Booster CardMarket Profit]]/tbl_MTG_Set[[#This Row],[Collector Booster Cost]]</f>
        <v/>
      </c>
      <c r="BC1021" s="10" t="n"/>
      <c r="BF1021" s="10">
        <f>tbl_MTG_Set[[#This Row],[Play Booster Sell Price CardMarket]]*tbl_MTG_Set[[#This Row],[Play Booster Expected Market Value]]/tbl_MTG_Set[[#This Row],[Play Boost Sealed Market Value]]</f>
        <v/>
      </c>
      <c r="BG10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1" s="10">
        <f>tbl_MTG_Set[[#This Row],[Play Singles CardMarket Profit]]/tbl_MTG_Set[[#This Row],[Play Booster Cost]]</f>
        <v/>
      </c>
      <c r="BI1021" s="10">
        <f>tbl_MTG_Set[[#This Row],[Play Singles CardMarket Profit]]&gt;0</f>
        <v/>
      </c>
      <c r="BJ1021" s="10" t="n"/>
      <c r="BK1021" s="10" t="n"/>
      <c r="BL1021" s="10">
        <f>tbl_MTG_Set[[#This Row],[Collector Booster Sell Price CardMarket]]*tbl_MTG_Set[[#This Row],[Collector Booster Expected Market Value]]/tbl_MTG_Set[[#This Row],[Collector Boost Sealed Market Value]]</f>
        <v/>
      </c>
      <c r="BM10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1" s="10">
        <f>tbl_MTG_Set[[#This Row],[Collector Singles CardMarket Profit]]/tbl_MTG_Set[[#This Row],[Collector Booster Cost]]</f>
        <v/>
      </c>
      <c r="BO1021" s="10">
        <f>tbl_MTG_Set[[#This Row],[Collector Singles CardMarket Profit]]&gt;0</f>
        <v/>
      </c>
      <c r="BP10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2">
      <c r="A1022" t="n">
        <v>1020</v>
      </c>
      <c r="B1022" t="inlineStr">
        <is>
          <t>Unlimited Edition 2ED</t>
        </is>
      </c>
      <c r="C1022" t="n">
        <v>302</v>
      </c>
      <c r="D1022" s="3" t="n">
        <v>34304</v>
      </c>
      <c r="F1022" t="inlineStr">
        <is>
          <t>en es fr de it pt ja ko ru 汉语 漢語</t>
        </is>
      </c>
      <c r="G1022" t="n">
        <v>1986</v>
      </c>
      <c r="H1022">
        <f>MONTH(NOW())+12*YEAR(NOW())-MONTH(tbl_MTG_Set[[#This Row],[Released On]])-12*YEAR(tbl_MTG_Set[[#This Row],[Released On]])</f>
        <v/>
      </c>
      <c r="I1022">
        <f>_xlfn.XLOOKUP(tbl_MTG_Set[[#This Row],[Type Name]], tbl_MTG_Set_Type[Set Type], tbl_MTG_Set_Type[Index], "(Set Type not found)")</f>
        <v/>
      </c>
      <c r="J1022">
        <f>_xlfn.XLOOKUP(tbl_MTG_Set[[#This Row],[Type Name]], tbl_MTG_Set_Type[Set Type], tbl_MTG_Set_Type[Buy Window Month Start], "(Set Type not found)")</f>
        <v/>
      </c>
      <c r="K1022" s="3">
        <f>tbl_MTG_Set[[#This Row],[Released On]]+tbl_MTG_Set[[#This Row],[Buy Window Month Start]]*365.25/12</f>
        <v/>
      </c>
      <c r="L1022">
        <f>_xlfn.XLOOKUP(tbl_MTG_Set[[#This Row],[Type Name]], tbl_MTG_Set_Type[Set Type], tbl_MTG_Set_Type[Buy Window Month End], "(Set Type not found)", 0, 1)</f>
        <v/>
      </c>
      <c r="M1022" s="3">
        <f>tbl_MTG_Set[[#This Row],[Released On]]+tbl_MTG_Set[[#This Row],[Buy Window Month End]]*365.25/12</f>
        <v/>
      </c>
      <c r="N1022" s="3">
        <f>AND(NOW()&gt;=tbl_MTG_Set[[#This Row],[Buy Window Start]], NOW()&lt;=tbl_MTG_Set[[#This Row],[Buy Window End]])</f>
        <v/>
      </c>
      <c r="O1022">
        <f>_xlfn.XLOOKUP(tbl_MTG_Set[[#This Row],[Type Name]], tbl_MTG_Set_Type[Set Type], tbl_MTG_Set_Type[Heavy Printing Window Month Start], "(Set Type not found)", 0, 1)</f>
        <v/>
      </c>
      <c r="P1022" s="3">
        <f>tbl_MTG_Set[[#This Row],[Released On]]+tbl_MTG_Set[[#This Row],[Heavy Printing Window Month Start]]*365.25/12</f>
        <v/>
      </c>
      <c r="Q1022">
        <f>_xlfn.XLOOKUP(tbl_MTG_Set[[#This Row],[Type Name]], tbl_MTG_Set_Type[Set Type], tbl_MTG_Set_Type[Heavy Printing Window Month End], "(Set Type not found)", 0, 1)</f>
        <v/>
      </c>
      <c r="R1022" s="3">
        <f>tbl_MTG_Set[[#This Row],[Released On]]+tbl_MTG_Set[[#This Row],[Heavy Printing Window Month End]]*365.25/12</f>
        <v/>
      </c>
      <c r="S1022" s="3">
        <f>AND(NOW()&gt;=tbl_MTG_Set[[#This Row],[Heavy Printing Window Start]], NOW()&lt;=tbl_MTG_Set[[#This Row],[Heavy Printing Window End]])</f>
        <v/>
      </c>
      <c r="T1022">
        <f>_xlfn.XLOOKUP(tbl_MTG_Set[[#This Row],[Type Name]], tbl_MTG_Set_Type[Set Type], tbl_MTG_Set_Type[Sell Window Month Start], "(Set Type not found)", 0, 1)</f>
        <v/>
      </c>
      <c r="U1022" s="3">
        <f>tbl_MTG_Set[[#This Row],[Released On]]+tbl_MTG_Set[[#This Row],[Sell Window Month Start]]*365.25/12</f>
        <v/>
      </c>
      <c r="V1022">
        <f>_xlfn.XLOOKUP(tbl_MTG_Set[[#This Row],[Type Name]], tbl_MTG_Set_Type[Set Type], tbl_MTG_Set_Type[Sell Window Month End], "(Set Type not found)", 0, 1)</f>
        <v/>
      </c>
      <c r="W1022" s="3">
        <f>tbl_MTG_Set[[#This Row],[Released On]]+tbl_MTG_Set[[#This Row],[Sell Window Month End]]*365.25/12</f>
        <v/>
      </c>
      <c r="X1022" s="3">
        <f>AND(NOW()&gt;=tbl_MTG_Set[[#This Row],[Sell Window Start]], NOW()&lt;=tbl_MTG_Set[[#This Row],[Sell Window End]])</f>
        <v/>
      </c>
      <c r="AG1022" s="10" t="n"/>
      <c r="AH1022" s="10" t="n"/>
      <c r="AM1022" s="10">
        <f t="array" ref="AM10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2" s="10">
        <f t="array" ref="AN10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2" s="4">
        <f>_xlfn.XLOOKUP(tbl_MTG_Set[[#This Row],[Play Booster Box Product Id]], tbl_Product[Product Id], tbl_Product[Pack Size])</f>
        <v/>
      </c>
      <c r="AP1022" s="10">
        <f>(tbl_MTG_Set[[#This Row],[Play Booster Box Cost]]+v_Item_Shipping_Cost_In)/tbl_MTG_Set[[#This Row],[Play Booster Box Size]]</f>
        <v/>
      </c>
      <c r="AQ1022" s="10">
        <f t="array" ref="AQ1022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22" s="10" t="n"/>
      <c r="AS1022" s="10" t="n"/>
      <c r="AT1022" s="17">
        <f>tbl_MTG_Set[[#This Row],[Play Booster CardMarket Profit]]/tbl_MTG_Set[[#This Row],[Play Booster Cost]]</f>
        <v/>
      </c>
      <c r="AU1022" s="10">
        <f>_xlfn.XLOOKUP(tbl_MTG_Set[[#This Row],[Collector Booster Box Product Id]], tbl_Product[Product Id], tbl_Product[Min Cost])</f>
        <v/>
      </c>
      <c r="AV1022" s="10">
        <f>_xlfn.XLOOKUP(tbl_MTG_Set[[#This Row],[Collector Booster Box Product Id]], tbl_Product[Product Id], tbl_Product[Best Source])</f>
        <v/>
      </c>
      <c r="AW1022" s="4">
        <f>_xlfn.XLOOKUP(tbl_MTG_Set[[#This Row],[Collector Booster Box Product Id]], tbl_Product[Product Id], tbl_Product[Pack Size])</f>
        <v/>
      </c>
      <c r="AX1022" s="10">
        <f>(tbl_MTG_Set[[#This Row],[Collector Booster Box Cost]] + v_Item_Shipping_Cost_In) / tbl_MTG_Set[[#This Row],[Collector Booster Box Size]]</f>
        <v/>
      </c>
      <c r="AY1022" s="10">
        <f t="array" ref="AY1022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22" s="10" t="n"/>
      <c r="BA10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2" s="17">
        <f>tbl_MTG_Set[[#This Row],[Collector Booster CardMarket Profit]]/tbl_MTG_Set[[#This Row],[Collector Booster Cost]]</f>
        <v/>
      </c>
      <c r="BC1022" s="10" t="n"/>
      <c r="BF1022" s="10">
        <f>tbl_MTG_Set[[#This Row],[Play Booster Sell Price CardMarket]]*tbl_MTG_Set[[#This Row],[Play Booster Expected Market Value]]/tbl_MTG_Set[[#This Row],[Play Boost Sealed Market Value]]</f>
        <v/>
      </c>
      <c r="BG10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2" s="10">
        <f>tbl_MTG_Set[[#This Row],[Play Singles CardMarket Profit]]/tbl_MTG_Set[[#This Row],[Play Booster Cost]]</f>
        <v/>
      </c>
      <c r="BI1022" s="10">
        <f>tbl_MTG_Set[[#This Row],[Play Singles CardMarket Profit]]&gt;0</f>
        <v/>
      </c>
      <c r="BJ1022" s="10" t="n"/>
      <c r="BK1022" s="10" t="n"/>
      <c r="BL1022" s="10">
        <f>tbl_MTG_Set[[#This Row],[Collector Booster Sell Price CardMarket]]*tbl_MTG_Set[[#This Row],[Collector Booster Expected Market Value]]/tbl_MTG_Set[[#This Row],[Collector Boost Sealed Market Value]]</f>
        <v/>
      </c>
      <c r="BM10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2" s="10">
        <f>tbl_MTG_Set[[#This Row],[Collector Singles CardMarket Profit]]/tbl_MTG_Set[[#This Row],[Collector Booster Cost]]</f>
        <v/>
      </c>
      <c r="BO1022" s="10">
        <f>tbl_MTG_Set[[#This Row],[Collector Singles CardMarket Profit]]&gt;0</f>
        <v/>
      </c>
      <c r="BP10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3">
      <c r="A1023" t="n">
        <v>1021</v>
      </c>
      <c r="B1023" t="inlineStr">
        <is>
          <t>Limited Edition Beta LEB</t>
        </is>
      </c>
      <c r="C1023" t="n">
        <v>302</v>
      </c>
      <c r="D1023" s="3" t="n">
        <v>34246</v>
      </c>
      <c r="F1023" t="inlineStr">
        <is>
          <t>en es fr de it pt ja ko ru 汉语 漢語</t>
        </is>
      </c>
      <c r="G1023" t="n">
        <v>1988</v>
      </c>
      <c r="H1023">
        <f>MONTH(NOW())+12*YEAR(NOW())-MONTH(tbl_MTG_Set[[#This Row],[Released On]])-12*YEAR(tbl_MTG_Set[[#This Row],[Released On]])</f>
        <v/>
      </c>
      <c r="I1023">
        <f>_xlfn.XLOOKUP(tbl_MTG_Set[[#This Row],[Type Name]], tbl_MTG_Set_Type[Set Type], tbl_MTG_Set_Type[Index], "(Set Type not found)")</f>
        <v/>
      </c>
      <c r="J1023">
        <f>_xlfn.XLOOKUP(tbl_MTG_Set[[#This Row],[Type Name]], tbl_MTG_Set_Type[Set Type], tbl_MTG_Set_Type[Buy Window Month Start], "(Set Type not found)")</f>
        <v/>
      </c>
      <c r="K1023" s="3">
        <f>tbl_MTG_Set[[#This Row],[Released On]]+tbl_MTG_Set[[#This Row],[Buy Window Month Start]]*365.25/12</f>
        <v/>
      </c>
      <c r="L1023">
        <f>_xlfn.XLOOKUP(tbl_MTG_Set[[#This Row],[Type Name]], tbl_MTG_Set_Type[Set Type], tbl_MTG_Set_Type[Buy Window Month End], "(Set Type not found)", 0, 1)</f>
        <v/>
      </c>
      <c r="M1023" s="3">
        <f>tbl_MTG_Set[[#This Row],[Released On]]+tbl_MTG_Set[[#This Row],[Buy Window Month End]]*365.25/12</f>
        <v/>
      </c>
      <c r="N1023" s="3">
        <f>AND(NOW()&gt;=tbl_MTG_Set[[#This Row],[Buy Window Start]], NOW()&lt;=tbl_MTG_Set[[#This Row],[Buy Window End]])</f>
        <v/>
      </c>
      <c r="O1023">
        <f>_xlfn.XLOOKUP(tbl_MTG_Set[[#This Row],[Type Name]], tbl_MTG_Set_Type[Set Type], tbl_MTG_Set_Type[Heavy Printing Window Month Start], "(Set Type not found)", 0, 1)</f>
        <v/>
      </c>
      <c r="P1023" s="3">
        <f>tbl_MTG_Set[[#This Row],[Released On]]+tbl_MTG_Set[[#This Row],[Heavy Printing Window Month Start]]*365.25/12</f>
        <v/>
      </c>
      <c r="Q1023">
        <f>_xlfn.XLOOKUP(tbl_MTG_Set[[#This Row],[Type Name]], tbl_MTG_Set_Type[Set Type], tbl_MTG_Set_Type[Heavy Printing Window Month End], "(Set Type not found)", 0, 1)</f>
        <v/>
      </c>
      <c r="R1023" s="3">
        <f>tbl_MTG_Set[[#This Row],[Released On]]+tbl_MTG_Set[[#This Row],[Heavy Printing Window Month End]]*365.25/12</f>
        <v/>
      </c>
      <c r="S1023" s="3">
        <f>AND(NOW()&gt;=tbl_MTG_Set[[#This Row],[Heavy Printing Window Start]], NOW()&lt;=tbl_MTG_Set[[#This Row],[Heavy Printing Window End]])</f>
        <v/>
      </c>
      <c r="T1023">
        <f>_xlfn.XLOOKUP(tbl_MTG_Set[[#This Row],[Type Name]], tbl_MTG_Set_Type[Set Type], tbl_MTG_Set_Type[Sell Window Month Start], "(Set Type not found)", 0, 1)</f>
        <v/>
      </c>
      <c r="U1023" s="3">
        <f>tbl_MTG_Set[[#This Row],[Released On]]+tbl_MTG_Set[[#This Row],[Sell Window Month Start]]*365.25/12</f>
        <v/>
      </c>
      <c r="V1023">
        <f>_xlfn.XLOOKUP(tbl_MTG_Set[[#This Row],[Type Name]], tbl_MTG_Set_Type[Set Type], tbl_MTG_Set_Type[Sell Window Month End], "(Set Type not found)", 0, 1)</f>
        <v/>
      </c>
      <c r="W1023" s="3">
        <f>tbl_MTG_Set[[#This Row],[Released On]]+tbl_MTG_Set[[#This Row],[Sell Window Month End]]*365.25/12</f>
        <v/>
      </c>
      <c r="X1023" s="3">
        <f>AND(NOW()&gt;=tbl_MTG_Set[[#This Row],[Sell Window Start]], NOW()&lt;=tbl_MTG_Set[[#This Row],[Sell Window End]])</f>
        <v/>
      </c>
      <c r="AG1023" s="10" t="n"/>
      <c r="AH1023" s="10" t="n"/>
      <c r="AM1023" s="10">
        <f t="array" ref="AM10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3" s="10">
        <f t="array" ref="AN10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3" s="4">
        <f>_xlfn.XLOOKUP(tbl_MTG_Set[[#This Row],[Play Booster Box Product Id]], tbl_Product[Product Id], tbl_Product[Pack Size])</f>
        <v/>
      </c>
      <c r="AP1023" s="10">
        <f>(tbl_MTG_Set[[#This Row],[Play Booster Box Cost]]+v_Item_Shipping_Cost_In)/tbl_MTG_Set[[#This Row],[Play Booster Box Size]]</f>
        <v/>
      </c>
      <c r="AQ1023" s="10">
        <f t="array" ref="AQ1023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23" s="10" t="n"/>
      <c r="AS1023" s="10" t="n"/>
      <c r="AT1023" s="17">
        <f>tbl_MTG_Set[[#This Row],[Play Booster CardMarket Profit]]/tbl_MTG_Set[[#This Row],[Play Booster Cost]]</f>
        <v/>
      </c>
      <c r="AU1023" s="10">
        <f>_xlfn.XLOOKUP(tbl_MTG_Set[[#This Row],[Collector Booster Box Product Id]], tbl_Product[Product Id], tbl_Product[Min Cost])</f>
        <v/>
      </c>
      <c r="AV1023" s="10">
        <f>_xlfn.XLOOKUP(tbl_MTG_Set[[#This Row],[Collector Booster Box Product Id]], tbl_Product[Product Id], tbl_Product[Best Source])</f>
        <v/>
      </c>
      <c r="AW1023" s="4">
        <f>_xlfn.XLOOKUP(tbl_MTG_Set[[#This Row],[Collector Booster Box Product Id]], tbl_Product[Product Id], tbl_Product[Pack Size])</f>
        <v/>
      </c>
      <c r="AX1023" s="10">
        <f>(tbl_MTG_Set[[#This Row],[Collector Booster Box Cost]] + v_Item_Shipping_Cost_In) / tbl_MTG_Set[[#This Row],[Collector Booster Box Size]]</f>
        <v/>
      </c>
      <c r="AY1023" s="10">
        <f t="array" ref="AY1023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23" s="10" t="n"/>
      <c r="BA10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3" s="17">
        <f>tbl_MTG_Set[[#This Row],[Collector Booster CardMarket Profit]]/tbl_MTG_Set[[#This Row],[Collector Booster Cost]]</f>
        <v/>
      </c>
      <c r="BC1023" s="10" t="n"/>
      <c r="BF1023" s="10">
        <f>tbl_MTG_Set[[#This Row],[Play Booster Sell Price CardMarket]]*tbl_MTG_Set[[#This Row],[Play Booster Expected Market Value]]/tbl_MTG_Set[[#This Row],[Play Boost Sealed Market Value]]</f>
        <v/>
      </c>
      <c r="BG10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3" s="10">
        <f>tbl_MTG_Set[[#This Row],[Play Singles CardMarket Profit]]/tbl_MTG_Set[[#This Row],[Play Booster Cost]]</f>
        <v/>
      </c>
      <c r="BI1023" s="10">
        <f>tbl_MTG_Set[[#This Row],[Play Singles CardMarket Profit]]&gt;0</f>
        <v/>
      </c>
      <c r="BJ1023" s="10" t="n"/>
      <c r="BK1023" s="10" t="n"/>
      <c r="BL1023" s="10">
        <f>tbl_MTG_Set[[#This Row],[Collector Booster Sell Price CardMarket]]*tbl_MTG_Set[[#This Row],[Collector Booster Expected Market Value]]/tbl_MTG_Set[[#This Row],[Collector Boost Sealed Market Value]]</f>
        <v/>
      </c>
      <c r="BM10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3" s="10">
        <f>tbl_MTG_Set[[#This Row],[Collector Singles CardMarket Profit]]/tbl_MTG_Set[[#This Row],[Collector Booster Cost]]</f>
        <v/>
      </c>
      <c r="BO1023" s="10">
        <f>tbl_MTG_Set[[#This Row],[Collector Singles CardMarket Profit]]&gt;0</f>
        <v/>
      </c>
      <c r="BP10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4">
      <c r="A1024" t="n">
        <v>1022</v>
      </c>
      <c r="B1024" t="inlineStr">
        <is>
          <t>Limited Edition Alpha LEA</t>
        </is>
      </c>
      <c r="C1024" t="n">
        <v>295</v>
      </c>
      <c r="D1024" s="3" t="n">
        <v>34186</v>
      </c>
      <c r="F1024" t="inlineStr">
        <is>
          <t>en es fr de it pt ja ko ru</t>
        </is>
      </c>
      <c r="G1024" t="n">
        <v>1990</v>
      </c>
      <c r="H1024">
        <f>MONTH(NOW())+12*YEAR(NOW())-MONTH(tbl_MTG_Set[[#This Row],[Released On]])-12*YEAR(tbl_MTG_Set[[#This Row],[Released On]])</f>
        <v/>
      </c>
      <c r="I1024">
        <f>_xlfn.XLOOKUP(tbl_MTG_Set[[#This Row],[Type Name]], tbl_MTG_Set_Type[Set Type], tbl_MTG_Set_Type[Index], "(Set Type not found)")</f>
        <v/>
      </c>
      <c r="J1024">
        <f>_xlfn.XLOOKUP(tbl_MTG_Set[[#This Row],[Type Name]], tbl_MTG_Set_Type[Set Type], tbl_MTG_Set_Type[Buy Window Month Start], "(Set Type not found)")</f>
        <v/>
      </c>
      <c r="K1024" s="3">
        <f>tbl_MTG_Set[[#This Row],[Released On]]+tbl_MTG_Set[[#This Row],[Buy Window Month Start]]*365.25/12</f>
        <v/>
      </c>
      <c r="L1024">
        <f>_xlfn.XLOOKUP(tbl_MTG_Set[[#This Row],[Type Name]], tbl_MTG_Set_Type[Set Type], tbl_MTG_Set_Type[Buy Window Month End], "(Set Type not found)", 0, 1)</f>
        <v/>
      </c>
      <c r="M1024" s="3">
        <f>tbl_MTG_Set[[#This Row],[Released On]]+tbl_MTG_Set[[#This Row],[Buy Window Month End]]*365.25/12</f>
        <v/>
      </c>
      <c r="N1024" s="3">
        <f>AND(NOW()&gt;=tbl_MTG_Set[[#This Row],[Buy Window Start]], NOW()&lt;=tbl_MTG_Set[[#This Row],[Buy Window End]])</f>
        <v/>
      </c>
      <c r="O1024">
        <f>_xlfn.XLOOKUP(tbl_MTG_Set[[#This Row],[Type Name]], tbl_MTG_Set_Type[Set Type], tbl_MTG_Set_Type[Heavy Printing Window Month Start], "(Set Type not found)", 0, 1)</f>
        <v/>
      </c>
      <c r="P1024" s="3">
        <f>tbl_MTG_Set[[#This Row],[Released On]]+tbl_MTG_Set[[#This Row],[Heavy Printing Window Month Start]]*365.25/12</f>
        <v/>
      </c>
      <c r="Q1024">
        <f>_xlfn.XLOOKUP(tbl_MTG_Set[[#This Row],[Type Name]], tbl_MTG_Set_Type[Set Type], tbl_MTG_Set_Type[Heavy Printing Window Month End], "(Set Type not found)", 0, 1)</f>
        <v/>
      </c>
      <c r="R1024" s="3">
        <f>tbl_MTG_Set[[#This Row],[Released On]]+tbl_MTG_Set[[#This Row],[Heavy Printing Window Month End]]*365.25/12</f>
        <v/>
      </c>
      <c r="S1024" s="3">
        <f>AND(NOW()&gt;=tbl_MTG_Set[[#This Row],[Heavy Printing Window Start]], NOW()&lt;=tbl_MTG_Set[[#This Row],[Heavy Printing Window End]])</f>
        <v/>
      </c>
      <c r="T1024">
        <f>_xlfn.XLOOKUP(tbl_MTG_Set[[#This Row],[Type Name]], tbl_MTG_Set_Type[Set Type], tbl_MTG_Set_Type[Sell Window Month Start], "(Set Type not found)", 0, 1)</f>
        <v/>
      </c>
      <c r="U1024" s="3">
        <f>tbl_MTG_Set[[#This Row],[Released On]]+tbl_MTG_Set[[#This Row],[Sell Window Month Start]]*365.25/12</f>
        <v/>
      </c>
      <c r="V1024">
        <f>_xlfn.XLOOKUP(tbl_MTG_Set[[#This Row],[Type Name]], tbl_MTG_Set_Type[Set Type], tbl_MTG_Set_Type[Sell Window Month End], "(Set Type not found)", 0, 1)</f>
        <v/>
      </c>
      <c r="W1024" s="3">
        <f>tbl_MTG_Set[[#This Row],[Released On]]+tbl_MTG_Set[[#This Row],[Sell Window Month End]]*365.25/12</f>
        <v/>
      </c>
      <c r="X1024" s="3">
        <f>AND(NOW()&gt;=tbl_MTG_Set[[#This Row],[Sell Window Start]], NOW()&lt;=tbl_MTG_Set[[#This Row],[Sell Window End]])</f>
        <v/>
      </c>
      <c r="AG1024" s="10" t="n"/>
      <c r="AH1024" s="10" t="n"/>
      <c r="AM1024" s="10">
        <f t="array" ref="AM10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4" s="10">
        <f t="array" ref="AN10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4" s="4">
        <f>_xlfn.XLOOKUP(tbl_MTG_Set[[#This Row],[Play Booster Box Product Id]], tbl_Product[Product Id], tbl_Product[Pack Size])</f>
        <v/>
      </c>
      <c r="AP1024" s="10">
        <f>(tbl_MTG_Set[[#This Row],[Play Booster Box Cost]]+v_Item_Shipping_Cost_In)/tbl_MTG_Set[[#This Row],[Play Booster Box Size]]</f>
        <v/>
      </c>
      <c r="AQ1024" s="10">
        <f t="array" ref="AQ1024">IF(ISERROR(MIN(_xlfn._xlws.FILTER(tbl_Sourcing[Source Unit Cost], (tbl_Sourcing[Product Id]=tbl_MTG_Set[[#This Row],[Play Booster Product Id]])*(tbl_Sourcing[Active]=TRUE)*(tbl_Sourcing[Source Name]="Card Market")))), "", MIN(_xlfn._xlws.FILTER(tbl_Sourcing[Source Unit Cost], (tbl_Sourcing[Product Id]=tbl_MTG_Set[[#This Row],[Play Booster Product Id]])*(tbl_Sourcing[Active]=TRUE)*(tbl_Sourcing[Source Name]="Card Market"))))</f>
        <v/>
      </c>
      <c r="AR1024" s="10" t="n"/>
      <c r="AS1024" s="10" t="n"/>
      <c r="AT1024" s="17">
        <f>tbl_MTG_Set[[#This Row],[Play Booster CardMarket Profit]]/tbl_MTG_Set[[#This Row],[Play Booster Cost]]</f>
        <v/>
      </c>
      <c r="AU1024" s="10">
        <f>_xlfn.XLOOKUP(tbl_MTG_Set[[#This Row],[Collector Booster Box Product Id]], tbl_Product[Product Id], tbl_Product[Min Cost])</f>
        <v/>
      </c>
      <c r="AV1024" s="10">
        <f>_xlfn.XLOOKUP(tbl_MTG_Set[[#This Row],[Collector Booster Box Product Id]], tbl_Product[Product Id], tbl_Product[Best Source])</f>
        <v/>
      </c>
      <c r="AW1024" s="4">
        <f>_xlfn.XLOOKUP(tbl_MTG_Set[[#This Row],[Collector Booster Box Product Id]], tbl_Product[Product Id], tbl_Product[Pack Size])</f>
        <v/>
      </c>
      <c r="AX1024" s="10">
        <f>(tbl_MTG_Set[[#This Row],[Collector Booster Box Cost]] + v_Item_Shipping_Cost_In) / tbl_MTG_Set[[#This Row],[Collector Booster Box Size]]</f>
        <v/>
      </c>
      <c r="AY1024" s="10">
        <f t="array" ref="AY1024">IF(ISERROR(_xlfn._xlws.FILTER(tbl_Sourcing[Source Unit Cost], (tbl_Sourcing[Product Id]=tbl_MTG_Set[[#This Row],[Collector Booster Product Id]])*(tbl_Sourcing[Active]=TRUE)*(tbl_Sourcing[Source Name]="Card Market"))), "", _xlfn._xlws.FILTER(tbl_Sourcing[Source Unit Cost], (tbl_Sourcing[Product Id]=tbl_MTG_Set[[#This Row],[Collector Booster Product Id]])*(tbl_Sourcing[Active]=TRUE)*(tbl_Sourcing[Source Name]="Card Market")))</f>
        <v/>
      </c>
      <c r="AZ1024" s="10" t="n"/>
      <c r="BA10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4" s="17">
        <f>tbl_MTG_Set[[#This Row],[Collector Booster CardMarket Profit]]/tbl_MTG_Set[[#This Row],[Collector Booster Cost]]</f>
        <v/>
      </c>
      <c r="BC1024" s="10" t="n"/>
      <c r="BF1024" s="10">
        <f>tbl_MTG_Set[[#This Row],[Play Booster Sell Price CardMarket]]*tbl_MTG_Set[[#This Row],[Play Booster Expected Market Value]]/tbl_MTG_Set[[#This Row],[Play Boost Sealed Market Value]]</f>
        <v/>
      </c>
      <c r="BG10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4" s="10">
        <f>tbl_MTG_Set[[#This Row],[Play Singles CardMarket Profit]]/tbl_MTG_Set[[#This Row],[Play Booster Cost]]</f>
        <v/>
      </c>
      <c r="BI1024" s="10">
        <f>tbl_MTG_Set[[#This Row],[Play Singles CardMarket Profit]]&gt;0</f>
        <v/>
      </c>
      <c r="BJ1024" s="10" t="n"/>
      <c r="BK1024" s="10" t="n"/>
      <c r="BL1024" s="10">
        <f>tbl_MTG_Set[[#This Row],[Collector Booster Sell Price CardMarket]]*tbl_MTG_Set[[#This Row],[Collector Booster Expected Market Value]]/tbl_MTG_Set[[#This Row],[Collector Boost Sealed Market Value]]</f>
        <v/>
      </c>
      <c r="BM10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4" s="10">
        <f>tbl_MTG_Set[[#This Row],[Collector Singles CardMarket Profit]]/tbl_MTG_Set[[#This Row],[Collector Booster Cost]]</f>
        <v/>
      </c>
      <c r="BO1024" s="10">
        <f>tbl_MTG_Set[[#This Row],[Collector Singles CardMarket Profit]]&gt;0</f>
        <v/>
      </c>
      <c r="BP10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</sheetData>
  <conditionalFormatting sqref="N1:N1048576 S1:S1048576 X1:X1048576">
    <cfRule type="cellIs" priority="18" operator="equal" dxfId="83">
      <formula>TRUE</formula>
    </cfRule>
  </conditionalFormatting>
  <conditionalFormatting sqref="BI1:BI1048576">
    <cfRule type="cellIs" priority="17" operator="equal" dxfId="83">
      <formula>TRUE</formula>
    </cfRule>
  </conditionalFormatting>
  <conditionalFormatting sqref="AS3:AT1048576">
    <cfRule type="cellIs" priority="16" operator="greaterThan" dxfId="83">
      <formula>0</formula>
    </cfRule>
  </conditionalFormatting>
  <conditionalFormatting sqref="BG3:BH3">
    <cfRule type="cellIs" priority="13" operator="greaterThan" dxfId="83">
      <formula>0</formula>
    </cfRule>
  </conditionalFormatting>
  <conditionalFormatting sqref="BG3:BH1048576">
    <cfRule type="cellIs" priority="12" operator="greaterThan" dxfId="83">
      <formula>0</formula>
    </cfRule>
  </conditionalFormatting>
  <conditionalFormatting sqref="BA3:BB1048576">
    <cfRule type="cellIs" priority="11" operator="greaterThan" dxfId="83">
      <formula>0</formula>
    </cfRule>
  </conditionalFormatting>
  <conditionalFormatting sqref="BO2">
    <cfRule type="cellIs" priority="10" operator="equal" dxfId="83">
      <formula>TRUE</formula>
    </cfRule>
  </conditionalFormatting>
  <conditionalFormatting sqref="BO3">
    <cfRule type="cellIs" priority="9" operator="equal" dxfId="83">
      <formula>TRUE</formula>
    </cfRule>
  </conditionalFormatting>
  <conditionalFormatting sqref="BM1:BM1048576">
    <cfRule type="cellIs" priority="8" operator="greaterThan" dxfId="83">
      <formula>0</formula>
    </cfRule>
  </conditionalFormatting>
  <conditionalFormatting sqref="BO1:BO1048576">
    <cfRule type="cellIs" priority="6" operator="equal" dxfId="83">
      <formula>TRUE</formula>
    </cfRule>
  </conditionalFormatting>
  <conditionalFormatting sqref="BP1:BP1048576">
    <cfRule type="cellIs" priority="5" operator="equal" dxfId="83">
      <formula>TRUE</formula>
    </cfRule>
  </conditionalFormatting>
  <conditionalFormatting sqref="BN1:BN1048576">
    <cfRule type="cellIs" priority="3" operator="greaterThan" dxfId="83">
      <formula>0</formula>
    </cfRule>
  </conditionalFormatting>
  <conditionalFormatting sqref="BR1:BR1048576">
    <cfRule type="cellIs" priority="2" operator="greaterThan" dxfId="83">
      <formula>0</formula>
    </cfRule>
  </conditionalFormatting>
  <conditionalFormatting sqref="BT1:BT1048576">
    <cfRule type="cellIs" priority="1" operator="greaterThan" dxfId="83">
      <formula>0</formula>
    </cfRule>
  </conditionalFormatting>
  <hyperlinks>
    <hyperlink xmlns:r="http://schemas.openxmlformats.org/officeDocument/2006/relationships" ref="BC12" location="ev" r:id="rId1"/>
    <hyperlink xmlns:r="http://schemas.openxmlformats.org/officeDocument/2006/relationships" ref="BC22" location="ev" r:id="rId2"/>
    <hyperlink xmlns:r="http://schemas.openxmlformats.org/officeDocument/2006/relationships" ref="BC32" location="ev" r:id="rId3"/>
    <hyperlink xmlns:r="http://schemas.openxmlformats.org/officeDocument/2006/relationships" ref="BC40" location="ev" r:id="rId4"/>
    <hyperlink xmlns:r="http://schemas.openxmlformats.org/officeDocument/2006/relationships" ref="BC51" location="ev" r:id="rId5"/>
    <hyperlink xmlns:r="http://schemas.openxmlformats.org/officeDocument/2006/relationships" ref="BC60" location="ev" r:id="rId6"/>
    <hyperlink xmlns:r="http://schemas.openxmlformats.org/officeDocument/2006/relationships" ref="BC68" location="ev" r:id="rId7"/>
    <hyperlink xmlns:r="http://schemas.openxmlformats.org/officeDocument/2006/relationships" ref="BC83" location="ev" r:id="rId8"/>
    <hyperlink xmlns:r="http://schemas.openxmlformats.org/officeDocument/2006/relationships" ref="BC92" location="ev" r:id="rId9"/>
    <hyperlink xmlns:r="http://schemas.openxmlformats.org/officeDocument/2006/relationships" ref="BC104" location="ev" r:id="rId10"/>
    <hyperlink xmlns:r="http://schemas.openxmlformats.org/officeDocument/2006/relationships" ref="BC112" location="ev" r:id="rId11"/>
    <hyperlink xmlns:r="http://schemas.openxmlformats.org/officeDocument/2006/relationships" ref="BC126" location="ev" r:id="rId12"/>
    <hyperlink xmlns:r="http://schemas.openxmlformats.org/officeDocument/2006/relationships" ref="BC336" location="ev" r:id="rId13"/>
    <hyperlink xmlns:r="http://schemas.openxmlformats.org/officeDocument/2006/relationships" ref="BC444" location="ev" r:id="rId14"/>
    <hyperlink xmlns:r="http://schemas.openxmlformats.org/officeDocument/2006/relationships" ref="BC491" location="ev" r:id="rId15"/>
    <hyperlink xmlns:r="http://schemas.openxmlformats.org/officeDocument/2006/relationships" ref="BC578" location="ev" r:id="rId16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17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6"/>
  <sheetViews>
    <sheetView zoomScaleNormal="150" zoomScaleSheetLayoutView="100" workbookViewId="0">
      <selection activeCell="A1" sqref="A1:H16"/>
    </sheetView>
  </sheetViews>
  <sheetFormatPr baseColWidth="8" defaultRowHeight="15"/>
  <cols>
    <col width="10.5703125" bestFit="1" customWidth="1" style="6" min="1" max="1"/>
    <col width="16.85546875" bestFit="1" customWidth="1" style="6" min="2" max="2"/>
    <col width="10.5703125" bestFit="1" customWidth="1" style="6" min="3" max="3"/>
    <col width="17.28515625" bestFit="1" customWidth="1" style="6" min="4" max="4"/>
    <col width="12.42578125" customWidth="1" style="6" min="5" max="5"/>
    <col width="19.42578125" bestFit="1" customWidth="1" style="6" min="6" max="6"/>
    <col width="16.28515625" bestFit="1" customWidth="1" style="6" min="7" max="7"/>
  </cols>
  <sheetData>
    <row r="1">
      <c r="A1" t="inlineStr">
        <is>
          <t>Order ID</t>
        </is>
      </c>
      <c r="B1" t="inlineStr">
        <is>
          <t>Customer Name</t>
        </is>
      </c>
      <c r="C1" t="inlineStr">
        <is>
          <t>Platform</t>
        </is>
      </c>
      <c r="D1" t="inlineStr">
        <is>
          <t>Delivery Address</t>
        </is>
      </c>
      <c r="E1" t="inlineStr">
        <is>
          <t>Date</t>
        </is>
      </c>
      <c r="F1" t="inlineStr">
        <is>
          <t>CardMarket Sale ID</t>
        </is>
      </c>
      <c r="G1" t="inlineStr">
        <is>
          <t>Total Value GBP</t>
        </is>
      </c>
      <c r="H1" t="inlineStr">
        <is>
          <t>Include In Statistics</t>
        </is>
      </c>
    </row>
    <row r="2">
      <c r="A2" t="n">
        <v>1</v>
      </c>
      <c r="B2" t="inlineStr">
        <is>
          <t>Tierney Gullen</t>
        </is>
      </c>
      <c r="C2" t="inlineStr">
        <is>
          <t>CardMarket</t>
        </is>
      </c>
      <c r="D2" t="inlineStr">
        <is>
          <t>Tierney Gullen, Russet, Sawbridge Road, Grandborough, CV23 8DN</t>
        </is>
      </c>
      <c r="E2" s="3" t="n">
        <v>45992</v>
      </c>
      <c r="F2" t="n">
        <v>1244091248</v>
      </c>
      <c r="G2" t="n">
        <v>6.49</v>
      </c>
    </row>
    <row r="3" ht="54.75" customHeight="1" s="6">
      <c r="A3" t="n">
        <v>2</v>
      </c>
      <c r="B3" t="inlineStr">
        <is>
          <t>Tierney Gullen</t>
        </is>
      </c>
      <c r="C3" t="inlineStr">
        <is>
          <t>CardMarket</t>
        </is>
      </c>
      <c r="D3" s="1" t="inlineStr">
        <is>
          <t>Bethany Davies
20A Southway
LE8 4BB Leicester
United Kingdom</t>
        </is>
      </c>
      <c r="E3" s="3" t="n">
        <v>45995</v>
      </c>
      <c r="F3" t="n">
        <v>1244511206</v>
      </c>
      <c r="G3" t="n">
        <v>14.79</v>
      </c>
    </row>
    <row r="4">
      <c r="A4" t="n">
        <v>3</v>
      </c>
      <c r="B4" t="inlineStr">
        <is>
          <t>Tierney Gullen</t>
        </is>
      </c>
      <c r="C4" t="inlineStr">
        <is>
          <t>CardMarket</t>
        </is>
      </c>
      <c r="D4" t="inlineStr">
        <is>
          <t>Tierney Gullen, Russet, Sawbridge Road, Grandborough, CV23 8DN</t>
        </is>
      </c>
      <c r="E4" s="3" t="n">
        <v>45996</v>
      </c>
      <c r="F4" t="n">
        <v>1244684674</v>
      </c>
      <c r="G4" t="n">
        <v>6.49</v>
      </c>
    </row>
    <row r="5" ht="54.75" customHeight="1" s="6">
      <c r="A5" t="n">
        <v>4</v>
      </c>
      <c r="B5" t="inlineStr">
        <is>
          <t>Tierney Gullen</t>
        </is>
      </c>
      <c r="C5" t="inlineStr">
        <is>
          <t>CardMarket</t>
        </is>
      </c>
      <c r="D5" s="1" t="inlineStr">
        <is>
          <t>Bethany Davies
20A Southway
LE8 4BB Leicester
United Kingdom</t>
        </is>
      </c>
      <c r="E5" s="3" t="n">
        <v>45997</v>
      </c>
      <c r="F5" t="n">
        <v>1244900348</v>
      </c>
      <c r="G5" t="n">
        <v>13.29</v>
      </c>
    </row>
    <row r="6">
      <c r="A6" t="n">
        <v>5</v>
      </c>
      <c r="B6" t="inlineStr">
        <is>
          <t>callum-mysticwarren</t>
        </is>
      </c>
      <c r="C6" t="inlineStr">
        <is>
          <t>CardMarket</t>
        </is>
      </c>
      <c r="E6" s="3" t="n">
        <v>45997</v>
      </c>
      <c r="F6" t="n">
        <v>1244517093</v>
      </c>
      <c r="G6" t="n">
        <v>117.82</v>
      </c>
      <c r="H6" t="b">
        <v>1</v>
      </c>
    </row>
    <row r="7">
      <c r="A7" t="n">
        <v>6</v>
      </c>
      <c r="B7" t="inlineStr">
        <is>
          <t>Gathering-The-Magic</t>
        </is>
      </c>
      <c r="C7" t="inlineStr">
        <is>
          <t>CardMarket</t>
        </is>
      </c>
      <c r="E7" s="3" t="n">
        <v>45999</v>
      </c>
      <c r="F7" t="n">
        <v>1244525204</v>
      </c>
      <c r="G7" t="n">
        <v>19.93</v>
      </c>
      <c r="H7" t="b">
        <v>1</v>
      </c>
    </row>
    <row r="8">
      <c r="A8" t="n">
        <v>7</v>
      </c>
      <c r="B8" t="inlineStr">
        <is>
          <t>Tierney Gullen</t>
        </is>
      </c>
      <c r="C8" t="inlineStr">
        <is>
          <t>CardMarket</t>
        </is>
      </c>
      <c r="E8" s="3" t="n">
        <v>46002</v>
      </c>
      <c r="F8" t="n">
        <v>1245062013</v>
      </c>
      <c r="G8" t="n">
        <v>6.49</v>
      </c>
    </row>
    <row r="9">
      <c r="A9" t="n">
        <v>8</v>
      </c>
      <c r="B9" t="inlineStr">
        <is>
          <t>Disneydayna55</t>
        </is>
      </c>
      <c r="C9" t="inlineStr">
        <is>
          <t>CardMarket</t>
        </is>
      </c>
      <c r="E9" s="3" t="n">
        <v>46004</v>
      </c>
      <c r="F9" t="n">
        <v>1244288521</v>
      </c>
      <c r="G9" t="n">
        <v>9.890000000000001</v>
      </c>
      <c r="H9" t="b">
        <v>1</v>
      </c>
    </row>
    <row r="10">
      <c r="A10" t="n">
        <v>9</v>
      </c>
      <c r="B10" t="inlineStr">
        <is>
          <t>BrettUKHolt</t>
        </is>
      </c>
      <c r="C10" t="inlineStr">
        <is>
          <t>CardMarket</t>
        </is>
      </c>
      <c r="E10" s="3" t="n">
        <v>46006</v>
      </c>
      <c r="F10" t="n">
        <v>1245657893</v>
      </c>
      <c r="G10" t="n">
        <v>6.38</v>
      </c>
      <c r="H10" t="b">
        <v>1</v>
      </c>
    </row>
    <row r="11">
      <c r="A11" t="n">
        <v>10</v>
      </c>
      <c r="B11" t="inlineStr">
        <is>
          <t>Tierney Gullen</t>
        </is>
      </c>
      <c r="C11" t="inlineStr">
        <is>
          <t>CardMarket</t>
        </is>
      </c>
      <c r="E11" s="3" t="n">
        <v>46008</v>
      </c>
      <c r="F11" t="n">
        <v>1246666429</v>
      </c>
      <c r="G11" t="n">
        <v>6.18</v>
      </c>
    </row>
    <row r="12">
      <c r="A12" t="n">
        <v>11</v>
      </c>
      <c r="B12" t="inlineStr">
        <is>
          <t>AsadoSiopao</t>
        </is>
      </c>
      <c r="C12" t="inlineStr">
        <is>
          <t>CardMarket</t>
        </is>
      </c>
      <c r="E12" s="3" t="n">
        <v>46008</v>
      </c>
      <c r="F12" t="n">
        <v>1245983428</v>
      </c>
      <c r="G12" t="n">
        <v>56.58</v>
      </c>
      <c r="H12" t="b">
        <v>1</v>
      </c>
    </row>
    <row r="13">
      <c r="A13" t="n">
        <v>12</v>
      </c>
      <c r="B13" t="inlineStr">
        <is>
          <t>DiabloBlade1122</t>
        </is>
      </c>
      <c r="C13" t="inlineStr">
        <is>
          <t>CardMarket</t>
        </is>
      </c>
      <c r="E13" s="3" t="n">
        <v>46010</v>
      </c>
      <c r="F13" t="n">
        <v>1245339901</v>
      </c>
      <c r="G13" t="n">
        <v>16.4</v>
      </c>
      <c r="H13" t="b">
        <v>1</v>
      </c>
    </row>
    <row r="14">
      <c r="A14" t="n">
        <v>13</v>
      </c>
      <c r="B14" t="inlineStr">
        <is>
          <t>KrombopulosKatie</t>
        </is>
      </c>
      <c r="C14" t="inlineStr">
        <is>
          <t>CardMarket</t>
        </is>
      </c>
      <c r="E14" s="3" t="n">
        <v>46011</v>
      </c>
      <c r="F14" t="n">
        <v>1244607604</v>
      </c>
      <c r="G14" t="n">
        <v>40.78</v>
      </c>
      <c r="H14" t="b">
        <v>1</v>
      </c>
    </row>
    <row r="15">
      <c r="A15" t="n">
        <v>14</v>
      </c>
      <c r="B15" t="inlineStr">
        <is>
          <t>Pokemaniac91</t>
        </is>
      </c>
      <c r="C15" t="inlineStr">
        <is>
          <t>CardMarket</t>
        </is>
      </c>
      <c r="E15" s="3" t="n"/>
      <c r="F15" t="n">
        <v>1244625524</v>
      </c>
      <c r="G15" t="n">
        <v>10.59</v>
      </c>
      <c r="H15" t="b">
        <v>1</v>
      </c>
    </row>
    <row r="16">
      <c r="A16" t="n">
        <v>15</v>
      </c>
      <c r="B16" t="inlineStr">
        <is>
          <t>LeFrog</t>
        </is>
      </c>
      <c r="C16" t="inlineStr">
        <is>
          <t>CardMarket</t>
        </is>
      </c>
      <c r="E16" s="3" t="n">
        <v>46012</v>
      </c>
      <c r="F16" t="n">
        <v>1247162536</v>
      </c>
      <c r="G16" t="n">
        <v>13.77</v>
      </c>
      <c r="H16" t="b">
        <v>1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48"/>
  <sheetViews>
    <sheetView zoomScaleNormal="150" zoomScaleSheetLayoutView="100" workbookViewId="0">
      <selection activeCell="A2" sqref="A2:H48"/>
    </sheetView>
  </sheetViews>
  <sheetFormatPr baseColWidth="8" defaultRowHeight="15"/>
  <cols>
    <col width="14.140625" customWidth="1" style="6" min="1" max="1"/>
    <col width="10.140625" bestFit="1" customWidth="1" style="6" min="2" max="2"/>
    <col width="12" bestFit="1" customWidth="1" style="6" min="3" max="3"/>
    <col width="10.28515625" bestFit="1" customWidth="1" style="6" min="4" max="4"/>
    <col width="12.28515625" customWidth="1" style="6" min="5" max="5"/>
    <col width="52" customWidth="1" style="6" min="6" max="6"/>
  </cols>
  <sheetData>
    <row r="1">
      <c r="A1" t="inlineStr">
        <is>
          <t>Order Item Id</t>
        </is>
      </c>
      <c r="B1" t="inlineStr">
        <is>
          <t>Order Id</t>
        </is>
      </c>
      <c r="C1" t="inlineStr">
        <is>
          <t>Product Id</t>
        </is>
      </c>
      <c r="D1" t="inlineStr">
        <is>
          <t>Quantity</t>
        </is>
      </c>
      <c r="E1" t="inlineStr">
        <is>
          <t>Order Ref</t>
        </is>
      </c>
      <c r="F1" t="inlineStr">
        <is>
          <t>Product Name</t>
        </is>
      </c>
      <c r="G1" t="inlineStr">
        <is>
          <t>Subtotal Price</t>
        </is>
      </c>
      <c r="H1" t="inlineStr">
        <is>
          <t>Order Included In Statistics</t>
        </is>
      </c>
    </row>
    <row r="2">
      <c r="A2" t="n">
        <v>1</v>
      </c>
      <c r="B2" t="n">
        <v>1</v>
      </c>
      <c r="C2" t="n">
        <v>36</v>
      </c>
      <c r="D2" t="n">
        <v>1</v>
      </c>
      <c r="E2">
        <f>_xlfn.XLOOKUP(tbl_Sales_Order_Item[[#This Row],[Order Id]], 'Sales Order'!A:A, 'Sales Order'!F:F)</f>
        <v/>
      </c>
      <c r="F2">
        <f>_xlfn.XLOOKUP(tbl_Sales_Order_Item[[#This Row],[Product Id]],Product!A:A,Product!B:B)</f>
        <v/>
      </c>
      <c r="H2">
        <f>IF(_xlfn.XLOOKUP(tbl_Sales_Order_Item[[#This Row],[Order Id]], 'Sales Order'!A:A, 'Sales Order'!H:H)=0, FALSE, TRUE)</f>
        <v/>
      </c>
    </row>
    <row r="3">
      <c r="A3" t="n">
        <v>2</v>
      </c>
      <c r="B3" t="n">
        <v>2</v>
      </c>
      <c r="C3" t="n">
        <v>38</v>
      </c>
      <c r="D3" t="n">
        <v>1</v>
      </c>
      <c r="E3">
        <f>_xlfn.XLOOKUP(tbl_Sales_Order_Item[[#This Row],[Order Id]], 'Sales Order'!A:A, 'Sales Order'!F:F)</f>
        <v/>
      </c>
      <c r="F3">
        <f>_xlfn.XLOOKUP(tbl_Sales_Order_Item[[#This Row],[Product Id]],Product!A:A,Product!B:B)</f>
        <v/>
      </c>
      <c r="H3">
        <f>IF(_xlfn.XLOOKUP(tbl_Sales_Order_Item[[#This Row],[Order Id]], 'Sales Order'!A:A, 'Sales Order'!H:H)=0, FALSE, TRUE)</f>
        <v/>
      </c>
    </row>
    <row r="4">
      <c r="A4" t="n">
        <v>3</v>
      </c>
      <c r="B4" t="n">
        <v>2</v>
      </c>
      <c r="C4" t="n">
        <v>39</v>
      </c>
      <c r="D4" t="n">
        <v>1</v>
      </c>
      <c r="E4">
        <f>_xlfn.XLOOKUP(tbl_Sales_Order_Item[[#This Row],[Order Id]], 'Sales Order'!A:A, 'Sales Order'!F:F)</f>
        <v/>
      </c>
      <c r="F4">
        <f>_xlfn.XLOOKUP(tbl_Sales_Order_Item[[#This Row],[Product Id]],Product!A:A,Product!B:B)</f>
        <v/>
      </c>
      <c r="H4">
        <f>IF(_xlfn.XLOOKUP(tbl_Sales_Order_Item[[#This Row],[Order Id]], 'Sales Order'!A:A, 'Sales Order'!H:H)=0, FALSE, TRUE)</f>
        <v/>
      </c>
    </row>
    <row r="5">
      <c r="A5" t="n">
        <v>4</v>
      </c>
      <c r="B5" t="n">
        <v>3</v>
      </c>
      <c r="C5" t="n">
        <v>36</v>
      </c>
      <c r="D5" t="n">
        <v>1</v>
      </c>
      <c r="E5">
        <f>_xlfn.XLOOKUP(tbl_Sales_Order_Item[[#This Row],[Order Id]], 'Sales Order'!A:A, 'Sales Order'!F:F)</f>
        <v/>
      </c>
      <c r="F5">
        <f>_xlfn.XLOOKUP(tbl_Sales_Order_Item[[#This Row],[Product Id]],Product!A:A,Product!B:B)</f>
        <v/>
      </c>
      <c r="H5">
        <f>IF(_xlfn.XLOOKUP(tbl_Sales_Order_Item[[#This Row],[Order Id]], 'Sales Order'!A:A, 'Sales Order'!H:H)=0, FALSE, TRUE)</f>
        <v/>
      </c>
    </row>
    <row r="6">
      <c r="A6" t="n">
        <v>5</v>
      </c>
      <c r="B6" t="n">
        <v>4</v>
      </c>
      <c r="C6" t="n">
        <v>40</v>
      </c>
      <c r="D6" t="n">
        <v>1</v>
      </c>
      <c r="E6">
        <f>_xlfn.XLOOKUP(tbl_Sales_Order_Item[[#This Row],[Order Id]], 'Sales Order'!A:A, 'Sales Order'!F:F)</f>
        <v/>
      </c>
      <c r="F6">
        <f>_xlfn.XLOOKUP(tbl_Sales_Order_Item[[#This Row],[Product Id]],Product!A:A,Product!B:B)</f>
        <v/>
      </c>
      <c r="H6">
        <f>IF(_xlfn.XLOOKUP(tbl_Sales_Order_Item[[#This Row],[Order Id]], 'Sales Order'!A:A, 'Sales Order'!H:H)=0, FALSE, TRUE)</f>
        <v/>
      </c>
    </row>
    <row r="7">
      <c r="A7" t="n">
        <v>6</v>
      </c>
      <c r="B7" t="n">
        <v>4</v>
      </c>
      <c r="C7" t="n">
        <v>41</v>
      </c>
      <c r="D7" t="n">
        <v>1</v>
      </c>
      <c r="E7">
        <f>_xlfn.XLOOKUP(tbl_Sales_Order_Item[[#This Row],[Order Id]], 'Sales Order'!A:A, 'Sales Order'!F:F)</f>
        <v/>
      </c>
      <c r="F7">
        <f>_xlfn.XLOOKUP(tbl_Sales_Order_Item[[#This Row],[Product Id]],Product!A:A,Product!B:B)</f>
        <v/>
      </c>
      <c r="H7">
        <f>IF(_xlfn.XLOOKUP(tbl_Sales_Order_Item[[#This Row],[Order Id]], 'Sales Order'!A:A, 'Sales Order'!H:H)=0, FALSE, TRUE)</f>
        <v/>
      </c>
    </row>
    <row r="8">
      <c r="A8" t="n">
        <v>7</v>
      </c>
      <c r="B8" t="n">
        <v>5</v>
      </c>
      <c r="C8" t="n">
        <v>17</v>
      </c>
      <c r="D8" t="n">
        <v>1</v>
      </c>
      <c r="E8">
        <f>_xlfn.XLOOKUP(tbl_Sales_Order_Item[[#This Row],[Order Id]], 'Sales Order'!A:A, 'Sales Order'!F:F)</f>
        <v/>
      </c>
      <c r="F8">
        <f>_xlfn.XLOOKUP(tbl_Sales_Order_Item[[#This Row],[Product Id]],Product!A:A,Product!B:B)</f>
        <v/>
      </c>
      <c r="G8" t="n">
        <v>3.8</v>
      </c>
      <c r="H8">
        <f>IF(_xlfn.XLOOKUP(tbl_Sales_Order_Item[[#This Row],[Order Id]], 'Sales Order'!A:A, 'Sales Order'!H:H)=0, FALSE, TRUE)</f>
        <v/>
      </c>
    </row>
    <row r="9">
      <c r="A9" t="n">
        <v>8</v>
      </c>
      <c r="B9" t="n">
        <v>5</v>
      </c>
      <c r="C9" t="n">
        <v>35</v>
      </c>
      <c r="D9" t="n">
        <v>1</v>
      </c>
      <c r="E9">
        <f>_xlfn.XLOOKUP(tbl_Sales_Order_Item[[#This Row],[Order Id]], 'Sales Order'!A:A, 'Sales Order'!F:F)</f>
        <v/>
      </c>
      <c r="F9">
        <f>_xlfn.XLOOKUP(tbl_Sales_Order_Item[[#This Row],[Product Id]],Product!A:A,Product!B:B)</f>
        <v/>
      </c>
      <c r="G9" t="n">
        <v>2.8</v>
      </c>
      <c r="H9">
        <f>IF(_xlfn.XLOOKUP(tbl_Sales_Order_Item[[#This Row],[Order Id]], 'Sales Order'!A:A, 'Sales Order'!H:H)=0, FALSE, TRUE)</f>
        <v/>
      </c>
    </row>
    <row r="10">
      <c r="A10" t="n">
        <v>9</v>
      </c>
      <c r="B10" t="n">
        <v>5</v>
      </c>
      <c r="C10" t="n">
        <v>11</v>
      </c>
      <c r="D10" t="n">
        <v>2</v>
      </c>
      <c r="E10">
        <f>_xlfn.XLOOKUP(tbl_Sales_Order_Item[[#This Row],[Order Id]], 'Sales Order'!A:A, 'Sales Order'!F:F)</f>
        <v/>
      </c>
      <c r="F10">
        <f>_xlfn.XLOOKUP(tbl_Sales_Order_Item[[#This Row],[Product Id]],Product!A:A,Product!B:B)</f>
        <v/>
      </c>
      <c r="G10" t="n">
        <v>6.8</v>
      </c>
      <c r="H10">
        <f>IF(_xlfn.XLOOKUP(tbl_Sales_Order_Item[[#This Row],[Order Id]], 'Sales Order'!A:A, 'Sales Order'!H:H)=0, FALSE, TRUE)</f>
        <v/>
      </c>
    </row>
    <row r="11">
      <c r="A11" t="n">
        <v>10</v>
      </c>
      <c r="B11" t="n">
        <v>5</v>
      </c>
      <c r="C11" t="n">
        <v>26</v>
      </c>
      <c r="D11" t="n">
        <v>1</v>
      </c>
      <c r="E11">
        <f>_xlfn.XLOOKUP(tbl_Sales_Order_Item[[#This Row],[Order Id]], 'Sales Order'!A:A, 'Sales Order'!F:F)</f>
        <v/>
      </c>
      <c r="F11">
        <f>_xlfn.XLOOKUP(tbl_Sales_Order_Item[[#This Row],[Product Id]],Product!A:A,Product!B:B)</f>
        <v/>
      </c>
      <c r="G11" t="n">
        <v>3.3</v>
      </c>
      <c r="H11">
        <f>IF(_xlfn.XLOOKUP(tbl_Sales_Order_Item[[#This Row],[Order Id]], 'Sales Order'!A:A, 'Sales Order'!H:H)=0, FALSE, TRUE)</f>
        <v/>
      </c>
    </row>
    <row r="12">
      <c r="A12" t="n">
        <v>11</v>
      </c>
      <c r="B12" t="n">
        <v>5</v>
      </c>
      <c r="C12" t="n">
        <v>25</v>
      </c>
      <c r="D12" t="n">
        <v>1</v>
      </c>
      <c r="E12">
        <f>_xlfn.XLOOKUP(tbl_Sales_Order_Item[[#This Row],[Order Id]], 'Sales Order'!A:A, 'Sales Order'!F:F)</f>
        <v/>
      </c>
      <c r="F12">
        <f>_xlfn.XLOOKUP(tbl_Sales_Order_Item[[#This Row],[Product Id]],Product!A:A,Product!B:B)</f>
        <v/>
      </c>
      <c r="G12" t="n">
        <v>2.4</v>
      </c>
      <c r="H12">
        <f>IF(_xlfn.XLOOKUP(tbl_Sales_Order_Item[[#This Row],[Order Id]], 'Sales Order'!A:A, 'Sales Order'!H:H)=0, FALSE, TRUE)</f>
        <v/>
      </c>
    </row>
    <row r="13">
      <c r="A13" t="n">
        <v>12</v>
      </c>
      <c r="B13" t="n">
        <v>5</v>
      </c>
      <c r="C13" t="n">
        <v>42</v>
      </c>
      <c r="D13" t="n">
        <v>1</v>
      </c>
      <c r="E13">
        <f>_xlfn.XLOOKUP(tbl_Sales_Order_Item[[#This Row],[Order Id]], 'Sales Order'!A:A, 'Sales Order'!F:F)</f>
        <v/>
      </c>
      <c r="F13">
        <f>_xlfn.XLOOKUP(tbl_Sales_Order_Item[[#This Row],[Product Id]],Product!A:A,Product!B:B)</f>
        <v/>
      </c>
      <c r="G13" t="n">
        <v>91.25</v>
      </c>
      <c r="H13">
        <f>IF(_xlfn.XLOOKUP(tbl_Sales_Order_Item[[#This Row],[Order Id]], 'Sales Order'!A:A, 'Sales Order'!H:H)=0, FALSE, TRUE)</f>
        <v/>
      </c>
    </row>
    <row r="14">
      <c r="A14" t="n">
        <v>13</v>
      </c>
      <c r="B14" t="n">
        <v>6</v>
      </c>
      <c r="C14" t="n">
        <v>33</v>
      </c>
      <c r="D14" t="n">
        <v>1</v>
      </c>
      <c r="E14">
        <f>_xlfn.XLOOKUP(tbl_Sales_Order_Item[[#This Row],[Order Id]], 'Sales Order'!A:A, 'Sales Order'!F:F)</f>
        <v/>
      </c>
      <c r="F14">
        <f>_xlfn.XLOOKUP(tbl_Sales_Order_Item[[#This Row],[Product Id]],Product!A:A,Product!B:B)</f>
        <v/>
      </c>
      <c r="G14" t="n">
        <v>6.2</v>
      </c>
      <c r="H14">
        <f>IF(_xlfn.XLOOKUP(tbl_Sales_Order_Item[[#This Row],[Order Id]], 'Sales Order'!A:A, 'Sales Order'!H:H)=0, FALSE, TRUE)</f>
        <v/>
      </c>
    </row>
    <row r="15">
      <c r="A15" t="n">
        <v>14</v>
      </c>
      <c r="B15" t="n">
        <v>6</v>
      </c>
      <c r="C15" t="n">
        <v>20</v>
      </c>
      <c r="D15" t="n">
        <v>1</v>
      </c>
      <c r="E15">
        <f>_xlfn.XLOOKUP(tbl_Sales_Order_Item[[#This Row],[Order Id]], 'Sales Order'!A:A, 'Sales Order'!F:F)</f>
        <v/>
      </c>
      <c r="F15">
        <f>_xlfn.XLOOKUP(tbl_Sales_Order_Item[[#This Row],[Product Id]],Product!A:A,Product!B:B)</f>
        <v/>
      </c>
      <c r="G15" t="n">
        <v>4.3</v>
      </c>
      <c r="H15">
        <f>IF(_xlfn.XLOOKUP(tbl_Sales_Order_Item[[#This Row],[Order Id]], 'Sales Order'!A:A, 'Sales Order'!H:H)=0, FALSE, TRUE)</f>
        <v/>
      </c>
    </row>
    <row r="16">
      <c r="A16" t="n">
        <v>15</v>
      </c>
      <c r="B16" t="n">
        <v>6</v>
      </c>
      <c r="C16" t="n">
        <v>19</v>
      </c>
      <c r="D16" t="n">
        <v>1</v>
      </c>
      <c r="E16">
        <f>_xlfn.XLOOKUP(tbl_Sales_Order_Item[[#This Row],[Order Id]], 'Sales Order'!A:A, 'Sales Order'!F:F)</f>
        <v/>
      </c>
      <c r="F16">
        <f>_xlfn.XLOOKUP(tbl_Sales_Order_Item[[#This Row],[Product Id]],Product!A:A,Product!B:B)</f>
        <v/>
      </c>
      <c r="G16" t="n">
        <v>2.99</v>
      </c>
      <c r="H16">
        <f>IF(_xlfn.XLOOKUP(tbl_Sales_Order_Item[[#This Row],[Order Id]], 'Sales Order'!A:A, 'Sales Order'!H:H)=0, FALSE, TRUE)</f>
        <v/>
      </c>
    </row>
    <row r="17">
      <c r="A17" t="n">
        <v>16</v>
      </c>
      <c r="B17" t="n">
        <v>6</v>
      </c>
      <c r="C17" t="n">
        <v>12</v>
      </c>
      <c r="D17" t="n">
        <v>1</v>
      </c>
      <c r="E17">
        <f>_xlfn.XLOOKUP(tbl_Sales_Order_Item[[#This Row],[Order Id]], 'Sales Order'!A:A, 'Sales Order'!F:F)</f>
        <v/>
      </c>
      <c r="F17">
        <f>_xlfn.XLOOKUP(tbl_Sales_Order_Item[[#This Row],[Product Id]],Product!A:A,Product!B:B)</f>
        <v/>
      </c>
      <c r="G17" t="n">
        <v>4</v>
      </c>
      <c r="H17">
        <f>IF(_xlfn.XLOOKUP(tbl_Sales_Order_Item[[#This Row],[Order Id]], 'Sales Order'!A:A, 'Sales Order'!H:H)=0, FALSE, TRUE)</f>
        <v/>
      </c>
    </row>
    <row r="18">
      <c r="A18" t="n">
        <v>17</v>
      </c>
      <c r="B18" t="n">
        <v>7</v>
      </c>
      <c r="C18" t="n">
        <v>36</v>
      </c>
      <c r="D18" t="n">
        <v>1</v>
      </c>
      <c r="E18">
        <f>_xlfn.XLOOKUP(tbl_Sales_Order_Item[[#This Row],[Order Id]], 'Sales Order'!A:A, 'Sales Order'!F:F)</f>
        <v/>
      </c>
      <c r="F18">
        <f>_xlfn.XLOOKUP(tbl_Sales_Order_Item[[#This Row],[Product Id]],Product!A:A,Product!B:B)</f>
        <v/>
      </c>
      <c r="G18" t="n">
        <v>4.5</v>
      </c>
      <c r="H18">
        <f>IF(_xlfn.XLOOKUP(tbl_Sales_Order_Item[[#This Row],[Order Id]], 'Sales Order'!A:A, 'Sales Order'!H:H)=0, FALSE, TRUE)</f>
        <v/>
      </c>
    </row>
    <row r="19">
      <c r="A19" t="n">
        <v>18</v>
      </c>
      <c r="B19" t="n">
        <v>8</v>
      </c>
      <c r="C19" t="n">
        <v>27</v>
      </c>
      <c r="D19" t="n">
        <v>2</v>
      </c>
      <c r="E19">
        <f>_xlfn.XLOOKUP(tbl_Sales_Order_Item[[#This Row],[Order Id]], 'Sales Order'!A:A, 'Sales Order'!F:F)</f>
        <v/>
      </c>
      <c r="F19">
        <f>_xlfn.XLOOKUP(tbl_Sales_Order_Item[[#This Row],[Product Id]],Product!A:A,Product!B:B)</f>
        <v/>
      </c>
      <c r="G19" t="n">
        <v>6</v>
      </c>
      <c r="H19">
        <f>IF(_xlfn.XLOOKUP(tbl_Sales_Order_Item[[#This Row],[Order Id]], 'Sales Order'!A:A, 'Sales Order'!H:H)=0, FALSE, TRUE)</f>
        <v/>
      </c>
    </row>
    <row r="20">
      <c r="A20" t="n">
        <v>19</v>
      </c>
      <c r="B20" t="n">
        <v>9</v>
      </c>
      <c r="C20" t="n">
        <v>37</v>
      </c>
      <c r="D20" t="n">
        <v>1</v>
      </c>
      <c r="E20">
        <f>_xlfn.XLOOKUP(tbl_Sales_Order_Item[[#This Row],[Order Id]], 'Sales Order'!A:A, 'Sales Order'!F:F)</f>
        <v/>
      </c>
      <c r="F20">
        <f>_xlfn.XLOOKUP(tbl_Sales_Order_Item[[#This Row],[Product Id]],Product!A:A,Product!B:B)</f>
        <v/>
      </c>
      <c r="G20" t="n">
        <v>4.39</v>
      </c>
      <c r="H20">
        <f>IF(_xlfn.XLOOKUP(tbl_Sales_Order_Item[[#This Row],[Order Id]], 'Sales Order'!A:A, 'Sales Order'!H:H)=0, FALSE, TRUE)</f>
        <v/>
      </c>
    </row>
    <row r="21">
      <c r="A21" t="n">
        <v>20</v>
      </c>
      <c r="B21" t="n">
        <v>10</v>
      </c>
      <c r="C21" t="n">
        <v>12</v>
      </c>
      <c r="D21" t="n">
        <v>1</v>
      </c>
      <c r="E21">
        <f>_xlfn.XLOOKUP(tbl_Sales_Order_Item[[#This Row],[Order Id]], 'Sales Order'!A:A, 'Sales Order'!F:F)</f>
        <v/>
      </c>
      <c r="F21">
        <f>_xlfn.XLOOKUP(tbl_Sales_Order_Item[[#This Row],[Product Id]],Product!A:A,Product!B:B)</f>
        <v/>
      </c>
      <c r="G21" t="n">
        <v>4.19</v>
      </c>
      <c r="H21">
        <f>IF(_xlfn.XLOOKUP(tbl_Sales_Order_Item[[#This Row],[Order Id]], 'Sales Order'!A:A, 'Sales Order'!H:H)=0, FALSE, TRUE)</f>
        <v/>
      </c>
    </row>
    <row r="22">
      <c r="A22" t="n">
        <v>21</v>
      </c>
      <c r="B22" t="n">
        <v>11</v>
      </c>
      <c r="C22" t="n">
        <v>32</v>
      </c>
      <c r="D22" t="n">
        <v>1</v>
      </c>
      <c r="E22">
        <f>_xlfn.XLOOKUP(tbl_Sales_Order_Item[[#This Row],[Order Id]], 'Sales Order'!A:A, 'Sales Order'!F:F)</f>
        <v/>
      </c>
      <c r="F22">
        <f>_xlfn.XLOOKUP(tbl_Sales_Order_Item[[#This Row],[Product Id]],Product!A:A,Product!B:B)</f>
        <v/>
      </c>
      <c r="G22" t="n">
        <v>3.7</v>
      </c>
      <c r="H22">
        <f>IF(_xlfn.XLOOKUP(tbl_Sales_Order_Item[[#This Row],[Order Id]], 'Sales Order'!A:A, 'Sales Order'!H:H)=0, FALSE, TRUE)</f>
        <v/>
      </c>
    </row>
    <row r="23">
      <c r="A23" t="n">
        <v>22</v>
      </c>
      <c r="B23" t="n">
        <v>11</v>
      </c>
      <c r="C23" t="n">
        <v>43</v>
      </c>
      <c r="D23" t="n">
        <v>1</v>
      </c>
      <c r="E23">
        <f>_xlfn.XLOOKUP(tbl_Sales_Order_Item[[#This Row],[Order Id]], 'Sales Order'!A:A, 'Sales Order'!F:F)</f>
        <v/>
      </c>
      <c r="F23">
        <f>_xlfn.XLOOKUP(tbl_Sales_Order_Item[[#This Row],[Product Id]],Product!A:A,Product!B:B)</f>
        <v/>
      </c>
      <c r="G23" t="n">
        <v>3.3</v>
      </c>
      <c r="H23">
        <f>IF(_xlfn.XLOOKUP(tbl_Sales_Order_Item[[#This Row],[Order Id]], 'Sales Order'!A:A, 'Sales Order'!H:H)=0, FALSE, TRUE)</f>
        <v/>
      </c>
    </row>
    <row r="24">
      <c r="A24" t="n">
        <v>23</v>
      </c>
      <c r="B24" t="n">
        <v>11</v>
      </c>
      <c r="C24" t="n">
        <v>17</v>
      </c>
      <c r="D24" t="n">
        <v>1</v>
      </c>
      <c r="E24">
        <f>_xlfn.XLOOKUP(tbl_Sales_Order_Item[[#This Row],[Order Id]], 'Sales Order'!A:A, 'Sales Order'!F:F)</f>
        <v/>
      </c>
      <c r="F24">
        <f>_xlfn.XLOOKUP(tbl_Sales_Order_Item[[#This Row],[Product Id]],Product!A:A,Product!B:B)</f>
        <v/>
      </c>
      <c r="G24" t="n">
        <v>4.2</v>
      </c>
      <c r="H24">
        <f>IF(_xlfn.XLOOKUP(tbl_Sales_Order_Item[[#This Row],[Order Id]], 'Sales Order'!A:A, 'Sales Order'!H:H)=0, FALSE, TRUE)</f>
        <v/>
      </c>
    </row>
    <row r="25">
      <c r="A25" t="n">
        <v>24</v>
      </c>
      <c r="B25" t="n">
        <v>11</v>
      </c>
      <c r="C25" t="n">
        <v>44</v>
      </c>
      <c r="D25" t="n">
        <v>1</v>
      </c>
      <c r="E25">
        <f>_xlfn.XLOOKUP(tbl_Sales_Order_Item[[#This Row],[Order Id]], 'Sales Order'!A:A, 'Sales Order'!F:F)</f>
        <v/>
      </c>
      <c r="F25">
        <f>_xlfn.XLOOKUP(tbl_Sales_Order_Item[[#This Row],[Product Id]],Product!A:A,Product!B:B)</f>
        <v/>
      </c>
      <c r="G25" t="n">
        <v>4.8</v>
      </c>
      <c r="H25">
        <f>IF(_xlfn.XLOOKUP(tbl_Sales_Order_Item[[#This Row],[Order Id]], 'Sales Order'!A:A, 'Sales Order'!H:H)=0, FALSE, TRUE)</f>
        <v/>
      </c>
    </row>
    <row r="26">
      <c r="A26" t="n">
        <v>25</v>
      </c>
      <c r="B26" t="n">
        <v>11</v>
      </c>
      <c r="C26" t="n">
        <v>8</v>
      </c>
      <c r="D26" t="n">
        <v>1</v>
      </c>
      <c r="E26">
        <f>_xlfn.XLOOKUP(tbl_Sales_Order_Item[[#This Row],[Order Id]], 'Sales Order'!A:A, 'Sales Order'!F:F)</f>
        <v/>
      </c>
      <c r="F26">
        <f>_xlfn.XLOOKUP(tbl_Sales_Order_Item[[#This Row],[Product Id]],Product!A:A,Product!B:B)</f>
        <v/>
      </c>
      <c r="G26" t="n">
        <v>5.8</v>
      </c>
      <c r="H26">
        <f>IF(_xlfn.XLOOKUP(tbl_Sales_Order_Item[[#This Row],[Order Id]], 'Sales Order'!A:A, 'Sales Order'!H:H)=0, FALSE, TRUE)</f>
        <v/>
      </c>
    </row>
    <row r="27">
      <c r="A27" t="n">
        <v>26</v>
      </c>
      <c r="B27" t="n">
        <v>11</v>
      </c>
      <c r="C27" t="n">
        <v>45</v>
      </c>
      <c r="D27" t="n">
        <v>1</v>
      </c>
      <c r="E27">
        <f>_xlfn.XLOOKUP(tbl_Sales_Order_Item[[#This Row],[Order Id]], 'Sales Order'!A:A, 'Sales Order'!F:F)</f>
        <v/>
      </c>
      <c r="F27">
        <f>_xlfn.XLOOKUP(tbl_Sales_Order_Item[[#This Row],[Product Id]],Product!A:A,Product!B:B)</f>
        <v/>
      </c>
      <c r="G27" t="n">
        <v>3.4</v>
      </c>
      <c r="H27">
        <f>IF(_xlfn.XLOOKUP(tbl_Sales_Order_Item[[#This Row],[Order Id]], 'Sales Order'!A:A, 'Sales Order'!H:H)=0, FALSE, TRUE)</f>
        <v/>
      </c>
    </row>
    <row r="28">
      <c r="A28" t="n">
        <v>27</v>
      </c>
      <c r="B28" t="n">
        <v>11</v>
      </c>
      <c r="C28" t="n">
        <v>5</v>
      </c>
      <c r="D28" t="n">
        <v>1</v>
      </c>
      <c r="E28">
        <f>_xlfn.XLOOKUP(tbl_Sales_Order_Item[[#This Row],[Order Id]], 'Sales Order'!A:A, 'Sales Order'!F:F)</f>
        <v/>
      </c>
      <c r="F28">
        <f>_xlfn.XLOOKUP(tbl_Sales_Order_Item[[#This Row],[Product Id]],Product!A:A,Product!B:B)</f>
        <v/>
      </c>
      <c r="G28" t="n">
        <v>3.3</v>
      </c>
      <c r="H28">
        <f>IF(_xlfn.XLOOKUP(tbl_Sales_Order_Item[[#This Row],[Order Id]], 'Sales Order'!A:A, 'Sales Order'!H:H)=0, FALSE, TRUE)</f>
        <v/>
      </c>
    </row>
    <row r="29">
      <c r="A29" t="n">
        <v>28</v>
      </c>
      <c r="B29" t="n">
        <v>11</v>
      </c>
      <c r="C29" t="n">
        <v>31</v>
      </c>
      <c r="D29" t="n">
        <v>1</v>
      </c>
      <c r="E29">
        <f>_xlfn.XLOOKUP(tbl_Sales_Order_Item[[#This Row],[Order Id]], 'Sales Order'!A:A, 'Sales Order'!F:F)</f>
        <v/>
      </c>
      <c r="F29">
        <f>_xlfn.XLOOKUP(tbl_Sales_Order_Item[[#This Row],[Product Id]],Product!A:A,Product!B:B)</f>
        <v/>
      </c>
      <c r="G29" t="n">
        <v>3.79</v>
      </c>
      <c r="H29">
        <f>IF(_xlfn.XLOOKUP(tbl_Sales_Order_Item[[#This Row],[Order Id]], 'Sales Order'!A:A, 'Sales Order'!H:H)=0, FALSE, TRUE)</f>
        <v/>
      </c>
    </row>
    <row r="30">
      <c r="A30" t="n">
        <v>29</v>
      </c>
      <c r="B30" t="n">
        <v>11</v>
      </c>
      <c r="C30" t="n">
        <v>35</v>
      </c>
      <c r="D30" t="n">
        <v>1</v>
      </c>
      <c r="E30">
        <f>_xlfn.XLOOKUP(tbl_Sales_Order_Item[[#This Row],[Order Id]], 'Sales Order'!A:A, 'Sales Order'!F:F)</f>
        <v/>
      </c>
      <c r="F30">
        <f>_xlfn.XLOOKUP(tbl_Sales_Order_Item[[#This Row],[Product Id]],Product!A:A,Product!B:B)</f>
        <v/>
      </c>
      <c r="G30" t="n">
        <v>2.89</v>
      </c>
      <c r="H30">
        <f>IF(_xlfn.XLOOKUP(tbl_Sales_Order_Item[[#This Row],[Order Id]], 'Sales Order'!A:A, 'Sales Order'!H:H)=0, FALSE, TRUE)</f>
        <v/>
      </c>
    </row>
    <row r="31">
      <c r="A31" t="n">
        <v>30</v>
      </c>
      <c r="B31" t="n">
        <v>11</v>
      </c>
      <c r="C31" t="n">
        <v>11</v>
      </c>
      <c r="D31" t="n">
        <v>1</v>
      </c>
      <c r="E31">
        <f>_xlfn.XLOOKUP(tbl_Sales_Order_Item[[#This Row],[Order Id]], 'Sales Order'!A:A, 'Sales Order'!F:F)</f>
        <v/>
      </c>
      <c r="F31">
        <f>_xlfn.XLOOKUP(tbl_Sales_Order_Item[[#This Row],[Product Id]],Product!A:A,Product!B:B)</f>
        <v/>
      </c>
      <c r="G31" t="n">
        <v>3.4</v>
      </c>
      <c r="H31">
        <f>IF(_xlfn.XLOOKUP(tbl_Sales_Order_Item[[#This Row],[Order Id]], 'Sales Order'!A:A, 'Sales Order'!H:H)=0, FALSE, TRUE)</f>
        <v/>
      </c>
    </row>
    <row r="32">
      <c r="A32" t="n">
        <v>31</v>
      </c>
      <c r="B32" t="n">
        <v>11</v>
      </c>
      <c r="C32" t="n">
        <v>26</v>
      </c>
      <c r="D32" t="n">
        <v>1</v>
      </c>
      <c r="E32">
        <f>_xlfn.XLOOKUP(tbl_Sales_Order_Item[[#This Row],[Order Id]], 'Sales Order'!A:A, 'Sales Order'!F:F)</f>
        <v/>
      </c>
      <c r="F32">
        <f>_xlfn.XLOOKUP(tbl_Sales_Order_Item[[#This Row],[Product Id]],Product!A:A,Product!B:B)</f>
        <v/>
      </c>
      <c r="G32" t="n">
        <v>3.39</v>
      </c>
      <c r="H32">
        <f>IF(_xlfn.XLOOKUP(tbl_Sales_Order_Item[[#This Row],[Order Id]], 'Sales Order'!A:A, 'Sales Order'!H:H)=0, FALSE, TRUE)</f>
        <v/>
      </c>
    </row>
    <row r="33">
      <c r="A33" t="n">
        <v>32</v>
      </c>
      <c r="B33" t="n">
        <v>11</v>
      </c>
      <c r="C33" t="n">
        <v>25</v>
      </c>
      <c r="D33" t="n">
        <v>1</v>
      </c>
      <c r="E33">
        <f>_xlfn.XLOOKUP(tbl_Sales_Order_Item[[#This Row],[Order Id]], 'Sales Order'!A:A, 'Sales Order'!F:F)</f>
        <v/>
      </c>
      <c r="F33">
        <f>_xlfn.XLOOKUP(tbl_Sales_Order_Item[[#This Row],[Product Id]],Product!A:A,Product!B:B)</f>
        <v/>
      </c>
      <c r="G33" t="n">
        <v>2.49</v>
      </c>
      <c r="H33">
        <f>IF(_xlfn.XLOOKUP(tbl_Sales_Order_Item[[#This Row],[Order Id]], 'Sales Order'!A:A, 'Sales Order'!H:H)=0, FALSE, TRUE)</f>
        <v/>
      </c>
    </row>
    <row r="34">
      <c r="A34" t="n">
        <v>33</v>
      </c>
      <c r="B34" t="n">
        <v>11</v>
      </c>
      <c r="C34" t="n">
        <v>20</v>
      </c>
      <c r="D34" t="n">
        <v>1</v>
      </c>
      <c r="E34">
        <f>_xlfn.XLOOKUP(tbl_Sales_Order_Item[[#This Row],[Order Id]], 'Sales Order'!A:A, 'Sales Order'!F:F)</f>
        <v/>
      </c>
      <c r="F34">
        <f>_xlfn.XLOOKUP(tbl_Sales_Order_Item[[#This Row],[Product Id]],Product!A:A,Product!B:B)</f>
        <v/>
      </c>
      <c r="G34" t="n">
        <v>4.39</v>
      </c>
      <c r="H34">
        <f>IF(_xlfn.XLOOKUP(tbl_Sales_Order_Item[[#This Row],[Order Id]], 'Sales Order'!A:A, 'Sales Order'!H:H)=0, FALSE, TRUE)</f>
        <v/>
      </c>
    </row>
    <row r="35">
      <c r="A35" t="n">
        <v>34</v>
      </c>
      <c r="B35" t="n">
        <v>11</v>
      </c>
      <c r="C35" t="n">
        <v>19</v>
      </c>
      <c r="D35" t="n">
        <v>1</v>
      </c>
      <c r="E35">
        <f>_xlfn.XLOOKUP(tbl_Sales_Order_Item[[#This Row],[Order Id]], 'Sales Order'!A:A, 'Sales Order'!F:F)</f>
        <v/>
      </c>
      <c r="F35">
        <f>_xlfn.XLOOKUP(tbl_Sales_Order_Item[[#This Row],[Product Id]],Product!A:A,Product!B:B)</f>
        <v/>
      </c>
      <c r="G35" t="n">
        <v>2.99</v>
      </c>
      <c r="H35">
        <f>IF(_xlfn.XLOOKUP(tbl_Sales_Order_Item[[#This Row],[Order Id]], 'Sales Order'!A:A, 'Sales Order'!H:H)=0, FALSE, TRUE)</f>
        <v/>
      </c>
    </row>
    <row r="36">
      <c r="A36" t="n">
        <v>35</v>
      </c>
      <c r="B36" t="n">
        <v>12</v>
      </c>
      <c r="C36" t="n">
        <v>27</v>
      </c>
      <c r="D36" t="n">
        <v>4</v>
      </c>
      <c r="E36">
        <f>_xlfn.XLOOKUP(tbl_Sales_Order_Item[[#This Row],[Order Id]], 'Sales Order'!A:A, 'Sales Order'!F:F)</f>
        <v/>
      </c>
      <c r="F36">
        <f>_xlfn.XLOOKUP(tbl_Sales_Order_Item[[#This Row],[Product Id]],Product!A:A,Product!B:B)</f>
        <v/>
      </c>
      <c r="G36" t="n">
        <v>13.96</v>
      </c>
      <c r="H36">
        <f>IF(_xlfn.XLOOKUP(tbl_Sales_Order_Item[[#This Row],[Order Id]], 'Sales Order'!A:A, 'Sales Order'!H:H)=0, FALSE, TRUE)</f>
        <v/>
      </c>
    </row>
    <row r="37">
      <c r="A37" t="n">
        <v>36</v>
      </c>
      <c r="B37" t="n">
        <v>13</v>
      </c>
      <c r="C37" t="n">
        <v>13</v>
      </c>
      <c r="D37" t="n">
        <v>1</v>
      </c>
      <c r="E37">
        <f>_xlfn.XLOOKUP(tbl_Sales_Order_Item[[#This Row],[Order Id]], 'Sales Order'!A:A, 'Sales Order'!F:F)</f>
        <v/>
      </c>
      <c r="F37">
        <f>_xlfn.XLOOKUP(tbl_Sales_Order_Item[[#This Row],[Product Id]],Product!A:A,Product!B:B)</f>
        <v/>
      </c>
      <c r="G37" t="n">
        <v>3.4</v>
      </c>
      <c r="H37">
        <f>IF(_xlfn.XLOOKUP(tbl_Sales_Order_Item[[#This Row],[Order Id]], 'Sales Order'!A:A, 'Sales Order'!H:H)=0, FALSE, TRUE)</f>
        <v/>
      </c>
    </row>
    <row r="38">
      <c r="A38" t="n">
        <v>37</v>
      </c>
      <c r="B38" t="n">
        <v>13</v>
      </c>
      <c r="C38" t="n">
        <v>22</v>
      </c>
      <c r="D38" t="n">
        <v>1</v>
      </c>
      <c r="E38">
        <f>_xlfn.XLOOKUP(tbl_Sales_Order_Item[[#This Row],[Order Id]], 'Sales Order'!A:A, 'Sales Order'!F:F)</f>
        <v/>
      </c>
      <c r="F38">
        <f>_xlfn.XLOOKUP(tbl_Sales_Order_Item[[#This Row],[Product Id]],Product!A:A,Product!B:B)</f>
        <v/>
      </c>
      <c r="G38" t="n">
        <v>5.8</v>
      </c>
      <c r="H38">
        <f>IF(_xlfn.XLOOKUP(tbl_Sales_Order_Item[[#This Row],[Order Id]], 'Sales Order'!A:A, 'Sales Order'!H:H)=0, FALSE, TRUE)</f>
        <v/>
      </c>
    </row>
    <row r="39">
      <c r="A39" t="n">
        <v>38</v>
      </c>
      <c r="B39" t="n">
        <v>13</v>
      </c>
      <c r="C39" t="n">
        <v>35</v>
      </c>
      <c r="D39" t="n">
        <v>1</v>
      </c>
      <c r="E39">
        <f>_xlfn.XLOOKUP(tbl_Sales_Order_Item[[#This Row],[Order Id]], 'Sales Order'!A:A, 'Sales Order'!F:F)</f>
        <v/>
      </c>
      <c r="F39">
        <f>_xlfn.XLOOKUP(tbl_Sales_Order_Item[[#This Row],[Product Id]],Product!A:A,Product!B:B)</f>
        <v/>
      </c>
      <c r="G39" t="n">
        <v>2.8</v>
      </c>
      <c r="H39">
        <f>IF(_xlfn.XLOOKUP(tbl_Sales_Order_Item[[#This Row],[Order Id]], 'Sales Order'!A:A, 'Sales Order'!H:H)=0, FALSE, TRUE)</f>
        <v/>
      </c>
    </row>
    <row r="40">
      <c r="A40" t="n">
        <v>39</v>
      </c>
      <c r="B40" t="n">
        <v>13</v>
      </c>
      <c r="C40" t="n">
        <v>26</v>
      </c>
      <c r="D40" t="n">
        <v>1</v>
      </c>
      <c r="E40">
        <f>_xlfn.XLOOKUP(tbl_Sales_Order_Item[[#This Row],[Order Id]], 'Sales Order'!A:A, 'Sales Order'!F:F)</f>
        <v/>
      </c>
      <c r="F40">
        <f>_xlfn.XLOOKUP(tbl_Sales_Order_Item[[#This Row],[Product Id]],Product!A:A,Product!B:B)</f>
        <v/>
      </c>
      <c r="G40" t="n">
        <v>3.3</v>
      </c>
      <c r="H40">
        <f>IF(_xlfn.XLOOKUP(tbl_Sales_Order_Item[[#This Row],[Order Id]], 'Sales Order'!A:A, 'Sales Order'!H:H)=0, FALSE, TRUE)</f>
        <v/>
      </c>
    </row>
    <row r="41">
      <c r="A41" t="n">
        <v>40</v>
      </c>
      <c r="B41" t="n">
        <v>13</v>
      </c>
      <c r="C41" t="n">
        <v>16</v>
      </c>
      <c r="D41" t="n">
        <v>1</v>
      </c>
      <c r="E41">
        <f>_xlfn.XLOOKUP(tbl_Sales_Order_Item[[#This Row],[Order Id]], 'Sales Order'!A:A, 'Sales Order'!F:F)</f>
        <v/>
      </c>
      <c r="F41">
        <f>_xlfn.XLOOKUP(tbl_Sales_Order_Item[[#This Row],[Product Id]],Product!A:A,Product!B:B)</f>
        <v/>
      </c>
      <c r="G41" t="n">
        <v>3.9</v>
      </c>
      <c r="H41">
        <f>IF(_xlfn.XLOOKUP(tbl_Sales_Order_Item[[#This Row],[Order Id]], 'Sales Order'!A:A, 'Sales Order'!H:H)=0, FALSE, TRUE)</f>
        <v/>
      </c>
    </row>
    <row r="42">
      <c r="A42" t="n">
        <v>41</v>
      </c>
      <c r="B42" t="n">
        <v>13</v>
      </c>
      <c r="C42" t="n">
        <v>25</v>
      </c>
      <c r="D42" t="n">
        <v>1</v>
      </c>
      <c r="E42">
        <f>_xlfn.XLOOKUP(tbl_Sales_Order_Item[[#This Row],[Order Id]], 'Sales Order'!A:A, 'Sales Order'!F:F)</f>
        <v/>
      </c>
      <c r="F42">
        <f>_xlfn.XLOOKUP(tbl_Sales_Order_Item[[#This Row],[Product Id]],Product!A:A,Product!B:B)</f>
        <v/>
      </c>
      <c r="G42" t="n">
        <v>2.4</v>
      </c>
      <c r="H42">
        <f>IF(_xlfn.XLOOKUP(tbl_Sales_Order_Item[[#This Row],[Order Id]], 'Sales Order'!A:A, 'Sales Order'!H:H)=0, FALSE, TRUE)</f>
        <v/>
      </c>
    </row>
    <row r="43">
      <c r="A43" t="n">
        <v>42</v>
      </c>
      <c r="B43" t="n">
        <v>13</v>
      </c>
      <c r="C43" t="n">
        <v>27</v>
      </c>
      <c r="D43" t="n">
        <v>1</v>
      </c>
      <c r="E43">
        <f>_xlfn.XLOOKUP(tbl_Sales_Order_Item[[#This Row],[Order Id]], 'Sales Order'!A:A, 'Sales Order'!F:F)</f>
        <v/>
      </c>
      <c r="F43">
        <f>_xlfn.XLOOKUP(tbl_Sales_Order_Item[[#This Row],[Product Id]],Product!A:A,Product!B:B)</f>
        <v/>
      </c>
      <c r="G43" t="n">
        <v>3</v>
      </c>
      <c r="H43">
        <f>IF(_xlfn.XLOOKUP(tbl_Sales_Order_Item[[#This Row],[Order Id]], 'Sales Order'!A:A, 'Sales Order'!H:H)=0, FALSE, TRUE)</f>
        <v/>
      </c>
    </row>
    <row r="44">
      <c r="A44" t="n">
        <v>43</v>
      </c>
      <c r="B44" t="n">
        <v>13</v>
      </c>
      <c r="C44" t="n">
        <v>20</v>
      </c>
      <c r="D44" t="n">
        <v>1</v>
      </c>
      <c r="E44">
        <f>_xlfn.XLOOKUP(tbl_Sales_Order_Item[[#This Row],[Order Id]], 'Sales Order'!A:A, 'Sales Order'!F:F)</f>
        <v/>
      </c>
      <c r="F44">
        <f>_xlfn.XLOOKUP(tbl_Sales_Order_Item[[#This Row],[Product Id]],Product!A:A,Product!B:B)</f>
        <v/>
      </c>
      <c r="G44" t="n">
        <v>4.25</v>
      </c>
      <c r="H44">
        <f>IF(_xlfn.XLOOKUP(tbl_Sales_Order_Item[[#This Row],[Order Id]], 'Sales Order'!A:A, 'Sales Order'!H:H)=0, FALSE, TRUE)</f>
        <v/>
      </c>
    </row>
    <row r="45">
      <c r="A45" t="n">
        <v>44</v>
      </c>
      <c r="B45" t="n">
        <v>13</v>
      </c>
      <c r="C45" t="n">
        <v>19</v>
      </c>
      <c r="D45" t="n">
        <v>1</v>
      </c>
      <c r="E45">
        <f>_xlfn.XLOOKUP(tbl_Sales_Order_Item[[#This Row],[Order Id]], 'Sales Order'!A:A, 'Sales Order'!F:F)</f>
        <v/>
      </c>
      <c r="F45">
        <f>_xlfn.XLOOKUP(tbl_Sales_Order_Item[[#This Row],[Product Id]],Product!A:A,Product!B:B)</f>
        <v/>
      </c>
      <c r="G45" t="n">
        <v>2.99</v>
      </c>
      <c r="H45">
        <f>IF(_xlfn.XLOOKUP(tbl_Sales_Order_Item[[#This Row],[Order Id]], 'Sales Order'!A:A, 'Sales Order'!H:H)=0, FALSE, TRUE)</f>
        <v/>
      </c>
    </row>
    <row r="46">
      <c r="A46" t="n">
        <v>45</v>
      </c>
      <c r="B46" t="n">
        <v>13</v>
      </c>
      <c r="C46" t="n">
        <v>12</v>
      </c>
      <c r="D46" t="n">
        <v>1</v>
      </c>
      <c r="E46">
        <f>_xlfn.XLOOKUP(tbl_Sales_Order_Item[[#This Row],[Order Id]], 'Sales Order'!A:A, 'Sales Order'!F:F)</f>
        <v/>
      </c>
      <c r="F46">
        <f>_xlfn.XLOOKUP(tbl_Sales_Order_Item[[#This Row],[Product Id]],Product!A:A,Product!B:B)</f>
        <v/>
      </c>
      <c r="G46" t="n">
        <v>4.2</v>
      </c>
      <c r="H46">
        <f>IF(_xlfn.XLOOKUP(tbl_Sales_Order_Item[[#This Row],[Order Id]], 'Sales Order'!A:A, 'Sales Order'!H:H)=0, FALSE, TRUE)</f>
        <v/>
      </c>
    </row>
    <row r="47">
      <c r="A47" t="n">
        <v>46</v>
      </c>
      <c r="B47" t="n">
        <v>14</v>
      </c>
      <c r="C47" t="n">
        <v>37</v>
      </c>
      <c r="D47" t="n">
        <v>2</v>
      </c>
      <c r="E47">
        <f>_xlfn.XLOOKUP(tbl_Sales_Order_Item[[#This Row],[Order Id]], 'Sales Order'!A:A, 'Sales Order'!F:F)</f>
        <v/>
      </c>
      <c r="F47">
        <f>_xlfn.XLOOKUP(tbl_Sales_Order_Item[[#This Row],[Product Id]],Product!A:A,Product!B:B)</f>
        <v/>
      </c>
      <c r="G47" t="n">
        <v>8.6</v>
      </c>
      <c r="H47">
        <f>IF(_xlfn.XLOOKUP(tbl_Sales_Order_Item[[#This Row],[Order Id]], 'Sales Order'!A:A, 'Sales Order'!H:H)=0, FALSE, TRUE)</f>
        <v/>
      </c>
    </row>
    <row r="48">
      <c r="A48" t="n">
        <v>47</v>
      </c>
      <c r="B48" t="n">
        <v>15</v>
      </c>
      <c r="C48" t="n">
        <v>3</v>
      </c>
      <c r="D48" t="n">
        <v>2</v>
      </c>
      <c r="E48">
        <f>_xlfn.XLOOKUP(tbl_Sales_Order_Item[[#This Row],[Order Id]], 'Sales Order'!A:A, 'Sales Order'!F:F)</f>
        <v/>
      </c>
      <c r="F48">
        <f>_xlfn.XLOOKUP(tbl_Sales_Order_Item[[#This Row],[Product Id]],Product!A:A,Product!B:B)</f>
        <v/>
      </c>
      <c r="G48" t="n">
        <v>11.78</v>
      </c>
      <c r="H48">
        <f>IF(_xlfn.XLOOKUP(tbl_Sales_Order_Item[[#This Row],[Order Id]], 'Sales Order'!A:A, 'Sales Order'!H:H)=0, FALSE, TRUE)</f>
        <v/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235"/>
  <sheetViews>
    <sheetView zoomScaleNormal="60" zoomScaleSheetLayoutView="100" workbookViewId="0">
      <selection activeCell="I26" sqref="I26"/>
    </sheetView>
  </sheetViews>
  <sheetFormatPr baseColWidth="8" defaultRowHeight="15"/>
  <cols>
    <col width="12" bestFit="1" customWidth="1" style="6" min="1" max="1"/>
    <col width="46" customWidth="1" style="6" min="2" max="2"/>
    <col width="11.5703125" bestFit="1" customWidth="1" style="6" min="3" max="3"/>
    <col width="15.5703125" bestFit="1" customWidth="1" style="6" min="4" max="4"/>
    <col width="12" bestFit="1" customWidth="1" style="6" min="5" max="5"/>
    <col width="13.42578125" bestFit="1" customWidth="1" style="6" min="6" max="6"/>
    <col width="11.42578125" bestFit="1" customWidth="1" style="6" min="7" max="7"/>
    <col width="10.85546875" bestFit="1" customWidth="1" style="6" min="8" max="8"/>
    <col width="13.7109375" bestFit="1" customWidth="1" style="6" min="9" max="9"/>
    <col width="22.85546875" bestFit="1" customWidth="1" style="6" min="10" max="10"/>
  </cols>
  <sheetData>
    <row r="1">
      <c r="A1" t="inlineStr">
        <is>
          <t>Product Id</t>
        </is>
      </c>
      <c r="B1" t="inlineStr">
        <is>
          <t>Name</t>
        </is>
      </c>
      <c r="C1" t="inlineStr">
        <is>
          <t>Pack Size</t>
        </is>
      </c>
      <c r="D1" t="inlineStr">
        <is>
          <t>Is Booster Box</t>
        </is>
      </c>
      <c r="E1" t="inlineStr">
        <is>
          <t>Is Booster</t>
        </is>
      </c>
      <c r="F1" t="inlineStr">
        <is>
          <t>Is Collector</t>
        </is>
      </c>
      <c r="G1" t="inlineStr">
        <is>
          <t>Is Precon</t>
        </is>
      </c>
      <c r="H1" t="inlineStr">
        <is>
          <t>Min Cost</t>
        </is>
      </c>
      <c r="I1" t="inlineStr">
        <is>
          <t>Best Source</t>
        </is>
      </c>
      <c r="J1" t="inlineStr">
        <is>
          <t>Sale Price CardMarket</t>
        </is>
      </c>
    </row>
    <row r="2">
      <c r="A2" t="n">
        <v>36</v>
      </c>
      <c r="B2" t="inlineStr">
        <is>
          <t>Dragon Shield Perfect-Fit Inner Sleeves Top-Loading Clear Standard Size Pack of 100</t>
        </is>
      </c>
      <c r="C2" t="n">
        <v>100</v>
      </c>
      <c r="D2" t="b">
        <v>0</v>
      </c>
      <c r="E2" t="b">
        <v>0</v>
      </c>
      <c r="F2" t="b">
        <v>0</v>
      </c>
      <c r="G2" t="b">
        <v>0</v>
      </c>
      <c r="H2" s="10">
        <f t="array" ref="H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" s="10">
        <f t="array" ref="I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" s="10">
        <f t="array" ref="J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">
      <c r="A3" t="n">
        <v>83</v>
      </c>
      <c r="B3" t="inlineStr">
        <is>
          <t>MTG Aetherdrift Collector Booster</t>
        </is>
      </c>
      <c r="D3" t="b">
        <v>0</v>
      </c>
      <c r="E3" t="b">
        <v>1</v>
      </c>
      <c r="F3" t="b">
        <v>1</v>
      </c>
      <c r="G3" t="b">
        <v>0</v>
      </c>
      <c r="H3" s="10">
        <f t="array" ref="H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" s="10">
        <f t="array" ref="I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" s="10">
        <f t="array" ref="J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">
      <c r="A4" t="n">
        <v>84</v>
      </c>
      <c r="B4" t="inlineStr">
        <is>
          <t>MTG Aetherdrift Collector Booster Box</t>
        </is>
      </c>
      <c r="C4" t="n">
        <v>12</v>
      </c>
      <c r="D4" t="b">
        <v>1</v>
      </c>
      <c r="E4" t="b">
        <v>0</v>
      </c>
      <c r="F4" t="b">
        <v>1</v>
      </c>
      <c r="G4" t="b">
        <v>0</v>
      </c>
      <c r="H4" s="10">
        <f t="array" ref="H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" s="10">
        <f t="array" ref="I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" s="10">
        <f t="array" ref="J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">
      <c r="A5" t="n">
        <v>160</v>
      </c>
      <c r="B5" t="inlineStr">
        <is>
          <t>MTG Aetherdrift Eternal Might Precon</t>
        </is>
      </c>
      <c r="D5" t="b">
        <v>0</v>
      </c>
      <c r="E5" t="b">
        <v>0</v>
      </c>
      <c r="F5" t="b">
        <v>0</v>
      </c>
      <c r="G5" t="b">
        <v>1</v>
      </c>
      <c r="H5" s="10">
        <f t="array" ref="H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" s="10">
        <f t="array" ref="I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" s="10">
        <f t="array" ref="J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">
      <c r="A6" t="n">
        <v>161</v>
      </c>
      <c r="B6" t="inlineStr">
        <is>
          <t>MTG Aetherdrift Living Energy Precon</t>
        </is>
      </c>
      <c r="D6" t="b">
        <v>0</v>
      </c>
      <c r="E6" t="b">
        <v>0</v>
      </c>
      <c r="F6" t="b">
        <v>0</v>
      </c>
      <c r="G6" t="b">
        <v>1</v>
      </c>
      <c r="H6" s="10">
        <f t="array" ref="H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" s="10">
        <f t="array" ref="I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" s="10">
        <f t="array" ref="J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">
      <c r="A7" t="n">
        <v>25</v>
      </c>
      <c r="B7" t="inlineStr">
        <is>
          <t>MTG Aetherdrift Play Booster</t>
        </is>
      </c>
      <c r="C7" t="n">
        <v>1</v>
      </c>
      <c r="D7" t="b">
        <v>0</v>
      </c>
      <c r="E7" t="b">
        <v>1</v>
      </c>
      <c r="F7" t="b">
        <v>0</v>
      </c>
      <c r="G7" t="b">
        <v>0</v>
      </c>
      <c r="H7" s="10">
        <f t="array" ref="H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" s="10">
        <f t="array" ref="I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" s="10">
        <f t="array" ref="J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">
      <c r="A8" t="n">
        <v>70</v>
      </c>
      <c r="B8" t="inlineStr">
        <is>
          <t>MTG Aetherdrift Play Booster Box</t>
        </is>
      </c>
      <c r="C8" t="n">
        <v>30</v>
      </c>
      <c r="D8" t="b">
        <v>1</v>
      </c>
      <c r="E8" t="b">
        <v>0</v>
      </c>
      <c r="F8" t="b">
        <v>0</v>
      </c>
      <c r="G8" t="b">
        <v>0</v>
      </c>
      <c r="H8" s="10">
        <f t="array" ref="H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" s="10">
        <f t="array" ref="I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" s="10">
        <f t="array" ref="J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">
      <c r="A9" t="n">
        <v>18</v>
      </c>
      <c r="B9" t="inlineStr">
        <is>
          <t>MTG Assassin's Creed Beyond Booster</t>
        </is>
      </c>
      <c r="C9" t="n">
        <v>1</v>
      </c>
      <c r="D9" t="b">
        <v>0</v>
      </c>
      <c r="E9" t="b">
        <v>1</v>
      </c>
      <c r="F9" t="b">
        <v>0</v>
      </c>
      <c r="G9" t="b">
        <v>0</v>
      </c>
      <c r="H9" s="10">
        <f t="array" ref="H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" s="10">
        <f t="array" ref="I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" s="10">
        <f t="array" ref="J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">
      <c r="A10" t="n">
        <v>63</v>
      </c>
      <c r="B10" t="inlineStr">
        <is>
          <t>MTG Assassin's Creed Beyond Booster Box</t>
        </is>
      </c>
      <c r="C10" t="n">
        <v>24</v>
      </c>
      <c r="D10" t="b">
        <v>1</v>
      </c>
      <c r="E10" t="b">
        <v>0</v>
      </c>
      <c r="F10" t="b">
        <v>0</v>
      </c>
      <c r="G10" t="b">
        <v>0</v>
      </c>
      <c r="H10" s="10">
        <f t="array" ref="H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" s="10">
        <f t="array" ref="I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" s="10">
        <f t="array" ref="J1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">
      <c r="A11" t="n">
        <v>85</v>
      </c>
      <c r="B11" t="inlineStr">
        <is>
          <t>MTG Assassin's Creed Beyond Collector Booster</t>
        </is>
      </c>
      <c r="C11" s="1" t="n"/>
      <c r="D11" t="b">
        <v>0</v>
      </c>
      <c r="E11" t="b">
        <v>1</v>
      </c>
      <c r="F11" t="b">
        <v>1</v>
      </c>
      <c r="G11" t="b">
        <v>0</v>
      </c>
      <c r="H11" s="10">
        <f t="array" ref="H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" s="10">
        <f t="array" ref="I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" s="10">
        <f t="array" ref="J1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">
      <c r="A12" t="n">
        <v>86</v>
      </c>
      <c r="B12" t="inlineStr">
        <is>
          <t>MTG Assassin's Creed Beyond Collector Booster Box</t>
        </is>
      </c>
      <c r="C12" s="1" t="n">
        <v>12</v>
      </c>
      <c r="D12" t="b">
        <v>1</v>
      </c>
      <c r="E12" t="b">
        <v>0</v>
      </c>
      <c r="F12" t="b">
        <v>1</v>
      </c>
      <c r="G12" t="b">
        <v>0</v>
      </c>
      <c r="H12" s="10">
        <f t="array" ref="H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" s="10">
        <f t="array" ref="I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" s="10">
        <f t="array" ref="J1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">
      <c r="A13" t="n">
        <v>87</v>
      </c>
      <c r="B13" t="inlineStr">
        <is>
          <t>MTG Avatar: The Last Airbender Collector Booster</t>
        </is>
      </c>
      <c r="C13" s="1" t="n"/>
      <c r="D13" t="b">
        <v>0</v>
      </c>
      <c r="E13" t="b">
        <v>1</v>
      </c>
      <c r="F13" t="b">
        <v>1</v>
      </c>
      <c r="G13" t="b">
        <v>0</v>
      </c>
      <c r="H13" s="10">
        <f t="array" ref="H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" s="10">
        <f t="array" ref="I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" s="10">
        <f t="array" ref="J1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">
      <c r="A14" t="n">
        <v>88</v>
      </c>
      <c r="B14" t="inlineStr">
        <is>
          <t>MTG Avatar: The Last Airbender Collector Booster Box</t>
        </is>
      </c>
      <c r="C14" s="1" t="n">
        <v>12</v>
      </c>
      <c r="D14" t="b">
        <v>1</v>
      </c>
      <c r="E14" t="b">
        <v>0</v>
      </c>
      <c r="F14" t="b">
        <v>1</v>
      </c>
      <c r="G14" t="b">
        <v>0</v>
      </c>
      <c r="H14" s="10">
        <f t="array" ref="H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" s="10">
        <f t="array" ref="I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" s="10">
        <f t="array" ref="J1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">
      <c r="A15" t="n">
        <v>12</v>
      </c>
      <c r="B15" t="inlineStr">
        <is>
          <t>MTG Avatar: The Last Airbender Play Booster</t>
        </is>
      </c>
      <c r="C15" t="n">
        <v>1</v>
      </c>
      <c r="D15" t="b">
        <v>0</v>
      </c>
      <c r="E15" t="b">
        <v>1</v>
      </c>
      <c r="F15" t="b">
        <v>0</v>
      </c>
      <c r="G15" t="b">
        <v>0</v>
      </c>
      <c r="H15" s="10">
        <f t="array" ref="H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" s="10">
        <f t="array" ref="I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" s="10">
        <f t="array" ref="J1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">
      <c r="A16" t="n">
        <v>57</v>
      </c>
      <c r="B16" t="inlineStr">
        <is>
          <t>MTG Avatar: The Last Airbender Play Booster Box</t>
        </is>
      </c>
      <c r="C16" t="n">
        <v>30</v>
      </c>
      <c r="D16" t="b">
        <v>1</v>
      </c>
      <c r="E16" t="b">
        <v>0</v>
      </c>
      <c r="F16" t="b">
        <v>0</v>
      </c>
      <c r="G16" t="b">
        <v>0</v>
      </c>
      <c r="H16" s="10">
        <f t="array" ref="H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" s="10">
        <f t="array" ref="I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" s="10">
        <f t="array" ref="J1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">
      <c r="A17" t="n">
        <v>167</v>
      </c>
      <c r="B17" t="inlineStr">
        <is>
          <t>MTG Bloomburrow Animated Army Precon</t>
        </is>
      </c>
      <c r="D17" t="b">
        <v>0</v>
      </c>
      <c r="E17" t="b">
        <v>0</v>
      </c>
      <c r="F17" t="b">
        <v>0</v>
      </c>
      <c r="G17" t="b">
        <v>1</v>
      </c>
      <c r="H17" s="10">
        <f t="array" ref="H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" s="10">
        <f t="array" ref="I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" s="10">
        <f t="array" ref="J1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">
      <c r="A18" t="n">
        <v>89</v>
      </c>
      <c r="B18" t="inlineStr">
        <is>
          <t>MTG Bloomburrow Collector Booster</t>
        </is>
      </c>
      <c r="D18" t="b">
        <v>0</v>
      </c>
      <c r="E18" t="b">
        <v>1</v>
      </c>
      <c r="F18" t="b">
        <v>1</v>
      </c>
      <c r="G18" t="b">
        <v>0</v>
      </c>
      <c r="H18" s="10">
        <f t="array" ref="H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" s="10">
        <f t="array" ref="I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" s="10">
        <f t="array" ref="J1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">
      <c r="A19" t="n">
        <v>90</v>
      </c>
      <c r="B19" t="inlineStr">
        <is>
          <t>MTG Bloomburrow Collector Booster Box</t>
        </is>
      </c>
      <c r="C19" t="n">
        <v>12</v>
      </c>
      <c r="D19" t="b">
        <v>1</v>
      </c>
      <c r="E19" t="b">
        <v>0</v>
      </c>
      <c r="F19" t="b">
        <v>1</v>
      </c>
      <c r="G19" t="b">
        <v>0</v>
      </c>
      <c r="H19" s="10">
        <f t="array" ref="H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" s="10">
        <f t="array" ref="I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" s="10">
        <f t="array" ref="J1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">
      <c r="A20" t="n">
        <v>169</v>
      </c>
      <c r="B20" t="inlineStr">
        <is>
          <t>MTG Bloomburrow Family Matters Precon</t>
        </is>
      </c>
      <c r="D20" t="b">
        <v>0</v>
      </c>
      <c r="E20" t="b">
        <v>0</v>
      </c>
      <c r="F20" t="b">
        <v>0</v>
      </c>
      <c r="G20" t="b">
        <v>1</v>
      </c>
      <c r="H20" s="10">
        <f t="array" ref="H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" s="10">
        <f t="array" ref="I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" s="10">
        <f t="array" ref="J2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">
      <c r="A21" t="n">
        <v>168</v>
      </c>
      <c r="B21" t="inlineStr">
        <is>
          <t>MTG Bloomburrow Peace Offering Precon</t>
        </is>
      </c>
      <c r="D21" t="b">
        <v>0</v>
      </c>
      <c r="E21" t="b">
        <v>0</v>
      </c>
      <c r="F21" t="b">
        <v>0</v>
      </c>
      <c r="G21" t="b">
        <v>1</v>
      </c>
      <c r="H21" s="10">
        <f t="array" ref="H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" s="10">
        <f t="array" ref="I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" s="10">
        <f t="array" ref="J2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">
      <c r="A22" t="n">
        <v>34</v>
      </c>
      <c r="B22" t="inlineStr">
        <is>
          <t>MTG Bloomburrow Play Booster</t>
        </is>
      </c>
      <c r="C22" t="n">
        <v>1</v>
      </c>
      <c r="D22" t="b">
        <v>0</v>
      </c>
      <c r="E22" t="b">
        <v>1</v>
      </c>
      <c r="F22" t="b">
        <v>0</v>
      </c>
      <c r="G22" t="b">
        <v>0</v>
      </c>
      <c r="H22" s="10">
        <f t="array" ref="H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" s="10">
        <f t="array" ref="I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" s="10">
        <f t="array" ref="J2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3">
      <c r="A23" t="n">
        <v>79</v>
      </c>
      <c r="B23" t="inlineStr">
        <is>
          <t>MTG Bloomburrow Play Booster Box</t>
        </is>
      </c>
      <c r="C23" t="n">
        <v>36</v>
      </c>
      <c r="D23" t="b">
        <v>1</v>
      </c>
      <c r="E23" t="b">
        <v>0</v>
      </c>
      <c r="F23" t="b">
        <v>0</v>
      </c>
      <c r="G23" t="b">
        <v>0</v>
      </c>
      <c r="H23" s="10">
        <f t="array" ref="H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" s="10">
        <f t="array" ref="I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" s="10">
        <f t="array" ref="J2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4">
      <c r="A24" t="n">
        <v>166</v>
      </c>
      <c r="B24" t="inlineStr">
        <is>
          <t>MTG Bloomburrow Squirreled Away Precon</t>
        </is>
      </c>
      <c r="D24" t="b">
        <v>0</v>
      </c>
      <c r="E24" t="b">
        <v>0</v>
      </c>
      <c r="F24" t="b">
        <v>0</v>
      </c>
      <c r="G24" t="b">
        <v>1</v>
      </c>
      <c r="H24" s="10">
        <f t="array" ref="H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4" s="10">
        <f t="array" ref="I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4" s="10">
        <f t="array" ref="J2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5" ht="29.25" customHeight="1" s="6">
      <c r="A25" t="n">
        <v>226</v>
      </c>
      <c r="B25" s="1" t="inlineStr">
        <is>
          <t>MTG Commander Legends: Battle for Baldur's Gate Draconic Dissent Precon</t>
        </is>
      </c>
      <c r="D25" t="b">
        <v>0</v>
      </c>
      <c r="E25" t="b">
        <v>0</v>
      </c>
      <c r="F25" t="b">
        <v>0</v>
      </c>
      <c r="G25" t="b">
        <v>1</v>
      </c>
      <c r="H25" s="10">
        <f t="array" ref="H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5" s="10">
        <f t="array" ref="I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5" s="10">
        <f t="array" ref="J2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6" ht="29.25" customHeight="1" s="6">
      <c r="A26" t="n">
        <v>227</v>
      </c>
      <c r="B26" s="1" t="inlineStr">
        <is>
          <t>MTG Commander Legends: Battle for Baldur's Gate Exit from Exile Precon</t>
        </is>
      </c>
      <c r="D26" t="b">
        <v>0</v>
      </c>
      <c r="E26" t="b">
        <v>0</v>
      </c>
      <c r="F26" t="b">
        <v>0</v>
      </c>
      <c r="G26" t="b">
        <v>1</v>
      </c>
      <c r="H26" s="10">
        <f t="array" ref="H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6" s="10">
        <f t="array" ref="I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6" s="10">
        <f t="array" ref="J2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7" ht="29.25" customHeight="1" s="6">
      <c r="A27" t="n">
        <v>225</v>
      </c>
      <c r="B27" s="1" t="inlineStr">
        <is>
          <t>MTG Commander Legends: Battle for Baldur's Gate Mind Flayarrrs Precon</t>
        </is>
      </c>
      <c r="D27" t="b">
        <v>0</v>
      </c>
      <c r="E27" t="b">
        <v>0</v>
      </c>
      <c r="F27" t="b">
        <v>0</v>
      </c>
      <c r="G27" t="b">
        <v>1</v>
      </c>
      <c r="H27" s="10">
        <f t="array" ref="H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7" s="10">
        <f t="array" ref="I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7" s="10">
        <f t="array" ref="J2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8" ht="29.25" customHeight="1" s="6">
      <c r="A28" t="n">
        <v>224</v>
      </c>
      <c r="B28" s="1" t="inlineStr">
        <is>
          <t>MTG Commander Legends: Battle for Baldur's Gate Party Time Precon</t>
        </is>
      </c>
      <c r="D28" t="b">
        <v>0</v>
      </c>
      <c r="E28" t="b">
        <v>0</v>
      </c>
      <c r="F28" t="b">
        <v>0</v>
      </c>
      <c r="G28" t="b">
        <v>1</v>
      </c>
      <c r="H28" s="10">
        <f t="array" ref="H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8" s="10">
        <f t="array" ref="I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8" s="10">
        <f t="array" ref="J2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9">
      <c r="A29" t="n">
        <v>91</v>
      </c>
      <c r="B29" t="inlineStr">
        <is>
          <t>MTG Commander Masters Collector Booster</t>
        </is>
      </c>
      <c r="D29" t="b">
        <v>0</v>
      </c>
      <c r="E29" t="b">
        <v>1</v>
      </c>
      <c r="F29" t="b">
        <v>1</v>
      </c>
      <c r="G29" t="b">
        <v>0</v>
      </c>
      <c r="H29" s="10">
        <f t="array" ref="H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9" s="10">
        <f t="array" ref="I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9" s="10">
        <f t="array" ref="J2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0">
      <c r="A30" t="n">
        <v>92</v>
      </c>
      <c r="B30" t="inlineStr">
        <is>
          <t>MTG Commander Masters Collector Booster Box</t>
        </is>
      </c>
      <c r="C30" t="n">
        <v>4</v>
      </c>
      <c r="D30" t="b">
        <v>1</v>
      </c>
      <c r="E30" t="b">
        <v>0</v>
      </c>
      <c r="F30" t="b">
        <v>1</v>
      </c>
      <c r="G30" t="b">
        <v>0</v>
      </c>
      <c r="H30" s="10">
        <f t="array" ref="H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0" s="10">
        <f t="array" ref="I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0" s="10">
        <f t="array" ref="J3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1">
      <c r="A31" t="n">
        <v>199</v>
      </c>
      <c r="B31" t="inlineStr">
        <is>
          <t>MTG Commander Masters Eldrazi Unbound Precon</t>
        </is>
      </c>
      <c r="D31" t="b">
        <v>0</v>
      </c>
      <c r="E31" t="b">
        <v>0</v>
      </c>
      <c r="F31" t="b">
        <v>0</v>
      </c>
      <c r="G31" t="b">
        <v>1</v>
      </c>
      <c r="H31" s="10">
        <f t="array" ref="H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1" s="10">
        <f t="array" ref="I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1" s="10">
        <f t="array" ref="J3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2" ht="29.25" customHeight="1" s="6">
      <c r="A32" t="n">
        <v>198</v>
      </c>
      <c r="B32" s="1" t="inlineStr">
        <is>
          <t>MTG Commander Masters Enduring Enchantments Precon</t>
        </is>
      </c>
      <c r="D32" t="b">
        <v>0</v>
      </c>
      <c r="E32" t="b">
        <v>0</v>
      </c>
      <c r="F32" t="b">
        <v>0</v>
      </c>
      <c r="G32" t="b">
        <v>1</v>
      </c>
      <c r="H32" s="10">
        <f t="array" ref="H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2" s="10">
        <f t="array" ref="I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2" s="10">
        <f t="array" ref="J3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3">
      <c r="A33" t="n">
        <v>197</v>
      </c>
      <c r="B33" s="1" t="inlineStr">
        <is>
          <t>MTG Commander Masters Planeswalker Party Precon</t>
        </is>
      </c>
      <c r="D33" t="b">
        <v>0</v>
      </c>
      <c r="E33" t="b">
        <v>0</v>
      </c>
      <c r="F33" t="b">
        <v>0</v>
      </c>
      <c r="G33" t="b">
        <v>1</v>
      </c>
      <c r="H33" s="10">
        <f t="array" ref="H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3" s="10">
        <f t="array" ref="I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3" s="10">
        <f t="array" ref="J3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4">
      <c r="A34" t="n">
        <v>7</v>
      </c>
      <c r="B34" t="inlineStr">
        <is>
          <t>MTG Commander Masters Set Booster</t>
        </is>
      </c>
      <c r="C34" t="n">
        <v>1</v>
      </c>
      <c r="D34" t="b">
        <v>0</v>
      </c>
      <c r="E34" t="b">
        <v>1</v>
      </c>
      <c r="F34" t="b">
        <v>0</v>
      </c>
      <c r="G34" t="b">
        <v>0</v>
      </c>
      <c r="H34" s="10">
        <f t="array" ref="H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4" s="10">
        <f t="array" ref="I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4" s="10">
        <f t="array" ref="J3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5">
      <c r="A35" t="n">
        <v>52</v>
      </c>
      <c r="B35" t="inlineStr">
        <is>
          <t>MTG Commander Masters Set Booster Box</t>
        </is>
      </c>
      <c r="C35" t="n">
        <v>24</v>
      </c>
      <c r="D35" t="b">
        <v>1</v>
      </c>
      <c r="E35" t="b">
        <v>0</v>
      </c>
      <c r="F35" t="b">
        <v>0</v>
      </c>
      <c r="G35" t="b">
        <v>0</v>
      </c>
      <c r="H35" s="10">
        <f t="array" ref="H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5" s="10">
        <f t="array" ref="I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5" s="10">
        <f t="array" ref="J3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6">
      <c r="A36" t="n">
        <v>196</v>
      </c>
      <c r="B36" t="inlineStr">
        <is>
          <t>MTG Commander Masters Sliver Swarm Precon</t>
        </is>
      </c>
      <c r="D36" t="b">
        <v>0</v>
      </c>
      <c r="E36" t="b">
        <v>0</v>
      </c>
      <c r="F36" t="b">
        <v>0</v>
      </c>
      <c r="G36" t="b">
        <v>1</v>
      </c>
      <c r="H36" s="10">
        <f t="array" ref="H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6" s="10">
        <f t="array" ref="I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6" s="10">
        <f t="array" ref="J3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7">
      <c r="A37" t="n">
        <v>190</v>
      </c>
      <c r="B37" t="inlineStr">
        <is>
          <t>MTG Doctor Who Blast from the Past Precon</t>
        </is>
      </c>
      <c r="D37" t="b">
        <v>0</v>
      </c>
      <c r="E37" t="b">
        <v>0</v>
      </c>
      <c r="F37" t="b">
        <v>0</v>
      </c>
      <c r="G37" t="b">
        <v>1</v>
      </c>
      <c r="H37" s="10">
        <f t="array" ref="H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7" s="10">
        <f t="array" ref="I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7" s="10">
        <f t="array" ref="J3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8">
      <c r="A38" t="n">
        <v>193</v>
      </c>
      <c r="B38" t="inlineStr">
        <is>
          <t>MTG Doctor Who Masters of Evil Precon</t>
        </is>
      </c>
      <c r="D38" t="b">
        <v>0</v>
      </c>
      <c r="E38" t="b">
        <v>0</v>
      </c>
      <c r="F38" t="b">
        <v>0</v>
      </c>
      <c r="G38" t="b">
        <v>1</v>
      </c>
      <c r="H38" s="10">
        <f t="array" ref="H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8" s="10">
        <f t="array" ref="I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8" s="10">
        <f t="array" ref="J3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39">
      <c r="A39" t="n">
        <v>192</v>
      </c>
      <c r="B39" t="inlineStr">
        <is>
          <t>MTG Doctor Who Paradox Power Precon</t>
        </is>
      </c>
      <c r="D39" t="b">
        <v>0</v>
      </c>
      <c r="E39" t="b">
        <v>0</v>
      </c>
      <c r="F39" t="b">
        <v>0</v>
      </c>
      <c r="G39" t="b">
        <v>1</v>
      </c>
      <c r="H39" s="10">
        <f t="array" ref="H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9" s="10">
        <f t="array" ref="I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9" s="10">
        <f t="array" ref="J3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0">
      <c r="A40" t="n">
        <v>191</v>
      </c>
      <c r="B40" t="inlineStr">
        <is>
          <t>MTG Doctor Who Timey-Wimey Precon</t>
        </is>
      </c>
      <c r="D40" t="b">
        <v>0</v>
      </c>
      <c r="E40" t="b">
        <v>0</v>
      </c>
      <c r="F40" t="b">
        <v>0</v>
      </c>
      <c r="G40" t="b">
        <v>1</v>
      </c>
      <c r="H40" s="10">
        <f t="array" ref="H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0" s="10">
        <f t="array" ref="I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0" s="10">
        <f t="array" ref="J4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1">
      <c r="A41" t="n">
        <v>17</v>
      </c>
      <c r="B41" t="inlineStr">
        <is>
          <t>MTG Dominaria DOM Booster</t>
        </is>
      </c>
      <c r="C41" t="n">
        <v>1</v>
      </c>
      <c r="D41" t="b">
        <v>0</v>
      </c>
      <c r="E41" t="b">
        <v>1</v>
      </c>
      <c r="F41" t="b">
        <v>0</v>
      </c>
      <c r="G41" t="b">
        <v>0</v>
      </c>
      <c r="H41" s="10">
        <f t="array" ref="H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1" s="10">
        <f t="array" ref="I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1" s="10">
        <f t="array" ref="J4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2">
      <c r="A42" t="n">
        <v>62</v>
      </c>
      <c r="B42" t="inlineStr">
        <is>
          <t>MTG Dominaria DOM Booster Box</t>
        </is>
      </c>
      <c r="D42" t="b">
        <v>1</v>
      </c>
      <c r="E42" t="b">
        <v>0</v>
      </c>
      <c r="F42" t="b">
        <v>0</v>
      </c>
      <c r="G42" t="b">
        <v>0</v>
      </c>
      <c r="H42" s="10">
        <f t="array" ref="H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2" s="10">
        <f t="array" ref="I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2" s="10">
        <f t="array" ref="J4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3">
      <c r="A43" t="n">
        <v>93</v>
      </c>
      <c r="B43" t="inlineStr">
        <is>
          <t>MTG Dominaria United DMU Collector Booster</t>
        </is>
      </c>
      <c r="D43" t="b">
        <v>0</v>
      </c>
      <c r="E43" t="b">
        <v>1</v>
      </c>
      <c r="F43" t="b">
        <v>1</v>
      </c>
      <c r="G43" t="b">
        <v>0</v>
      </c>
      <c r="H43" s="10">
        <f t="array" ref="H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3" s="10">
        <f t="array" ref="I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3" s="10">
        <f t="array" ref="J4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4">
      <c r="A44" t="n">
        <v>94</v>
      </c>
      <c r="B44" t="inlineStr">
        <is>
          <t>MTG Dominaria United DMU Collector Booster Box</t>
        </is>
      </c>
      <c r="C44" t="n">
        <v>12</v>
      </c>
      <c r="D44" t="b">
        <v>1</v>
      </c>
      <c r="E44" t="b">
        <v>0</v>
      </c>
      <c r="F44" t="b">
        <v>1</v>
      </c>
      <c r="G44" t="b">
        <v>0</v>
      </c>
      <c r="H44" s="10">
        <f t="array" ref="H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4" s="10">
        <f t="array" ref="I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4" s="10">
        <f t="array" ref="J4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5">
      <c r="A45" t="n">
        <v>31</v>
      </c>
      <c r="B45" t="inlineStr">
        <is>
          <t>MTG Dominaria United DMU Set Booster</t>
        </is>
      </c>
      <c r="C45" t="n">
        <v>1</v>
      </c>
      <c r="D45" t="b">
        <v>0</v>
      </c>
      <c r="E45" t="b">
        <v>1</v>
      </c>
      <c r="F45" t="b">
        <v>0</v>
      </c>
      <c r="G45" t="b">
        <v>0</v>
      </c>
      <c r="H45" s="10">
        <f t="array" ref="H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5" s="10">
        <f t="array" ref="I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5" s="10">
        <f t="array" ref="J4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6">
      <c r="A46" t="n">
        <v>76</v>
      </c>
      <c r="B46" t="inlineStr">
        <is>
          <t>MTG Dominaria United DMU Set Booster Box</t>
        </is>
      </c>
      <c r="C46" t="n">
        <v>30</v>
      </c>
      <c r="D46" t="b">
        <v>1</v>
      </c>
      <c r="E46" t="b">
        <v>0</v>
      </c>
      <c r="F46" t="b">
        <v>0</v>
      </c>
      <c r="G46" t="b">
        <v>0</v>
      </c>
      <c r="H46" s="10">
        <f t="array" ref="H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6" s="10">
        <f t="array" ref="I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6" s="10">
        <f t="array" ref="J4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7">
      <c r="A47" t="n">
        <v>223</v>
      </c>
      <c r="B47" t="inlineStr">
        <is>
          <t>MTG Dominaria United Legends' Legacy Precon</t>
        </is>
      </c>
      <c r="D47" t="b">
        <v>0</v>
      </c>
      <c r="E47" t="b">
        <v>0</v>
      </c>
      <c r="F47" t="b">
        <v>0</v>
      </c>
      <c r="G47" t="b">
        <v>1</v>
      </c>
      <c r="H47" s="10">
        <f t="array" ref="H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7" s="10">
        <f t="array" ref="I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7" s="10">
        <f t="array" ref="J4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8">
      <c r="A48" t="n">
        <v>222</v>
      </c>
      <c r="B48" t="inlineStr">
        <is>
          <t>MTG Dominaria United Painbow Precon</t>
        </is>
      </c>
      <c r="D48" t="b">
        <v>0</v>
      </c>
      <c r="E48" t="b">
        <v>0</v>
      </c>
      <c r="F48" t="b">
        <v>0</v>
      </c>
      <c r="G48" t="b">
        <v>1</v>
      </c>
      <c r="H48" s="10">
        <f t="array" ref="H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8" s="10">
        <f t="array" ref="I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8" s="10">
        <f t="array" ref="J4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49">
      <c r="A49" t="n">
        <v>95</v>
      </c>
      <c r="B49" t="inlineStr">
        <is>
          <t>MTG Duskmourn: House of Horror Collector Booster</t>
        </is>
      </c>
      <c r="D49" t="b">
        <v>0</v>
      </c>
      <c r="E49" t="b">
        <v>1</v>
      </c>
      <c r="F49" t="b">
        <v>1</v>
      </c>
      <c r="G49" t="b">
        <v>0</v>
      </c>
      <c r="H49" s="10">
        <f t="array" ref="H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9" s="10">
        <f t="array" ref="I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9" s="10">
        <f t="array" ref="J4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0">
      <c r="A50" t="n">
        <v>96</v>
      </c>
      <c r="B50" t="inlineStr">
        <is>
          <t>MTG Duskmourn: House of Horror Collector Booster Box</t>
        </is>
      </c>
      <c r="C50" t="n">
        <v>12</v>
      </c>
      <c r="D50" t="b">
        <v>1</v>
      </c>
      <c r="E50" t="b">
        <v>0</v>
      </c>
      <c r="F50" t="b">
        <v>1</v>
      </c>
      <c r="G50" t="b">
        <v>0</v>
      </c>
      <c r="H50" s="10">
        <f t="array" ref="H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0" s="10">
        <f t="array" ref="I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0" s="10">
        <f t="array" ref="J5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1">
      <c r="A51" t="n">
        <v>165</v>
      </c>
      <c r="B51" t="inlineStr">
        <is>
          <t>MTG Duskmourn: House of Horror Death Toll Precon</t>
        </is>
      </c>
      <c r="D51" t="b">
        <v>0</v>
      </c>
      <c r="E51" t="b">
        <v>0</v>
      </c>
      <c r="F51" t="b">
        <v>0</v>
      </c>
      <c r="G51" t="b">
        <v>1</v>
      </c>
      <c r="H51" s="10">
        <f t="array" ref="H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1" s="10">
        <f t="array" ref="I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1" s="10">
        <f t="array" ref="J5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2" ht="29.25" customHeight="1" s="6">
      <c r="A52" t="n">
        <v>164</v>
      </c>
      <c r="B52" s="1" t="inlineStr">
        <is>
          <t>MTG Duskmourn: House of Horror Endless Punishment Precon</t>
        </is>
      </c>
      <c r="D52" t="b">
        <v>0</v>
      </c>
      <c r="E52" t="b">
        <v>0</v>
      </c>
      <c r="F52" t="b">
        <v>0</v>
      </c>
      <c r="G52" t="b">
        <v>1</v>
      </c>
      <c r="H52" s="10">
        <f t="array" ref="H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2" s="10">
        <f t="array" ref="I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2" s="10">
        <f t="array" ref="J5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3">
      <c r="A53" t="n">
        <v>163</v>
      </c>
      <c r="B53" s="1" t="inlineStr">
        <is>
          <t>MTG Duskmourn: House of Horror Jump Scare Precon</t>
        </is>
      </c>
      <c r="D53" t="b">
        <v>0</v>
      </c>
      <c r="E53" t="b">
        <v>0</v>
      </c>
      <c r="F53" t="b">
        <v>0</v>
      </c>
      <c r="G53" t="b">
        <v>1</v>
      </c>
      <c r="H53" s="10">
        <f t="array" ref="H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3" s="10">
        <f t="array" ref="I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3" s="10">
        <f t="array" ref="J5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4" ht="29.25" customHeight="1" s="6">
      <c r="A54" t="n">
        <v>162</v>
      </c>
      <c r="B54" s="1" t="inlineStr">
        <is>
          <t>MTG Duskmourn: House of Horror Miracle Worker Precon</t>
        </is>
      </c>
      <c r="D54" t="b">
        <v>0</v>
      </c>
      <c r="E54" t="b">
        <v>0</v>
      </c>
      <c r="F54" t="b">
        <v>0</v>
      </c>
      <c r="G54" t="b">
        <v>1</v>
      </c>
      <c r="H54" s="10">
        <f t="array" ref="H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4" s="10">
        <f t="array" ref="I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4" s="10">
        <f t="array" ref="J5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5">
      <c r="A55" t="n">
        <v>26</v>
      </c>
      <c r="B55" t="inlineStr">
        <is>
          <t>MTG Duskmourn: House of Horror Play Booster</t>
        </is>
      </c>
      <c r="C55" t="n">
        <v>1</v>
      </c>
      <c r="D55" t="b">
        <v>0</v>
      </c>
      <c r="E55" t="b">
        <v>1</v>
      </c>
      <c r="F55" t="b">
        <v>0</v>
      </c>
      <c r="G55" t="b">
        <v>0</v>
      </c>
      <c r="H55" s="10">
        <f t="array" ref="H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5" s="10">
        <f t="array" ref="I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5" s="10">
        <f t="array" ref="J5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6">
      <c r="A56" t="n">
        <v>71</v>
      </c>
      <c r="B56" t="inlineStr">
        <is>
          <t>MTG Duskmourn: House of Horror Play Booster Box</t>
        </is>
      </c>
      <c r="C56" t="n">
        <v>36</v>
      </c>
      <c r="D56" t="b">
        <v>1</v>
      </c>
      <c r="E56" t="b">
        <v>0</v>
      </c>
      <c r="F56" t="b">
        <v>0</v>
      </c>
      <c r="G56" t="b">
        <v>0</v>
      </c>
      <c r="H56" s="10">
        <f t="array" ref="H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6" s="10">
        <f t="array" ref="I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6" s="10">
        <f t="array" ref="J5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7">
      <c r="A57" t="n">
        <v>97</v>
      </c>
      <c r="B57" t="inlineStr">
        <is>
          <t>MTG Edge of Eternities Collector Booster</t>
        </is>
      </c>
      <c r="D57" t="b">
        <v>0</v>
      </c>
      <c r="E57" t="b">
        <v>1</v>
      </c>
      <c r="F57" t="b">
        <v>1</v>
      </c>
      <c r="G57" t="b">
        <v>0</v>
      </c>
      <c r="H57" s="10">
        <f t="array" ref="H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7" s="10">
        <f t="array" ref="I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7" s="10">
        <f t="array" ref="J5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8">
      <c r="A58" t="n">
        <v>98</v>
      </c>
      <c r="B58" t="inlineStr">
        <is>
          <t>MTG Edge of Eternities Collector Booster Box</t>
        </is>
      </c>
      <c r="C58" t="n">
        <v>12</v>
      </c>
      <c r="D58" t="b">
        <v>1</v>
      </c>
      <c r="E58" t="b">
        <v>0</v>
      </c>
      <c r="F58" t="b">
        <v>1</v>
      </c>
      <c r="G58" t="b">
        <v>0</v>
      </c>
      <c r="H58" s="10">
        <f t="array" ref="H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8" s="10">
        <f t="array" ref="I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8" s="10">
        <f t="array" ref="J5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59">
      <c r="A59" t="n">
        <v>150</v>
      </c>
      <c r="B59" t="inlineStr">
        <is>
          <t>MTG Edge of Eternities Counter Intelligence Precon</t>
        </is>
      </c>
      <c r="D59" t="b">
        <v>0</v>
      </c>
      <c r="E59" t="b">
        <v>0</v>
      </c>
      <c r="F59" t="b">
        <v>0</v>
      </c>
      <c r="G59" t="b">
        <v>1</v>
      </c>
      <c r="H59" s="10">
        <f t="array" ref="H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9" s="10">
        <f t="array" ref="I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9" s="10">
        <f t="array" ref="J5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0">
      <c r="A60" t="n">
        <v>20</v>
      </c>
      <c r="B60" t="inlineStr">
        <is>
          <t>MTG Edge of Eternities Play Booster</t>
        </is>
      </c>
      <c r="C60" t="n">
        <v>1</v>
      </c>
      <c r="D60" t="b">
        <v>0</v>
      </c>
      <c r="E60" t="b">
        <v>1</v>
      </c>
      <c r="F60" t="b">
        <v>0</v>
      </c>
      <c r="G60" t="b">
        <v>0</v>
      </c>
      <c r="H60" s="10">
        <f t="array" ref="H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0" s="10">
        <f t="array" ref="I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0" s="10">
        <f t="array" ref="J6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1">
      <c r="A61" t="n">
        <v>65</v>
      </c>
      <c r="B61" t="inlineStr">
        <is>
          <t>MTG Edge of Eternities Play Booster Box</t>
        </is>
      </c>
      <c r="C61" t="n">
        <v>30</v>
      </c>
      <c r="D61" t="b">
        <v>1</v>
      </c>
      <c r="E61" t="b">
        <v>0</v>
      </c>
      <c r="F61" t="b">
        <v>0</v>
      </c>
      <c r="G61" t="b">
        <v>0</v>
      </c>
      <c r="H61" s="10">
        <f t="array" ref="H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1" s="10">
        <f t="array" ref="I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1" s="10">
        <f t="array" ref="J6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2">
      <c r="A62" t="n">
        <v>149</v>
      </c>
      <c r="B62" t="inlineStr">
        <is>
          <t>MTG Edge of Eternities World Shaper Precon</t>
        </is>
      </c>
      <c r="D62" t="b">
        <v>0</v>
      </c>
      <c r="E62" t="b">
        <v>0</v>
      </c>
      <c r="F62" t="b">
        <v>0</v>
      </c>
      <c r="G62" t="b">
        <v>1</v>
      </c>
      <c r="H62" s="10">
        <f t="array" ref="H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2" s="10">
        <f t="array" ref="I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2" s="10">
        <f t="array" ref="J6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3">
      <c r="A63" t="n">
        <v>180</v>
      </c>
      <c r="B63" t="inlineStr">
        <is>
          <t>MTG Fallout Hail, Caesar Precon</t>
        </is>
      </c>
      <c r="D63" t="b">
        <v>0</v>
      </c>
      <c r="E63" t="b">
        <v>0</v>
      </c>
      <c r="F63" t="b">
        <v>0</v>
      </c>
      <c r="G63" t="b">
        <v>1</v>
      </c>
      <c r="H63" s="10">
        <f t="array" ref="H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3" s="10">
        <f t="array" ref="I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3" s="10">
        <f t="array" ref="J6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4">
      <c r="A64" t="n">
        <v>181</v>
      </c>
      <c r="B64" t="inlineStr">
        <is>
          <t>MTG Fallout Mutant Menace Precon</t>
        </is>
      </c>
      <c r="D64" t="b">
        <v>0</v>
      </c>
      <c r="E64" t="b">
        <v>0</v>
      </c>
      <c r="F64" t="b">
        <v>0</v>
      </c>
      <c r="G64" t="b">
        <v>1</v>
      </c>
      <c r="H64" s="10">
        <f t="array" ref="H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4" s="10">
        <f t="array" ref="I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4" s="10">
        <f t="array" ref="J6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5">
      <c r="A65" t="n">
        <v>179</v>
      </c>
      <c r="B65" t="inlineStr">
        <is>
          <t>MTG Fallout Science! Precon</t>
        </is>
      </c>
      <c r="D65" t="b">
        <v>0</v>
      </c>
      <c r="E65" t="b">
        <v>0</v>
      </c>
      <c r="F65" t="b">
        <v>0</v>
      </c>
      <c r="G65" t="b">
        <v>1</v>
      </c>
      <c r="H65" s="10">
        <f t="array" ref="H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5" s="10">
        <f t="array" ref="I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5" s="10">
        <f t="array" ref="J6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6">
      <c r="A66" t="n">
        <v>178</v>
      </c>
      <c r="B66" t="inlineStr">
        <is>
          <t>MTG Fallout Scrappy Survivors Precon</t>
        </is>
      </c>
      <c r="D66" t="b">
        <v>0</v>
      </c>
      <c r="E66" t="b">
        <v>0</v>
      </c>
      <c r="F66" t="b">
        <v>0</v>
      </c>
      <c r="G66" t="b">
        <v>1</v>
      </c>
      <c r="H66" s="10">
        <f t="array" ref="H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6" s="10">
        <f t="array" ref="I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6" s="10">
        <f t="array" ref="J6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7">
      <c r="A67" t="n">
        <v>99</v>
      </c>
      <c r="B67" t="inlineStr">
        <is>
          <t>MTG Final Fantasy Collector Booster</t>
        </is>
      </c>
      <c r="C67" s="1" t="n"/>
      <c r="D67" t="b">
        <v>0</v>
      </c>
      <c r="E67" t="b">
        <v>1</v>
      </c>
      <c r="F67" t="b">
        <v>1</v>
      </c>
      <c r="G67" t="b">
        <v>0</v>
      </c>
      <c r="H67" s="10">
        <f t="array" ref="H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7" s="10">
        <f t="array" ref="I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7" s="10">
        <f t="array" ref="J6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8">
      <c r="A68" t="n">
        <v>100</v>
      </c>
      <c r="B68" t="inlineStr">
        <is>
          <t>MTG Final Fantasy Collector Booster Box</t>
        </is>
      </c>
      <c r="C68" s="1" t="n">
        <v>12</v>
      </c>
      <c r="D68" t="b">
        <v>1</v>
      </c>
      <c r="E68" t="b">
        <v>0</v>
      </c>
      <c r="F68" t="b">
        <v>1</v>
      </c>
      <c r="G68" t="b">
        <v>0</v>
      </c>
      <c r="H68" s="10">
        <f t="array" ref="H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8" s="10">
        <f t="array" ref="I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8" s="10">
        <f t="array" ref="J6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69">
      <c r="A69" t="n">
        <v>153</v>
      </c>
      <c r="B69" t="inlineStr">
        <is>
          <t>MTG Final Fantasy Counter Blitz Precon</t>
        </is>
      </c>
      <c r="D69" t="b">
        <v>0</v>
      </c>
      <c r="E69" t="b">
        <v>0</v>
      </c>
      <c r="F69" t="b">
        <v>0</v>
      </c>
      <c r="G69" t="b">
        <v>1</v>
      </c>
      <c r="H69" s="10">
        <f t="array" ref="H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9" s="10">
        <f t="array" ref="I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9" s="10">
        <f t="array" ref="J6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0">
      <c r="A70" t="n">
        <v>152</v>
      </c>
      <c r="B70" t="inlineStr">
        <is>
          <t>MTG Final Fantasy Limit Break Precon</t>
        </is>
      </c>
      <c r="D70" t="b">
        <v>0</v>
      </c>
      <c r="E70" t="b">
        <v>0</v>
      </c>
      <c r="F70" t="b">
        <v>0</v>
      </c>
      <c r="G70" t="b">
        <v>1</v>
      </c>
      <c r="H70" s="10">
        <f t="array" ref="H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0" s="10">
        <f t="array" ref="I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0" s="10">
        <f t="array" ref="J7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1">
      <c r="A71" t="n">
        <v>33</v>
      </c>
      <c r="B71" t="inlineStr">
        <is>
          <t>MTG Final Fantasy Play Booster</t>
        </is>
      </c>
      <c r="C71" t="n">
        <v>1</v>
      </c>
      <c r="D71" t="b">
        <v>0</v>
      </c>
      <c r="E71" t="b">
        <v>1</v>
      </c>
      <c r="F71" t="b">
        <v>0</v>
      </c>
      <c r="G71" t="b">
        <v>0</v>
      </c>
      <c r="H71" s="10">
        <f t="array" ref="H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1" s="10">
        <f t="array" ref="I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1" s="10">
        <f t="array" ref="J7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2">
      <c r="A72" t="n">
        <v>78</v>
      </c>
      <c r="B72" t="inlineStr">
        <is>
          <t>MTG Final Fantasy Play Booster Box</t>
        </is>
      </c>
      <c r="C72" t="n">
        <v>30</v>
      </c>
      <c r="D72" t="b">
        <v>1</v>
      </c>
      <c r="E72" t="b">
        <v>0</v>
      </c>
      <c r="F72" t="b">
        <v>0</v>
      </c>
      <c r="G72" t="b">
        <v>0</v>
      </c>
      <c r="H72" s="10">
        <f t="array" ref="H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2" s="10">
        <f t="array" ref="I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2" s="10">
        <f t="array" ref="J7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3">
      <c r="A73" t="n">
        <v>151</v>
      </c>
      <c r="B73" t="inlineStr">
        <is>
          <t>MTG Final Fantasy Revival Trance Precon</t>
        </is>
      </c>
      <c r="D73" t="b">
        <v>0</v>
      </c>
      <c r="E73" t="b">
        <v>0</v>
      </c>
      <c r="F73" t="b">
        <v>0</v>
      </c>
      <c r="G73" t="b">
        <v>1</v>
      </c>
      <c r="H73" s="10">
        <f t="array" ref="H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3" s="10">
        <f t="array" ref="I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3" s="10">
        <f t="array" ref="J7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4">
      <c r="A74" t="n">
        <v>154</v>
      </c>
      <c r="B74" t="inlineStr">
        <is>
          <t>MTG Final Fantasy Scions &amp; Spellcraft Precon</t>
        </is>
      </c>
      <c r="D74" t="b">
        <v>0</v>
      </c>
      <c r="E74" t="b">
        <v>0</v>
      </c>
      <c r="F74" t="b">
        <v>0</v>
      </c>
      <c r="G74" t="b">
        <v>1</v>
      </c>
      <c r="H74" s="10">
        <f t="array" ref="H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4" s="10">
        <f t="array" ref="I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4" s="10">
        <f t="array" ref="J7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5">
      <c r="A75" t="n">
        <v>101</v>
      </c>
      <c r="B75" t="inlineStr">
        <is>
          <t>MTG Foundations Collector Booster</t>
        </is>
      </c>
      <c r="C75" s="1" t="n"/>
      <c r="D75" t="b">
        <v>0</v>
      </c>
      <c r="E75" t="b">
        <v>1</v>
      </c>
      <c r="F75" t="b">
        <v>1</v>
      </c>
      <c r="G75" t="b">
        <v>0</v>
      </c>
      <c r="H75" s="10">
        <f t="array" ref="H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5" s="10">
        <f t="array" ref="I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5" s="10">
        <f t="array" ref="J7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6">
      <c r="A76" t="n">
        <v>102</v>
      </c>
      <c r="B76" t="inlineStr">
        <is>
          <t>MTG Foundations Collector Booster Box</t>
        </is>
      </c>
      <c r="C76" s="1" t="n">
        <v>12</v>
      </c>
      <c r="D76" t="b">
        <v>1</v>
      </c>
      <c r="E76" t="b">
        <v>0</v>
      </c>
      <c r="F76" t="b">
        <v>1</v>
      </c>
      <c r="G76" t="b">
        <v>0</v>
      </c>
      <c r="H76" s="10">
        <f t="array" ref="H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6" s="10">
        <f t="array" ref="I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6" s="10">
        <f t="array" ref="J7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7">
      <c r="A77" t="n">
        <v>16</v>
      </c>
      <c r="B77" t="inlineStr">
        <is>
          <t>MTG Foundations Play Booster</t>
        </is>
      </c>
      <c r="C77" t="n">
        <v>1</v>
      </c>
      <c r="D77" t="b">
        <v>0</v>
      </c>
      <c r="E77" t="b">
        <v>1</v>
      </c>
      <c r="F77" t="b">
        <v>0</v>
      </c>
      <c r="G77" t="b">
        <v>0</v>
      </c>
      <c r="H77" s="10">
        <f t="array" ref="H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7" s="10">
        <f t="array" ref="I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7" s="10">
        <f t="array" ref="J7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8">
      <c r="A78" t="n">
        <v>61</v>
      </c>
      <c r="B78" t="inlineStr">
        <is>
          <t>MTG Foundations Play Booster Box</t>
        </is>
      </c>
      <c r="C78" t="n">
        <v>30</v>
      </c>
      <c r="D78" t="b">
        <v>1</v>
      </c>
      <c r="E78" t="b">
        <v>0</v>
      </c>
      <c r="F78" t="b">
        <v>0</v>
      </c>
      <c r="G78" t="b">
        <v>0</v>
      </c>
      <c r="H78" s="10">
        <f t="array" ref="H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8" s="10">
        <f t="array" ref="I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8" s="10">
        <f t="array" ref="J7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79">
      <c r="A79" t="n">
        <v>44</v>
      </c>
      <c r="B79" t="inlineStr">
        <is>
          <t>MTG Guilds of Ravnica Booster</t>
        </is>
      </c>
      <c r="C79" t="n">
        <v>1</v>
      </c>
      <c r="D79" t="b">
        <v>0</v>
      </c>
      <c r="E79" t="b">
        <v>1</v>
      </c>
      <c r="F79" t="b">
        <v>0</v>
      </c>
      <c r="G79" t="b">
        <v>0</v>
      </c>
      <c r="H79" s="10">
        <f t="array" ref="H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9" s="10">
        <f t="array" ref="I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9" s="10">
        <f t="array" ref="J7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0">
      <c r="A80" t="n">
        <v>82</v>
      </c>
      <c r="B80" t="inlineStr">
        <is>
          <t>MTG Guilds of Ravnica Booster Box</t>
        </is>
      </c>
      <c r="D80" t="b">
        <v>1</v>
      </c>
      <c r="E80" t="b">
        <v>0</v>
      </c>
      <c r="F80" t="b">
        <v>0</v>
      </c>
      <c r="G80" t="b">
        <v>0</v>
      </c>
      <c r="H80" s="10">
        <f t="array" ref="H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0" s="10">
        <f t="array" ref="I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0" s="10">
        <f t="array" ref="J8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1">
      <c r="A81" t="n">
        <v>105</v>
      </c>
      <c r="B81" t="inlineStr">
        <is>
          <t>MTG Innistrad Remastered INR Collector Booster</t>
        </is>
      </c>
      <c r="D81" t="b">
        <v>0</v>
      </c>
      <c r="E81" t="b">
        <v>1</v>
      </c>
      <c r="F81" t="b">
        <v>1</v>
      </c>
      <c r="G81" t="b">
        <v>0</v>
      </c>
      <c r="H81" s="10">
        <f t="array" ref="H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1" s="10">
        <f t="array" ref="I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1" s="10">
        <f t="array" ref="J8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2">
      <c r="A82" t="n">
        <v>106</v>
      </c>
      <c r="B82" t="inlineStr">
        <is>
          <t>MTG Innistrad Remastered INR Collector Booster Box</t>
        </is>
      </c>
      <c r="C82" t="n">
        <v>12</v>
      </c>
      <c r="D82" t="b">
        <v>1</v>
      </c>
      <c r="E82" t="b">
        <v>0</v>
      </c>
      <c r="F82" t="b">
        <v>1</v>
      </c>
      <c r="G82" t="b">
        <v>0</v>
      </c>
      <c r="H82" s="10">
        <f t="array" ref="H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2" s="10">
        <f t="array" ref="I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2" s="10">
        <f t="array" ref="J8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3">
      <c r="A83" t="n">
        <v>3</v>
      </c>
      <c r="B83" s="1" t="inlineStr">
        <is>
          <t>MTG Innistrad Remastered INR Play Booster</t>
        </is>
      </c>
      <c r="C83" t="n">
        <v>1</v>
      </c>
      <c r="D83" t="b">
        <v>0</v>
      </c>
      <c r="E83" t="b">
        <v>1</v>
      </c>
      <c r="F83" t="b">
        <v>0</v>
      </c>
      <c r="G83" t="b">
        <v>0</v>
      </c>
      <c r="H83" s="10">
        <f t="array" ref="H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3" s="10">
        <f t="array" ref="I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3" s="10">
        <f t="array" ref="J8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4">
      <c r="A84" t="n">
        <v>48</v>
      </c>
      <c r="B84" t="inlineStr">
        <is>
          <t>MTG Innistrad Remastered INR Play Booster Box</t>
        </is>
      </c>
      <c r="C84" t="n">
        <v>36</v>
      </c>
      <c r="D84" t="b">
        <v>1</v>
      </c>
      <c r="E84" t="b">
        <v>0</v>
      </c>
      <c r="F84" t="b">
        <v>0</v>
      </c>
      <c r="G84" t="b">
        <v>0</v>
      </c>
      <c r="H84" s="10">
        <f t="array" ref="H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4" s="10">
        <f t="array" ref="I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4" s="10">
        <f t="array" ref="J8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5">
      <c r="A85" t="n">
        <v>107</v>
      </c>
      <c r="B85" t="inlineStr">
        <is>
          <t>MTG Innistrad: Crimson Vow Collector Booster</t>
        </is>
      </c>
      <c r="D85" t="b">
        <v>0</v>
      </c>
      <c r="E85" t="b">
        <v>1</v>
      </c>
      <c r="F85" t="b">
        <v>1</v>
      </c>
      <c r="G85" t="b">
        <v>0</v>
      </c>
      <c r="H85" s="10">
        <f t="array" ref="H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5" s="10">
        <f t="array" ref="I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5" s="10">
        <f t="array" ref="J8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6">
      <c r="A86" t="n">
        <v>108</v>
      </c>
      <c r="B86" t="inlineStr">
        <is>
          <t>MTG Innistrad: Crimson Vow Collector Booster Box</t>
        </is>
      </c>
      <c r="C86" t="n">
        <v>12</v>
      </c>
      <c r="D86" t="b">
        <v>1</v>
      </c>
      <c r="E86" t="b">
        <v>0</v>
      </c>
      <c r="F86" t="b">
        <v>1</v>
      </c>
      <c r="G86" t="b">
        <v>0</v>
      </c>
      <c r="H86" s="10">
        <f t="array" ref="H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6" s="10">
        <f t="array" ref="I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6" s="10">
        <f t="array" ref="J8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7">
      <c r="A87" t="n">
        <v>13</v>
      </c>
      <c r="B87" t="inlineStr">
        <is>
          <t>MTG Innistrad: Crimson Vow Set Booster</t>
        </is>
      </c>
      <c r="C87" t="n">
        <v>1</v>
      </c>
      <c r="D87" t="b">
        <v>0</v>
      </c>
      <c r="E87" t="b">
        <v>1</v>
      </c>
      <c r="F87" t="b">
        <v>0</v>
      </c>
      <c r="G87" t="b">
        <v>0</v>
      </c>
      <c r="H87" s="10">
        <f t="array" ref="H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7" s="10">
        <f t="array" ref="I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7" s="10">
        <f t="array" ref="J8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8">
      <c r="A88" t="n">
        <v>58</v>
      </c>
      <c r="B88" t="inlineStr">
        <is>
          <t>MTG Innistrad: Crimson Vow Set Booster Box</t>
        </is>
      </c>
      <c r="C88" t="n">
        <v>30</v>
      </c>
      <c r="D88" t="b">
        <v>1</v>
      </c>
      <c r="E88" t="b">
        <v>0</v>
      </c>
      <c r="F88" t="b">
        <v>0</v>
      </c>
      <c r="G88" t="b">
        <v>0</v>
      </c>
      <c r="H88" s="10">
        <f t="array" ref="H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8" s="10">
        <f t="array" ref="I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8" s="10">
        <f t="array" ref="J8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89">
      <c r="A89" t="n">
        <v>103</v>
      </c>
      <c r="B89" t="inlineStr">
        <is>
          <t>MTG Innistrad: Midnight Hunt Collector Booster</t>
        </is>
      </c>
      <c r="D89" t="b">
        <v>0</v>
      </c>
      <c r="E89" t="b">
        <v>1</v>
      </c>
      <c r="F89" t="b">
        <v>1</v>
      </c>
      <c r="G89" t="b">
        <v>0</v>
      </c>
      <c r="H89" s="10">
        <f t="array" ref="H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9" s="10">
        <f t="array" ref="I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9" s="10">
        <f t="array" ref="J8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0">
      <c r="A90" t="n">
        <v>104</v>
      </c>
      <c r="B90" t="inlineStr">
        <is>
          <t>MTG Innistrad: Midnight Hunt Collector Booster Box</t>
        </is>
      </c>
      <c r="C90" t="n">
        <v>12</v>
      </c>
      <c r="D90" t="b">
        <v>1</v>
      </c>
      <c r="E90" t="b">
        <v>0</v>
      </c>
      <c r="F90" t="b">
        <v>1</v>
      </c>
      <c r="G90" t="b">
        <v>0</v>
      </c>
      <c r="H90" s="10">
        <f t="array" ref="H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0" s="10">
        <f t="array" ref="I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0" s="10">
        <f t="array" ref="J9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1">
      <c r="A91" t="n">
        <v>5</v>
      </c>
      <c r="B91" t="inlineStr">
        <is>
          <t>MTG Innistrad: Midnight Hunt Set Booster</t>
        </is>
      </c>
      <c r="C91" t="n">
        <v>1</v>
      </c>
      <c r="D91" t="b">
        <v>0</v>
      </c>
      <c r="E91" t="b">
        <v>1</v>
      </c>
      <c r="F91" t="b">
        <v>0</v>
      </c>
      <c r="G91" t="b">
        <v>0</v>
      </c>
      <c r="H91" s="10">
        <f t="array" ref="H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1" s="10">
        <f t="array" ref="I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1" s="10">
        <f t="array" ref="J9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2">
      <c r="A92" t="n">
        <v>50</v>
      </c>
      <c r="B92" t="inlineStr">
        <is>
          <t>MTG Innistrad: Midnight Hunt Set Booster Box</t>
        </is>
      </c>
      <c r="C92" t="n">
        <v>30</v>
      </c>
      <c r="D92" t="b">
        <v>1</v>
      </c>
      <c r="E92" t="b">
        <v>0</v>
      </c>
      <c r="F92" t="b">
        <v>0</v>
      </c>
      <c r="G92" t="b">
        <v>0</v>
      </c>
      <c r="H92" s="10">
        <f t="array" ref="H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2" s="10">
        <f t="array" ref="I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2" s="10">
        <f t="array" ref="J9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3">
      <c r="A93" t="n">
        <v>109</v>
      </c>
      <c r="B93" t="inlineStr">
        <is>
          <t>MTG Kaldheim Collector Booster</t>
        </is>
      </c>
      <c r="D93" t="b">
        <v>0</v>
      </c>
      <c r="E93" t="b">
        <v>1</v>
      </c>
      <c r="F93" t="b">
        <v>1</v>
      </c>
      <c r="G93" t="b">
        <v>0</v>
      </c>
      <c r="H93" s="10">
        <f t="array" ref="H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3" s="10">
        <f t="array" ref="I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3" s="10">
        <f t="array" ref="J9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4">
      <c r="A94" t="n">
        <v>110</v>
      </c>
      <c r="B94" t="inlineStr">
        <is>
          <t>MTG Kaldheim Collector Booster Box</t>
        </is>
      </c>
      <c r="C94" t="n">
        <v>12</v>
      </c>
      <c r="D94" t="b">
        <v>1</v>
      </c>
      <c r="E94" t="b">
        <v>0</v>
      </c>
      <c r="F94" t="b">
        <v>1</v>
      </c>
      <c r="G94" t="b">
        <v>0</v>
      </c>
      <c r="H94" s="10">
        <f t="array" ref="H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4" s="10">
        <f t="array" ref="I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4" s="10">
        <f t="array" ref="J9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5">
      <c r="A95" t="n">
        <v>6</v>
      </c>
      <c r="B95" t="inlineStr">
        <is>
          <t>MTG Kaldheim Set Booster</t>
        </is>
      </c>
      <c r="C95" t="n">
        <v>1</v>
      </c>
      <c r="D95" t="b">
        <v>0</v>
      </c>
      <c r="E95" t="b">
        <v>1</v>
      </c>
      <c r="F95" t="b">
        <v>0</v>
      </c>
      <c r="G95" t="b">
        <v>0</v>
      </c>
      <c r="H95" s="10">
        <f t="array" ref="H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5" s="10">
        <f t="array" ref="I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5" s="10">
        <f t="array" ref="J9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6">
      <c r="A96" t="n">
        <v>51</v>
      </c>
      <c r="B96" t="inlineStr">
        <is>
          <t>MTG Kaldheim Set Booster Box</t>
        </is>
      </c>
      <c r="C96" t="n">
        <v>30</v>
      </c>
      <c r="D96" t="b">
        <v>1</v>
      </c>
      <c r="E96" t="b">
        <v>0</v>
      </c>
      <c r="F96" t="b">
        <v>0</v>
      </c>
      <c r="G96" t="b">
        <v>0</v>
      </c>
      <c r="H96" s="10">
        <f t="array" ref="H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6" s="10">
        <f t="array" ref="I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6" s="10">
        <f t="array" ref="J9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7">
      <c r="A97" t="n">
        <v>233</v>
      </c>
      <c r="B97" t="inlineStr">
        <is>
          <t>MTG Kamigawa: Neon Dynasty Buckle Up Precon</t>
        </is>
      </c>
      <c r="D97" t="b">
        <v>0</v>
      </c>
      <c r="E97" t="b">
        <v>0</v>
      </c>
      <c r="F97" t="b">
        <v>0</v>
      </c>
      <c r="G97" t="b">
        <v>1</v>
      </c>
      <c r="H97" s="10">
        <f t="array" ref="H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7" s="10">
        <f t="array" ref="I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7" s="10">
        <f t="array" ref="J9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8">
      <c r="A98" t="n">
        <v>111</v>
      </c>
      <c r="B98" t="inlineStr">
        <is>
          <t>MTG Kamigawa: Neon Dynasty Collector Booster</t>
        </is>
      </c>
      <c r="D98" t="b">
        <v>0</v>
      </c>
      <c r="E98" t="b">
        <v>1</v>
      </c>
      <c r="F98" t="b">
        <v>1</v>
      </c>
      <c r="G98" t="b">
        <v>0</v>
      </c>
      <c r="H98" s="10">
        <f t="array" ref="H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8" s="10">
        <f t="array" ref="I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8" s="10">
        <f t="array" ref="J9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99">
      <c r="A99" t="n">
        <v>112</v>
      </c>
      <c r="B99" t="inlineStr">
        <is>
          <t>MTG Kamigawa: Neon Dynasty Collector Booster Box</t>
        </is>
      </c>
      <c r="C99" t="n">
        <v>12</v>
      </c>
      <c r="D99" t="b">
        <v>1</v>
      </c>
      <c r="E99" t="b">
        <v>0</v>
      </c>
      <c r="F99" t="b">
        <v>1</v>
      </c>
      <c r="G99" t="b">
        <v>0</v>
      </c>
      <c r="H99" s="10">
        <f t="array" ref="H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9" s="10">
        <f t="array" ref="I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9" s="10">
        <f t="array" ref="J9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0">
      <c r="A100" t="n">
        <v>24</v>
      </c>
      <c r="B100" t="inlineStr">
        <is>
          <t>MTG Kamigawa: Neon Dynasty Set Booster</t>
        </is>
      </c>
      <c r="C100" t="n">
        <v>1</v>
      </c>
      <c r="D100" t="b">
        <v>0</v>
      </c>
      <c r="E100" t="b">
        <v>1</v>
      </c>
      <c r="F100" t="b">
        <v>0</v>
      </c>
      <c r="G100" t="b">
        <v>0</v>
      </c>
      <c r="H100" s="10">
        <f t="array" ref="H1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0" s="10">
        <f t="array" ref="I1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0" s="10">
        <f t="array" ref="J10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1">
      <c r="A101" t="n">
        <v>69</v>
      </c>
      <c r="B101" t="inlineStr">
        <is>
          <t>MTG Kamigawa: Neon Dynasty Set Booster Box</t>
        </is>
      </c>
      <c r="C101" t="n">
        <v>30</v>
      </c>
      <c r="D101" t="b">
        <v>1</v>
      </c>
      <c r="E101" t="b">
        <v>0</v>
      </c>
      <c r="F101" t="b">
        <v>0</v>
      </c>
      <c r="G101" t="b">
        <v>0</v>
      </c>
      <c r="H101" s="10">
        <f t="array" ref="H1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1" s="10">
        <f t="array" ref="I1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1" s="10">
        <f t="array" ref="J10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2" ht="29.25" customHeight="1" s="6">
      <c r="A102" t="n">
        <v>234</v>
      </c>
      <c r="B102" s="1" t="inlineStr">
        <is>
          <t>MTG Kamigawa: Neon Dynasty Upgrades Unleashed Precon</t>
        </is>
      </c>
      <c r="D102" t="b">
        <v>0</v>
      </c>
      <c r="E102" t="b">
        <v>0</v>
      </c>
      <c r="F102" t="b">
        <v>0</v>
      </c>
      <c r="G102" t="b">
        <v>1</v>
      </c>
      <c r="H102" s="10">
        <f t="array" ref="H1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2" s="10">
        <f t="array" ref="I1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2" s="10">
        <f t="array" ref="J10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3">
      <c r="A103" t="n">
        <v>113</v>
      </c>
      <c r="B103" t="inlineStr">
        <is>
          <t>MTG Lorwyn Eclipsed Collector Booster</t>
        </is>
      </c>
      <c r="D103" t="b">
        <v>0</v>
      </c>
      <c r="E103" t="b">
        <v>1</v>
      </c>
      <c r="F103" t="b">
        <v>1</v>
      </c>
      <c r="G103" t="b">
        <v>0</v>
      </c>
      <c r="H103" s="10">
        <f t="array" ref="H1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3" s="10">
        <f t="array" ref="I1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3" s="10">
        <f t="array" ref="J10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4">
      <c r="A104" t="n">
        <v>114</v>
      </c>
      <c r="B104" t="inlineStr">
        <is>
          <t>MTG Lorwyn Eclipsed Collector Booster Box</t>
        </is>
      </c>
      <c r="C104" t="n">
        <v>12</v>
      </c>
      <c r="D104" t="b">
        <v>1</v>
      </c>
      <c r="E104" t="b">
        <v>0</v>
      </c>
      <c r="F104" t="b">
        <v>1</v>
      </c>
      <c r="G104" t="b">
        <v>0</v>
      </c>
      <c r="H104" s="10">
        <f t="array" ref="H1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4" s="10">
        <f t="array" ref="I1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4" s="10">
        <f t="array" ref="J10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5">
      <c r="A105" t="n">
        <v>4</v>
      </c>
      <c r="B105" t="inlineStr">
        <is>
          <t>MTG Lorwyn Eclipsed Play Booster</t>
        </is>
      </c>
      <c r="C105" t="n">
        <v>1</v>
      </c>
      <c r="D105" t="b">
        <v>0</v>
      </c>
      <c r="E105" t="b">
        <v>1</v>
      </c>
      <c r="F105" t="b">
        <v>0</v>
      </c>
      <c r="G105" t="b">
        <v>0</v>
      </c>
      <c r="H105" s="10">
        <f t="array" ref="H1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5" s="10">
        <f t="array" ref="I1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5" s="10">
        <f t="array" ref="J10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6">
      <c r="A106" t="n">
        <v>49</v>
      </c>
      <c r="B106" t="inlineStr">
        <is>
          <t>MTG Lorwyn Eclipsed Play Booster Box</t>
        </is>
      </c>
      <c r="C106" t="n">
        <v>30</v>
      </c>
      <c r="D106" t="b">
        <v>1</v>
      </c>
      <c r="E106" t="b">
        <v>0</v>
      </c>
      <c r="F106" t="b">
        <v>0</v>
      </c>
      <c r="G106" t="b">
        <v>0</v>
      </c>
      <c r="H106" s="10">
        <f t="array" ref="H1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6" s="10">
        <f t="array" ref="I1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6" s="10">
        <f t="array" ref="J10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7">
      <c r="A107" t="n">
        <v>206</v>
      </c>
      <c r="B107" t="inlineStr">
        <is>
          <t>MTG March of the Machine Call for Backup Precon</t>
        </is>
      </c>
      <c r="D107" t="b">
        <v>0</v>
      </c>
      <c r="E107" t="b">
        <v>0</v>
      </c>
      <c r="F107" t="b">
        <v>0</v>
      </c>
      <c r="G107" t="b">
        <v>1</v>
      </c>
      <c r="H107" s="10">
        <f t="array" ref="H1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7" s="10">
        <f t="array" ref="I1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7" s="10">
        <f t="array" ref="J10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8">
      <c r="A108" t="n">
        <v>205</v>
      </c>
      <c r="B108" t="inlineStr">
        <is>
          <t>MTG March of the Machine Cavalry Charge Precon</t>
        </is>
      </c>
      <c r="D108" t="b">
        <v>0</v>
      </c>
      <c r="E108" t="b">
        <v>0</v>
      </c>
      <c r="F108" t="b">
        <v>0</v>
      </c>
      <c r="G108" t="b">
        <v>1</v>
      </c>
      <c r="H108" s="10">
        <f t="array" ref="H1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8" s="10">
        <f t="array" ref="I1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8" s="10">
        <f t="array" ref="J10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09" ht="29.25" customHeight="1" s="6">
      <c r="A109" t="n">
        <v>207</v>
      </c>
      <c r="B109" s="1" t="inlineStr">
        <is>
          <t>MTG March of the Machine Divine Convocation Precon</t>
        </is>
      </c>
      <c r="D109" t="b">
        <v>0</v>
      </c>
      <c r="E109" t="b">
        <v>0</v>
      </c>
      <c r="F109" t="b">
        <v>0</v>
      </c>
      <c r="G109" t="b">
        <v>1</v>
      </c>
      <c r="H109" s="10">
        <f t="array" ref="H1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9" s="10">
        <f t="array" ref="I1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9" s="10">
        <f t="array" ref="J10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0">
      <c r="A110" t="n">
        <v>204</v>
      </c>
      <c r="B110" t="inlineStr">
        <is>
          <t>MTG March of the Machine Growing Threat Precon</t>
        </is>
      </c>
      <c r="D110" t="b">
        <v>0</v>
      </c>
      <c r="E110" t="b">
        <v>0</v>
      </c>
      <c r="F110" t="b">
        <v>0</v>
      </c>
      <c r="G110" t="b">
        <v>1</v>
      </c>
      <c r="H110" s="10">
        <f t="array" ref="H1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0" s="10">
        <f t="array" ref="I1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0" s="10">
        <f t="array" ref="J11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1">
      <c r="A111" t="n">
        <v>115</v>
      </c>
      <c r="B111" t="inlineStr">
        <is>
          <t>MTG March of the Machine MOM Collector Booster</t>
        </is>
      </c>
      <c r="D111" t="b">
        <v>0</v>
      </c>
      <c r="E111" t="b">
        <v>1</v>
      </c>
      <c r="F111" t="b">
        <v>1</v>
      </c>
      <c r="G111" t="b">
        <v>0</v>
      </c>
      <c r="H111" s="10">
        <f t="array" ref="H1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1" s="10">
        <f t="array" ref="I1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1" s="10">
        <f t="array" ref="J11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2">
      <c r="A112" t="n">
        <v>116</v>
      </c>
      <c r="B112" t="inlineStr">
        <is>
          <t>MTG March of the Machine MOM Collector Booster Box</t>
        </is>
      </c>
      <c r="C112" t="n">
        <v>12</v>
      </c>
      <c r="D112" t="b">
        <v>1</v>
      </c>
      <c r="E112" t="b">
        <v>0</v>
      </c>
      <c r="F112" t="b">
        <v>1</v>
      </c>
      <c r="G112" t="b">
        <v>0</v>
      </c>
      <c r="H112" s="10">
        <f t="array" ref="H1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2" s="10">
        <f t="array" ref="I1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2" s="10">
        <f t="array" ref="J11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3">
      <c r="A113" t="n">
        <v>14</v>
      </c>
      <c r="B113" t="inlineStr">
        <is>
          <t>MTG March of the Machine MOM Set Booster</t>
        </is>
      </c>
      <c r="C113" t="n">
        <v>1</v>
      </c>
      <c r="D113" t="b">
        <v>0</v>
      </c>
      <c r="E113" t="b">
        <v>1</v>
      </c>
      <c r="F113" t="b">
        <v>0</v>
      </c>
      <c r="G113" t="b">
        <v>0</v>
      </c>
      <c r="H113" s="10">
        <f t="array" ref="H1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3" s="10">
        <f t="array" ref="I1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3" s="10">
        <f t="array" ref="J11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4">
      <c r="A114" t="n">
        <v>59</v>
      </c>
      <c r="B114" s="1" t="inlineStr">
        <is>
          <t>MTG March of the Machine MOM Set Booster Box</t>
        </is>
      </c>
      <c r="C114" t="n">
        <v>30</v>
      </c>
      <c r="D114" t="b">
        <v>1</v>
      </c>
      <c r="E114" t="b">
        <v>0</v>
      </c>
      <c r="F114" t="b">
        <v>0</v>
      </c>
      <c r="G114" t="b">
        <v>0</v>
      </c>
      <c r="H114" s="10">
        <f t="array" ref="H1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4" s="10">
        <f t="array" ref="I1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4" s="10">
        <f t="array" ref="J11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5">
      <c r="A115" t="n">
        <v>208</v>
      </c>
      <c r="B115" t="inlineStr">
        <is>
          <t>MTG March of the Machine Tinker Time Precon</t>
        </is>
      </c>
      <c r="D115" t="b">
        <v>0</v>
      </c>
      <c r="E115" t="b">
        <v>0</v>
      </c>
      <c r="F115" t="b">
        <v>0</v>
      </c>
      <c r="G115" t="b">
        <v>1</v>
      </c>
      <c r="H115" s="10">
        <f t="array" ref="H1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5" s="10">
        <f t="array" ref="I1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5" s="10">
        <f t="array" ref="J11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6">
      <c r="A116" t="n">
        <v>117</v>
      </c>
      <c r="B116" t="inlineStr">
        <is>
          <t>MTG Marvel's Spider-Man Collector Booster</t>
        </is>
      </c>
      <c r="D116" t="b">
        <v>0</v>
      </c>
      <c r="E116" t="b">
        <v>1</v>
      </c>
      <c r="F116" t="b">
        <v>1</v>
      </c>
      <c r="G116" t="b">
        <v>0</v>
      </c>
      <c r="H116" s="10">
        <f t="array" ref="H1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6" s="10">
        <f t="array" ref="I1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6" s="10">
        <f t="array" ref="J11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7">
      <c r="A117" t="n">
        <v>118</v>
      </c>
      <c r="B117" t="inlineStr">
        <is>
          <t>MTG Marvel's Spider-Man Collector Booster Box</t>
        </is>
      </c>
      <c r="C117" t="n">
        <v>12</v>
      </c>
      <c r="D117" t="b">
        <v>1</v>
      </c>
      <c r="E117" t="b">
        <v>0</v>
      </c>
      <c r="F117" t="b">
        <v>1</v>
      </c>
      <c r="G117" t="b">
        <v>0</v>
      </c>
      <c r="H117" s="10">
        <f t="array" ref="H1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7" s="10">
        <f t="array" ref="I1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7" s="10">
        <f t="array" ref="J11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8">
      <c r="A118" t="n">
        <v>19</v>
      </c>
      <c r="B118" t="inlineStr">
        <is>
          <t>MTG Marvel's Spider-Man Play Booster</t>
        </is>
      </c>
      <c r="C118" t="n">
        <v>1</v>
      </c>
      <c r="D118" t="b">
        <v>0</v>
      </c>
      <c r="E118" t="b">
        <v>1</v>
      </c>
      <c r="F118" t="b">
        <v>0</v>
      </c>
      <c r="G118" t="b">
        <v>0</v>
      </c>
      <c r="H118" s="10">
        <f t="array" ref="H1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8" s="10">
        <f t="array" ref="I1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8" s="10">
        <f t="array" ref="J11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19">
      <c r="A119" t="n">
        <v>64</v>
      </c>
      <c r="B119" t="inlineStr">
        <is>
          <t>MTG Marvel's Spider-Man Play Booster Box</t>
        </is>
      </c>
      <c r="C119" t="n">
        <v>30</v>
      </c>
      <c r="D119" t="b">
        <v>1</v>
      </c>
      <c r="E119" t="b">
        <v>0</v>
      </c>
      <c r="F119" t="b">
        <v>0</v>
      </c>
      <c r="G119" t="b">
        <v>0</v>
      </c>
      <c r="H119" s="10">
        <f t="array" ref="H1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9" s="10">
        <f t="array" ref="I1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9" s="10">
        <f t="array" ref="J11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0">
      <c r="A120" t="n">
        <v>119</v>
      </c>
      <c r="B120" t="inlineStr">
        <is>
          <t>MTG Modern Horizons 2 MH2 Collector Booster</t>
        </is>
      </c>
      <c r="C120" s="1" t="n"/>
      <c r="D120" t="b">
        <v>0</v>
      </c>
      <c r="E120" t="b">
        <v>1</v>
      </c>
      <c r="F120" t="b">
        <v>1</v>
      </c>
      <c r="G120" t="b">
        <v>0</v>
      </c>
      <c r="H120" s="10">
        <f t="array" ref="H1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0" s="10">
        <f t="array" ref="I1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0" s="10">
        <f t="array" ref="J12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1">
      <c r="A121" t="n">
        <v>120</v>
      </c>
      <c r="B121" t="inlineStr">
        <is>
          <t>MTG Modern Horizons 2 MH2 Collector Booster Box</t>
        </is>
      </c>
      <c r="C121" t="n">
        <v>12</v>
      </c>
      <c r="D121" t="b">
        <v>1</v>
      </c>
      <c r="E121" t="b">
        <v>0</v>
      </c>
      <c r="F121" t="b">
        <v>1</v>
      </c>
      <c r="G121" t="b">
        <v>0</v>
      </c>
      <c r="H121" s="10">
        <f t="array" ref="H1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1" s="10">
        <f t="array" ref="I1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1" s="10">
        <f t="array" ref="J12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2">
      <c r="A122" t="n">
        <v>1</v>
      </c>
      <c r="B122" t="inlineStr">
        <is>
          <t>MTG Modern Horizons 2 MH2 Set Booster</t>
        </is>
      </c>
      <c r="C122" t="n">
        <v>1</v>
      </c>
      <c r="D122" t="b">
        <v>0</v>
      </c>
      <c r="E122" t="b">
        <v>1</v>
      </c>
      <c r="F122" t="b">
        <v>0</v>
      </c>
      <c r="G122" t="b">
        <v>0</v>
      </c>
      <c r="H122" s="12">
        <f t="array" ref="H1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2" s="10">
        <f t="array" ref="I1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2" s="10">
        <f t="array" ref="J12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3">
      <c r="A123" t="n">
        <v>46</v>
      </c>
      <c r="B123" t="inlineStr">
        <is>
          <t>MTG Modern Horizons 2 MH2 Set Booster Box</t>
        </is>
      </c>
      <c r="C123" t="n">
        <v>36</v>
      </c>
      <c r="D123" t="b">
        <v>1</v>
      </c>
      <c r="E123" t="b">
        <v>0</v>
      </c>
      <c r="F123" t="b">
        <v>0</v>
      </c>
      <c r="G123" t="b">
        <v>0</v>
      </c>
      <c r="H123" s="10">
        <f t="array" ref="H1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3" s="10">
        <f t="array" ref="I1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3" s="10">
        <f t="array" ref="J12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4">
      <c r="A124" t="n">
        <v>173</v>
      </c>
      <c r="B124" t="inlineStr">
        <is>
          <t>MTG Modern Horizons 3 Creative Energy Precon</t>
        </is>
      </c>
      <c r="D124" t="b">
        <v>0</v>
      </c>
      <c r="E124" t="b">
        <v>0</v>
      </c>
      <c r="F124" t="b">
        <v>0</v>
      </c>
      <c r="G124" t="b">
        <v>1</v>
      </c>
      <c r="H124" s="10">
        <f t="array" ref="H1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4" s="10">
        <f t="array" ref="I1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4" s="10">
        <f t="array" ref="J12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5">
      <c r="A125" t="n">
        <v>170</v>
      </c>
      <c r="B125" t="inlineStr">
        <is>
          <t>MTG Modern Horizons 3 Eldrazi Incursion Precon</t>
        </is>
      </c>
      <c r="D125" t="b">
        <v>0</v>
      </c>
      <c r="E125" t="b">
        <v>0</v>
      </c>
      <c r="F125" t="b">
        <v>0</v>
      </c>
      <c r="G125" t="b">
        <v>1</v>
      </c>
      <c r="H125" s="10">
        <f t="array" ref="H1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5" s="10">
        <f t="array" ref="I1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5" s="10">
        <f t="array" ref="J12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6">
      <c r="A126" t="n">
        <v>171</v>
      </c>
      <c r="B126" t="inlineStr">
        <is>
          <t>MTG Modern Horizons 3 Graveyard Overdrive Precon</t>
        </is>
      </c>
      <c r="D126" t="b">
        <v>0</v>
      </c>
      <c r="E126" t="b">
        <v>0</v>
      </c>
      <c r="F126" t="b">
        <v>0</v>
      </c>
      <c r="G126" t="b">
        <v>1</v>
      </c>
      <c r="H126" s="10">
        <f t="array" ref="H1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6" s="10">
        <f t="array" ref="I1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6" s="10">
        <f t="array" ref="J12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7">
      <c r="A127" t="n">
        <v>121</v>
      </c>
      <c r="B127" t="inlineStr">
        <is>
          <t>MTG Modern Horizons 3 MH3 Collector Booster</t>
        </is>
      </c>
      <c r="D127" t="b">
        <v>0</v>
      </c>
      <c r="E127" t="b">
        <v>1</v>
      </c>
      <c r="F127" t="b">
        <v>1</v>
      </c>
      <c r="G127" t="b">
        <v>0</v>
      </c>
      <c r="H127" s="10">
        <f t="array" ref="H1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7" s="10">
        <f t="array" ref="I1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7" s="10">
        <f t="array" ref="J12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8">
      <c r="A128" t="n">
        <v>122</v>
      </c>
      <c r="B128" t="inlineStr">
        <is>
          <t>MTG Modern Horizons 3 MH3 Collector Booster Box</t>
        </is>
      </c>
      <c r="C128" t="n">
        <v>12</v>
      </c>
      <c r="D128" t="b">
        <v>1</v>
      </c>
      <c r="E128" t="b">
        <v>0</v>
      </c>
      <c r="F128" t="b">
        <v>1</v>
      </c>
      <c r="G128" t="b">
        <v>0</v>
      </c>
      <c r="H128" s="10">
        <f t="array" ref="H1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8" s="10">
        <f t="array" ref="I1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8" s="10">
        <f t="array" ref="J12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29">
      <c r="A129" t="n">
        <v>15</v>
      </c>
      <c r="B129" t="inlineStr">
        <is>
          <t>MTG Modern Horizons 3 MH3 Play Booster</t>
        </is>
      </c>
      <c r="C129" t="n">
        <v>1</v>
      </c>
      <c r="D129" t="b">
        <v>0</v>
      </c>
      <c r="E129" t="b">
        <v>1</v>
      </c>
      <c r="F129" t="b">
        <v>0</v>
      </c>
      <c r="G129" t="b">
        <v>0</v>
      </c>
      <c r="H129" s="10">
        <f t="array" ref="H1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9" s="10">
        <f t="array" ref="I1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9" s="10">
        <f t="array" ref="J12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0">
      <c r="A130" t="n">
        <v>60</v>
      </c>
      <c r="B130" t="inlineStr">
        <is>
          <t>MTG Modern Horizons 3 MH3 Play Booster Box</t>
        </is>
      </c>
      <c r="C130" t="n">
        <v>36</v>
      </c>
      <c r="D130" t="b">
        <v>1</v>
      </c>
      <c r="E130" t="b">
        <v>0</v>
      </c>
      <c r="F130" t="b">
        <v>0</v>
      </c>
      <c r="G130" t="b">
        <v>0</v>
      </c>
      <c r="H130" s="10">
        <f t="array" ref="H1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0" s="10">
        <f t="array" ref="I1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0" s="10">
        <f t="array" ref="J13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1">
      <c r="A131" t="n">
        <v>172</v>
      </c>
      <c r="B131" t="inlineStr">
        <is>
          <t>MTG Modern Horizons 3 Tricky Terrain Precon</t>
        </is>
      </c>
      <c r="D131" t="b">
        <v>0</v>
      </c>
      <c r="E131" t="b">
        <v>0</v>
      </c>
      <c r="F131" t="b">
        <v>0</v>
      </c>
      <c r="G131" t="b">
        <v>1</v>
      </c>
      <c r="H131" s="10">
        <f t="array" ref="H1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1" s="10">
        <f t="array" ref="I1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1" s="10">
        <f t="array" ref="J13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2">
      <c r="A132" t="n">
        <v>182</v>
      </c>
      <c r="B132" t="inlineStr">
        <is>
          <t>MTG Murders at Karlov Manor Blame Game Precon</t>
        </is>
      </c>
      <c r="D132" t="b">
        <v>0</v>
      </c>
      <c r="E132" t="b">
        <v>0</v>
      </c>
      <c r="F132" t="b">
        <v>0</v>
      </c>
      <c r="G132" t="b">
        <v>1</v>
      </c>
      <c r="H132" s="10">
        <f t="array" ref="H1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2" s="10">
        <f t="array" ref="I1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2" s="10">
        <f t="array" ref="J13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3">
      <c r="A133" t="n">
        <v>123</v>
      </c>
      <c r="B133" t="inlineStr">
        <is>
          <t>MTG Murders at Karlov Manor Collector Booster</t>
        </is>
      </c>
      <c r="D133" t="b">
        <v>0</v>
      </c>
      <c r="E133" t="b">
        <v>1</v>
      </c>
      <c r="F133" t="b">
        <v>1</v>
      </c>
      <c r="G133" t="b">
        <v>0</v>
      </c>
      <c r="H133" s="10">
        <f t="array" ref="H1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3" s="10">
        <f t="array" ref="I1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3" s="10">
        <f t="array" ref="J13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4">
      <c r="A134" t="n">
        <v>124</v>
      </c>
      <c r="B134" t="inlineStr">
        <is>
          <t>MTG Murders at Karlov Manor Collector Booster Box</t>
        </is>
      </c>
      <c r="C134" t="n">
        <v>12</v>
      </c>
      <c r="D134" t="b">
        <v>1</v>
      </c>
      <c r="E134" t="b">
        <v>0</v>
      </c>
      <c r="F134" t="b">
        <v>1</v>
      </c>
      <c r="G134" t="b">
        <v>0</v>
      </c>
      <c r="H134" s="10">
        <f t="array" ref="H1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4" s="10">
        <f t="array" ref="I1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4" s="10">
        <f t="array" ref="J13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5">
      <c r="A135" t="n">
        <v>184</v>
      </c>
      <c r="B135" s="1" t="inlineStr">
        <is>
          <t>MTG Murders at Karlov Manor Deadly Disguise Precon</t>
        </is>
      </c>
      <c r="D135" t="b">
        <v>0</v>
      </c>
      <c r="E135" t="b">
        <v>0</v>
      </c>
      <c r="F135" t="b">
        <v>0</v>
      </c>
      <c r="G135" t="b">
        <v>1</v>
      </c>
      <c r="H135" s="10">
        <f t="array" ref="H1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5" s="10">
        <f t="array" ref="I1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5" s="10">
        <f t="array" ref="J13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6">
      <c r="A136" t="n">
        <v>185</v>
      </c>
      <c r="B136" t="inlineStr">
        <is>
          <t>MTG Murders at Karlov Manor Deep Clue Sea Precon</t>
        </is>
      </c>
      <c r="D136" t="b">
        <v>0</v>
      </c>
      <c r="E136" t="b">
        <v>0</v>
      </c>
      <c r="F136" t="b">
        <v>0</v>
      </c>
      <c r="G136" t="b">
        <v>1</v>
      </c>
      <c r="H136" s="10">
        <f t="array" ref="H1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6" s="10">
        <f t="array" ref="I1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6" s="10">
        <f t="array" ref="J13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7">
      <c r="A137" t="n">
        <v>35</v>
      </c>
      <c r="B137" t="inlineStr">
        <is>
          <t>MTG Murders at Karlov Manor Play Booster</t>
        </is>
      </c>
      <c r="C137" t="n">
        <v>1</v>
      </c>
      <c r="D137" t="b">
        <v>0</v>
      </c>
      <c r="E137" t="b">
        <v>1</v>
      </c>
      <c r="F137" t="b">
        <v>0</v>
      </c>
      <c r="G137" t="b">
        <v>0</v>
      </c>
      <c r="H137" s="10">
        <f t="array" ref="H1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7" s="10">
        <f t="array" ref="I1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7" s="10">
        <f t="array" ref="J13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8">
      <c r="A138" t="n">
        <v>80</v>
      </c>
      <c r="B138" t="inlineStr">
        <is>
          <t>MTG Murders at Karlov Manor Play Booster Box</t>
        </is>
      </c>
      <c r="C138" t="n">
        <v>36</v>
      </c>
      <c r="D138" t="b">
        <v>1</v>
      </c>
      <c r="E138" t="b">
        <v>0</v>
      </c>
      <c r="F138" t="b">
        <v>0</v>
      </c>
      <c r="G138" t="b">
        <v>0</v>
      </c>
      <c r="H138" s="10">
        <f t="array" ref="H1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8" s="10">
        <f t="array" ref="I1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8" s="10">
        <f t="array" ref="J13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39" ht="29.25" customHeight="1" s="6">
      <c r="A139" t="n">
        <v>183</v>
      </c>
      <c r="B139" s="1" t="inlineStr">
        <is>
          <t>MTG Murders at Karlov Manor Revenant Recon Precon</t>
        </is>
      </c>
      <c r="D139" t="b">
        <v>0</v>
      </c>
      <c r="E139" t="b">
        <v>0</v>
      </c>
      <c r="F139" t="b">
        <v>0</v>
      </c>
      <c r="G139" t="b">
        <v>1</v>
      </c>
      <c r="H139" s="10">
        <f t="array" ref="H1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9" s="10">
        <f t="array" ref="I1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9" s="10">
        <f t="array" ref="J13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0">
      <c r="A140" t="n">
        <v>32</v>
      </c>
      <c r="B140" t="inlineStr">
        <is>
          <t>MTG Oath of the Gatewatch Booster</t>
        </is>
      </c>
      <c r="C140" t="n">
        <v>1</v>
      </c>
      <c r="D140" t="b">
        <v>0</v>
      </c>
      <c r="E140" t="b">
        <v>1</v>
      </c>
      <c r="F140" t="b">
        <v>0</v>
      </c>
      <c r="G140" t="b">
        <v>0</v>
      </c>
      <c r="H140" s="10">
        <f t="array" ref="H1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0" s="10">
        <f t="array" ref="I1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0" s="10">
        <f t="array" ref="J14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1">
      <c r="A141" t="n">
        <v>77</v>
      </c>
      <c r="B141" t="inlineStr">
        <is>
          <t>MTG Oath of the Gatewatch Booster Box</t>
        </is>
      </c>
      <c r="C141" t="n">
        <v>36</v>
      </c>
      <c r="D141" t="b">
        <v>1</v>
      </c>
      <c r="E141" t="b">
        <v>0</v>
      </c>
      <c r="F141" t="b">
        <v>0</v>
      </c>
      <c r="G141" t="b">
        <v>0</v>
      </c>
      <c r="H141" s="10">
        <f t="array" ref="H1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1" s="10">
        <f t="array" ref="I1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1" s="10">
        <f t="array" ref="J14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2">
      <c r="A142" t="n">
        <v>125</v>
      </c>
      <c r="B142" t="inlineStr">
        <is>
          <t>MTG Outlaws of Thunder Junction Collector Booster</t>
        </is>
      </c>
      <c r="D142" t="b">
        <v>0</v>
      </c>
      <c r="E142" t="b">
        <v>1</v>
      </c>
      <c r="F142" t="b">
        <v>1</v>
      </c>
      <c r="G142" t="b">
        <v>0</v>
      </c>
      <c r="H142" s="10">
        <f t="array" ref="H1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2" s="10">
        <f t="array" ref="I1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2" s="10">
        <f t="array" ref="J14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3">
      <c r="A143" t="n">
        <v>126</v>
      </c>
      <c r="B143" t="inlineStr">
        <is>
          <t>MTG Outlaws of Thunder Junction Collector Booster Box</t>
        </is>
      </c>
      <c r="C143" t="n">
        <v>12</v>
      </c>
      <c r="D143" t="b">
        <v>1</v>
      </c>
      <c r="E143" t="b">
        <v>0</v>
      </c>
      <c r="F143" t="b">
        <v>1</v>
      </c>
      <c r="G143" t="b">
        <v>0</v>
      </c>
      <c r="H143" s="10">
        <f t="array" ref="H1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3" s="10">
        <f t="array" ref="I1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3" s="10">
        <f t="array" ref="J14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4" ht="29.25" customHeight="1" s="6">
      <c r="A144" t="n">
        <v>175</v>
      </c>
      <c r="B144" s="1" t="inlineStr">
        <is>
          <t>MTG Outlaws of Thunder Junction Desert Bloom Precon</t>
        </is>
      </c>
      <c r="D144" t="b">
        <v>0</v>
      </c>
      <c r="E144" t="b">
        <v>0</v>
      </c>
      <c r="F144" t="b">
        <v>0</v>
      </c>
      <c r="G144" t="b">
        <v>1</v>
      </c>
      <c r="H144" s="10">
        <f t="array" ref="H1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4" s="10">
        <f t="array" ref="I1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4" s="10">
        <f t="array" ref="J14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5" ht="29.25" customHeight="1" s="6">
      <c r="A145" t="n">
        <v>176</v>
      </c>
      <c r="B145" s="1" t="inlineStr">
        <is>
          <t>MTG Outlaws of Thunder Junction Grand Larceny Precon</t>
        </is>
      </c>
      <c r="D145" t="b">
        <v>0</v>
      </c>
      <c r="E145" t="b">
        <v>0</v>
      </c>
      <c r="F145" t="b">
        <v>0</v>
      </c>
      <c r="G145" t="b">
        <v>1</v>
      </c>
      <c r="H145" s="10">
        <f t="array" ref="H1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5" s="10">
        <f t="array" ref="I1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5" s="10">
        <f t="array" ref="J14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6" ht="29.25" customHeight="1" s="6">
      <c r="A146" t="n">
        <v>177</v>
      </c>
      <c r="B146" s="1" t="inlineStr">
        <is>
          <t>MTG Outlaws of Thunder Junction Most Wanted Precon</t>
        </is>
      </c>
      <c r="D146" t="b">
        <v>0</v>
      </c>
      <c r="E146" t="b">
        <v>0</v>
      </c>
      <c r="F146" t="b">
        <v>0</v>
      </c>
      <c r="G146" t="b">
        <v>1</v>
      </c>
      <c r="H146" s="10">
        <f t="array" ref="H1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6" s="10">
        <f t="array" ref="I1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6" s="10">
        <f t="array" ref="J14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7">
      <c r="A147" t="n">
        <v>11</v>
      </c>
      <c r="B147" t="inlineStr">
        <is>
          <t>MTG Outlaws of Thunder Junction Play Booster</t>
        </is>
      </c>
      <c r="C147" t="n">
        <v>1</v>
      </c>
      <c r="D147" t="b">
        <v>0</v>
      </c>
      <c r="E147" t="b">
        <v>1</v>
      </c>
      <c r="F147" t="b">
        <v>0</v>
      </c>
      <c r="G147" t="b">
        <v>0</v>
      </c>
      <c r="H147" s="10">
        <f t="array" ref="H1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7" s="10">
        <f t="array" ref="I1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7" s="10">
        <f t="array" ref="J14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8">
      <c r="A148" t="n">
        <v>56</v>
      </c>
      <c r="B148" t="inlineStr">
        <is>
          <t>MTG Outlaws of Thunder Junction Play Booster Box</t>
        </is>
      </c>
      <c r="C148" t="n">
        <v>36</v>
      </c>
      <c r="D148" t="b">
        <v>1</v>
      </c>
      <c r="E148" t="b">
        <v>0</v>
      </c>
      <c r="F148" t="b">
        <v>0</v>
      </c>
      <c r="G148" t="b">
        <v>0</v>
      </c>
      <c r="H148" s="10">
        <f t="array" ref="H1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8" s="10">
        <f t="array" ref="I1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8" s="10">
        <f t="array" ref="J14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49">
      <c r="A149" t="n">
        <v>174</v>
      </c>
      <c r="B149" t="inlineStr">
        <is>
          <t>MTG Outlaws of Thunder Junction Quick Draw Precon</t>
        </is>
      </c>
      <c r="D149" t="b">
        <v>0</v>
      </c>
      <c r="E149" t="b">
        <v>0</v>
      </c>
      <c r="F149" t="b">
        <v>0</v>
      </c>
      <c r="G149" t="b">
        <v>1</v>
      </c>
      <c r="H149" s="10">
        <f t="array" ref="H1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9" s="10">
        <f t="array" ref="I1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9" s="10">
        <f t="array" ref="J14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0">
      <c r="A150" t="n">
        <v>127</v>
      </c>
      <c r="B150" t="inlineStr">
        <is>
          <t>MTG Phyrexia: All Will Be One Collector Booster</t>
        </is>
      </c>
      <c r="D150" t="b">
        <v>0</v>
      </c>
      <c r="E150" t="b">
        <v>1</v>
      </c>
      <c r="F150" t="b">
        <v>1</v>
      </c>
      <c r="G150" t="b">
        <v>0</v>
      </c>
      <c r="H150" s="10">
        <f t="array" ref="H1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0" s="10">
        <f t="array" ref="I1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0" s="10">
        <f t="array" ref="J15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1">
      <c r="A151" t="n">
        <v>128</v>
      </c>
      <c r="B151" t="inlineStr">
        <is>
          <t>MTG Phyrexia: All Will Be One Collector Booster Box</t>
        </is>
      </c>
      <c r="C151" t="n">
        <v>12</v>
      </c>
      <c r="D151" t="b">
        <v>1</v>
      </c>
      <c r="E151" t="b">
        <v>0</v>
      </c>
      <c r="F151" t="b">
        <v>1</v>
      </c>
      <c r="G151" t="b">
        <v>0</v>
      </c>
      <c r="H151" s="10">
        <f t="array" ref="H1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1" s="10">
        <f t="array" ref="I1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1" s="10">
        <f t="array" ref="J15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2" ht="29.25" customHeight="1" s="6">
      <c r="A152" t="n">
        <v>209</v>
      </c>
      <c r="B152" s="1" t="inlineStr">
        <is>
          <t>MTG Phyrexia: All Will Be One Corrupting Influence Precon</t>
        </is>
      </c>
      <c r="D152" t="b">
        <v>0</v>
      </c>
      <c r="E152" t="b">
        <v>0</v>
      </c>
      <c r="F152" t="b">
        <v>0</v>
      </c>
      <c r="G152" t="b">
        <v>1</v>
      </c>
      <c r="H152" s="10">
        <f t="array" ref="H1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2" s="10">
        <f t="array" ref="I1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2" s="10">
        <f t="array" ref="J15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3">
      <c r="A153" t="n">
        <v>210</v>
      </c>
      <c r="B153" s="1" t="inlineStr">
        <is>
          <t>MTG Phyrexia: All Will Be One Rebellion Rising Precon</t>
        </is>
      </c>
      <c r="D153" t="b">
        <v>0</v>
      </c>
      <c r="E153" t="b">
        <v>0</v>
      </c>
      <c r="F153" t="b">
        <v>0</v>
      </c>
      <c r="G153" t="b">
        <v>1</v>
      </c>
      <c r="H153" s="10">
        <f t="array" ref="H1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3" s="10">
        <f t="array" ref="I1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3" s="10">
        <f t="array" ref="J15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4">
      <c r="A154" t="n">
        <v>22</v>
      </c>
      <c r="B154" t="inlineStr">
        <is>
          <t>MTG Phyrexia: All Will Be One Set Booster</t>
        </is>
      </c>
      <c r="C154" t="n">
        <v>1</v>
      </c>
      <c r="D154" t="b">
        <v>0</v>
      </c>
      <c r="E154" t="b">
        <v>1</v>
      </c>
      <c r="F154" t="b">
        <v>0</v>
      </c>
      <c r="G154" t="b">
        <v>0</v>
      </c>
      <c r="H154" s="10">
        <f t="array" ref="H1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4" s="10">
        <f t="array" ref="I1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4" s="10">
        <f t="array" ref="J15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5">
      <c r="A155" t="n">
        <v>67</v>
      </c>
      <c r="B155" t="inlineStr">
        <is>
          <t>MTG Phyrexia: All Will Be One Set Booster Box</t>
        </is>
      </c>
      <c r="C155" t="n">
        <v>30</v>
      </c>
      <c r="D155" t="b">
        <v>1</v>
      </c>
      <c r="E155" t="b">
        <v>0</v>
      </c>
      <c r="F155" t="b">
        <v>0</v>
      </c>
      <c r="G155" t="b">
        <v>0</v>
      </c>
      <c r="H155" s="10">
        <f t="array" ref="H1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5" s="10">
        <f t="array" ref="I1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5" s="10">
        <f t="array" ref="J15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6">
      <c r="A156" t="n">
        <v>129</v>
      </c>
      <c r="B156" t="inlineStr">
        <is>
          <t>MTG Ravnica Remastered Collector Booster</t>
        </is>
      </c>
      <c r="D156" t="b">
        <v>0</v>
      </c>
      <c r="E156" t="b">
        <v>1</v>
      </c>
      <c r="F156" t="b">
        <v>1</v>
      </c>
      <c r="G156" t="b">
        <v>0</v>
      </c>
      <c r="H156" s="10">
        <f t="array" ref="H1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6" s="10">
        <f t="array" ref="I1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6" s="10">
        <f t="array" ref="J15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7">
      <c r="A157" t="n">
        <v>130</v>
      </c>
      <c r="B157" t="inlineStr">
        <is>
          <t>MTG Ravnica Remastered Collector Booster Box</t>
        </is>
      </c>
      <c r="C157" t="n">
        <v>12</v>
      </c>
      <c r="D157" t="b">
        <v>1</v>
      </c>
      <c r="E157" t="b">
        <v>0</v>
      </c>
      <c r="F157" t="b">
        <v>1</v>
      </c>
      <c r="G157" t="b">
        <v>0</v>
      </c>
      <c r="H157" s="10">
        <f t="array" ref="H1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7" s="10">
        <f t="array" ref="I1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7" s="10">
        <f t="array" ref="J15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8">
      <c r="A158" t="n">
        <v>23</v>
      </c>
      <c r="B158" t="inlineStr">
        <is>
          <t>MTG Ravnica Remastered Draft Booster</t>
        </is>
      </c>
      <c r="C158" t="n">
        <v>1</v>
      </c>
      <c r="D158" t="b">
        <v>0</v>
      </c>
      <c r="E158" t="b">
        <v>1</v>
      </c>
      <c r="F158" t="b">
        <v>0</v>
      </c>
      <c r="G158" t="b">
        <v>0</v>
      </c>
      <c r="H158" s="10">
        <f t="array" ref="H1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8" s="10">
        <f t="array" ref="I1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8" s="10">
        <f t="array" ref="J15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59">
      <c r="A159" t="n">
        <v>68</v>
      </c>
      <c r="B159" s="1" t="inlineStr">
        <is>
          <t>MTG Ravnica Remastered Draft Booster Box</t>
        </is>
      </c>
      <c r="C159" t="n">
        <v>36</v>
      </c>
      <c r="D159" t="b">
        <v>1</v>
      </c>
      <c r="E159" t="b">
        <v>0</v>
      </c>
      <c r="F159" t="b">
        <v>0</v>
      </c>
      <c r="G159" t="b">
        <v>0</v>
      </c>
      <c r="H159" s="10">
        <f t="array" ref="H1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9" s="10">
        <f t="array" ref="I1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9" s="10">
        <f t="array" ref="J15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0">
      <c r="A160" t="n">
        <v>43</v>
      </c>
      <c r="B160" t="inlineStr">
        <is>
          <t>MTG Rivals of Ixalan Booster</t>
        </is>
      </c>
      <c r="C160" t="n">
        <v>1</v>
      </c>
      <c r="D160" t="b">
        <v>0</v>
      </c>
      <c r="E160" t="b">
        <v>1</v>
      </c>
      <c r="F160" t="b">
        <v>0</v>
      </c>
      <c r="G160" t="b">
        <v>0</v>
      </c>
      <c r="H160" s="10">
        <f t="array" ref="H1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0" s="10">
        <f t="array" ref="I1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0" s="10">
        <f t="array" ref="J16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1">
      <c r="A161" t="n">
        <v>81</v>
      </c>
      <c r="B161" t="inlineStr">
        <is>
          <t>MTG Rivals of Ixalan Booster Box</t>
        </is>
      </c>
      <c r="D161" t="b">
        <v>1</v>
      </c>
      <c r="E161" t="b">
        <v>0</v>
      </c>
      <c r="F161" t="b">
        <v>0</v>
      </c>
      <c r="G161" t="b">
        <v>0</v>
      </c>
      <c r="H161" s="10">
        <f t="array" ref="H1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1" s="10">
        <f t="array" ref="I1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1" s="10">
        <f t="array" ref="J16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2">
      <c r="A162" t="n">
        <v>213</v>
      </c>
      <c r="B162" t="inlineStr">
        <is>
          <t>MTG Starter Commander Chaos Incarnate Precon</t>
        </is>
      </c>
      <c r="D162" t="b">
        <v>0</v>
      </c>
      <c r="E162" t="b">
        <v>0</v>
      </c>
      <c r="F162" t="b">
        <v>0</v>
      </c>
      <c r="G162" t="b">
        <v>1</v>
      </c>
      <c r="H162" s="10">
        <f t="array" ref="H1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2" s="10">
        <f t="array" ref="I1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2" s="10">
        <f t="array" ref="J16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3" ht="29.25" customHeight="1" s="6">
      <c r="A163" t="n">
        <v>214</v>
      </c>
      <c r="B163" s="1" t="inlineStr">
        <is>
          <t>MTG Starter Commander Draconic Destruction Precon</t>
        </is>
      </c>
      <c r="D163" t="b">
        <v>0</v>
      </c>
      <c r="E163" t="b">
        <v>0</v>
      </c>
      <c r="F163" t="b">
        <v>0</v>
      </c>
      <c r="G163" t="b">
        <v>1</v>
      </c>
      <c r="H163" s="10">
        <f t="array" ref="H1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3" s="10">
        <f t="array" ref="I1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3" s="10">
        <f t="array" ref="J16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4">
      <c r="A164" t="n">
        <v>211</v>
      </c>
      <c r="B164" t="inlineStr">
        <is>
          <t>MTG Starter Commander First Flight Precon</t>
        </is>
      </c>
      <c r="D164" t="b">
        <v>0</v>
      </c>
      <c r="E164" t="b">
        <v>0</v>
      </c>
      <c r="F164" t="b">
        <v>0</v>
      </c>
      <c r="G164" t="b">
        <v>1</v>
      </c>
      <c r="H164" s="10">
        <f t="array" ref="H1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4" s="10">
        <f t="array" ref="I1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4" s="10">
        <f t="array" ref="J16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5">
      <c r="A165" t="n">
        <v>212</v>
      </c>
      <c r="B165" t="inlineStr">
        <is>
          <t>MTG Starter Commander Grave Danger Precon</t>
        </is>
      </c>
      <c r="D165" t="b">
        <v>0</v>
      </c>
      <c r="E165" t="b">
        <v>0</v>
      </c>
      <c r="F165" t="b">
        <v>0</v>
      </c>
      <c r="G165" t="b">
        <v>1</v>
      </c>
      <c r="H165" s="10">
        <f t="array" ref="H1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5" s="10">
        <f t="array" ref="I1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5" s="10">
        <f t="array" ref="J16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6">
      <c r="A166" t="n">
        <v>215</v>
      </c>
      <c r="B166" t="inlineStr">
        <is>
          <t>MTG Starter Commander Token Triumph Precon</t>
        </is>
      </c>
      <c r="D166" t="b">
        <v>0</v>
      </c>
      <c r="E166" t="b">
        <v>0</v>
      </c>
      <c r="F166" t="b">
        <v>0</v>
      </c>
      <c r="G166" t="b">
        <v>1</v>
      </c>
      <c r="H166" s="10">
        <f t="array" ref="H1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6" s="10">
        <f t="array" ref="I1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6" s="10">
        <f t="array" ref="J16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7" ht="29.25" customHeight="1" s="6">
      <c r="A167" t="n">
        <v>232</v>
      </c>
      <c r="B167" s="1" t="inlineStr">
        <is>
          <t>MTG Streets of New Capenna Bedecked Brokers Precon</t>
        </is>
      </c>
      <c r="D167" t="b">
        <v>0</v>
      </c>
      <c r="E167" t="b">
        <v>0</v>
      </c>
      <c r="F167" t="b">
        <v>0</v>
      </c>
      <c r="G167" t="b">
        <v>1</v>
      </c>
      <c r="H167" s="10">
        <f t="array" ref="H1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7" s="10">
        <f t="array" ref="I1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7" s="10">
        <f t="array" ref="J16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8" ht="29.25" customHeight="1" s="6">
      <c r="A168" t="n">
        <v>231</v>
      </c>
      <c r="B168" s="1" t="inlineStr">
        <is>
          <t>MTG Streets of New Capenna Cabaretti Cacophony Precon</t>
        </is>
      </c>
      <c r="D168" t="b">
        <v>0</v>
      </c>
      <c r="E168" t="b">
        <v>0</v>
      </c>
      <c r="F168" t="b">
        <v>0</v>
      </c>
      <c r="G168" t="b">
        <v>1</v>
      </c>
      <c r="H168" s="10">
        <f t="array" ref="H1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8" s="10">
        <f t="array" ref="I1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8" s="10">
        <f t="array" ref="J16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69">
      <c r="A169" t="n">
        <v>131</v>
      </c>
      <c r="B169" t="inlineStr">
        <is>
          <t>MTG Streets of New Capenna Collector Booster</t>
        </is>
      </c>
      <c r="D169" t="b">
        <v>0</v>
      </c>
      <c r="E169" t="b">
        <v>1</v>
      </c>
      <c r="F169" t="b">
        <v>1</v>
      </c>
      <c r="G169" t="b">
        <v>0</v>
      </c>
      <c r="H169" s="10">
        <f t="array" ref="H1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9" s="10">
        <f t="array" ref="I1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9" s="10">
        <f t="array" ref="J16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0">
      <c r="A170" t="n">
        <v>132</v>
      </c>
      <c r="B170" t="inlineStr">
        <is>
          <t>MTG Streets of New Capenna Collector Booster Box</t>
        </is>
      </c>
      <c r="C170" t="n">
        <v>12</v>
      </c>
      <c r="D170" t="b">
        <v>1</v>
      </c>
      <c r="E170" t="b">
        <v>0</v>
      </c>
      <c r="F170" t="b">
        <v>1</v>
      </c>
      <c r="G170" t="b">
        <v>0</v>
      </c>
      <c r="H170" s="10">
        <f t="array" ref="H1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0" s="10">
        <f t="array" ref="I1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0" s="10">
        <f t="array" ref="J17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1" ht="29.25" customHeight="1" s="6">
      <c r="A171" t="n">
        <v>229</v>
      </c>
      <c r="B171" s="1" t="inlineStr">
        <is>
          <t>MTG Streets of New Capenna Maestros Massacre Precon</t>
        </is>
      </c>
      <c r="D171" t="b">
        <v>0</v>
      </c>
      <c r="E171" t="b">
        <v>0</v>
      </c>
      <c r="F171" t="b">
        <v>0</v>
      </c>
      <c r="G171" t="b">
        <v>1</v>
      </c>
      <c r="H171" s="10">
        <f t="array" ref="H1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1" s="10">
        <f t="array" ref="I1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1" s="10">
        <f t="array" ref="J17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2" ht="29.25" customHeight="1" s="6">
      <c r="A172" t="n">
        <v>228</v>
      </c>
      <c r="B172" s="1" t="inlineStr">
        <is>
          <t>MTG Streets of New Capenna Obscurra Operation Precon</t>
        </is>
      </c>
      <c r="D172" t="b">
        <v>0</v>
      </c>
      <c r="E172" t="b">
        <v>0</v>
      </c>
      <c r="F172" t="b">
        <v>0</v>
      </c>
      <c r="G172" t="b">
        <v>1</v>
      </c>
      <c r="H172" s="10">
        <f t="array" ref="H1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2" s="10">
        <f t="array" ref="I1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2" s="10">
        <f t="array" ref="J17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3" ht="29.25" customHeight="1" s="6">
      <c r="A173" t="n">
        <v>230</v>
      </c>
      <c r="B173" s="1" t="inlineStr">
        <is>
          <t>MTG Streets of New Capenna Riveteers Rampage Precon</t>
        </is>
      </c>
      <c r="D173" t="b">
        <v>0</v>
      </c>
      <c r="E173" t="b">
        <v>0</v>
      </c>
      <c r="F173" t="b">
        <v>0</v>
      </c>
      <c r="G173" t="b">
        <v>1</v>
      </c>
      <c r="H173" s="10">
        <f t="array" ref="H1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3" s="10">
        <f t="array" ref="I1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3" s="10">
        <f t="array" ref="J17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4">
      <c r="A174" t="n">
        <v>30</v>
      </c>
      <c r="B174" t="inlineStr">
        <is>
          <t>MTG Streets of New Capenna Set Booster</t>
        </is>
      </c>
      <c r="C174" t="n">
        <v>1</v>
      </c>
      <c r="D174" t="b">
        <v>0</v>
      </c>
      <c r="E174" t="b">
        <v>1</v>
      </c>
      <c r="F174" t="b">
        <v>0</v>
      </c>
      <c r="G174" t="b">
        <v>0</v>
      </c>
      <c r="H174" s="10">
        <f t="array" ref="H1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4" s="10">
        <f t="array" ref="I1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4" s="10">
        <f t="array" ref="J17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5">
      <c r="A175" t="n">
        <v>75</v>
      </c>
      <c r="B175" t="inlineStr">
        <is>
          <t>MTG Streets of New Capenna Set Booster Box</t>
        </is>
      </c>
      <c r="C175" t="n">
        <v>30</v>
      </c>
      <c r="D175" t="b">
        <v>1</v>
      </c>
      <c r="E175" t="b">
        <v>0</v>
      </c>
      <c r="F175" t="b">
        <v>0</v>
      </c>
      <c r="G175" t="b">
        <v>0</v>
      </c>
      <c r="H175" s="10">
        <f t="array" ref="H1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5" s="10">
        <f t="array" ref="I1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5" s="10">
        <f t="array" ref="J17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6">
      <c r="A176" t="n">
        <v>133</v>
      </c>
      <c r="B176" t="inlineStr">
        <is>
          <t>MTG Strixhaven: School of Magic Collector Booster</t>
        </is>
      </c>
      <c r="D176" t="b">
        <v>0</v>
      </c>
      <c r="E176" t="b">
        <v>1</v>
      </c>
      <c r="F176" t="b">
        <v>1</v>
      </c>
      <c r="G176" t="b">
        <v>0</v>
      </c>
      <c r="H176" s="10">
        <f t="array" ref="H1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6" s="10">
        <f t="array" ref="I1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6" s="10">
        <f t="array" ref="J17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7">
      <c r="A177" t="n">
        <v>134</v>
      </c>
      <c r="B177" t="inlineStr">
        <is>
          <t>MTG Strixhaven: School of Magic Collector Booster Box</t>
        </is>
      </c>
      <c r="C177" t="n">
        <v>12</v>
      </c>
      <c r="D177" t="b">
        <v>1</v>
      </c>
      <c r="E177" t="b">
        <v>0</v>
      </c>
      <c r="F177" t="b">
        <v>1</v>
      </c>
      <c r="G177" t="b">
        <v>0</v>
      </c>
      <c r="H177" s="10">
        <f t="array" ref="H1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7" s="10">
        <f t="array" ref="I1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7" s="10">
        <f t="array" ref="J17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8">
      <c r="A178" t="n">
        <v>9</v>
      </c>
      <c r="B178" t="inlineStr">
        <is>
          <t>MTG Strixhaven: School of Magic Set Booster</t>
        </is>
      </c>
      <c r="C178" t="n">
        <v>1</v>
      </c>
      <c r="D178" t="b">
        <v>0</v>
      </c>
      <c r="E178" t="b">
        <v>1</v>
      </c>
      <c r="F178" t="b">
        <v>0</v>
      </c>
      <c r="G178" t="b">
        <v>0</v>
      </c>
      <c r="H178" s="10">
        <f t="array" ref="H1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8" s="10">
        <f t="array" ref="I1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8" s="10">
        <f t="array" ref="J17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79">
      <c r="A179" t="n">
        <v>54</v>
      </c>
      <c r="B179" t="inlineStr">
        <is>
          <t>MTG Strixhaven: School of Magic Set Booster Box</t>
        </is>
      </c>
      <c r="C179" t="n">
        <v>30</v>
      </c>
      <c r="D179" t="b">
        <v>1</v>
      </c>
      <c r="E179" t="b">
        <v>0</v>
      </c>
      <c r="F179" t="b">
        <v>0</v>
      </c>
      <c r="G179" t="b">
        <v>0</v>
      </c>
      <c r="H179" s="10">
        <f t="array" ref="H1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9" s="10">
        <f t="array" ref="I1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9" s="10">
        <f t="array" ref="J17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0">
      <c r="A180" t="n">
        <v>155</v>
      </c>
      <c r="B180" t="inlineStr">
        <is>
          <t>MTG Tarkir Dragonstorm Abzan Armor Precon</t>
        </is>
      </c>
      <c r="D180" t="b">
        <v>0</v>
      </c>
      <c r="E180" t="b">
        <v>0</v>
      </c>
      <c r="F180" t="b">
        <v>0</v>
      </c>
      <c r="G180" t="b">
        <v>1</v>
      </c>
      <c r="H180" s="10">
        <f t="array" ref="H1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0" s="10">
        <f t="array" ref="I1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0" s="10">
        <f t="array" ref="J18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1">
      <c r="A181" t="n">
        <v>157</v>
      </c>
      <c r="B181" t="inlineStr">
        <is>
          <t>MTG Tarkir Dragonstorm Jeskai Striker Precon</t>
        </is>
      </c>
      <c r="D181" t="b">
        <v>0</v>
      </c>
      <c r="E181" t="b">
        <v>0</v>
      </c>
      <c r="F181" t="b">
        <v>0</v>
      </c>
      <c r="G181" t="b">
        <v>1</v>
      </c>
      <c r="H181" s="10">
        <f t="array" ref="H1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1" s="10">
        <f t="array" ref="I1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1" s="10">
        <f t="array" ref="J18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2">
      <c r="A182" t="n">
        <v>156</v>
      </c>
      <c r="B182" t="inlineStr">
        <is>
          <t>MTG Tarkir Dragonstorm Mardu Surge Precon</t>
        </is>
      </c>
      <c r="D182" t="b">
        <v>0</v>
      </c>
      <c r="E182" t="b">
        <v>0</v>
      </c>
      <c r="F182" t="b">
        <v>0</v>
      </c>
      <c r="G182" t="b">
        <v>1</v>
      </c>
      <c r="H182" s="10">
        <f t="array" ref="H1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2" s="10">
        <f t="array" ref="I1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2" s="10">
        <f t="array" ref="J18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3">
      <c r="A183" t="n">
        <v>159</v>
      </c>
      <c r="B183" t="inlineStr">
        <is>
          <t>MTG Tarkir Dragonstorm Sultai Arisen Precon</t>
        </is>
      </c>
      <c r="D183" t="b">
        <v>0</v>
      </c>
      <c r="E183" t="b">
        <v>0</v>
      </c>
      <c r="F183" t="b">
        <v>0</v>
      </c>
      <c r="G183" t="b">
        <v>1</v>
      </c>
      <c r="H183" s="10">
        <f t="array" ref="H1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3" s="10">
        <f t="array" ref="I1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3" s="10">
        <f t="array" ref="J18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4">
      <c r="A184" t="n">
        <v>158</v>
      </c>
      <c r="B184" t="inlineStr">
        <is>
          <t>MTG Tarkir Dragonstorm Temur Roar Precon</t>
        </is>
      </c>
      <c r="D184" t="b">
        <v>0</v>
      </c>
      <c r="E184" t="b">
        <v>0</v>
      </c>
      <c r="F184" t="b">
        <v>0</v>
      </c>
      <c r="G184" t="b">
        <v>1</v>
      </c>
      <c r="H184" s="10">
        <f t="array" ref="H1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4" s="10">
        <f t="array" ref="I1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4" s="10">
        <f t="array" ref="J18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5">
      <c r="A185" t="n">
        <v>135</v>
      </c>
      <c r="B185" t="inlineStr">
        <is>
          <t>MTG Tarkir: Dragonstorm TDM Collector Booster</t>
        </is>
      </c>
      <c r="D185" t="b">
        <v>0</v>
      </c>
      <c r="E185" t="b">
        <v>1</v>
      </c>
      <c r="F185" t="b">
        <v>1</v>
      </c>
      <c r="G185" t="b">
        <v>0</v>
      </c>
      <c r="H185" s="10">
        <f t="array" ref="H1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5" s="10">
        <f t="array" ref="I1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5" s="10">
        <f t="array" ref="J18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6">
      <c r="A186" t="n">
        <v>136</v>
      </c>
      <c r="B186" t="inlineStr">
        <is>
          <t>MTG Tarkir: Dragonstorm TDM Collector Booster Box</t>
        </is>
      </c>
      <c r="C186" t="n">
        <v>12</v>
      </c>
      <c r="D186" t="b">
        <v>1</v>
      </c>
      <c r="E186" t="b">
        <v>0</v>
      </c>
      <c r="F186" t="b">
        <v>1</v>
      </c>
      <c r="G186" t="b">
        <v>0</v>
      </c>
      <c r="H186" s="10">
        <f t="array" ref="H1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6" s="10">
        <f t="array" ref="I1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6" s="10">
        <f t="array" ref="J18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7">
      <c r="A187" t="n">
        <v>27</v>
      </c>
      <c r="B187" t="inlineStr">
        <is>
          <t>MTG Tarkir: Dragonstorm TDM Play Booster</t>
        </is>
      </c>
      <c r="C187" t="n">
        <v>1</v>
      </c>
      <c r="D187" t="b">
        <v>0</v>
      </c>
      <c r="E187" t="b">
        <v>1</v>
      </c>
      <c r="F187" t="b">
        <v>0</v>
      </c>
      <c r="G187" t="b">
        <v>0</v>
      </c>
      <c r="H187" s="10">
        <f t="array" ref="H1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7" s="10">
        <f t="array" ref="I1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7" s="10">
        <f t="array" ref="J18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8">
      <c r="A188" t="n">
        <v>42</v>
      </c>
      <c r="B188" t="inlineStr">
        <is>
          <t>MTG Tarkir: Dragonstorm TDM Play Booster Box</t>
        </is>
      </c>
      <c r="C188" t="n">
        <v>30</v>
      </c>
      <c r="D188" t="b">
        <v>1</v>
      </c>
      <c r="E188" t="b">
        <v>0</v>
      </c>
      <c r="F188" t="b">
        <v>0</v>
      </c>
      <c r="G188" t="b">
        <v>0</v>
      </c>
      <c r="H188" s="10">
        <f t="array" ref="H1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8" s="10">
        <f t="array" ref="I1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8" s="10">
        <f t="array" ref="J18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89">
      <c r="A189" t="n">
        <v>137</v>
      </c>
      <c r="B189" t="inlineStr">
        <is>
          <t>MTG The Brothers' War Collector Booster</t>
        </is>
      </c>
      <c r="D189" t="b">
        <v>0</v>
      </c>
      <c r="E189" t="b">
        <v>1</v>
      </c>
      <c r="F189" t="b">
        <v>1</v>
      </c>
      <c r="G189" t="b">
        <v>0</v>
      </c>
      <c r="H189" s="10">
        <f t="array" ref="H1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9" s="10">
        <f t="array" ref="I1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9" s="10">
        <f t="array" ref="J18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0">
      <c r="A190" t="n">
        <v>138</v>
      </c>
      <c r="B190" t="inlineStr">
        <is>
          <t>MTG The Brothers' War Collector Booster Box</t>
        </is>
      </c>
      <c r="C190" t="n">
        <v>12</v>
      </c>
      <c r="D190" t="b">
        <v>1</v>
      </c>
      <c r="E190" t="b">
        <v>0</v>
      </c>
      <c r="F190" t="b">
        <v>1</v>
      </c>
      <c r="G190" t="b">
        <v>0</v>
      </c>
      <c r="H190" s="10">
        <f t="array" ref="H1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0" s="10">
        <f t="array" ref="I1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0" s="10">
        <f t="array" ref="J19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1" ht="29.25" customHeight="1" s="6">
      <c r="A191" t="n">
        <v>217</v>
      </c>
      <c r="B191" s="1" t="inlineStr">
        <is>
          <t>MTG The Brothers' War Mishra's Burnished Banner Precon</t>
        </is>
      </c>
      <c r="D191" t="b">
        <v>0</v>
      </c>
      <c r="E191" t="b">
        <v>0</v>
      </c>
      <c r="F191" t="b">
        <v>0</v>
      </c>
      <c r="G191" t="b">
        <v>1</v>
      </c>
      <c r="H191" s="10">
        <f t="array" ref="H1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1" s="10">
        <f t="array" ref="I1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1" s="10">
        <f t="array" ref="J19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2">
      <c r="A192" t="n">
        <v>28</v>
      </c>
      <c r="B192" t="inlineStr">
        <is>
          <t>MTG The Brothers' War Set Booster</t>
        </is>
      </c>
      <c r="C192" t="n">
        <v>1</v>
      </c>
      <c r="D192" t="b">
        <v>0</v>
      </c>
      <c r="E192" t="b">
        <v>1</v>
      </c>
      <c r="F192" t="b">
        <v>0</v>
      </c>
      <c r="G192" t="b">
        <v>0</v>
      </c>
      <c r="H192" s="10">
        <f t="array" ref="H1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2" s="10">
        <f t="array" ref="I1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2" s="10">
        <f t="array" ref="J19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3">
      <c r="A193" t="n">
        <v>73</v>
      </c>
      <c r="B193" t="inlineStr">
        <is>
          <t>MTG The Brothers' War Set Booster Box</t>
        </is>
      </c>
      <c r="C193" t="n">
        <v>30</v>
      </c>
      <c r="D193" t="b">
        <v>1</v>
      </c>
      <c r="E193" t="b">
        <v>0</v>
      </c>
      <c r="F193" t="b">
        <v>0</v>
      </c>
      <c r="G193" t="b">
        <v>0</v>
      </c>
      <c r="H193" s="10">
        <f t="array" ref="H1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3" s="10">
        <f t="array" ref="I1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3" s="10">
        <f t="array" ref="J19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4">
      <c r="A194" t="n">
        <v>216</v>
      </c>
      <c r="B194" t="inlineStr">
        <is>
          <t>MTG The Brothers' War Urza's Iron Alliance Precon</t>
        </is>
      </c>
      <c r="D194" t="b">
        <v>0</v>
      </c>
      <c r="E194" t="b">
        <v>0</v>
      </c>
      <c r="F194" t="b">
        <v>0</v>
      </c>
      <c r="G194" t="b">
        <v>1</v>
      </c>
      <c r="H194" s="10">
        <f t="array" ref="H1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4" s="10">
        <f t="array" ref="I1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4" s="10">
        <f t="array" ref="J19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5" ht="29.25" customHeight="1" s="6">
      <c r="A195" t="n">
        <v>201</v>
      </c>
      <c r="B195" s="1" t="inlineStr">
        <is>
          <t>MTG The Lord of the Rings: Tales of Middle-earth Elven Council Precon</t>
        </is>
      </c>
      <c r="D195" t="b">
        <v>0</v>
      </c>
      <c r="E195" t="b">
        <v>0</v>
      </c>
      <c r="F195" t="b">
        <v>0</v>
      </c>
      <c r="G195" t="b">
        <v>1</v>
      </c>
      <c r="H195" s="10">
        <f t="array" ref="H1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5" s="10">
        <f t="array" ref="I1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5" s="10">
        <f t="array" ref="J19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6" ht="29.25" customHeight="1" s="6">
      <c r="A196" t="n">
        <v>200</v>
      </c>
      <c r="B196" s="1" t="inlineStr">
        <is>
          <t>MTG The Lord of the Rings: Tales of Middle-earth Food and Fellowship Precon</t>
        </is>
      </c>
      <c r="D196" t="b">
        <v>0</v>
      </c>
      <c r="E196" t="b">
        <v>0</v>
      </c>
      <c r="F196" t="b">
        <v>0</v>
      </c>
      <c r="G196" t="b">
        <v>1</v>
      </c>
      <c r="H196" s="10">
        <f t="array" ref="H1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6" s="10">
        <f t="array" ref="I1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6" s="10">
        <f t="array" ref="J19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7">
      <c r="A197" t="n">
        <v>139</v>
      </c>
      <c r="B197" t="inlineStr">
        <is>
          <t>MTG The Lord of the Rings: Tales of Middle-earth LTR Collector Booster</t>
        </is>
      </c>
      <c r="D197" t="b">
        <v>0</v>
      </c>
      <c r="E197" t="b">
        <v>1</v>
      </c>
      <c r="F197" t="b">
        <v>1</v>
      </c>
      <c r="G197" t="b">
        <v>0</v>
      </c>
      <c r="H197" s="10">
        <f t="array" ref="H1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7" s="10">
        <f t="array" ref="I1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7" s="10">
        <f t="array" ref="J19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8">
      <c r="A198" t="n">
        <v>140</v>
      </c>
      <c r="B198" t="inlineStr">
        <is>
          <t>MTG The Lord of the Rings: Tales of Middle-earth LTR Collector Booster Box</t>
        </is>
      </c>
      <c r="C198" t="n">
        <v>12</v>
      </c>
      <c r="D198" t="b">
        <v>1</v>
      </c>
      <c r="E198" t="b">
        <v>0</v>
      </c>
      <c r="F198" t="b">
        <v>1</v>
      </c>
      <c r="G198" t="b">
        <v>0</v>
      </c>
      <c r="H198" s="10">
        <f t="array" ref="H1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8" s="10">
        <f t="array" ref="I1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8" s="10">
        <f t="array" ref="J19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199" ht="29.25" customHeight="1" s="6">
      <c r="A199" t="n">
        <v>21</v>
      </c>
      <c r="B199" s="1" t="inlineStr">
        <is>
          <t>MTG The Lord of the Rings: Tales of Middle-earth LTR Set Booster</t>
        </is>
      </c>
      <c r="C199" t="n">
        <v>1</v>
      </c>
      <c r="D199" t="b">
        <v>0</v>
      </c>
      <c r="E199" t="b">
        <v>1</v>
      </c>
      <c r="F199" t="b">
        <v>0</v>
      </c>
      <c r="G199" t="b">
        <v>0</v>
      </c>
      <c r="H199" s="10">
        <f t="array" ref="H1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9" s="10">
        <f t="array" ref="I1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9" s="10">
        <f t="array" ref="J19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0" ht="29.25" customHeight="1" s="6">
      <c r="A200" t="n">
        <v>66</v>
      </c>
      <c r="B200" s="1" t="inlineStr">
        <is>
          <t>MTG The Lord of the Rings: Tales of Middle-earth LTR Set Booster Box</t>
        </is>
      </c>
      <c r="C200" t="n">
        <v>30</v>
      </c>
      <c r="D200" t="b">
        <v>1</v>
      </c>
      <c r="E200" t="b">
        <v>0</v>
      </c>
      <c r="F200" t="b">
        <v>0</v>
      </c>
      <c r="G200" t="b">
        <v>0</v>
      </c>
      <c r="H200" s="10">
        <f t="array" ref="H2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0" s="10">
        <f t="array" ref="I2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0" s="10">
        <f t="array" ref="J20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1" ht="29.25" customHeight="1" s="6">
      <c r="A201" t="n">
        <v>202</v>
      </c>
      <c r="B201" s="1" t="inlineStr">
        <is>
          <t>MTG The Lord of the Rings: Tales of Middle-earth Riders of Rohan Precon</t>
        </is>
      </c>
      <c r="D201" t="b">
        <v>0</v>
      </c>
      <c r="E201" t="b">
        <v>0</v>
      </c>
      <c r="F201" t="b">
        <v>0</v>
      </c>
      <c r="G201" t="b">
        <v>1</v>
      </c>
      <c r="H201" s="10">
        <f t="array" ref="H2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1" s="10">
        <f t="array" ref="I2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1" s="10">
        <f t="array" ref="J20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2" ht="29.25" customHeight="1" s="6">
      <c r="A202" t="n">
        <v>203</v>
      </c>
      <c r="B202" s="1" t="inlineStr">
        <is>
          <t>MTG The Lord of the Rings: Tales of Middle-earth The Hosts of Mordor Precon</t>
        </is>
      </c>
      <c r="D202" t="b">
        <v>0</v>
      </c>
      <c r="E202" t="b">
        <v>0</v>
      </c>
      <c r="F202" t="b">
        <v>0</v>
      </c>
      <c r="G202" t="b">
        <v>1</v>
      </c>
      <c r="H202" s="10">
        <f t="array" ref="H2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2" s="10">
        <f t="array" ref="I2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2" s="10">
        <f t="array" ref="J20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3">
      <c r="A203" t="n">
        <v>188</v>
      </c>
      <c r="B203" t="inlineStr">
        <is>
          <t>MTG The Lost Caverns of Ixalan Ahoy Mateys Precon</t>
        </is>
      </c>
      <c r="D203" t="b">
        <v>0</v>
      </c>
      <c r="E203" t="b">
        <v>0</v>
      </c>
      <c r="F203" t="b">
        <v>0</v>
      </c>
      <c r="G203" t="b">
        <v>1</v>
      </c>
      <c r="H203" s="10">
        <f t="array" ref="H2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3" s="10">
        <f t="array" ref="I2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3" s="10">
        <f t="array" ref="J20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4">
      <c r="A204" t="n">
        <v>187</v>
      </c>
      <c r="B204" t="inlineStr">
        <is>
          <t>MTG The Lost Caverns of Ixalan Blood Rites Precon</t>
        </is>
      </c>
      <c r="D204" t="b">
        <v>0</v>
      </c>
      <c r="E204" t="b">
        <v>0</v>
      </c>
      <c r="F204" t="b">
        <v>0</v>
      </c>
      <c r="G204" t="b">
        <v>1</v>
      </c>
      <c r="H204" s="10">
        <f t="array" ref="H2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4" s="10">
        <f t="array" ref="I2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4" s="10">
        <f t="array" ref="J20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5" ht="29.25" customHeight="1" s="6">
      <c r="A205" t="n">
        <v>189</v>
      </c>
      <c r="B205" s="1" t="inlineStr">
        <is>
          <t>MTG The Lost Caverns of Ixalan Explorers of the Deep Precon</t>
        </is>
      </c>
      <c r="D205" t="b">
        <v>0</v>
      </c>
      <c r="E205" t="b">
        <v>0</v>
      </c>
      <c r="F205" t="b">
        <v>0</v>
      </c>
      <c r="G205" t="b">
        <v>1</v>
      </c>
      <c r="H205" s="10">
        <f t="array" ref="H2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5" s="10">
        <f t="array" ref="I2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5" s="10">
        <f t="array" ref="J20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6">
      <c r="A206" t="n">
        <v>141</v>
      </c>
      <c r="B206" t="inlineStr">
        <is>
          <t>MTG The Lost Caverns of Ixalan LCI Collector Booster</t>
        </is>
      </c>
      <c r="D206" t="b">
        <v>0</v>
      </c>
      <c r="E206" t="b">
        <v>1</v>
      </c>
      <c r="F206" t="b">
        <v>1</v>
      </c>
      <c r="G206" t="b">
        <v>0</v>
      </c>
      <c r="H206" s="10">
        <f t="array" ref="H2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6" s="10">
        <f t="array" ref="I2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6" s="10">
        <f t="array" ref="J20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7">
      <c r="A207" t="n">
        <v>142</v>
      </c>
      <c r="B207" t="inlineStr">
        <is>
          <t>MTG The Lost Caverns of Ixalan LCI Collector Booster Box</t>
        </is>
      </c>
      <c r="C207" t="n">
        <v>12</v>
      </c>
      <c r="D207" t="b">
        <v>1</v>
      </c>
      <c r="E207" t="b">
        <v>0</v>
      </c>
      <c r="F207" t="b">
        <v>1</v>
      </c>
      <c r="G207" t="b">
        <v>0</v>
      </c>
      <c r="H207" s="10">
        <f t="array" ref="H2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7" s="10">
        <f t="array" ref="I2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7" s="10">
        <f t="array" ref="J20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8">
      <c r="A208" t="n">
        <v>2</v>
      </c>
      <c r="B208" s="1" t="inlineStr">
        <is>
          <t>MTG The Lost Caverns of Ixalan LCI Set Booster</t>
        </is>
      </c>
      <c r="C208" t="n">
        <v>1</v>
      </c>
      <c r="D208" t="b">
        <v>0</v>
      </c>
      <c r="E208" t="b">
        <v>1</v>
      </c>
      <c r="F208" t="b">
        <v>0</v>
      </c>
      <c r="G208" t="b">
        <v>0</v>
      </c>
      <c r="H208" s="10">
        <f t="array" ref="H2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8" s="10">
        <f t="array" ref="I2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8" s="10">
        <f t="array" ref="J20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09">
      <c r="A209" t="n">
        <v>47</v>
      </c>
      <c r="B209" t="inlineStr">
        <is>
          <t>MTG The Lost Caverns of Ixalan LCI Set Booster Box</t>
        </is>
      </c>
      <c r="C209" t="n">
        <v>30</v>
      </c>
      <c r="D209" t="b">
        <v>1</v>
      </c>
      <c r="E209" t="b">
        <v>0</v>
      </c>
      <c r="F209" t="b">
        <v>0</v>
      </c>
      <c r="G209" t="b">
        <v>0</v>
      </c>
      <c r="H209" s="10">
        <f t="array" ref="H2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9" s="10">
        <f t="array" ref="I2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9" s="10">
        <f t="array" ref="J20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0" ht="29.25" customHeight="1" s="6">
      <c r="A210" t="n">
        <v>186</v>
      </c>
      <c r="B210" s="1" t="inlineStr">
        <is>
          <t>MTG The Lost Caverns of Ixalan Veloci-Ramp-Tor Precon</t>
        </is>
      </c>
      <c r="D210" t="b">
        <v>0</v>
      </c>
      <c r="E210" t="b">
        <v>0</v>
      </c>
      <c r="F210" t="b">
        <v>0</v>
      </c>
      <c r="G210" t="b">
        <v>1</v>
      </c>
      <c r="H210" s="10">
        <f t="array" ref="H2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0" s="10">
        <f t="array" ref="I2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0" s="10">
        <f t="array" ref="J21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1">
      <c r="A211" t="n">
        <v>45</v>
      </c>
      <c r="B211" t="inlineStr">
        <is>
          <t>MTG Theros Beyond Death THB Booster</t>
        </is>
      </c>
      <c r="C211" t="n">
        <v>1</v>
      </c>
      <c r="D211" t="b">
        <v>0</v>
      </c>
      <c r="E211" t="b">
        <v>1</v>
      </c>
      <c r="F211" t="b">
        <v>0</v>
      </c>
      <c r="G211" t="b">
        <v>0</v>
      </c>
      <c r="H211" s="10">
        <f t="array" ref="H2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1" s="10">
        <f t="array" ref="I2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1" s="10">
        <f t="array" ref="J21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2">
      <c r="A212" t="n">
        <v>72</v>
      </c>
      <c r="B212" t="inlineStr">
        <is>
          <t>MTG Theros Beyond Death THB Booster Box</t>
        </is>
      </c>
      <c r="D212" t="b">
        <v>1</v>
      </c>
      <c r="E212" t="b">
        <v>0</v>
      </c>
      <c r="F212" t="b">
        <v>0</v>
      </c>
      <c r="G212" t="b">
        <v>0</v>
      </c>
      <c r="H212" s="10">
        <f t="array" ref="H2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2" s="10">
        <f t="array" ref="I2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2" s="10">
        <f t="array" ref="J21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3">
      <c r="A213" t="n">
        <v>143</v>
      </c>
      <c r="B213" t="inlineStr">
        <is>
          <t>MTG Theros Beyond Death THB Collector Booster</t>
        </is>
      </c>
      <c r="D213" t="b">
        <v>0</v>
      </c>
      <c r="E213" t="b">
        <v>1</v>
      </c>
      <c r="F213" t="b">
        <v>1</v>
      </c>
      <c r="G213" t="b">
        <v>0</v>
      </c>
      <c r="H213" s="10">
        <f t="array" ref="H2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3" s="10">
        <f t="array" ref="I2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3" s="10">
        <f t="array" ref="J21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4">
      <c r="A214" t="n">
        <v>144</v>
      </c>
      <c r="B214" t="inlineStr">
        <is>
          <t>MTG Theros Beyond Death THB Collector Booster Box</t>
        </is>
      </c>
      <c r="C214" t="n">
        <v>12</v>
      </c>
      <c r="D214" t="b">
        <v>1</v>
      </c>
      <c r="E214" t="b">
        <v>0</v>
      </c>
      <c r="F214" t="b">
        <v>1</v>
      </c>
      <c r="G214" t="b">
        <v>0</v>
      </c>
      <c r="H214" s="10">
        <f t="array" ref="H2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4" s="10">
        <f t="array" ref="I2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4" s="10">
        <f t="array" ref="J21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5">
      <c r="A215" t="n">
        <v>10</v>
      </c>
      <c r="B215" t="inlineStr">
        <is>
          <t>MTG Throne of Eldraine Booster</t>
        </is>
      </c>
      <c r="C215" t="n">
        <v>1</v>
      </c>
      <c r="D215" t="b">
        <v>0</v>
      </c>
      <c r="E215" t="b">
        <v>1</v>
      </c>
      <c r="F215" t="b">
        <v>0</v>
      </c>
      <c r="G215" t="b">
        <v>0</v>
      </c>
      <c r="H215" s="10">
        <f t="array" ref="H2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5" s="10">
        <f t="array" ref="I2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5" s="10">
        <f t="array" ref="J21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6">
      <c r="A216" t="n">
        <v>55</v>
      </c>
      <c r="B216" t="inlineStr">
        <is>
          <t>MTG Throne of Eldraine Booster Box</t>
        </is>
      </c>
      <c r="C216" t="n">
        <v>36</v>
      </c>
      <c r="D216" t="b">
        <v>1</v>
      </c>
      <c r="E216" t="b">
        <v>0</v>
      </c>
      <c r="F216" t="b">
        <v>0</v>
      </c>
      <c r="G216" t="b">
        <v>0</v>
      </c>
      <c r="H216" s="10">
        <f t="array" ref="H2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6" s="10">
        <f t="array" ref="I2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6" s="10">
        <f t="array" ref="J21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7">
      <c r="A217" t="n">
        <v>145</v>
      </c>
      <c r="B217" t="inlineStr">
        <is>
          <t>MTG Throne of Eldraine Collector Booster</t>
        </is>
      </c>
      <c r="D217" t="b">
        <v>0</v>
      </c>
      <c r="E217" t="b">
        <v>1</v>
      </c>
      <c r="F217" t="b">
        <v>1</v>
      </c>
      <c r="G217" t="b">
        <v>0</v>
      </c>
      <c r="H217" s="10">
        <f t="array" ref="H2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7" s="10">
        <f t="array" ref="I2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7" s="10">
        <f t="array" ref="J21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8">
      <c r="A218" t="n">
        <v>146</v>
      </c>
      <c r="B218" t="inlineStr">
        <is>
          <t>MTG Throne of Eldraine Collector Booster Box</t>
        </is>
      </c>
      <c r="C218" t="n">
        <v>12</v>
      </c>
      <c r="D218" t="b">
        <v>1</v>
      </c>
      <c r="E218" t="b">
        <v>0</v>
      </c>
      <c r="F218" t="b">
        <v>1</v>
      </c>
      <c r="G218" t="b">
        <v>0</v>
      </c>
      <c r="H218" s="10">
        <f t="array" ref="H2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8" s="10">
        <f t="array" ref="I2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8" s="10">
        <f t="array" ref="J21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19">
      <c r="A219" t="n">
        <v>8</v>
      </c>
      <c r="B219" t="inlineStr">
        <is>
          <t>MTG War of the Spark Booster</t>
        </is>
      </c>
      <c r="C219" t="n">
        <v>1</v>
      </c>
      <c r="D219" t="b">
        <v>0</v>
      </c>
      <c r="E219" t="b">
        <v>1</v>
      </c>
      <c r="F219" t="b">
        <v>0</v>
      </c>
      <c r="G219" t="b">
        <v>0</v>
      </c>
      <c r="H219" s="10">
        <f t="array" ref="H2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9" s="10">
        <f t="array" ref="I2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9" s="10">
        <f t="array" ref="J21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0">
      <c r="A220" t="n">
        <v>53</v>
      </c>
      <c r="B220" t="inlineStr">
        <is>
          <t>MTG War of the Spark Booster Box</t>
        </is>
      </c>
      <c r="C220" t="n">
        <v>36</v>
      </c>
      <c r="D220" t="b">
        <v>1</v>
      </c>
      <c r="E220" t="b">
        <v>0</v>
      </c>
      <c r="F220" t="b">
        <v>0</v>
      </c>
      <c r="G220" t="b">
        <v>0</v>
      </c>
      <c r="H220" s="10">
        <f t="array" ref="H2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0" s="10">
        <f t="array" ref="I2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0" s="10">
        <f t="array" ref="J22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1">
      <c r="A221" t="n">
        <v>220</v>
      </c>
      <c r="B221" t="inlineStr">
        <is>
          <t>MTG Warhammer 40k Forces of the Imperium Precon</t>
        </is>
      </c>
      <c r="D221" t="b">
        <v>0</v>
      </c>
      <c r="E221" t="b">
        <v>0</v>
      </c>
      <c r="F221" t="b">
        <v>0</v>
      </c>
      <c r="G221" t="b">
        <v>1</v>
      </c>
      <c r="H221" s="10">
        <f t="array" ref="H2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1" s="10">
        <f t="array" ref="I2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1" s="10">
        <f t="array" ref="J22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2">
      <c r="A222" t="n">
        <v>221</v>
      </c>
      <c r="B222" t="inlineStr">
        <is>
          <t>MTG Warhammer 40k Necron Dynasties Precon</t>
        </is>
      </c>
      <c r="D222" t="b">
        <v>0</v>
      </c>
      <c r="E222" t="b">
        <v>0</v>
      </c>
      <c r="F222" t="b">
        <v>0</v>
      </c>
      <c r="G222" t="b">
        <v>1</v>
      </c>
      <c r="H222" s="10">
        <f t="array" ref="H2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2" s="10">
        <f t="array" ref="I2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2" s="10">
        <f t="array" ref="J22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3">
      <c r="A223" t="n">
        <v>218</v>
      </c>
      <c r="B223" t="inlineStr">
        <is>
          <t>MTG Warhammer 40k The Ruinous Powers Precon</t>
        </is>
      </c>
      <c r="D223" t="b">
        <v>0</v>
      </c>
      <c r="E223" t="b">
        <v>0</v>
      </c>
      <c r="F223" t="b">
        <v>0</v>
      </c>
      <c r="G223" t="b">
        <v>1</v>
      </c>
      <c r="H223" s="10">
        <f t="array" ref="H2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3" s="10">
        <f t="array" ref="I2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3" s="10">
        <f t="array" ref="J22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4">
      <c r="A224" t="n">
        <v>219</v>
      </c>
      <c r="B224" t="inlineStr">
        <is>
          <t>MTG Warhammer 40k Tyranid Swarm Precon</t>
        </is>
      </c>
      <c r="D224" t="b">
        <v>0</v>
      </c>
      <c r="E224" t="b">
        <v>0</v>
      </c>
      <c r="F224" t="b">
        <v>0</v>
      </c>
      <c r="G224" t="b">
        <v>1</v>
      </c>
      <c r="H224" s="10">
        <f t="array" ref="H2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4" s="10">
        <f t="array" ref="I2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4" s="10">
        <f t="array" ref="J22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5">
      <c r="A225" t="n">
        <v>147</v>
      </c>
      <c r="B225" t="inlineStr">
        <is>
          <t>MTG Wilds of Eldraine Collector Booster</t>
        </is>
      </c>
      <c r="D225" t="b">
        <v>0</v>
      </c>
      <c r="E225" t="b">
        <v>1</v>
      </c>
      <c r="F225" t="b">
        <v>1</v>
      </c>
      <c r="G225" t="b">
        <v>0</v>
      </c>
      <c r="H225" s="10">
        <f t="array" ref="H2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5" s="10">
        <f t="array" ref="I2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5" s="10">
        <f t="array" ref="J22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6">
      <c r="A226" t="n">
        <v>148</v>
      </c>
      <c r="B226" t="inlineStr">
        <is>
          <t>MTG Wilds of Eldraine Collector Booster Box</t>
        </is>
      </c>
      <c r="C226" t="n">
        <v>12</v>
      </c>
      <c r="D226" t="b">
        <v>1</v>
      </c>
      <c r="E226" t="b">
        <v>0</v>
      </c>
      <c r="F226" t="b">
        <v>1</v>
      </c>
      <c r="G226" t="b">
        <v>0</v>
      </c>
      <c r="H226" s="10">
        <f t="array" ref="H2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6" s="10">
        <f t="array" ref="I2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6" s="10">
        <f t="array" ref="J226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7">
      <c r="A227" t="n">
        <v>195</v>
      </c>
      <c r="B227" t="inlineStr">
        <is>
          <t>MTG Wilds of Eldraine Fae Dominion Precon</t>
        </is>
      </c>
      <c r="D227" t="b">
        <v>0</v>
      </c>
      <c r="E227" t="b">
        <v>0</v>
      </c>
      <c r="F227" t="b">
        <v>0</v>
      </c>
      <c r="G227" t="b">
        <v>1</v>
      </c>
      <c r="H227" s="10">
        <f t="array" ref="H2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7" s="10">
        <f t="array" ref="I2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7" s="10">
        <f t="array" ref="J227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8">
      <c r="A228" t="n">
        <v>29</v>
      </c>
      <c r="B228" t="inlineStr">
        <is>
          <t>MTG Wilds of Eldraine Set Booster</t>
        </is>
      </c>
      <c r="C228" t="n">
        <v>1</v>
      </c>
      <c r="D228" t="b">
        <v>0</v>
      </c>
      <c r="E228" t="b">
        <v>1</v>
      </c>
      <c r="F228" t="b">
        <v>0</v>
      </c>
      <c r="G228" t="b">
        <v>0</v>
      </c>
      <c r="H228" s="10">
        <f t="array" ref="H2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8" s="10">
        <f t="array" ref="I2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8" s="10">
        <f t="array" ref="J228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29">
      <c r="A229" t="n">
        <v>74</v>
      </c>
      <c r="B229" t="inlineStr">
        <is>
          <t>MTG Wilds of Eldraine Set Booster Box</t>
        </is>
      </c>
      <c r="C229" t="n">
        <v>30</v>
      </c>
      <c r="D229" t="b">
        <v>1</v>
      </c>
      <c r="E229" t="b">
        <v>0</v>
      </c>
      <c r="F229" t="b">
        <v>0</v>
      </c>
      <c r="G229" t="b">
        <v>0</v>
      </c>
      <c r="H229" s="10">
        <f t="array" ref="H2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9" s="10">
        <f t="array" ref="I2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9" s="10">
        <f t="array" ref="J229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30">
      <c r="A230" t="n">
        <v>194</v>
      </c>
      <c r="B230" t="inlineStr">
        <is>
          <t>MTG Wilds of Eldraine Virtue and Valor Precon</t>
        </is>
      </c>
      <c r="D230" t="b">
        <v>0</v>
      </c>
      <c r="E230" t="b">
        <v>0</v>
      </c>
      <c r="F230" t="b">
        <v>0</v>
      </c>
      <c r="G230" t="b">
        <v>1</v>
      </c>
      <c r="H230" s="10">
        <f t="array" ref="H2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0" s="10">
        <f t="array" ref="I2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0" s="10">
        <f t="array" ref="J230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31">
      <c r="A231" t="n">
        <v>37</v>
      </c>
      <c r="B231" t="inlineStr">
        <is>
          <t>Pokémon Mega Evolution Phantasmal Flames Booster</t>
        </is>
      </c>
      <c r="C231" t="n">
        <v>1</v>
      </c>
      <c r="D231" t="b">
        <v>0</v>
      </c>
      <c r="E231" t="b">
        <v>1</v>
      </c>
      <c r="F231" t="b">
        <v>0</v>
      </c>
      <c r="G231" t="b">
        <v>0</v>
      </c>
      <c r="H231" s="10">
        <f t="array" ref="H2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1" s="10">
        <f t="array" ref="I2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1" s="10">
        <f t="array" ref="J231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32">
      <c r="A232" t="n">
        <v>39</v>
      </c>
      <c r="B232" t="inlineStr">
        <is>
          <t>Pokémon Mega Evolution Phantasmal Flames: Hydrapple Premium Checklane Blister</t>
        </is>
      </c>
      <c r="C232" t="n">
        <v>1</v>
      </c>
      <c r="D232" t="b">
        <v>0</v>
      </c>
      <c r="E232" t="b">
        <v>0</v>
      </c>
      <c r="F232" t="b">
        <v>0</v>
      </c>
      <c r="G232" t="b">
        <v>0</v>
      </c>
      <c r="H232" s="10">
        <f t="array" ref="H2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2" s="10">
        <f t="array" ref="I2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2" s="10">
        <f t="array" ref="J232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33">
      <c r="A233" t="n">
        <v>40</v>
      </c>
      <c r="B233" t="inlineStr">
        <is>
          <t>Pokémon Scarlet &amp; Violet Paldea Evolved Booster</t>
        </is>
      </c>
      <c r="C233" t="n">
        <v>1</v>
      </c>
      <c r="D233" t="b">
        <v>0</v>
      </c>
      <c r="E233" t="b">
        <v>1</v>
      </c>
      <c r="F233" t="b">
        <v>0</v>
      </c>
      <c r="G233" t="b">
        <v>0</v>
      </c>
      <c r="H233" s="10">
        <f t="array" ref="H2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3" s="10">
        <f t="array" ref="I2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3" s="10">
        <f t="array" ref="J233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34">
      <c r="A234" t="n">
        <v>38</v>
      </c>
      <c r="B234" t="inlineStr">
        <is>
          <t>Pokémon Scarlet &amp; Violet Paradox Rift Booster</t>
        </is>
      </c>
      <c r="C234" t="n">
        <v>1</v>
      </c>
      <c r="D234" t="b">
        <v>0</v>
      </c>
      <c r="E234" t="b">
        <v>1</v>
      </c>
      <c r="F234" t="b">
        <v>0</v>
      </c>
      <c r="G234" t="b">
        <v>0</v>
      </c>
      <c r="H234" s="10">
        <f t="array" ref="H2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4" s="10">
        <f t="array" ref="I2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4" s="10">
        <f t="array" ref="J234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  <row r="235">
      <c r="A235" t="n">
        <v>41</v>
      </c>
      <c r="B235" t="inlineStr">
        <is>
          <t>Pokémon Scarlet &amp; Violet Temporal Forces Booster</t>
        </is>
      </c>
      <c r="C235" t="n">
        <v>1</v>
      </c>
      <c r="D235" t="b">
        <v>0</v>
      </c>
      <c r="E235" t="b">
        <v>1</v>
      </c>
      <c r="F235" t="b">
        <v>0</v>
      </c>
      <c r="G235" t="b">
        <v>0</v>
      </c>
      <c r="H235" s="10">
        <f t="array" ref="H2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5" s="10">
        <f t="array" ref="I2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5" s="10">
        <f t="array" ref="J235">IF(ISERROR(INDEX(_xlfn._xlws.FILTER(tbl_Sourcing[Source Unit Cost], (tbl_Sourcing[Product Id]=tbl_Product[[#This Row],[Product Id]])*(tbl_Sourcing[Active]=TRUE)*(tbl_Sourcing[Source Name]="Card Market")), 1)), "", INDEX(_xlfn._xlws.FILTER(tbl_Sourcing[Source Unit Cost], (tbl_Sourcing[Product Id]=tbl_Product[[#This Row],[Product Id]])*(tbl_Sourcing[Active]=TRUE)*(tbl_Sourcing[Source Name]="Card Market")), 1))</f>
        <v/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413"/>
  <sheetViews>
    <sheetView tabSelected="1" topLeftCell="B1" zoomScaleNormal="150" zoomScaleSheetLayoutView="100" workbookViewId="0">
      <selection activeCell="O2" sqref="O2"/>
    </sheetView>
  </sheetViews>
  <sheetFormatPr baseColWidth="8" defaultRowHeight="15"/>
  <cols>
    <col width="13" bestFit="1" customWidth="1" style="6" min="1" max="1"/>
    <col width="12.28515625" bestFit="1" customWidth="1" style="6" min="2" max="2"/>
    <col width="15.28515625" bestFit="1" customWidth="1" style="6" min="3" max="3"/>
    <col width="22.42578125" bestFit="1" customWidth="1" style="6" min="4" max="4"/>
    <col width="18" bestFit="1" customWidth="1" style="6" min="5" max="5"/>
    <col width="14.28515625" customWidth="1" style="6" min="7" max="8"/>
    <col width="16.85546875" bestFit="1" customWidth="1" style="6" min="10" max="10"/>
    <col width="19.28515625" bestFit="1" customWidth="1" style="6" min="11" max="11"/>
    <col width="19.7109375" bestFit="1" customWidth="1" style="6" min="12" max="12"/>
    <col width="23.28515625" bestFit="1" customWidth="1" style="6" min="13" max="14"/>
    <col width="36.5703125" bestFit="1" customWidth="1" style="6" min="15" max="15"/>
  </cols>
  <sheetData>
    <row r="1">
      <c r="A1" t="inlineStr">
        <is>
          <t>Sourcing Id</t>
        </is>
      </c>
      <c r="B1" t="inlineStr">
        <is>
          <t>Product Id</t>
        </is>
      </c>
      <c r="C1" t="inlineStr">
        <is>
          <t>Source Name</t>
        </is>
      </c>
      <c r="D1" t="inlineStr">
        <is>
          <t>Source Link</t>
        </is>
      </c>
      <c r="E1" t="inlineStr">
        <is>
          <t>Source Unit Cost</t>
        </is>
      </c>
      <c r="F1" t="inlineStr">
        <is>
          <t>Active</t>
        </is>
      </c>
      <c r="G1" t="inlineStr">
        <is>
          <t>Min Order Value</t>
        </is>
      </c>
      <c r="H1" t="inlineStr">
        <is>
          <t>Sale Price</t>
        </is>
      </c>
      <c r="I1" t="inlineStr">
        <is>
          <t>Notes</t>
        </is>
      </c>
      <c r="J1" t="inlineStr">
        <is>
          <t>Product Name</t>
        </is>
      </c>
      <c r="K1" t="inlineStr">
        <is>
          <t>Index Card Market</t>
        </is>
      </c>
      <c r="L1" t="inlineStr">
        <is>
          <t>Index Chaos Cards</t>
        </is>
      </c>
      <c r="M1" t="inlineStr">
        <is>
          <t>Index Games Lore</t>
        </is>
      </c>
      <c r="N1" t="inlineStr">
        <is>
          <t>Index Magic Madhouse</t>
        </is>
      </c>
      <c r="O1" t="inlineStr">
        <is>
          <t>Index Scraping Record</t>
        </is>
      </c>
    </row>
    <row r="2">
      <c r="A2" t="n">
        <v>15</v>
      </c>
      <c r="B2" t="n">
        <v>51</v>
      </c>
      <c r="C2" t="inlineStr">
        <is>
          <t>Chaos Cards</t>
        </is>
      </c>
      <c r="E2" t="n">
        <v>135</v>
      </c>
      <c r="F2" t="b">
        <v>0</v>
      </c>
      <c r="J2">
        <f>_xlfn.XLOOKUP(tbl_Sourcing[[#This Row],[Product Id]], tbl_Product[Product Id], tbl_Product[Name])</f>
        <v/>
      </c>
      <c r="L2" t="n">
        <v>6</v>
      </c>
      <c r="O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">
      <c r="A3" t="n">
        <v>17</v>
      </c>
      <c r="B3" t="n">
        <v>52</v>
      </c>
      <c r="C3" t="inlineStr">
        <is>
          <t>Chaos Cards</t>
        </is>
      </c>
      <c r="E3" t="n">
        <v>395</v>
      </c>
      <c r="F3" t="b">
        <v>0</v>
      </c>
      <c r="J3">
        <f>_xlfn.XLOOKUP(tbl_Sourcing[[#This Row],[Product Id]], tbl_Product[Product Id], tbl_Product[Name])</f>
        <v/>
      </c>
      <c r="L3" t="n">
        <v>7</v>
      </c>
      <c r="O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">
      <c r="A4" t="n">
        <v>19</v>
      </c>
      <c r="B4" t="n">
        <v>53</v>
      </c>
      <c r="C4" t="inlineStr">
        <is>
          <t>Chaos Cards</t>
        </is>
      </c>
      <c r="E4" t="n">
        <v>170</v>
      </c>
      <c r="F4" t="b">
        <v>0</v>
      </c>
      <c r="J4">
        <f>_xlfn.XLOOKUP(tbl_Sourcing[[#This Row],[Product Id]], tbl_Product[Product Id], tbl_Product[Name])</f>
        <v/>
      </c>
      <c r="L4" t="n">
        <v>8</v>
      </c>
      <c r="O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">
      <c r="A5" t="n">
        <v>21</v>
      </c>
      <c r="B5" t="n">
        <v>54</v>
      </c>
      <c r="C5" t="inlineStr">
        <is>
          <t>Chaos Cards</t>
        </is>
      </c>
      <c r="E5" t="n">
        <v>94</v>
      </c>
      <c r="F5" t="b">
        <v>0</v>
      </c>
      <c r="J5">
        <f>_xlfn.XLOOKUP(tbl_Sourcing[[#This Row],[Product Id]], tbl_Product[Product Id], tbl_Product[Name])</f>
        <v/>
      </c>
      <c r="L5" t="n">
        <v>9</v>
      </c>
      <c r="O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">
      <c r="A6" t="n">
        <v>23</v>
      </c>
      <c r="B6" t="n">
        <v>55</v>
      </c>
      <c r="C6" t="inlineStr">
        <is>
          <t>Chaos Cards</t>
        </is>
      </c>
      <c r="E6" t="n">
        <v>93</v>
      </c>
      <c r="F6" t="b">
        <v>0</v>
      </c>
      <c r="J6">
        <f>_xlfn.XLOOKUP(tbl_Sourcing[[#This Row],[Product Id]], tbl_Product[Product Id], tbl_Product[Name])</f>
        <v/>
      </c>
      <c r="L6" t="n">
        <v>10</v>
      </c>
      <c r="O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">
      <c r="A7" t="n">
        <v>25</v>
      </c>
      <c r="B7" t="n">
        <v>56</v>
      </c>
      <c r="C7" t="inlineStr">
        <is>
          <t>Chaos Cards</t>
        </is>
      </c>
      <c r="E7" t="n">
        <v>137</v>
      </c>
      <c r="F7" t="b">
        <v>0</v>
      </c>
      <c r="J7">
        <f>_xlfn.XLOOKUP(tbl_Sourcing[[#This Row],[Product Id]], tbl_Product[Product Id], tbl_Product[Name])</f>
        <v/>
      </c>
      <c r="L7" t="n">
        <v>11</v>
      </c>
      <c r="O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">
      <c r="A8" t="n">
        <v>27</v>
      </c>
      <c r="B8" t="n">
        <v>57</v>
      </c>
      <c r="C8" t="inlineStr">
        <is>
          <t>Chaos Cards</t>
        </is>
      </c>
      <c r="E8" t="n">
        <v>145</v>
      </c>
      <c r="F8" t="b">
        <v>0</v>
      </c>
      <c r="J8">
        <f>_xlfn.XLOOKUP(tbl_Sourcing[[#This Row],[Product Id]], tbl_Product[Product Id], tbl_Product[Name])</f>
        <v/>
      </c>
      <c r="L8" t="n">
        <v>12</v>
      </c>
      <c r="O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">
      <c r="A9" t="n">
        <v>69</v>
      </c>
      <c r="B9" t="n">
        <v>73</v>
      </c>
      <c r="C9" t="inlineStr">
        <is>
          <t>Chaos Cards</t>
        </is>
      </c>
      <c r="E9" t="n">
        <v>116</v>
      </c>
      <c r="F9" t="b">
        <v>0</v>
      </c>
      <c r="J9">
        <f>_xlfn.XLOOKUP(tbl_Sourcing[[#This Row],[Product Id]], tbl_Product[Product Id], tbl_Product[Name])</f>
        <v/>
      </c>
      <c r="L9" t="n">
        <v>28</v>
      </c>
      <c r="O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">
      <c r="A10" t="n">
        <v>71</v>
      </c>
      <c r="B10" t="n">
        <v>74</v>
      </c>
      <c r="C10" t="inlineStr">
        <is>
          <t>Chaos Cards</t>
        </is>
      </c>
      <c r="E10" t="n">
        <v>116</v>
      </c>
      <c r="F10" t="b">
        <v>0</v>
      </c>
      <c r="J10">
        <f>_xlfn.XLOOKUP(tbl_Sourcing[[#This Row],[Product Id]], tbl_Product[Product Id], tbl_Product[Name])</f>
        <v/>
      </c>
      <c r="L10" t="n">
        <v>29</v>
      </c>
      <c r="O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">
      <c r="A11" t="n">
        <v>73</v>
      </c>
      <c r="B11" t="n">
        <v>75</v>
      </c>
      <c r="C11" t="inlineStr">
        <is>
          <t>Chaos Cards</t>
        </is>
      </c>
      <c r="E11" t="n">
        <v>95</v>
      </c>
      <c r="F11" t="b">
        <v>0</v>
      </c>
      <c r="J11">
        <f>_xlfn.XLOOKUP(tbl_Sourcing[[#This Row],[Product Id]], tbl_Product[Product Id], tbl_Product[Name])</f>
        <v/>
      </c>
      <c r="L11" t="n">
        <v>30</v>
      </c>
      <c r="O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">
      <c r="A12" t="n">
        <v>75</v>
      </c>
      <c r="B12" t="n">
        <v>76</v>
      </c>
      <c r="C12" t="inlineStr">
        <is>
          <t>Chaos Cards</t>
        </is>
      </c>
      <c r="E12" t="n">
        <v>115</v>
      </c>
      <c r="F12" t="b">
        <v>0</v>
      </c>
      <c r="J12">
        <f>_xlfn.XLOOKUP(tbl_Sourcing[[#This Row],[Product Id]], tbl_Product[Product Id], tbl_Product[Name])</f>
        <v/>
      </c>
      <c r="L12" t="n">
        <v>31</v>
      </c>
      <c r="O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">
      <c r="A13" t="n">
        <v>77</v>
      </c>
      <c r="B13" t="n">
        <v>77</v>
      </c>
      <c r="C13" t="inlineStr">
        <is>
          <t>Chaos Cards</t>
        </is>
      </c>
      <c r="E13" t="n">
        <v>77</v>
      </c>
      <c r="F13" t="b">
        <v>0</v>
      </c>
      <c r="J13">
        <f>_xlfn.XLOOKUP(tbl_Sourcing[[#This Row],[Product Id]], tbl_Product[Product Id], tbl_Product[Name])</f>
        <v/>
      </c>
      <c r="L13" t="n">
        <v>32</v>
      </c>
      <c r="O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">
      <c r="A14" t="n">
        <v>82</v>
      </c>
      <c r="B14" t="n">
        <v>79</v>
      </c>
      <c r="C14" t="inlineStr">
        <is>
          <t>Chaos Cards</t>
        </is>
      </c>
      <c r="E14" t="n">
        <v>133</v>
      </c>
      <c r="F14" t="b">
        <v>0</v>
      </c>
      <c r="J14">
        <f>_xlfn.XLOOKUP(tbl_Sourcing[[#This Row],[Product Id]], tbl_Product[Product Id], tbl_Product[Name])</f>
        <v/>
      </c>
      <c r="L14" t="n">
        <v>34</v>
      </c>
      <c r="O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">
      <c r="A15" t="n">
        <v>84</v>
      </c>
      <c r="B15" t="n">
        <v>80</v>
      </c>
      <c r="C15" t="inlineStr">
        <is>
          <t>Chaos Cards</t>
        </is>
      </c>
      <c r="E15" t="n">
        <v>115</v>
      </c>
      <c r="F15" t="b">
        <v>0</v>
      </c>
      <c r="J15">
        <f>_xlfn.XLOOKUP(tbl_Sourcing[[#This Row],[Product Id]], tbl_Product[Product Id], tbl_Product[Name])</f>
        <v/>
      </c>
      <c r="L15" t="n">
        <v>35</v>
      </c>
      <c r="O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">
      <c r="A16" t="n">
        <v>412</v>
      </c>
      <c r="B16" t="n">
        <v>56</v>
      </c>
      <c r="C16" t="inlineStr">
        <is>
          <t>Latest</t>
        </is>
      </c>
      <c r="D16" t="inlineStr">
        <is>
          <t>Card Market CARDITshop</t>
        </is>
      </c>
      <c r="E16" t="n">
        <v>118.57</v>
      </c>
      <c r="F16" t="b">
        <v>0</v>
      </c>
      <c r="J16">
        <f>_xlfn.XLOOKUP(tbl_Sourcing[[#This Row],[Product Id]], tbl_Product[Product Id], tbl_Product[Name])</f>
        <v/>
      </c>
      <c r="O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">
      <c r="A17" t="n">
        <v>409</v>
      </c>
      <c r="B17" t="n">
        <v>50</v>
      </c>
      <c r="C17" t="inlineStr">
        <is>
          <t>Latest</t>
        </is>
      </c>
      <c r="D17" t="inlineStr">
        <is>
          <t>Card Market UGluck</t>
        </is>
      </c>
      <c r="E17">
        <f>90.44+25.37/4</f>
        <v/>
      </c>
      <c r="F17" t="b">
        <v>0</v>
      </c>
      <c r="J17">
        <f>_xlfn.XLOOKUP(tbl_Sourcing[[#This Row],[Product Id]], tbl_Product[Product Id], tbl_Product[Name])</f>
        <v/>
      </c>
      <c r="O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">
      <c r="A18" t="n">
        <v>410</v>
      </c>
      <c r="B18" t="n">
        <v>48</v>
      </c>
      <c r="C18" t="inlineStr">
        <is>
          <t>Latest</t>
        </is>
      </c>
      <c r="D18" t="inlineStr">
        <is>
          <t>Card Market UGluck</t>
        </is>
      </c>
      <c r="E18">
        <f>117.58+25.37/4</f>
        <v/>
      </c>
      <c r="F18" t="b">
        <v>0</v>
      </c>
      <c r="J18">
        <f>_xlfn.XLOOKUP(tbl_Sourcing[[#This Row],[Product Id]], tbl_Product[Product Id], tbl_Product[Name])</f>
        <v/>
      </c>
      <c r="O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">
      <c r="A19" t="n">
        <v>411</v>
      </c>
      <c r="B19" t="n">
        <v>47</v>
      </c>
      <c r="C19" t="inlineStr">
        <is>
          <t>Latest</t>
        </is>
      </c>
      <c r="D19" t="inlineStr">
        <is>
          <t>Card Market UGluck</t>
        </is>
      </c>
      <c r="E19">
        <f>135.66+25.37/4</f>
        <v/>
      </c>
      <c r="F19" t="b">
        <v>0</v>
      </c>
      <c r="J19">
        <f>_xlfn.XLOOKUP(tbl_Sourcing[[#This Row],[Product Id]], tbl_Product[Product Id], tbl_Product[Name])</f>
        <v/>
      </c>
      <c r="O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">
      <c r="A20" t="n">
        <v>7</v>
      </c>
      <c r="B20" t="n">
        <v>48</v>
      </c>
      <c r="C20" t="inlineStr">
        <is>
          <t>Magic Madhouse</t>
        </is>
      </c>
      <c r="E20" t="n">
        <v>165</v>
      </c>
      <c r="F20" t="b">
        <v>0</v>
      </c>
      <c r="J20">
        <f>_xlfn.XLOOKUP(tbl_Sourcing[[#This Row],[Product Id]], tbl_Product[Product Id], tbl_Product[Name])</f>
        <v/>
      </c>
      <c r="O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">
      <c r="A21" t="n">
        <v>46</v>
      </c>
      <c r="B21" t="n">
        <v>64</v>
      </c>
      <c r="C21" t="inlineStr">
        <is>
          <t>Magic Madhouse</t>
        </is>
      </c>
      <c r="E21" t="n">
        <v>100</v>
      </c>
      <c r="F21" t="b">
        <v>0</v>
      </c>
      <c r="J21">
        <f>_xlfn.XLOOKUP(tbl_Sourcing[[#This Row],[Product Id]], tbl_Product[Product Id], tbl_Product[Name])</f>
        <v/>
      </c>
      <c r="O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">
      <c r="A22" t="n">
        <v>61</v>
      </c>
      <c r="B22" t="n">
        <v>70</v>
      </c>
      <c r="C22" t="inlineStr">
        <is>
          <t>Magic Madhouse</t>
        </is>
      </c>
      <c r="E22" t="n">
        <v>100</v>
      </c>
      <c r="F22" t="b">
        <v>0</v>
      </c>
      <c r="J22">
        <f>_xlfn.XLOOKUP(tbl_Sourcing[[#This Row],[Product Id]], tbl_Product[Product Id], tbl_Product[Name])</f>
        <v/>
      </c>
      <c r="O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">
      <c r="A23" t="n">
        <v>85</v>
      </c>
      <c r="B23" t="n">
        <v>57</v>
      </c>
      <c r="C23" t="inlineStr">
        <is>
          <t>Magic Madhouse</t>
        </is>
      </c>
      <c r="E23" t="n">
        <v>129</v>
      </c>
      <c r="F23" t="b">
        <v>1</v>
      </c>
      <c r="J23">
        <f>_xlfn.XLOOKUP(tbl_Sourcing[[#This Row],[Product Id]], tbl_Product[Product Id], tbl_Product[Name])</f>
        <v/>
      </c>
      <c r="O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">
      <c r="A24" t="n">
        <v>11</v>
      </c>
      <c r="B24" t="n">
        <v>49</v>
      </c>
      <c r="C24" t="inlineStr">
        <is>
          <t>Muddle It</t>
        </is>
      </c>
      <c r="E24" t="n">
        <v>97</v>
      </c>
      <c r="F24" t="b">
        <v>1</v>
      </c>
      <c r="J24">
        <f>_xlfn.XLOOKUP(tbl_Sourcing[[#This Row],[Product Id]], tbl_Product[Product Id], tbl_Product[Name])</f>
        <v/>
      </c>
      <c r="O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">
      <c r="A25" t="n">
        <v>38</v>
      </c>
      <c r="B25" t="n">
        <v>61</v>
      </c>
      <c r="C25" t="inlineStr">
        <is>
          <t>Muddle It</t>
        </is>
      </c>
      <c r="E25" t="n">
        <v>135.2</v>
      </c>
      <c r="F25" t="b">
        <v>1</v>
      </c>
      <c r="J25">
        <f>_xlfn.XLOOKUP(tbl_Sourcing[[#This Row],[Product Id]], tbl_Product[Product Id], tbl_Product[Name])</f>
        <v/>
      </c>
      <c r="O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">
      <c r="A26" t="n">
        <v>8</v>
      </c>
      <c r="B26" t="n">
        <v>48</v>
      </c>
      <c r="C26" t="inlineStr">
        <is>
          <t>Plus Marketing</t>
        </is>
      </c>
      <c r="E26" t="n">
        <v>180</v>
      </c>
      <c r="F26" t="b">
        <v>0</v>
      </c>
      <c r="J26">
        <f>_xlfn.XLOOKUP(tbl_Sourcing[[#This Row],[Product Id]], tbl_Product[Product Id], tbl_Product[Name])</f>
        <v/>
      </c>
      <c r="O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">
      <c r="A27" t="n">
        <v>28</v>
      </c>
      <c r="B27" t="n">
        <v>57</v>
      </c>
      <c r="C27" t="inlineStr">
        <is>
          <t>Plus Marketing</t>
        </is>
      </c>
      <c r="E27" t="n">
        <v>141</v>
      </c>
      <c r="F27" t="b">
        <v>0</v>
      </c>
      <c r="J27">
        <f>_xlfn.XLOOKUP(tbl_Sourcing[[#This Row],[Product Id]], tbl_Product[Product Id], tbl_Product[Name])</f>
        <v/>
      </c>
      <c r="O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">
      <c r="A28" t="n">
        <v>35</v>
      </c>
      <c r="B28" t="n">
        <v>60</v>
      </c>
      <c r="C28" t="inlineStr">
        <is>
          <t>Plus Marketing</t>
        </is>
      </c>
      <c r="E28" t="n">
        <v>250</v>
      </c>
      <c r="F28" t="b">
        <v>1</v>
      </c>
      <c r="J28">
        <f>_xlfn.XLOOKUP(tbl_Sourcing[[#This Row],[Product Id]], tbl_Product[Product Id], tbl_Product[Name])</f>
        <v/>
      </c>
      <c r="O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">
      <c r="A29" t="n">
        <v>39</v>
      </c>
      <c r="B29" t="n">
        <v>61</v>
      </c>
      <c r="C29" t="inlineStr">
        <is>
          <t>Plus Marketing</t>
        </is>
      </c>
      <c r="E29" t="n">
        <v>119</v>
      </c>
      <c r="F29" t="b">
        <v>0</v>
      </c>
      <c r="J29">
        <f>_xlfn.XLOOKUP(tbl_Sourcing[[#This Row],[Product Id]], tbl_Product[Product Id], tbl_Product[Name])</f>
        <v/>
      </c>
      <c r="O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">
      <c r="A30" t="n">
        <v>43</v>
      </c>
      <c r="B30" t="n">
        <v>63</v>
      </c>
      <c r="C30" t="inlineStr">
        <is>
          <t>Plus Marketing</t>
        </is>
      </c>
      <c r="E30" t="n">
        <v>113</v>
      </c>
      <c r="F30" t="b">
        <v>0</v>
      </c>
      <c r="J30">
        <f>_xlfn.XLOOKUP(tbl_Sourcing[[#This Row],[Product Id]], tbl_Product[Product Id], tbl_Product[Name])</f>
        <v/>
      </c>
      <c r="O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">
      <c r="A31" t="n">
        <v>47</v>
      </c>
      <c r="B31" t="n">
        <v>64</v>
      </c>
      <c r="C31" t="inlineStr">
        <is>
          <t>Plus Marketing</t>
        </is>
      </c>
      <c r="E31" t="n">
        <v>135</v>
      </c>
      <c r="F31" t="b">
        <v>0</v>
      </c>
      <c r="J31">
        <f>_xlfn.XLOOKUP(tbl_Sourcing[[#This Row],[Product Id]], tbl_Product[Product Id], tbl_Product[Name])</f>
        <v/>
      </c>
      <c r="O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">
      <c r="A32" t="n">
        <v>56</v>
      </c>
      <c r="B32" t="n">
        <v>68</v>
      </c>
      <c r="C32" t="inlineStr">
        <is>
          <t>Plus Marketing</t>
        </is>
      </c>
      <c r="E32" t="n">
        <v>170</v>
      </c>
      <c r="F32" t="b">
        <v>0</v>
      </c>
      <c r="J32">
        <f>_xlfn.XLOOKUP(tbl_Sourcing[[#This Row],[Product Id]], tbl_Product[Product Id], tbl_Product[Name])</f>
        <v/>
      </c>
      <c r="O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">
      <c r="A33" t="n">
        <v>62</v>
      </c>
      <c r="B33" t="n">
        <v>70</v>
      </c>
      <c r="C33" t="inlineStr">
        <is>
          <t>Plus Marketing</t>
        </is>
      </c>
      <c r="E33" t="n">
        <v>107</v>
      </c>
      <c r="F33" t="b">
        <v>0</v>
      </c>
      <c r="J33">
        <f>_xlfn.XLOOKUP(tbl_Sourcing[[#This Row],[Product Id]], tbl_Product[Product Id], tbl_Product[Name])</f>
        <v/>
      </c>
      <c r="O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">
      <c r="A34" t="n">
        <v>65</v>
      </c>
      <c r="B34" t="n">
        <v>71</v>
      </c>
      <c r="C34" t="inlineStr">
        <is>
          <t>Plus Marketing</t>
        </is>
      </c>
      <c r="E34" t="n">
        <v>132</v>
      </c>
      <c r="F34" t="b">
        <v>0</v>
      </c>
      <c r="J34">
        <f>_xlfn.XLOOKUP(tbl_Sourcing[[#This Row],[Product Id]], tbl_Product[Product Id], tbl_Product[Name])</f>
        <v/>
      </c>
      <c r="O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">
      <c r="A35" t="n">
        <v>80</v>
      </c>
      <c r="B35" t="n">
        <v>78</v>
      </c>
      <c r="C35" t="inlineStr">
        <is>
          <t>Plus Marketing</t>
        </is>
      </c>
      <c r="E35" t="n">
        <v>207</v>
      </c>
      <c r="F35" t="b">
        <v>0</v>
      </c>
      <c r="J35">
        <f>_xlfn.XLOOKUP(tbl_Sourcing[[#This Row],[Product Id]], tbl_Product[Product Id], tbl_Product[Name])</f>
        <v/>
      </c>
      <c r="O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">
      <c r="A36" t="n">
        <v>1</v>
      </c>
      <c r="B36" t="n">
        <v>46</v>
      </c>
      <c r="C36" t="inlineStr">
        <is>
          <t>Card Market</t>
        </is>
      </c>
      <c r="D36" s="8" t="inlineStr">
        <is>
          <t>https://www.cardmarket.com/en/Magic/Products/Booster-Boxes/Modern-Horizons-2-Set-Booster-Box?sellerCountry=13&amp;language=1</t>
        </is>
      </c>
      <c r="E36" t="n">
        <v>275.47</v>
      </c>
      <c r="F36" t="inlineStr">
        <is>
          <t>TRUE</t>
        </is>
      </c>
      <c r="J36">
        <f>_xlfn.XLOOKUP(tbl_Sourcing[[#This Row],[Product Id]], tbl_Product[Product Id], tbl_Product[Name])</f>
        <v/>
      </c>
      <c r="K36" t="n">
        <v>1</v>
      </c>
      <c r="O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">
      <c r="A37" t="n">
        <v>2</v>
      </c>
      <c r="B37" t="n">
        <v>46</v>
      </c>
      <c r="C37" t="inlineStr">
        <is>
          <t>Chaos Cards</t>
        </is>
      </c>
      <c r="D37" s="8" t="inlineStr">
        <is>
          <t>https://www.chaoscards.co.uk/prod/booster-boxes-magic/magic-the-gathering-set-booster-box-modern-horizons-2</t>
        </is>
      </c>
      <c r="E37" t="n">
        <v>218.95</v>
      </c>
      <c r="F37" t="inlineStr">
        <is>
          <t>FALSE</t>
        </is>
      </c>
      <c r="J37">
        <f>_xlfn.XLOOKUP(tbl_Sourcing[[#This Row],[Product Id]], tbl_Product[Product Id], tbl_Product[Name])</f>
        <v/>
      </c>
      <c r="L37" t="n">
        <v>1</v>
      </c>
      <c r="O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">
      <c r="A38" t="n">
        <v>223</v>
      </c>
      <c r="B38" t="n">
        <v>30</v>
      </c>
      <c r="C38" t="inlineStr">
        <is>
          <t>Games Lore</t>
        </is>
      </c>
      <c r="D38" s="8" t="inlineStr">
        <is>
          <t>https://www.gameslore.com/mtg-streets-of-new-capenna-set-booster-pack.html</t>
        </is>
      </c>
      <c r="E38" t="n">
        <v>3.99</v>
      </c>
      <c r="F38" t="inlineStr">
        <is>
          <t>TRUE</t>
        </is>
      </c>
      <c r="J38">
        <f>_xlfn.XLOOKUP(tbl_Sourcing[[#This Row],[Product Id]], tbl_Product[Product Id], tbl_Product[Name])</f>
        <v/>
      </c>
      <c r="M38" t="n">
        <v>1</v>
      </c>
      <c r="O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">
      <c r="A39" t="n">
        <v>353</v>
      </c>
      <c r="B39" t="n">
        <v>161</v>
      </c>
      <c r="C39" t="inlineStr">
        <is>
          <t>Magic Madhouse</t>
        </is>
      </c>
      <c r="D39" s="8" t="inlineStr">
        <is>
          <t>https://magicmadhouse.co.uk/magic-the-gathering-aetherdrift-commander-deck-living-energy-aetherdrift</t>
        </is>
      </c>
      <c r="E39" t="n">
        <v>39.95</v>
      </c>
      <c r="F39" t="inlineStr">
        <is>
          <t>TRUE</t>
        </is>
      </c>
      <c r="J39">
        <f>_xlfn.XLOOKUP(tbl_Sourcing[[#This Row],[Product Id]], tbl_Product[Product Id], tbl_Product[Name])</f>
        <v/>
      </c>
      <c r="N39" t="n">
        <v>1</v>
      </c>
      <c r="O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">
      <c r="A40" t="n">
        <v>3</v>
      </c>
      <c r="B40" t="n">
        <v>47</v>
      </c>
      <c r="C40" t="inlineStr">
        <is>
          <t>Card Market</t>
        </is>
      </c>
      <c r="D40" s="8" t="inlineStr">
        <is>
          <t>https://www.cardmarket.com/en/Magic/Products/Booster-Boxes/The-Lost-Caverns-of-Ixalan-Set-Booster-Box?sellerCountry=13&amp;language=1</t>
        </is>
      </c>
      <c r="E40" t="n">
        <v>184.91238</v>
      </c>
      <c r="F40" t="inlineStr">
        <is>
          <t>TRUE</t>
        </is>
      </c>
      <c r="J40">
        <f>_xlfn.XLOOKUP(tbl_Sourcing[[#This Row],[Product Id]], tbl_Product[Product Id], tbl_Product[Name])</f>
        <v/>
      </c>
      <c r="K40" t="n">
        <v>2</v>
      </c>
      <c r="O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">
      <c r="A41" t="n">
        <v>4</v>
      </c>
      <c r="B41" t="n">
        <v>47</v>
      </c>
      <c r="C41" t="inlineStr">
        <is>
          <t>Chaos Cards</t>
        </is>
      </c>
      <c r="D41" s="8" t="inlineStr">
        <is>
          <t>https://www.chaoscards.co.uk/prod/booster-boxes-magic/magic-the-gathering-the-lost-caverns-of-ixalan-set-booster-box-30-packs</t>
        </is>
      </c>
      <c r="E41" t="n">
        <v>115.95</v>
      </c>
      <c r="F41" t="inlineStr">
        <is>
          <t>FALSE</t>
        </is>
      </c>
      <c r="J41">
        <f>_xlfn.XLOOKUP(tbl_Sourcing[[#This Row],[Product Id]], tbl_Product[Product Id], tbl_Product[Name])</f>
        <v/>
      </c>
      <c r="L41" t="n">
        <v>2</v>
      </c>
      <c r="O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2">
      <c r="A42" t="n">
        <v>224</v>
      </c>
      <c r="B42" t="n">
        <v>131</v>
      </c>
      <c r="C42" t="inlineStr">
        <is>
          <t>Games Lore</t>
        </is>
      </c>
      <c r="D42" s="8" t="inlineStr">
        <is>
          <t>https://www.gameslore.com/mtg-streets-of-new-capenna-collector-booster-pack.html</t>
        </is>
      </c>
      <c r="E42" t="n">
        <v>19.99</v>
      </c>
      <c r="F42" t="inlineStr">
        <is>
          <t>TRUE</t>
        </is>
      </c>
      <c r="J42">
        <f>_xlfn.XLOOKUP(tbl_Sourcing[[#This Row],[Product Id]], tbl_Product[Product Id], tbl_Product[Name])</f>
        <v/>
      </c>
      <c r="M42" t="n">
        <v>2</v>
      </c>
      <c r="O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3">
      <c r="A43" t="n">
        <v>364</v>
      </c>
      <c r="B43" t="n">
        <v>167</v>
      </c>
      <c r="C43" t="inlineStr">
        <is>
          <t>Magic Madhouse</t>
        </is>
      </c>
      <c r="D43" s="8" t="inlineStr">
        <is>
          <t>https://magicmadhouse.co.uk/magic-the-gathering-bloomburrow-commander-deck-animated-army-bloomburrow</t>
        </is>
      </c>
      <c r="E43" t="n">
        <v>69.95</v>
      </c>
      <c r="F43" t="inlineStr">
        <is>
          <t>TRUE</t>
        </is>
      </c>
      <c r="J43">
        <f>_xlfn.XLOOKUP(tbl_Sourcing[[#This Row],[Product Id]], tbl_Product[Product Id], tbl_Product[Name])</f>
        <v/>
      </c>
      <c r="N43" t="n">
        <v>2</v>
      </c>
      <c r="O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4">
      <c r="A44" t="n">
        <v>5</v>
      </c>
      <c r="B44" t="n">
        <v>48</v>
      </c>
      <c r="C44" t="inlineStr">
        <is>
          <t>Card Market</t>
        </is>
      </c>
      <c r="D44" s="8" t="inlineStr">
        <is>
          <t>https://www.cardmarket.com/en/Magic/Products/Booster-Boxes/Innistrad-Remastered-Play-Booster-Box?sellerCountry=13&amp;language=1</t>
        </is>
      </c>
      <c r="E44" t="n">
        <v>184.89506</v>
      </c>
      <c r="F44" t="inlineStr">
        <is>
          <t>TRUE</t>
        </is>
      </c>
      <c r="J44">
        <f>_xlfn.XLOOKUP(tbl_Sourcing[[#This Row],[Product Id]], tbl_Product[Product Id], tbl_Product[Name])</f>
        <v/>
      </c>
      <c r="K44" t="n">
        <v>3</v>
      </c>
      <c r="O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5">
      <c r="A45" t="n">
        <v>6</v>
      </c>
      <c r="B45" t="n">
        <v>48</v>
      </c>
      <c r="C45" t="inlineStr">
        <is>
          <t>Chaos Cards</t>
        </is>
      </c>
      <c r="D45" s="8" t="inlineStr">
        <is>
          <t>https://www.chaoscards.co.uk/prod/booster-boxes-magic/magic-the-gathering-innistrad-remastered-play-booster-box-36-packs</t>
        </is>
      </c>
      <c r="E45" t="n">
        <v>194.95</v>
      </c>
      <c r="F45" t="inlineStr">
        <is>
          <t>TRUE</t>
        </is>
      </c>
      <c r="J45">
        <f>_xlfn.XLOOKUP(tbl_Sourcing[[#This Row],[Product Id]], tbl_Product[Product Id], tbl_Product[Name])</f>
        <v/>
      </c>
      <c r="L45" t="n">
        <v>3</v>
      </c>
      <c r="O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6">
      <c r="A46" t="n">
        <v>225</v>
      </c>
      <c r="B46" t="n">
        <v>132</v>
      </c>
      <c r="C46" t="inlineStr">
        <is>
          <t>Games Lore</t>
        </is>
      </c>
      <c r="D46" s="8" t="inlineStr">
        <is>
          <t>https://www.gameslore.com/mtg-streets-of-new-capenna-collector-booster-display.html</t>
        </is>
      </c>
      <c r="E46" t="n">
        <v>179.99</v>
      </c>
      <c r="F46" t="inlineStr">
        <is>
          <t>TRUE</t>
        </is>
      </c>
      <c r="J46">
        <f>_xlfn.XLOOKUP(tbl_Sourcing[[#This Row],[Product Id]], tbl_Product[Product Id], tbl_Product[Name])</f>
        <v/>
      </c>
      <c r="M46" t="n">
        <v>3</v>
      </c>
      <c r="O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7">
      <c r="A47" t="n">
        <v>343</v>
      </c>
      <c r="B47" t="n">
        <v>169</v>
      </c>
      <c r="C47" t="inlineStr">
        <is>
          <t>Magic Madhouse</t>
        </is>
      </c>
      <c r="D47" s="8" t="inlineStr">
        <is>
          <t>https://magicmadhouse.co.uk/magic-the-gathering-bloomburrow-commander-deck-family-matters-bloomburrow</t>
        </is>
      </c>
      <c r="E47" t="n">
        <v>57.95</v>
      </c>
      <c r="F47" t="inlineStr">
        <is>
          <t>TRUE</t>
        </is>
      </c>
      <c r="J47">
        <f>_xlfn.XLOOKUP(tbl_Sourcing[[#This Row],[Product Id]], tbl_Product[Product Id], tbl_Product[Name])</f>
        <v/>
      </c>
      <c r="N47" t="n">
        <v>3</v>
      </c>
      <c r="O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8">
      <c r="A48" t="n">
        <v>9</v>
      </c>
      <c r="B48" t="n">
        <v>49</v>
      </c>
      <c r="C48" t="inlineStr">
        <is>
          <t>Card Market</t>
        </is>
      </c>
      <c r="D48" s="8" t="inlineStr">
        <is>
          <t>https://www.cardmarket.com/en/Magic/Products/Booster-Boxes/Lorwyn-Eclipsed-Play-Booster-Box?sellerCountry=13&amp;language=1</t>
        </is>
      </c>
      <c r="E48" t="n">
        <v>143.63016</v>
      </c>
      <c r="F48" t="inlineStr">
        <is>
          <t>TRUE</t>
        </is>
      </c>
      <c r="J48">
        <f>_xlfn.XLOOKUP(tbl_Sourcing[[#This Row],[Product Id]], tbl_Product[Product Id], tbl_Product[Name])</f>
        <v/>
      </c>
      <c r="K48" t="n">
        <v>4</v>
      </c>
      <c r="O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9">
      <c r="A49" t="n">
        <v>10</v>
      </c>
      <c r="B49" t="n">
        <v>49</v>
      </c>
      <c r="C49" t="inlineStr">
        <is>
          <t>Chaos Cards</t>
        </is>
      </c>
      <c r="D49" s="8" t="inlineStr">
        <is>
          <t>https://www.chaoscards.co.uk/prod/booster-boxes-magic/magic-the-gathering-lorwyn-eclipsed-play-booster-box-30-packs</t>
        </is>
      </c>
      <c r="E49" t="n">
        <v>119.95</v>
      </c>
      <c r="F49" t="inlineStr">
        <is>
          <t>FALSE</t>
        </is>
      </c>
      <c r="J49">
        <f>_xlfn.XLOOKUP(tbl_Sourcing[[#This Row],[Product Id]], tbl_Product[Product Id], tbl_Product[Name])</f>
        <v/>
      </c>
      <c r="L49" t="n">
        <v>4</v>
      </c>
      <c r="O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0">
      <c r="A50" t="n">
        <v>226</v>
      </c>
      <c r="B50" t="n">
        <v>11</v>
      </c>
      <c r="C50" t="inlineStr">
        <is>
          <t>Games Lore</t>
        </is>
      </c>
      <c r="D50" s="8" t="inlineStr">
        <is>
          <t>https://www.gameslore.com/mtg-outlaws-of-thunder-junction-play-booster-pack.html</t>
        </is>
      </c>
      <c r="E50" t="n">
        <v>3.4</v>
      </c>
      <c r="F50" t="inlineStr">
        <is>
          <t>TRUE</t>
        </is>
      </c>
      <c r="J50">
        <f>_xlfn.XLOOKUP(tbl_Sourcing[[#This Row],[Product Id]], tbl_Product[Product Id], tbl_Product[Name])</f>
        <v/>
      </c>
      <c r="M50" t="n">
        <v>4</v>
      </c>
      <c r="O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1">
      <c r="A51" t="n">
        <v>383</v>
      </c>
      <c r="B51" t="n">
        <v>168</v>
      </c>
      <c r="C51" t="inlineStr">
        <is>
          <t>Magic Madhouse</t>
        </is>
      </c>
      <c r="D51" s="8" t="inlineStr">
        <is>
          <t>https://magicmadhouse.co.uk/magic-the-gathering-bloomburrow-commander-deck-peace-offering-bloomburrow</t>
        </is>
      </c>
      <c r="E51" t="n">
        <v>106.95</v>
      </c>
      <c r="F51" t="inlineStr">
        <is>
          <t>TRUE</t>
        </is>
      </c>
      <c r="J51">
        <f>_xlfn.XLOOKUP(tbl_Sourcing[[#This Row],[Product Id]], tbl_Product[Product Id], tbl_Product[Name])</f>
        <v/>
      </c>
      <c r="N51" t="n">
        <v>4</v>
      </c>
      <c r="O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2">
      <c r="A52" t="n">
        <v>12</v>
      </c>
      <c r="B52" t="n">
        <v>50</v>
      </c>
      <c r="C52" t="inlineStr">
        <is>
          <t>Card Market</t>
        </is>
      </c>
      <c r="D52" s="8" t="inlineStr">
        <is>
          <t>https://www.cardmarket.com/en/Magic/Products/Booster-Boxes/Innistrad-Midnight-Hunt-Set-Booster-Box?sellerCountry=13&amp;language=1</t>
        </is>
      </c>
      <c r="E52" t="n">
        <v>123.01936</v>
      </c>
      <c r="F52" t="inlineStr">
        <is>
          <t>TRUE</t>
        </is>
      </c>
      <c r="J52">
        <f>_xlfn.XLOOKUP(tbl_Sourcing[[#This Row],[Product Id]], tbl_Product[Product Id], tbl_Product[Name])</f>
        <v/>
      </c>
      <c r="K52" t="n">
        <v>5</v>
      </c>
      <c r="O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3">
      <c r="A53" t="n">
        <v>13</v>
      </c>
      <c r="B53" t="n">
        <v>50</v>
      </c>
      <c r="C53" t="inlineStr">
        <is>
          <t>Chaos Cards</t>
        </is>
      </c>
      <c r="D53" s="8" t="inlineStr">
        <is>
          <t>https://www.chaoscards.co.uk/prod/booster-boxes-magic/magic-the-gathering-innistrad-midnight-hunt-set-booster-box-30-packs</t>
        </is>
      </c>
      <c r="E53" t="n">
        <v>100.95</v>
      </c>
      <c r="F53" t="inlineStr">
        <is>
          <t>FALSE</t>
        </is>
      </c>
      <c r="J53">
        <f>_xlfn.XLOOKUP(tbl_Sourcing[[#This Row],[Product Id]], tbl_Product[Product Id], tbl_Product[Name])</f>
        <v/>
      </c>
      <c r="L53" t="n">
        <v>5</v>
      </c>
      <c r="O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4">
      <c r="A54" t="n">
        <v>227</v>
      </c>
      <c r="B54" t="n">
        <v>56</v>
      </c>
      <c r="C54" t="inlineStr">
        <is>
          <t>Games Lore</t>
        </is>
      </c>
      <c r="D54" s="8" t="inlineStr">
        <is>
          <t>https://www.gameslore.com/mtg-outlaws-of-thunder-junction-play-booster-display.html</t>
        </is>
      </c>
      <c r="E54" t="n">
        <v>149.99</v>
      </c>
      <c r="F54" t="inlineStr">
        <is>
          <t>TRUE</t>
        </is>
      </c>
      <c r="J54">
        <f>_xlfn.XLOOKUP(tbl_Sourcing[[#This Row],[Product Id]], tbl_Product[Product Id], tbl_Product[Name])</f>
        <v/>
      </c>
      <c r="M54" t="n">
        <v>5</v>
      </c>
      <c r="O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5">
      <c r="A55" t="n">
        <v>385</v>
      </c>
      <c r="B55" t="n">
        <v>166</v>
      </c>
      <c r="C55" t="inlineStr">
        <is>
          <t>Magic Madhouse</t>
        </is>
      </c>
      <c r="D55" s="8" t="inlineStr">
        <is>
          <t>https://magicmadhouse.co.uk/magic-the-gathering-bloomburrow-commander-deck-squirreled-away-bloomburrow</t>
        </is>
      </c>
      <c r="E55" t="n">
        <v>84.95</v>
      </c>
      <c r="F55" t="inlineStr">
        <is>
          <t>TRUE</t>
        </is>
      </c>
      <c r="J55">
        <f>_xlfn.XLOOKUP(tbl_Sourcing[[#This Row],[Product Id]], tbl_Product[Product Id], tbl_Product[Name])</f>
        <v/>
      </c>
      <c r="N55" t="n">
        <v>5</v>
      </c>
      <c r="O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6">
      <c r="A56" t="n">
        <v>14</v>
      </c>
      <c r="B56" t="n">
        <v>51</v>
      </c>
      <c r="C56" t="inlineStr">
        <is>
          <t>Card Market</t>
        </is>
      </c>
      <c r="D56" s="8" t="inlineStr">
        <is>
          <t>https://www.cardmarket.com/en/Magic/Products/Booster-Boxes/Kaldheim-Set-Booster-Box?sellerCountry=13&amp;language=1</t>
        </is>
      </c>
      <c r="E56" t="n">
        <v>205.52318</v>
      </c>
      <c r="F56" t="inlineStr">
        <is>
          <t>TRUE</t>
        </is>
      </c>
      <c r="J56">
        <f>_xlfn.XLOOKUP(tbl_Sourcing[[#This Row],[Product Id]], tbl_Product[Product Id], tbl_Product[Name])</f>
        <v/>
      </c>
      <c r="K56" t="n">
        <v>6</v>
      </c>
      <c r="O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7">
      <c r="A57" t="n">
        <v>228</v>
      </c>
      <c r="B57" t="n">
        <v>15</v>
      </c>
      <c r="C57" t="inlineStr">
        <is>
          <t>Games Lore</t>
        </is>
      </c>
      <c r="D57" s="8" t="inlineStr">
        <is>
          <t>https://www.gameslore.com/mtg-modern-horizons-3-play-booster-pack.html</t>
        </is>
      </c>
      <c r="E57" t="n">
        <v>6.6</v>
      </c>
      <c r="F57" t="inlineStr">
        <is>
          <t>TRUE</t>
        </is>
      </c>
      <c r="J57">
        <f>_xlfn.XLOOKUP(tbl_Sourcing[[#This Row],[Product Id]], tbl_Product[Product Id], tbl_Product[Name])</f>
        <v/>
      </c>
      <c r="M57" t="n">
        <v>6</v>
      </c>
      <c r="O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8">
      <c r="A58" t="n">
        <v>374</v>
      </c>
      <c r="B58" t="n">
        <v>226</v>
      </c>
      <c r="C58" t="inlineStr">
        <is>
          <t>Magic Madhouse</t>
        </is>
      </c>
      <c r="D58" s="8" t="inlineStr">
        <is>
          <t>https://magicmadhouse.co.uk/magic-the-gathering-commander-legends-battle-for-baldurs-gate-commander-deck-draconic-dissent-commander-legends-battle-for-baldurs-gate</t>
        </is>
      </c>
      <c r="E58" t="n">
        <v>184.95</v>
      </c>
      <c r="F58" t="inlineStr">
        <is>
          <t>TRUE</t>
        </is>
      </c>
      <c r="J58">
        <f>_xlfn.XLOOKUP(tbl_Sourcing[[#This Row],[Product Id]], tbl_Product[Product Id], tbl_Product[Name])</f>
        <v/>
      </c>
      <c r="N58" t="n">
        <v>6</v>
      </c>
      <c r="O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9">
      <c r="A59" t="n">
        <v>16</v>
      </c>
      <c r="B59" t="n">
        <v>52</v>
      </c>
      <c r="C59" t="inlineStr">
        <is>
          <t>Card Market</t>
        </is>
      </c>
      <c r="D59" s="8" t="inlineStr">
        <is>
          <t>https://www.cardmarket.com/en/Magic/Products/Booster-Boxes/Commander-Masters-Set-Booster-Box?sellerCountry=13&amp;language=1</t>
        </is>
      </c>
      <c r="E59" t="n">
        <v>380.7323</v>
      </c>
      <c r="F59" t="inlineStr">
        <is>
          <t>TRUE</t>
        </is>
      </c>
      <c r="J59">
        <f>_xlfn.XLOOKUP(tbl_Sourcing[[#This Row],[Product Id]], tbl_Product[Product Id], tbl_Product[Name])</f>
        <v/>
      </c>
      <c r="K59" t="n">
        <v>7</v>
      </c>
      <c r="O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0">
      <c r="A60" t="n">
        <v>229</v>
      </c>
      <c r="B60" t="n">
        <v>60</v>
      </c>
      <c r="C60" t="inlineStr">
        <is>
          <t>Games Lore</t>
        </is>
      </c>
      <c r="D60" s="8" t="inlineStr">
        <is>
          <t>https://www.gameslore.com/mtg-modern-horizons-3-play-booster-display.html</t>
        </is>
      </c>
      <c r="E60" t="n">
        <v>223.99</v>
      </c>
      <c r="F60" t="inlineStr">
        <is>
          <t>TRUE</t>
        </is>
      </c>
      <c r="J60">
        <f>_xlfn.XLOOKUP(tbl_Sourcing[[#This Row],[Product Id]], tbl_Product[Product Id], tbl_Product[Name])</f>
        <v/>
      </c>
      <c r="M60" t="n">
        <v>7</v>
      </c>
      <c r="O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1">
      <c r="A61" t="n">
        <v>375</v>
      </c>
      <c r="B61" t="n">
        <v>227</v>
      </c>
      <c r="C61" t="inlineStr">
        <is>
          <t>Magic Madhouse</t>
        </is>
      </c>
      <c r="D61" s="8" t="inlineStr">
        <is>
          <t>https://magicmadhouse.co.uk/magic-the-gathering-commander-legends-battle-for-baldurs-gate-commander-deck-exit-from-exile-commander-legends-battle-for-baldurs-gate</t>
        </is>
      </c>
      <c r="E61" t="n">
        <v>179.95</v>
      </c>
      <c r="F61" t="inlineStr">
        <is>
          <t>TRUE</t>
        </is>
      </c>
      <c r="J61">
        <f>_xlfn.XLOOKUP(tbl_Sourcing[[#This Row],[Product Id]], tbl_Product[Product Id], tbl_Product[Name])</f>
        <v/>
      </c>
      <c r="N61" t="n">
        <v>7</v>
      </c>
      <c r="O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2">
      <c r="A62" t="n">
        <v>18</v>
      </c>
      <c r="B62" t="n">
        <v>53</v>
      </c>
      <c r="C62" t="inlineStr">
        <is>
          <t>Card Market</t>
        </is>
      </c>
      <c r="D62" s="8" t="inlineStr">
        <is>
          <t>https://www.cardmarket.com/en/Magic/Products/Booster-Boxes/War-of-the-Spark-Booster-Box?sellerCountry=13&amp;language=1</t>
        </is>
      </c>
      <c r="E62" t="n">
        <v>141.24</v>
      </c>
      <c r="F62" t="inlineStr">
        <is>
          <t>TRUE</t>
        </is>
      </c>
      <c r="J62">
        <f>_xlfn.XLOOKUP(tbl_Sourcing[[#This Row],[Product Id]], tbl_Product[Product Id], tbl_Product[Name])</f>
        <v/>
      </c>
      <c r="K62" t="n">
        <v>8</v>
      </c>
      <c r="O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3">
      <c r="A63" t="n">
        <v>230</v>
      </c>
      <c r="B63" t="n">
        <v>121</v>
      </c>
      <c r="C63" t="inlineStr">
        <is>
          <t>Games Lore</t>
        </is>
      </c>
      <c r="D63" s="8" t="inlineStr">
        <is>
          <t>https://www.gameslore.com/mtg-modern-horizons-3-collector-s-booster-pack.html</t>
        </is>
      </c>
      <c r="E63" t="n">
        <v>35.99</v>
      </c>
      <c r="F63" t="inlineStr">
        <is>
          <t>TRUE</t>
        </is>
      </c>
      <c r="J63">
        <f>_xlfn.XLOOKUP(tbl_Sourcing[[#This Row],[Product Id]], tbl_Product[Product Id], tbl_Product[Name])</f>
        <v/>
      </c>
      <c r="M63" t="n">
        <v>8</v>
      </c>
      <c r="O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4">
      <c r="A64" t="n">
        <v>356</v>
      </c>
      <c r="B64" t="n">
        <v>198</v>
      </c>
      <c r="C64" t="inlineStr">
        <is>
          <t>Magic Madhouse</t>
        </is>
      </c>
      <c r="D64" s="8" t="inlineStr">
        <is>
          <t>https://magicmadhouse.co.uk/magic-the-gathering-commander-masters-commander-deck-enduring-enchantments-commander-masters</t>
        </is>
      </c>
      <c r="E64" t="n">
        <v>81.95</v>
      </c>
      <c r="F64" t="inlineStr">
        <is>
          <t>TRUE</t>
        </is>
      </c>
      <c r="J64">
        <f>_xlfn.XLOOKUP(tbl_Sourcing[[#This Row],[Product Id]], tbl_Product[Product Id], tbl_Product[Name])</f>
        <v/>
      </c>
      <c r="N64" t="n">
        <v>8</v>
      </c>
      <c r="O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5">
      <c r="A65" t="n">
        <v>20</v>
      </c>
      <c r="B65" t="n">
        <v>54</v>
      </c>
      <c r="C65" t="inlineStr">
        <is>
          <t>Card Market</t>
        </is>
      </c>
      <c r="D65" s="8" t="inlineStr">
        <is>
          <t>https://www.cardmarket.com/en/Magic/Products/Booster-Boxes/Strixhaven-School-of-Mages-Set-Booster-Box?sellerCountry=13&amp;language=1</t>
        </is>
      </c>
      <c r="E65" t="n">
        <v>153.98752</v>
      </c>
      <c r="F65" t="inlineStr">
        <is>
          <t>TRUE</t>
        </is>
      </c>
      <c r="J65">
        <f>_xlfn.XLOOKUP(tbl_Sourcing[[#This Row],[Product Id]], tbl_Product[Product Id], tbl_Product[Name])</f>
        <v/>
      </c>
      <c r="K65" t="n">
        <v>9</v>
      </c>
      <c r="O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6">
      <c r="A66" t="n">
        <v>231</v>
      </c>
      <c r="B66" t="n">
        <v>93</v>
      </c>
      <c r="C66" t="inlineStr">
        <is>
          <t>Games Lore</t>
        </is>
      </c>
      <c r="D66" s="8" t="inlineStr">
        <is>
          <t>https://www.gameslore.com/mtg-dominaria-united-collector-booster-pack.html</t>
        </is>
      </c>
      <c r="E66" t="n">
        <v>21.99</v>
      </c>
      <c r="F66" t="inlineStr">
        <is>
          <t>TRUE</t>
        </is>
      </c>
      <c r="J66">
        <f>_xlfn.XLOOKUP(tbl_Sourcing[[#This Row],[Product Id]], tbl_Product[Product Id], tbl_Product[Name])</f>
        <v/>
      </c>
      <c r="M66" t="n">
        <v>9</v>
      </c>
      <c r="O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7">
      <c r="A67" t="n">
        <v>355</v>
      </c>
      <c r="B67" t="n">
        <v>197</v>
      </c>
      <c r="C67" t="inlineStr">
        <is>
          <t>Magic Madhouse</t>
        </is>
      </c>
      <c r="D67" s="8" t="inlineStr">
        <is>
          <t>https://magicmadhouse.co.uk/magic-the-gathering-commander-masters-commander-deck-planeswalker-party-commander-masters</t>
        </is>
      </c>
      <c r="E67" t="n">
        <v>83.95</v>
      </c>
      <c r="F67" t="inlineStr">
        <is>
          <t>TRUE</t>
        </is>
      </c>
      <c r="J67">
        <f>_xlfn.XLOOKUP(tbl_Sourcing[[#This Row],[Product Id]], tbl_Product[Product Id], tbl_Product[Name])</f>
        <v/>
      </c>
      <c r="N67" t="n">
        <v>9</v>
      </c>
      <c r="O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8">
      <c r="A68" t="n">
        <v>22</v>
      </c>
      <c r="B68" t="n">
        <v>55</v>
      </c>
      <c r="C68" t="inlineStr">
        <is>
          <t>Card Market</t>
        </is>
      </c>
      <c r="D68" s="8" t="inlineStr">
        <is>
          <t>https://www.cardmarket.com/en/Magic/Products/Booster-Boxes/Throne-of-Eldraine-Booster-Box?sellerCountry=13&amp;language=1</t>
        </is>
      </c>
      <c r="E68" t="n">
        <v>183.88184</v>
      </c>
      <c r="F68" t="inlineStr">
        <is>
          <t>TRUE</t>
        </is>
      </c>
      <c r="J68">
        <f>_xlfn.XLOOKUP(tbl_Sourcing[[#This Row],[Product Id]], tbl_Product[Product Id], tbl_Product[Name])</f>
        <v/>
      </c>
      <c r="K68" t="n">
        <v>10</v>
      </c>
      <c r="O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9">
      <c r="A69" t="n">
        <v>232</v>
      </c>
      <c r="B69" t="n">
        <v>94</v>
      </c>
      <c r="C69" t="inlineStr">
        <is>
          <t>Games Lore</t>
        </is>
      </c>
      <c r="D69" s="8" t="inlineStr">
        <is>
          <t>https://www.gameslore.com/mtg-dominaria-united-collector-booster-display.html</t>
        </is>
      </c>
      <c r="E69" t="n">
        <v>199.99</v>
      </c>
      <c r="F69" t="inlineStr">
        <is>
          <t>TRUE</t>
        </is>
      </c>
      <c r="J69">
        <f>_xlfn.XLOOKUP(tbl_Sourcing[[#This Row],[Product Id]], tbl_Product[Product Id], tbl_Product[Name])</f>
        <v/>
      </c>
      <c r="M69" t="n">
        <v>10</v>
      </c>
      <c r="O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0">
      <c r="A70" t="n">
        <v>373</v>
      </c>
      <c r="B70" t="n">
        <v>196</v>
      </c>
      <c r="C70" t="inlineStr">
        <is>
          <t>Magic Madhouse</t>
        </is>
      </c>
      <c r="D70" s="8" t="inlineStr">
        <is>
          <t>https://magicmadhouse.co.uk/magic-the-gathering-commander-masters-commander-deck-sliver-swarm-commander-masters</t>
        </is>
      </c>
      <c r="E70" t="n">
        <v>239.95</v>
      </c>
      <c r="F70" t="inlineStr">
        <is>
          <t>TRUE</t>
        </is>
      </c>
      <c r="J70">
        <f>_xlfn.XLOOKUP(tbl_Sourcing[[#This Row],[Product Id]], tbl_Product[Product Id], tbl_Product[Name])</f>
        <v/>
      </c>
      <c r="N70" t="n">
        <v>10</v>
      </c>
      <c r="O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1">
      <c r="A71" t="n">
        <v>24</v>
      </c>
      <c r="B71" t="n">
        <v>56</v>
      </c>
      <c r="C71" t="inlineStr">
        <is>
          <t>Card Market</t>
        </is>
      </c>
      <c r="D71" s="8" t="inlineStr">
        <is>
          <t>https://www.cardmarket.com/en/Magic/Products/Booster-Boxes/Outlaws-of-Thunder-Junction-Play-Booster-Box?sellerCountry=13&amp;language=1</t>
        </is>
      </c>
      <c r="E71" t="n">
        <v>149.9</v>
      </c>
      <c r="F71" t="inlineStr">
        <is>
          <t>TRUE</t>
        </is>
      </c>
      <c r="J71">
        <f>_xlfn.XLOOKUP(tbl_Sourcing[[#This Row],[Product Id]], tbl_Product[Product Id], tbl_Product[Name])</f>
        <v/>
      </c>
      <c r="K71" t="n">
        <v>11</v>
      </c>
      <c r="O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2">
      <c r="A72" t="n">
        <v>233</v>
      </c>
      <c r="B72" t="n">
        <v>23</v>
      </c>
      <c r="C72" t="inlineStr">
        <is>
          <t>Games Lore</t>
        </is>
      </c>
      <c r="D72" s="8" t="inlineStr">
        <is>
          <t>https://www.gameslore.com/mtg-ravnica-remastered-draft-booster-pack.html</t>
        </is>
      </c>
      <c r="E72" t="n">
        <v>5.99</v>
      </c>
      <c r="F72" t="inlineStr">
        <is>
          <t>TRUE</t>
        </is>
      </c>
      <c r="J72">
        <f>_xlfn.XLOOKUP(tbl_Sourcing[[#This Row],[Product Id]], tbl_Product[Product Id], tbl_Product[Name])</f>
        <v/>
      </c>
      <c r="M72" t="n">
        <v>11</v>
      </c>
      <c r="O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3">
      <c r="A73" t="n">
        <v>352</v>
      </c>
      <c r="B73" t="n">
        <v>190</v>
      </c>
      <c r="C73" t="inlineStr">
        <is>
          <t>Magic Madhouse</t>
        </is>
      </c>
      <c r="D73" s="8" t="inlineStr">
        <is>
          <t>https://magicmadhouse.co.uk/magic-the-gathering-doctor-who-commander-deck-blast-from-the-past-universes-beyond-doctor-who</t>
        </is>
      </c>
      <c r="E73" t="n">
        <v>39.95</v>
      </c>
      <c r="F73" t="inlineStr">
        <is>
          <t>TRUE</t>
        </is>
      </c>
      <c r="J73">
        <f>_xlfn.XLOOKUP(tbl_Sourcing[[#This Row],[Product Id]], tbl_Product[Product Id], tbl_Product[Name])</f>
        <v/>
      </c>
      <c r="N73" t="n">
        <v>11</v>
      </c>
      <c r="O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4">
      <c r="A74" t="n">
        <v>26</v>
      </c>
      <c r="B74" t="n">
        <v>57</v>
      </c>
      <c r="C74" t="inlineStr">
        <is>
          <t>Card Market</t>
        </is>
      </c>
      <c r="D74" s="8" t="inlineStr">
        <is>
          <t>https://www.cardmarket.com/en/Magic/Products/Booster-Boxes/Magic-The-Gathering-Avatar-The-Last-Airbender-Play-Booster-Box?sellerCountry=13&amp;language=1</t>
        </is>
      </c>
      <c r="E74" t="n">
        <v>143.67346</v>
      </c>
      <c r="F74" t="inlineStr">
        <is>
          <t>TRUE</t>
        </is>
      </c>
      <c r="J74">
        <f>_xlfn.XLOOKUP(tbl_Sourcing[[#This Row],[Product Id]], tbl_Product[Product Id], tbl_Product[Name])</f>
        <v/>
      </c>
      <c r="K74" t="n">
        <v>12</v>
      </c>
      <c r="O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5">
      <c r="A75" t="n">
        <v>234</v>
      </c>
      <c r="B75" t="n">
        <v>68</v>
      </c>
      <c r="C75" t="inlineStr">
        <is>
          <t>Games Lore</t>
        </is>
      </c>
      <c r="D75" s="8" t="inlineStr">
        <is>
          <t>https://www.gameslore.com/mtg-ravnica-remastered-draft-booster-display.html</t>
        </is>
      </c>
      <c r="E75" t="n">
        <v>159.99</v>
      </c>
      <c r="F75" t="inlineStr">
        <is>
          <t>TRUE</t>
        </is>
      </c>
      <c r="J75">
        <f>_xlfn.XLOOKUP(tbl_Sourcing[[#This Row],[Product Id]], tbl_Product[Product Id], tbl_Product[Name])</f>
        <v/>
      </c>
      <c r="M75" t="n">
        <v>12</v>
      </c>
      <c r="O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6">
      <c r="A76" t="n">
        <v>358</v>
      </c>
      <c r="B76" t="n">
        <v>193</v>
      </c>
      <c r="C76" t="inlineStr">
        <is>
          <t>Magic Madhouse</t>
        </is>
      </c>
      <c r="D76" s="8" t="inlineStr">
        <is>
          <t>https://magicmadhouse.co.uk/magic-the-gathering-doctor-who-commander-deck-masters-of-evil-universes-beyond-doctor-who</t>
        </is>
      </c>
      <c r="E76" t="n">
        <v>77.95</v>
      </c>
      <c r="F76" t="inlineStr">
        <is>
          <t>TRUE</t>
        </is>
      </c>
      <c r="J76">
        <f>_xlfn.XLOOKUP(tbl_Sourcing[[#This Row],[Product Id]], tbl_Product[Product Id], tbl_Product[Name])</f>
        <v/>
      </c>
      <c r="N76" t="n">
        <v>12</v>
      </c>
      <c r="O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7">
      <c r="A77" t="n">
        <v>29</v>
      </c>
      <c r="B77" t="n">
        <v>58</v>
      </c>
      <c r="C77" t="inlineStr">
        <is>
          <t>Card Market</t>
        </is>
      </c>
      <c r="D77" s="8" t="inlineStr">
        <is>
          <t>https://www.cardmarket.com/en/Magic/Products/Booster-Boxes/Innistrad-Crimson-Vow-Set-Booster-Box?sellerCountry=13&amp;language=1</t>
        </is>
      </c>
      <c r="E77" t="n">
        <v>157.07914</v>
      </c>
      <c r="F77" t="inlineStr">
        <is>
          <t>TRUE</t>
        </is>
      </c>
      <c r="J77">
        <f>_xlfn.XLOOKUP(tbl_Sourcing[[#This Row],[Product Id]], tbl_Product[Product Id], tbl_Product[Name])</f>
        <v/>
      </c>
      <c r="K77" t="n">
        <v>13</v>
      </c>
      <c r="O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8">
      <c r="A78" t="n">
        <v>30</v>
      </c>
      <c r="B78" t="n">
        <v>58</v>
      </c>
      <c r="C78" t="inlineStr">
        <is>
          <t>Chaos Cards</t>
        </is>
      </c>
      <c r="D78" s="8" t="inlineStr">
        <is>
          <t>https://www.chaoscards.co.uk/prod/booster-boxes-magic/magic-the-gathering-innistrad-crimson-vow-set-booster-box-30-packs</t>
        </is>
      </c>
      <c r="E78" t="n">
        <v>134.95</v>
      </c>
      <c r="F78" t="inlineStr">
        <is>
          <t>FALSE</t>
        </is>
      </c>
      <c r="J78">
        <f>_xlfn.XLOOKUP(tbl_Sourcing[[#This Row],[Product Id]], tbl_Product[Product Id], tbl_Product[Name])</f>
        <v/>
      </c>
      <c r="L78" t="n">
        <v>13</v>
      </c>
      <c r="O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9">
      <c r="A79" t="n">
        <v>235</v>
      </c>
      <c r="B79" t="n">
        <v>35</v>
      </c>
      <c r="C79" t="inlineStr">
        <is>
          <t>Games Lore</t>
        </is>
      </c>
      <c r="D79" s="8" t="inlineStr">
        <is>
          <t>https://www.gameslore.com/mtg-murders-at-karlov-manor-play-booster-pack.html</t>
        </is>
      </c>
      <c r="E79" t="n">
        <v>3.59</v>
      </c>
      <c r="F79" t="inlineStr">
        <is>
          <t>TRUE</t>
        </is>
      </c>
      <c r="J79">
        <f>_xlfn.XLOOKUP(tbl_Sourcing[[#This Row],[Product Id]], tbl_Product[Product Id], tbl_Product[Name])</f>
        <v/>
      </c>
      <c r="M79" t="n">
        <v>13</v>
      </c>
      <c r="O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0">
      <c r="A80" t="n">
        <v>354</v>
      </c>
      <c r="B80" t="n">
        <v>192</v>
      </c>
      <c r="C80" t="inlineStr">
        <is>
          <t>Magic Madhouse</t>
        </is>
      </c>
      <c r="D80" s="8" t="inlineStr">
        <is>
          <t>https://magicmadhouse.co.uk/magic-the-gathering-doctor-who-commander-deck-paradox-power-universes-beyond-doctor-who</t>
        </is>
      </c>
      <c r="E80" t="n">
        <v>37.95</v>
      </c>
      <c r="F80" t="inlineStr">
        <is>
          <t>TRUE</t>
        </is>
      </c>
      <c r="J80">
        <f>_xlfn.XLOOKUP(tbl_Sourcing[[#This Row],[Product Id]], tbl_Product[Product Id], tbl_Product[Name])</f>
        <v/>
      </c>
      <c r="N80" t="n">
        <v>13</v>
      </c>
      <c r="O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1">
      <c r="A81" t="n">
        <v>31</v>
      </c>
      <c r="B81" t="n">
        <v>59</v>
      </c>
      <c r="C81" t="inlineStr">
        <is>
          <t>Card Market</t>
        </is>
      </c>
      <c r="D81" s="8" t="inlineStr">
        <is>
          <t>https://www.cardmarket.com/en/Magic/Products/Booster-Boxes/March-of-the-Machine-Set-Booster-Box?sellerCountry=13&amp;language=1</t>
        </is>
      </c>
      <c r="E81" t="n">
        <v>151.92644</v>
      </c>
      <c r="F81" t="inlineStr">
        <is>
          <t>TRUE</t>
        </is>
      </c>
      <c r="J81">
        <f>_xlfn.XLOOKUP(tbl_Sourcing[[#This Row],[Product Id]], tbl_Product[Product Id], tbl_Product[Name])</f>
        <v/>
      </c>
      <c r="K81" t="n">
        <v>14</v>
      </c>
      <c r="O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2">
      <c r="A82" t="n">
        <v>32</v>
      </c>
      <c r="B82" t="n">
        <v>59</v>
      </c>
      <c r="C82" t="inlineStr">
        <is>
          <t>Chaos Cards</t>
        </is>
      </c>
      <c r="D82" s="8" t="inlineStr">
        <is>
          <t>https://www.chaoscards.co.uk/prod/booster-boxes-magic/magic-the-gathering-march-of-the-machine-set-booster-box-30-packs</t>
        </is>
      </c>
      <c r="E82" t="n">
        <v>114.95</v>
      </c>
      <c r="F82" t="inlineStr">
        <is>
          <t>FALSE</t>
        </is>
      </c>
      <c r="J82">
        <f>_xlfn.XLOOKUP(tbl_Sourcing[[#This Row],[Product Id]], tbl_Product[Product Id], tbl_Product[Name])</f>
        <v/>
      </c>
      <c r="L82" t="n">
        <v>14</v>
      </c>
      <c r="O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3">
      <c r="A83" t="n">
        <v>236</v>
      </c>
      <c r="B83" t="n">
        <v>80</v>
      </c>
      <c r="C83" t="inlineStr">
        <is>
          <t>Games Lore</t>
        </is>
      </c>
      <c r="D83" s="8" t="inlineStr">
        <is>
          <t>https://www.gameslore.com/mtg-murders-at-karlov-manor-play-booster-display.html</t>
        </is>
      </c>
      <c r="E83" t="n">
        <v>126.39</v>
      </c>
      <c r="F83" t="inlineStr">
        <is>
          <t>TRUE</t>
        </is>
      </c>
      <c r="J83">
        <f>_xlfn.XLOOKUP(tbl_Sourcing[[#This Row],[Product Id]], tbl_Product[Product Id], tbl_Product[Name])</f>
        <v/>
      </c>
      <c r="M83" t="n">
        <v>14</v>
      </c>
      <c r="O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4">
      <c r="A84" t="n">
        <v>381</v>
      </c>
      <c r="B84" t="n">
        <v>191</v>
      </c>
      <c r="C84" t="inlineStr">
        <is>
          <t>Magic Madhouse</t>
        </is>
      </c>
      <c r="D84" s="8" t="inlineStr">
        <is>
          <t>https://magicmadhouse.co.uk/magic-the-gathering-doctor-who-commander-deck-timey-wimey-universes-beyond-doctor-who</t>
        </is>
      </c>
      <c r="E84" t="n">
        <v>109.95</v>
      </c>
      <c r="F84" t="inlineStr">
        <is>
          <t>TRUE</t>
        </is>
      </c>
      <c r="J84">
        <f>_xlfn.XLOOKUP(tbl_Sourcing[[#This Row],[Product Id]], tbl_Product[Product Id], tbl_Product[Name])</f>
        <v/>
      </c>
      <c r="N84" t="n">
        <v>14</v>
      </c>
      <c r="O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5">
      <c r="A85" t="n">
        <v>33</v>
      </c>
      <c r="B85" t="n">
        <v>60</v>
      </c>
      <c r="C85" t="inlineStr">
        <is>
          <t>Card Market</t>
        </is>
      </c>
      <c r="D85" s="8" t="inlineStr">
        <is>
          <t>https://www.cardmarket.com/en/Magic/Products/Booster-Boxes/Modern-Horizons-3-Play-Booster-Box?sellerCountry=13&amp;language=1</t>
        </is>
      </c>
      <c r="E85" t="n">
        <v>258.15</v>
      </c>
      <c r="F85" t="inlineStr">
        <is>
          <t>TRUE</t>
        </is>
      </c>
      <c r="J85">
        <f>_xlfn.XLOOKUP(tbl_Sourcing[[#This Row],[Product Id]], tbl_Product[Product Id], tbl_Product[Name])</f>
        <v/>
      </c>
      <c r="K85" t="n">
        <v>15</v>
      </c>
      <c r="O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6">
      <c r="A86" t="n">
        <v>34</v>
      </c>
      <c r="B86" t="n">
        <v>60</v>
      </c>
      <c r="C86" t="inlineStr">
        <is>
          <t>Chaos Cards</t>
        </is>
      </c>
      <c r="D86" s="8" t="inlineStr">
        <is>
          <t>https://www.chaoscards.co.uk/prod/booster-boxes-magic/magic-the-gathering-modern-horizons-3-play-booster-box-36-packs</t>
        </is>
      </c>
      <c r="E86" t="n">
        <v>249.95</v>
      </c>
      <c r="F86" t="inlineStr">
        <is>
          <t>FALSE</t>
        </is>
      </c>
      <c r="J86">
        <f>_xlfn.XLOOKUP(tbl_Sourcing[[#This Row],[Product Id]], tbl_Product[Product Id], tbl_Product[Name])</f>
        <v/>
      </c>
      <c r="L86" t="n">
        <v>15</v>
      </c>
      <c r="O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7">
      <c r="A87" t="n">
        <v>237</v>
      </c>
      <c r="B87" t="n">
        <v>123</v>
      </c>
      <c r="C87" t="inlineStr">
        <is>
          <t>Games Lore</t>
        </is>
      </c>
      <c r="D87" s="8" t="inlineStr">
        <is>
          <t>https://www.gameslore.com/mtg-murders-at-karlov-manor-collector-booster-pack.html</t>
        </is>
      </c>
      <c r="E87" t="n">
        <v>23.49</v>
      </c>
      <c r="F87" t="inlineStr">
        <is>
          <t>TRUE</t>
        </is>
      </c>
      <c r="J87">
        <f>_xlfn.XLOOKUP(tbl_Sourcing[[#This Row],[Product Id]], tbl_Product[Product Id], tbl_Product[Name])</f>
        <v/>
      </c>
      <c r="M87" t="n">
        <v>15</v>
      </c>
      <c r="O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8">
      <c r="A88" t="n">
        <v>346</v>
      </c>
      <c r="B88" t="n">
        <v>150</v>
      </c>
      <c r="C88" t="inlineStr">
        <is>
          <t>Magic Madhouse</t>
        </is>
      </c>
      <c r="D88" s="8" t="inlineStr">
        <is>
          <t>https://magicmadhouse.co.uk/magic-the-gathering-edge-of-eternities-commander-deck-counter-intelligence-edge-of-eternities</t>
        </is>
      </c>
      <c r="E88" t="n">
        <v>49.95</v>
      </c>
      <c r="F88" t="inlineStr">
        <is>
          <t>TRUE</t>
        </is>
      </c>
      <c r="J88">
        <f>_xlfn.XLOOKUP(tbl_Sourcing[[#This Row],[Product Id]], tbl_Product[Product Id], tbl_Product[Name])</f>
        <v/>
      </c>
      <c r="N88" t="n">
        <v>15</v>
      </c>
      <c r="O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9">
      <c r="A89" t="n">
        <v>36</v>
      </c>
      <c r="B89" t="n">
        <v>61</v>
      </c>
      <c r="C89" t="inlineStr">
        <is>
          <t>Card Market</t>
        </is>
      </c>
      <c r="D89" s="8" t="inlineStr">
        <is>
          <t>https://www.cardmarket.com/en/Magic/Products/Booster-Boxes/Magic-The-Gathering-Foundations-Play-Booster-Box?sellerCountry=13&amp;language=1</t>
        </is>
      </c>
      <c r="E89" t="n">
        <v>179.75968</v>
      </c>
      <c r="F89" t="inlineStr">
        <is>
          <t>TRUE</t>
        </is>
      </c>
      <c r="J89">
        <f>_xlfn.XLOOKUP(tbl_Sourcing[[#This Row],[Product Id]], tbl_Product[Product Id], tbl_Product[Name])</f>
        <v/>
      </c>
      <c r="K89" t="n">
        <v>16</v>
      </c>
      <c r="O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0">
      <c r="A90" t="n">
        <v>37</v>
      </c>
      <c r="B90" t="n">
        <v>61</v>
      </c>
      <c r="C90" t="inlineStr">
        <is>
          <t>Chaos Cards</t>
        </is>
      </c>
      <c r="D90" s="8" t="inlineStr">
        <is>
          <t>https://www.chaoscards.co.uk/prod/booster-boxes-magic/magic-the-gathering-foundations-play-booster-box-36-packs</t>
        </is>
      </c>
      <c r="E90" t="n">
        <v>127.95</v>
      </c>
      <c r="F90" t="inlineStr">
        <is>
          <t>FALSE</t>
        </is>
      </c>
      <c r="J90">
        <f>_xlfn.XLOOKUP(tbl_Sourcing[[#This Row],[Product Id]], tbl_Product[Product Id], tbl_Product[Name])</f>
        <v/>
      </c>
      <c r="L90" t="n">
        <v>16</v>
      </c>
      <c r="O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1">
      <c r="A91" t="n">
        <v>238</v>
      </c>
      <c r="B91" t="n">
        <v>124</v>
      </c>
      <c r="C91" t="inlineStr">
        <is>
          <t>Games Lore</t>
        </is>
      </c>
      <c r="D91" s="8" t="inlineStr">
        <is>
          <t>https://www.gameslore.com/mtg-murders-at-karlov-manor-collector-booster-display.html</t>
        </is>
      </c>
      <c r="E91" t="n">
        <v>219.99</v>
      </c>
      <c r="F91" t="inlineStr">
        <is>
          <t>TRUE</t>
        </is>
      </c>
      <c r="J91">
        <f>_xlfn.XLOOKUP(tbl_Sourcing[[#This Row],[Product Id]], tbl_Product[Product Id], tbl_Product[Name])</f>
        <v/>
      </c>
      <c r="M91" t="n">
        <v>16</v>
      </c>
      <c r="O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2">
      <c r="A92" t="n">
        <v>345</v>
      </c>
      <c r="B92" t="n">
        <v>149</v>
      </c>
      <c r="C92" t="inlineStr">
        <is>
          <t>Magic Madhouse</t>
        </is>
      </c>
      <c r="D92" s="8" t="inlineStr">
        <is>
          <t>https://magicmadhouse.co.uk/magic-the-gathering-edge-of-eternities-commander-deck-world-shaper-edge-of-eternities</t>
        </is>
      </c>
      <c r="E92" t="n">
        <v>49.95</v>
      </c>
      <c r="F92" t="inlineStr">
        <is>
          <t>TRUE</t>
        </is>
      </c>
      <c r="J92">
        <f>_xlfn.XLOOKUP(tbl_Sourcing[[#This Row],[Product Id]], tbl_Product[Product Id], tbl_Product[Name])</f>
        <v/>
      </c>
      <c r="N92" t="n">
        <v>16</v>
      </c>
      <c r="O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3">
      <c r="A93" t="n">
        <v>41</v>
      </c>
      <c r="B93" t="n">
        <v>63</v>
      </c>
      <c r="C93" t="inlineStr">
        <is>
          <t>Card Market</t>
        </is>
      </c>
      <c r="D93" s="8" t="inlineStr">
        <is>
          <t>https://www.cardmarket.com/en/Magic/Products/Booster-Boxes/Universes-Beyond-Assassins-Creed-Beyond-Booster-Display?sellerCountry=13&amp;language=1</t>
        </is>
      </c>
      <c r="E93" t="n">
        <v>138.52942</v>
      </c>
      <c r="F93" t="inlineStr">
        <is>
          <t>TRUE</t>
        </is>
      </c>
      <c r="J93">
        <f>_xlfn.XLOOKUP(tbl_Sourcing[[#This Row],[Product Id]], tbl_Product[Product Id], tbl_Product[Name])</f>
        <v/>
      </c>
      <c r="K93" t="n">
        <v>17</v>
      </c>
      <c r="O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4">
      <c r="A94" t="n">
        <v>40</v>
      </c>
      <c r="B94" t="n">
        <v>62</v>
      </c>
      <c r="C94" t="inlineStr">
        <is>
          <t>Chaos Cards</t>
        </is>
      </c>
      <c r="D94" s="8" t="inlineStr">
        <is>
          <t>https://www.chaoscards.co.uk/prod/booster-boxes-magic/magic-the-gathering-dominaria-booster-box-36-packs</t>
        </is>
      </c>
      <c r="E94" t="n">
        <v>84.95</v>
      </c>
      <c r="F94" t="inlineStr">
        <is>
          <t>FALSE</t>
        </is>
      </c>
      <c r="J94">
        <f>_xlfn.XLOOKUP(tbl_Sourcing[[#This Row],[Product Id]], tbl_Product[Product Id], tbl_Product[Name])</f>
        <v/>
      </c>
      <c r="L94" t="n">
        <v>17</v>
      </c>
      <c r="O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5">
      <c r="A95" t="n">
        <v>239</v>
      </c>
      <c r="B95" t="n">
        <v>3</v>
      </c>
      <c r="C95" t="inlineStr">
        <is>
          <t>Games Lore</t>
        </is>
      </c>
      <c r="D95" s="8" t="inlineStr">
        <is>
          <t>https://www.gameslore.com/mtg-innistrad-remastered-play-booster-pack.html</t>
        </is>
      </c>
      <c r="E95" t="n">
        <v>6.25</v>
      </c>
      <c r="F95" t="inlineStr">
        <is>
          <t>TRUE</t>
        </is>
      </c>
      <c r="J95">
        <f>_xlfn.XLOOKUP(tbl_Sourcing[[#This Row],[Product Id]], tbl_Product[Product Id], tbl_Product[Name])</f>
        <v/>
      </c>
      <c r="M95" t="n">
        <v>17</v>
      </c>
      <c r="O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6">
      <c r="A96" t="n">
        <v>380</v>
      </c>
      <c r="B96" t="n">
        <v>181</v>
      </c>
      <c r="C96" t="inlineStr">
        <is>
          <t>Magic Madhouse</t>
        </is>
      </c>
      <c r="D96" s="8" t="inlineStr">
        <is>
          <t>https://magicmadhouse.co.uk/magic-the-gathering-fallout-commander-deck-mutant-menace-universes-beyond-fallout</t>
        </is>
      </c>
      <c r="E96" t="n">
        <v>109.95</v>
      </c>
      <c r="F96" t="inlineStr">
        <is>
          <t>TRUE</t>
        </is>
      </c>
      <c r="J96">
        <f>_xlfn.XLOOKUP(tbl_Sourcing[[#This Row],[Product Id]], tbl_Product[Product Id], tbl_Product[Name])</f>
        <v/>
      </c>
      <c r="N96" t="n">
        <v>17</v>
      </c>
      <c r="O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7">
      <c r="A97" t="n">
        <v>44</v>
      </c>
      <c r="B97" t="n">
        <v>64</v>
      </c>
      <c r="C97" t="inlineStr">
        <is>
          <t>Card Market</t>
        </is>
      </c>
      <c r="D97" s="8" t="inlineStr">
        <is>
          <t>https://www.cardmarket.com/en/Magic/Products/Booster-Boxes/Magic-The-Gathering-Marvels-Spider-Man-Play-Booster-Box?sellerCountry=13&amp;language=1</t>
        </is>
      </c>
      <c r="E97" t="n">
        <v>85.93133999999999</v>
      </c>
      <c r="F97" t="inlineStr">
        <is>
          <t>TRUE</t>
        </is>
      </c>
      <c r="J97">
        <f>_xlfn.XLOOKUP(tbl_Sourcing[[#This Row],[Product Id]], tbl_Product[Product Id], tbl_Product[Name])</f>
        <v/>
      </c>
      <c r="K97" t="n">
        <v>18</v>
      </c>
      <c r="O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8">
      <c r="A98" t="n">
        <v>42</v>
      </c>
      <c r="B98" t="n">
        <v>63</v>
      </c>
      <c r="C98" t="inlineStr">
        <is>
          <t>Chaos Cards</t>
        </is>
      </c>
      <c r="D98" s="8" t="inlineStr">
        <is>
          <t>https://www.chaoscards.co.uk/prod/booster-boxes-magic/magic-the-gathering-assassins-creed-beyond-booster-box-24-packs</t>
        </is>
      </c>
      <c r="E98" t="n">
        <v>114.5</v>
      </c>
      <c r="F98" t="inlineStr">
        <is>
          <t>FALSE</t>
        </is>
      </c>
      <c r="J98">
        <f>_xlfn.XLOOKUP(tbl_Sourcing[[#This Row],[Product Id]], tbl_Product[Product Id], tbl_Product[Name])</f>
        <v/>
      </c>
      <c r="L98" t="n">
        <v>18</v>
      </c>
      <c r="O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9">
      <c r="A99" t="n">
        <v>240</v>
      </c>
      <c r="B99" t="n">
        <v>48</v>
      </c>
      <c r="C99" t="inlineStr">
        <is>
          <t>Games Lore</t>
        </is>
      </c>
      <c r="D99" s="8" t="inlineStr">
        <is>
          <t>https://www.gameslore.com/mtg-innistrad-remastered-play-booster-display.html</t>
        </is>
      </c>
      <c r="E99" t="n">
        <v>184.49</v>
      </c>
      <c r="F99" t="inlineStr">
        <is>
          <t>TRUE</t>
        </is>
      </c>
      <c r="J99">
        <f>_xlfn.XLOOKUP(tbl_Sourcing[[#This Row],[Product Id]], tbl_Product[Product Id], tbl_Product[Name])</f>
        <v/>
      </c>
      <c r="M99" t="n">
        <v>18</v>
      </c>
      <c r="O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0">
      <c r="A100" t="n">
        <v>349</v>
      </c>
      <c r="B100" t="n">
        <v>179</v>
      </c>
      <c r="C100" t="inlineStr">
        <is>
          <t>Magic Madhouse</t>
        </is>
      </c>
      <c r="D100" s="8" t="inlineStr">
        <is>
          <t>https://magicmadhouse.co.uk/magic-the-gathering-fallout-commander-deck-science-universes-beyond-fallout</t>
        </is>
      </c>
      <c r="E100" t="n">
        <v>44.95</v>
      </c>
      <c r="F100" t="inlineStr">
        <is>
          <t>TRUE</t>
        </is>
      </c>
      <c r="J100">
        <f>_xlfn.XLOOKUP(tbl_Sourcing[[#This Row],[Product Id]], tbl_Product[Product Id], tbl_Product[Name])</f>
        <v/>
      </c>
      <c r="N100" t="n">
        <v>18</v>
      </c>
      <c r="O1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1">
      <c r="A101" t="n">
        <v>48</v>
      </c>
      <c r="B101" t="n">
        <v>65</v>
      </c>
      <c r="C101" t="inlineStr">
        <is>
          <t>Card Market</t>
        </is>
      </c>
      <c r="D101" s="8" t="inlineStr">
        <is>
          <t>https://www.cardmarket.com/en/Magic/Products/Booster-Boxes/Edge-of-Eternities-Play-Booster-Box?sellerCountry=13&amp;language=1</t>
        </is>
      </c>
      <c r="E101" t="n">
        <v>169.39366</v>
      </c>
      <c r="F101" t="inlineStr">
        <is>
          <t>TRUE</t>
        </is>
      </c>
      <c r="J101">
        <f>_xlfn.XLOOKUP(tbl_Sourcing[[#This Row],[Product Id]], tbl_Product[Product Id], tbl_Product[Name])</f>
        <v/>
      </c>
      <c r="K101" t="n">
        <v>19</v>
      </c>
      <c r="O1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2">
      <c r="A102" t="n">
        <v>45</v>
      </c>
      <c r="B102" t="n">
        <v>64</v>
      </c>
      <c r="C102" t="inlineStr">
        <is>
          <t>Chaos Cards</t>
        </is>
      </c>
      <c r="D102" s="8" t="inlineStr">
        <is>
          <t>https://www.chaoscards.co.uk/prod/booster-boxes-magic/magic-the-gathering-marvels-spider-man-play-booster-box-30-packs</t>
        </is>
      </c>
      <c r="E102" t="n">
        <v>149.95</v>
      </c>
      <c r="F102" t="inlineStr">
        <is>
          <t>TRUE</t>
        </is>
      </c>
      <c r="J102">
        <f>_xlfn.XLOOKUP(tbl_Sourcing[[#This Row],[Product Id]], tbl_Product[Product Id], tbl_Product[Name])</f>
        <v/>
      </c>
      <c r="L102" t="n">
        <v>19</v>
      </c>
      <c r="O1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3">
      <c r="A103" t="n">
        <v>241</v>
      </c>
      <c r="B103" t="n">
        <v>105</v>
      </c>
      <c r="C103" t="inlineStr">
        <is>
          <t>Games Lore</t>
        </is>
      </c>
      <c r="D103" s="8" t="inlineStr">
        <is>
          <t>https://www.gameslore.com/mtg-innistrad-remastered-collector-booster-pack.html</t>
        </is>
      </c>
      <c r="E103" t="n">
        <v>27.99</v>
      </c>
      <c r="F103" t="inlineStr">
        <is>
          <t>TRUE</t>
        </is>
      </c>
      <c r="J103">
        <f>_xlfn.XLOOKUP(tbl_Sourcing[[#This Row],[Product Id]], tbl_Product[Product Id], tbl_Product[Name])</f>
        <v/>
      </c>
      <c r="M103" t="n">
        <v>19</v>
      </c>
      <c r="O1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4">
      <c r="A104" t="n">
        <v>359</v>
      </c>
      <c r="B104" t="n">
        <v>178</v>
      </c>
      <c r="C104" t="inlineStr">
        <is>
          <t>Magic Madhouse</t>
        </is>
      </c>
      <c r="D104" s="8" t="inlineStr">
        <is>
          <t>https://magicmadhouse.co.uk/magic-the-gathering-fallout-commander-deck-scrappy-survivors-universes-beyond-fallout</t>
        </is>
      </c>
      <c r="E104" t="n">
        <v>77.95</v>
      </c>
      <c r="F104" t="inlineStr">
        <is>
          <t>TRUE</t>
        </is>
      </c>
      <c r="J104">
        <f>_xlfn.XLOOKUP(tbl_Sourcing[[#This Row],[Product Id]], tbl_Product[Product Id], tbl_Product[Name])</f>
        <v/>
      </c>
      <c r="N104" t="n">
        <v>19</v>
      </c>
      <c r="O1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5">
      <c r="A105" t="n">
        <v>50</v>
      </c>
      <c r="B105" t="n">
        <v>66</v>
      </c>
      <c r="C105" t="inlineStr">
        <is>
          <t>Card Market</t>
        </is>
      </c>
      <c r="D105" s="8" t="inlineStr">
        <is>
          <t>https://www.cardmarket.com/en/Magic/Products/Booster-Boxes/The-Lord-of-the-Rings-Tales-of-Middle-earth-Set-Booster-Box?sellerCountry=13&amp;language=1</t>
        </is>
      </c>
      <c r="E105" t="n">
        <v>329.17932</v>
      </c>
      <c r="F105" t="inlineStr">
        <is>
          <t>TRUE</t>
        </is>
      </c>
      <c r="J105">
        <f>_xlfn.XLOOKUP(tbl_Sourcing[[#This Row],[Product Id]], tbl_Product[Product Id], tbl_Product[Name])</f>
        <v/>
      </c>
      <c r="K105" t="n">
        <v>20</v>
      </c>
      <c r="O1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6">
      <c r="A106" t="n">
        <v>49</v>
      </c>
      <c r="B106" t="n">
        <v>65</v>
      </c>
      <c r="C106" t="inlineStr">
        <is>
          <t>Chaos Cards</t>
        </is>
      </c>
      <c r="D106" s="8" t="inlineStr">
        <is>
          <t>https://www.chaoscards.co.uk/prod/booster-boxes-magic/magic-the-gathering-edge-of-eternities-play-booster-box-30-packs</t>
        </is>
      </c>
      <c r="E106" t="n">
        <v>119.95</v>
      </c>
      <c r="F106" t="inlineStr">
        <is>
          <t>FALSE</t>
        </is>
      </c>
      <c r="J106">
        <f>_xlfn.XLOOKUP(tbl_Sourcing[[#This Row],[Product Id]], tbl_Product[Product Id], tbl_Product[Name])</f>
        <v/>
      </c>
      <c r="L106" t="n">
        <v>20</v>
      </c>
      <c r="O1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7">
      <c r="A107" t="n">
        <v>242</v>
      </c>
      <c r="B107" t="n">
        <v>103</v>
      </c>
      <c r="C107" t="inlineStr">
        <is>
          <t>Games Lore</t>
        </is>
      </c>
      <c r="D107" s="8" t="inlineStr">
        <is>
          <t>https://www.gameslore.com/mtg-innistrad-midnight-hunt-collector-booster-pack.html</t>
        </is>
      </c>
      <c r="E107" t="n">
        <v>15.99</v>
      </c>
      <c r="F107" t="inlineStr">
        <is>
          <t>TRUE</t>
        </is>
      </c>
      <c r="J107">
        <f>_xlfn.XLOOKUP(tbl_Sourcing[[#This Row],[Product Id]], tbl_Product[Product Id], tbl_Product[Name])</f>
        <v/>
      </c>
      <c r="M107" t="n">
        <v>20</v>
      </c>
      <c r="O1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8">
      <c r="A108" t="n">
        <v>368</v>
      </c>
      <c r="B108" t="n">
        <v>153</v>
      </c>
      <c r="C108" t="inlineStr">
        <is>
          <t>Magic Madhouse</t>
        </is>
      </c>
      <c r="D108" s="8" t="inlineStr">
        <is>
          <t>https://magicmadhouse.co.uk/magic-the-gathering-final-fantasy-commander-deck-counter-blitz-final-fantasy</t>
        </is>
      </c>
      <c r="E108" t="n">
        <v>65.95</v>
      </c>
      <c r="F108" t="inlineStr">
        <is>
          <t>TRUE</t>
        </is>
      </c>
      <c r="J108">
        <f>_xlfn.XLOOKUP(tbl_Sourcing[[#This Row],[Product Id]], tbl_Product[Product Id], tbl_Product[Name])</f>
        <v/>
      </c>
      <c r="N108" t="n">
        <v>20</v>
      </c>
      <c r="O1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9">
      <c r="A109" t="n">
        <v>52</v>
      </c>
      <c r="B109" t="n">
        <v>67</v>
      </c>
      <c r="C109" t="inlineStr">
        <is>
          <t>Card Market</t>
        </is>
      </c>
      <c r="D109" s="8" t="inlineStr">
        <is>
          <t>https://www.cardmarket.com/en/Magic/Products/Booster-Boxes/Phyrexia-All-Will-Be-One-Set-Booster-Box?sellerCountry=13&amp;language=1</t>
        </is>
      </c>
      <c r="E109" t="n">
        <v>180.21</v>
      </c>
      <c r="F109" t="inlineStr">
        <is>
          <t>TRUE</t>
        </is>
      </c>
      <c r="J109">
        <f>_xlfn.XLOOKUP(tbl_Sourcing[[#This Row],[Product Id]], tbl_Product[Product Id], tbl_Product[Name])</f>
        <v/>
      </c>
      <c r="K109" t="n">
        <v>21</v>
      </c>
      <c r="O1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0">
      <c r="A110" t="n">
        <v>51</v>
      </c>
      <c r="B110" t="n">
        <v>66</v>
      </c>
      <c r="C110" t="inlineStr">
        <is>
          <t>Chaos Cards</t>
        </is>
      </c>
      <c r="D110" s="8" t="inlineStr">
        <is>
          <t>https://www.chaoscards.co.uk/prod/booster-boxes-magic/magic-the-gathering-lord-of-the-rings-tales-of-middle-earth-set-booster-box-30-packs</t>
        </is>
      </c>
      <c r="E110" t="n">
        <v>174.95</v>
      </c>
      <c r="F110" t="inlineStr">
        <is>
          <t>FALSE</t>
        </is>
      </c>
      <c r="J110">
        <f>_xlfn.XLOOKUP(tbl_Sourcing[[#This Row],[Product Id]], tbl_Product[Product Id], tbl_Product[Name])</f>
        <v/>
      </c>
      <c r="L110" t="n">
        <v>21</v>
      </c>
      <c r="O1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1">
      <c r="A111" t="n">
        <v>243</v>
      </c>
      <c r="B111" t="n">
        <v>104</v>
      </c>
      <c r="C111" t="inlineStr">
        <is>
          <t>Games Lore</t>
        </is>
      </c>
      <c r="D111" s="8" t="inlineStr">
        <is>
          <t>https://www.gameslore.com/mtg-innistrad-midnight-hunt-collector-booster-display.html</t>
        </is>
      </c>
      <c r="E111" t="n">
        <v>119.99</v>
      </c>
      <c r="F111" t="inlineStr">
        <is>
          <t>TRUE</t>
        </is>
      </c>
      <c r="J111">
        <f>_xlfn.XLOOKUP(tbl_Sourcing[[#This Row],[Product Id]], tbl_Product[Product Id], tbl_Product[Name])</f>
        <v/>
      </c>
      <c r="M111" t="n">
        <v>21</v>
      </c>
      <c r="O1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2">
      <c r="A112" t="n">
        <v>361</v>
      </c>
      <c r="B112" t="n">
        <v>152</v>
      </c>
      <c r="C112" t="inlineStr">
        <is>
          <t>Magic Madhouse</t>
        </is>
      </c>
      <c r="D112" s="8" t="inlineStr">
        <is>
          <t>https://magicmadhouse.co.uk/magic-the-gathering-final-fantasy-commander-deck-limit-break-final-fantasy</t>
        </is>
      </c>
      <c r="E112" t="n">
        <v>71.95</v>
      </c>
      <c r="F112" t="inlineStr">
        <is>
          <t>TRUE</t>
        </is>
      </c>
      <c r="J112">
        <f>_xlfn.XLOOKUP(tbl_Sourcing[[#This Row],[Product Id]], tbl_Product[Product Id], tbl_Product[Name])</f>
        <v/>
      </c>
      <c r="N112" t="n">
        <v>21</v>
      </c>
      <c r="O1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3">
      <c r="A113" t="n">
        <v>54</v>
      </c>
      <c r="B113" t="n">
        <v>68</v>
      </c>
      <c r="C113" t="inlineStr">
        <is>
          <t>Card Market</t>
        </is>
      </c>
      <c r="D113" s="8" t="inlineStr">
        <is>
          <t>https://www.cardmarket.com/en/Magic/Products/Booster-Boxes/Ravnica-Remastered-Draft-Booster-Box?sellerCountry=13&amp;language=1</t>
        </is>
      </c>
      <c r="E113" t="n">
        <v>158.56</v>
      </c>
      <c r="F113" t="inlineStr">
        <is>
          <t>TRUE</t>
        </is>
      </c>
      <c r="J113">
        <f>_xlfn.XLOOKUP(tbl_Sourcing[[#This Row],[Product Id]], tbl_Product[Product Id], tbl_Product[Name])</f>
        <v/>
      </c>
      <c r="K113" t="n">
        <v>22</v>
      </c>
      <c r="O1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4">
      <c r="A114" t="n">
        <v>53</v>
      </c>
      <c r="B114" t="n">
        <v>67</v>
      </c>
      <c r="C114" t="inlineStr">
        <is>
          <t>Chaos Cards</t>
        </is>
      </c>
      <c r="D114" s="8" t="inlineStr">
        <is>
          <t>https://www.chaoscards.co.uk/prod/booster-boxes-magic/magic-the-gathering-phyrexia-all-will-be-one-set-booster-box-30-packs</t>
        </is>
      </c>
      <c r="E114" t="n">
        <v>114.95</v>
      </c>
      <c r="F114" t="inlineStr">
        <is>
          <t>FALSE</t>
        </is>
      </c>
      <c r="J114">
        <f>_xlfn.XLOOKUP(tbl_Sourcing[[#This Row],[Product Id]], tbl_Product[Product Id], tbl_Product[Name])</f>
        <v/>
      </c>
      <c r="L114" t="n">
        <v>22</v>
      </c>
      <c r="O1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5">
      <c r="A115" t="n">
        <v>244</v>
      </c>
      <c r="B115" t="n">
        <v>26</v>
      </c>
      <c r="C115" t="inlineStr">
        <is>
          <t>Games Lore</t>
        </is>
      </c>
      <c r="D115" s="8" t="inlineStr">
        <is>
          <t>https://www.gameslore.com/mtg-duskmourn-play-booster-pack.html</t>
        </is>
      </c>
      <c r="E115" t="n">
        <v>4.25</v>
      </c>
      <c r="F115" t="inlineStr">
        <is>
          <t>TRUE</t>
        </is>
      </c>
      <c r="J115">
        <f>_xlfn.XLOOKUP(tbl_Sourcing[[#This Row],[Product Id]], tbl_Product[Product Id], tbl_Product[Name])</f>
        <v/>
      </c>
      <c r="M115" t="n">
        <v>22</v>
      </c>
      <c r="O1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6">
      <c r="A116" t="n">
        <v>348</v>
      </c>
      <c r="B116" t="n">
        <v>151</v>
      </c>
      <c r="C116" t="inlineStr">
        <is>
          <t>Magic Madhouse</t>
        </is>
      </c>
      <c r="D116" s="8" t="inlineStr">
        <is>
          <t>https://magicmadhouse.co.uk/magic-the-gathering-final-fantasy-commander-deck-revival-trance-final-fantasy</t>
        </is>
      </c>
      <c r="E116" t="n">
        <v>48.95</v>
      </c>
      <c r="F116" t="inlineStr">
        <is>
          <t>TRUE</t>
        </is>
      </c>
      <c r="J116">
        <f>_xlfn.XLOOKUP(tbl_Sourcing[[#This Row],[Product Id]], tbl_Product[Product Id], tbl_Product[Name])</f>
        <v/>
      </c>
      <c r="N116" t="n">
        <v>22</v>
      </c>
      <c r="O1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7">
      <c r="A117" t="n">
        <v>57</v>
      </c>
      <c r="B117" t="n">
        <v>69</v>
      </c>
      <c r="C117" t="inlineStr">
        <is>
          <t>Card Market</t>
        </is>
      </c>
      <c r="D117" s="8" t="inlineStr">
        <is>
          <t>https://www.cardmarket.com/en/Magic/Products/Booster-Boxes/Kamigawa-Neon-Dynasty-Set-Booster-Box?sellerCountry=13&amp;language=1</t>
        </is>
      </c>
      <c r="F117" t="inlineStr">
        <is>
          <t>FALSE</t>
        </is>
      </c>
      <c r="J117">
        <f>_xlfn.XLOOKUP(tbl_Sourcing[[#This Row],[Product Id]], tbl_Product[Product Id], tbl_Product[Name])</f>
        <v/>
      </c>
      <c r="K117" t="n">
        <v>23</v>
      </c>
      <c r="O1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8">
      <c r="A118" t="n">
        <v>55</v>
      </c>
      <c r="B118" t="n">
        <v>68</v>
      </c>
      <c r="C118" t="inlineStr">
        <is>
          <t>Chaos Cards</t>
        </is>
      </c>
      <c r="D118" s="8" t="inlineStr">
        <is>
          <t>https://www.chaoscards.co.uk/prod/booster-boxes-magic/magic-the-gathering-ravnica-remastered-draft-booster-box-36-packs</t>
        </is>
      </c>
      <c r="E118" t="n">
        <v>179.95</v>
      </c>
      <c r="F118" t="inlineStr">
        <is>
          <t>FALSE</t>
        </is>
      </c>
      <c r="J118">
        <f>_xlfn.XLOOKUP(tbl_Sourcing[[#This Row],[Product Id]], tbl_Product[Product Id], tbl_Product[Name])</f>
        <v/>
      </c>
      <c r="L118" t="n">
        <v>23</v>
      </c>
      <c r="O1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9">
      <c r="A119" t="n">
        <v>245</v>
      </c>
      <c r="B119" t="n">
        <v>71</v>
      </c>
      <c r="C119" t="inlineStr">
        <is>
          <t>Games Lore</t>
        </is>
      </c>
      <c r="D119" s="8" t="inlineStr">
        <is>
          <t>https://www.gameslore.com/mtg-duskmourn-play-booster-display.html</t>
        </is>
      </c>
      <c r="E119" t="n">
        <v>119.99</v>
      </c>
      <c r="F119" t="inlineStr">
        <is>
          <t>TRUE</t>
        </is>
      </c>
      <c r="J119">
        <f>_xlfn.XLOOKUP(tbl_Sourcing[[#This Row],[Product Id]], tbl_Product[Product Id], tbl_Product[Name])</f>
        <v/>
      </c>
      <c r="M119" t="n">
        <v>23</v>
      </c>
      <c r="O1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0">
      <c r="A120" t="n">
        <v>369</v>
      </c>
      <c r="B120" t="n">
        <v>154</v>
      </c>
      <c r="C120" t="inlineStr">
        <is>
          <t>Magic Madhouse</t>
        </is>
      </c>
      <c r="D120" s="8" t="inlineStr">
        <is>
          <t>https://magicmadhouse.co.uk/magic-the-gathering-final-fantasy-commander-deck-scions-spellcraft-final-fantasy</t>
        </is>
      </c>
      <c r="E120" t="n">
        <v>65.95</v>
      </c>
      <c r="F120" t="inlineStr">
        <is>
          <t>TRUE</t>
        </is>
      </c>
      <c r="J120">
        <f>_xlfn.XLOOKUP(tbl_Sourcing[[#This Row],[Product Id]], tbl_Product[Product Id], tbl_Product[Name])</f>
        <v/>
      </c>
      <c r="N120" t="n">
        <v>23</v>
      </c>
      <c r="O1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1">
      <c r="A121" t="n">
        <v>59</v>
      </c>
      <c r="B121" t="n">
        <v>70</v>
      </c>
      <c r="C121" t="inlineStr">
        <is>
          <t>Card Market</t>
        </is>
      </c>
      <c r="D121" s="8" t="inlineStr">
        <is>
          <t>https://www.cardmarket.com/en/Magic/Products/Booster-Boxes/Aetherdrift-Play-Booster-Box?sellerCountry=13&amp;language=1</t>
        </is>
      </c>
      <c r="E121" t="n">
        <v>81.61</v>
      </c>
      <c r="F121" t="inlineStr">
        <is>
          <t>TRUE</t>
        </is>
      </c>
      <c r="J121">
        <f>_xlfn.XLOOKUP(tbl_Sourcing[[#This Row],[Product Id]], tbl_Product[Product Id], tbl_Product[Name])</f>
        <v/>
      </c>
      <c r="K121" t="n">
        <v>24</v>
      </c>
      <c r="O1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2">
      <c r="A122" t="n">
        <v>58</v>
      </c>
      <c r="B122" t="n">
        <v>69</v>
      </c>
      <c r="C122" t="inlineStr">
        <is>
          <t>Chaos Cards</t>
        </is>
      </c>
      <c r="D122" s="8" t="inlineStr">
        <is>
          <t>https://www.chaoscards.co.uk/prod/booster-boxes-magic/magic-the-gathering-kamigawa-neon-dynasty-set-booster-box-30-packs</t>
        </is>
      </c>
      <c r="E122" t="n">
        <v>116.95</v>
      </c>
      <c r="F122" t="inlineStr">
        <is>
          <t>FALSE</t>
        </is>
      </c>
      <c r="J122">
        <f>_xlfn.XLOOKUP(tbl_Sourcing[[#This Row],[Product Id]], tbl_Product[Product Id], tbl_Product[Name])</f>
        <v/>
      </c>
      <c r="L122" t="n">
        <v>24</v>
      </c>
      <c r="O1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3">
      <c r="A123" t="n">
        <v>246</v>
      </c>
      <c r="B123" t="n">
        <v>7</v>
      </c>
      <c r="C123" t="inlineStr">
        <is>
          <t>Games Lore</t>
        </is>
      </c>
      <c r="D123" s="8" t="inlineStr">
        <is>
          <t>https://www.gameslore.com/mtg-commander-masters-set-booster-pack.html</t>
        </is>
      </c>
      <c r="E123" t="n">
        <v>14.79</v>
      </c>
      <c r="F123" t="inlineStr">
        <is>
          <t>TRUE</t>
        </is>
      </c>
      <c r="J123">
        <f>_xlfn.XLOOKUP(tbl_Sourcing[[#This Row],[Product Id]], tbl_Product[Product Id], tbl_Product[Name])</f>
        <v/>
      </c>
      <c r="M123" t="n">
        <v>24</v>
      </c>
      <c r="O1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4">
      <c r="A124" t="n">
        <v>357</v>
      </c>
      <c r="B124" t="n">
        <v>233</v>
      </c>
      <c r="C124" t="inlineStr">
        <is>
          <t>Magic Madhouse</t>
        </is>
      </c>
      <c r="D124" s="8" t="inlineStr">
        <is>
          <t>https://magicmadhouse.co.uk/magic-the-gathering-kamigawa-neon-dynasty-commander-deck-buckle-up-kamigawa-neon-dynasty</t>
        </is>
      </c>
      <c r="E124" t="n">
        <v>79.95</v>
      </c>
      <c r="F124" t="inlineStr">
        <is>
          <t>TRUE</t>
        </is>
      </c>
      <c r="J124">
        <f>_xlfn.XLOOKUP(tbl_Sourcing[[#This Row],[Product Id]], tbl_Product[Product Id], tbl_Product[Name])</f>
        <v/>
      </c>
      <c r="N124" t="n">
        <v>24</v>
      </c>
      <c r="O1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5">
      <c r="A125" t="n">
        <v>63</v>
      </c>
      <c r="B125" t="n">
        <v>71</v>
      </c>
      <c r="C125" t="inlineStr">
        <is>
          <t>Card Market</t>
        </is>
      </c>
      <c r="D125" s="8" t="inlineStr">
        <is>
          <t>https://www.cardmarket.com/en/Magic/Products/Booster-Boxes/Duskmourn-House-of-Horror-Play-Booster-Box?sellerCountry=13&amp;language=1</t>
        </is>
      </c>
      <c r="E125" t="n">
        <v>145.56134</v>
      </c>
      <c r="F125" t="inlineStr">
        <is>
          <t>TRUE</t>
        </is>
      </c>
      <c r="J125">
        <f>_xlfn.XLOOKUP(tbl_Sourcing[[#This Row],[Product Id]], tbl_Product[Product Id], tbl_Product[Name])</f>
        <v/>
      </c>
      <c r="K125" t="n">
        <v>25</v>
      </c>
      <c r="O1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6">
      <c r="A126" t="n">
        <v>60</v>
      </c>
      <c r="B126" t="n">
        <v>70</v>
      </c>
      <c r="C126" t="inlineStr">
        <is>
          <t>Chaos Cards</t>
        </is>
      </c>
      <c r="D126" s="8" t="inlineStr">
        <is>
          <t>https://www.chaoscards.co.uk/prod/booster-boxes-magic/magic-the-gathering-aetherdrift-play-booster-box-30-packs</t>
        </is>
      </c>
      <c r="E126" t="n">
        <v>112.95</v>
      </c>
      <c r="F126" t="inlineStr">
        <is>
          <t>TRUE</t>
        </is>
      </c>
      <c r="J126">
        <f>_xlfn.XLOOKUP(tbl_Sourcing[[#This Row],[Product Id]], tbl_Product[Product Id], tbl_Product[Name])</f>
        <v/>
      </c>
      <c r="L126" t="n">
        <v>25</v>
      </c>
      <c r="O1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7">
      <c r="A127" t="n">
        <v>247</v>
      </c>
      <c r="B127" t="n">
        <v>52</v>
      </c>
      <c r="C127" t="inlineStr">
        <is>
          <t>Games Lore</t>
        </is>
      </c>
      <c r="D127" s="8" t="inlineStr">
        <is>
          <t>https://www.gameslore.com/mtg-commander-masters-set-booster-display.html</t>
        </is>
      </c>
      <c r="E127" t="n">
        <v>343.19</v>
      </c>
      <c r="F127" t="inlineStr">
        <is>
          <t>TRUE</t>
        </is>
      </c>
      <c r="J127">
        <f>_xlfn.XLOOKUP(tbl_Sourcing[[#This Row],[Product Id]], tbl_Product[Product Id], tbl_Product[Name])</f>
        <v/>
      </c>
      <c r="M127" t="n">
        <v>25</v>
      </c>
      <c r="O1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8">
      <c r="A128" t="n">
        <v>344</v>
      </c>
      <c r="B128" t="n">
        <v>234</v>
      </c>
      <c r="C128" t="inlineStr">
        <is>
          <t>Magic Madhouse</t>
        </is>
      </c>
      <c r="D128" s="8" t="inlineStr">
        <is>
          <t>https://magicmadhouse.co.uk/magic-the-gathering-kamigawa-neon-dynasty-commander-deck-upgrades-unleashed-kamigawa-neon-dynasty</t>
        </is>
      </c>
      <c r="E128" t="n">
        <v>56.95</v>
      </c>
      <c r="F128" t="inlineStr">
        <is>
          <t>TRUE</t>
        </is>
      </c>
      <c r="J128">
        <f>_xlfn.XLOOKUP(tbl_Sourcing[[#This Row],[Product Id]], tbl_Product[Product Id], tbl_Product[Name])</f>
        <v/>
      </c>
      <c r="N128" t="n">
        <v>25</v>
      </c>
      <c r="O1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9">
      <c r="A129" t="n">
        <v>66</v>
      </c>
      <c r="B129" t="n">
        <v>42</v>
      </c>
      <c r="C129" t="inlineStr">
        <is>
          <t>Card Market</t>
        </is>
      </c>
      <c r="D129" s="8" t="inlineStr">
        <is>
          <t>https://www.cardmarket.com/en/Magic/Products/Booster-Boxes/Tarkir-Dragonstorm-Play-Booster-Box?sellerCountry=13&amp;language=1</t>
        </is>
      </c>
      <c r="E129" t="n">
        <v>115.26</v>
      </c>
      <c r="F129" t="inlineStr">
        <is>
          <t>TRUE</t>
        </is>
      </c>
      <c r="J129">
        <f>_xlfn.XLOOKUP(tbl_Sourcing[[#This Row],[Product Id]], tbl_Product[Product Id], tbl_Product[Name])</f>
        <v/>
      </c>
      <c r="K129" t="n">
        <v>26</v>
      </c>
      <c r="O1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0">
      <c r="A130" t="n">
        <v>64</v>
      </c>
      <c r="B130" t="n">
        <v>71</v>
      </c>
      <c r="C130" t="inlineStr">
        <is>
          <t>Chaos Cards</t>
        </is>
      </c>
      <c r="D130" s="8" t="inlineStr">
        <is>
          <t>https://www.chaoscards.co.uk/prod/booster-boxes-magic/magic-the-gathering-duskmourn-house-of-horror-play-booster-box-36-packs</t>
        </is>
      </c>
      <c r="E130" t="n">
        <v>135.95</v>
      </c>
      <c r="F130" t="inlineStr">
        <is>
          <t>FALSE</t>
        </is>
      </c>
      <c r="J130">
        <f>_xlfn.XLOOKUP(tbl_Sourcing[[#This Row],[Product Id]], tbl_Product[Product Id], tbl_Product[Name])</f>
        <v/>
      </c>
      <c r="L130" t="n">
        <v>26</v>
      </c>
      <c r="O1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1">
      <c r="A131" t="n">
        <v>248</v>
      </c>
      <c r="B131" t="n">
        <v>18</v>
      </c>
      <c r="C131" t="inlineStr">
        <is>
          <t>Games Lore</t>
        </is>
      </c>
      <c r="D131" s="8" t="inlineStr">
        <is>
          <t>https://www.gameslore.com/mtg-assassin-s-creed-booster-pack.html</t>
        </is>
      </c>
      <c r="E131" t="n">
        <v>4.39</v>
      </c>
      <c r="F131" t="inlineStr">
        <is>
          <t>TRUE</t>
        </is>
      </c>
      <c r="J131">
        <f>_xlfn.XLOOKUP(tbl_Sourcing[[#This Row],[Product Id]], tbl_Product[Product Id], tbl_Product[Name])</f>
        <v/>
      </c>
      <c r="M131" t="n">
        <v>26</v>
      </c>
      <c r="O1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2">
      <c r="A132" t="n">
        <v>382</v>
      </c>
      <c r="B132" t="n">
        <v>187</v>
      </c>
      <c r="C132" t="inlineStr">
        <is>
          <t>Magic Madhouse</t>
        </is>
      </c>
      <c r="D132" s="8" t="inlineStr">
        <is>
          <t>https://magicmadhouse.co.uk/magic-the-gathering-lost-caverns-of-ixalan-commander-deck-blood-rites-lost-caverns-of-ixalan</t>
        </is>
      </c>
      <c r="E132" t="n">
        <v>109.95</v>
      </c>
      <c r="F132" t="inlineStr">
        <is>
          <t>TRUE</t>
        </is>
      </c>
      <c r="J132">
        <f>_xlfn.XLOOKUP(tbl_Sourcing[[#This Row],[Product Id]], tbl_Product[Product Id], tbl_Product[Name])</f>
        <v/>
      </c>
      <c r="N132" t="n">
        <v>26</v>
      </c>
      <c r="O1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3">
      <c r="A133" t="n">
        <v>68</v>
      </c>
      <c r="B133" t="n">
        <v>73</v>
      </c>
      <c r="C133" t="inlineStr">
        <is>
          <t>Card Market</t>
        </is>
      </c>
      <c r="D133" s="8" t="inlineStr">
        <is>
          <t>https://www.cardmarket.com/en/Magic/Products/Booster-Boxes/The-Brothers-War-Set-Booster-Box?sellerCountry=13&amp;language=1</t>
        </is>
      </c>
      <c r="E133" t="n">
        <v>164.29292</v>
      </c>
      <c r="F133" t="inlineStr">
        <is>
          <t>TRUE</t>
        </is>
      </c>
      <c r="J133">
        <f>_xlfn.XLOOKUP(tbl_Sourcing[[#This Row],[Product Id]], tbl_Product[Product Id], tbl_Product[Name])</f>
        <v/>
      </c>
      <c r="K133" t="n">
        <v>27</v>
      </c>
      <c r="O1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4">
      <c r="A134" t="n">
        <v>67</v>
      </c>
      <c r="B134" t="n">
        <v>42</v>
      </c>
      <c r="C134" t="inlineStr">
        <is>
          <t>Chaos Cards</t>
        </is>
      </c>
      <c r="D134" s="8" t="inlineStr">
        <is>
          <t>https://www.chaoscards.co.uk/prod/booster-boxes-magic/magic-the-gathering-tarkir-dragonstorm-play-booster-box-30-packs</t>
        </is>
      </c>
      <c r="E134" t="n">
        <v>119.95</v>
      </c>
      <c r="F134" t="inlineStr">
        <is>
          <t>TRUE</t>
        </is>
      </c>
      <c r="J134">
        <f>_xlfn.XLOOKUP(tbl_Sourcing[[#This Row],[Product Id]], tbl_Product[Product Id], tbl_Product[Name])</f>
        <v/>
      </c>
      <c r="L134" t="n">
        <v>27</v>
      </c>
      <c r="O1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5">
      <c r="A135" t="n">
        <v>249</v>
      </c>
      <c r="B135" t="n">
        <v>63</v>
      </c>
      <c r="C135" t="inlineStr">
        <is>
          <t>Games Lore</t>
        </is>
      </c>
      <c r="D135" s="8" t="inlineStr">
        <is>
          <t>https://www.gameslore.com/mtg-assassin-s-creed-booster-display.html</t>
        </is>
      </c>
      <c r="E135" t="n">
        <v>99.98999999999999</v>
      </c>
      <c r="F135" t="inlineStr">
        <is>
          <t>TRUE</t>
        </is>
      </c>
      <c r="J135">
        <f>_xlfn.XLOOKUP(tbl_Sourcing[[#This Row],[Product Id]], tbl_Product[Product Id], tbl_Product[Name])</f>
        <v/>
      </c>
      <c r="M135" t="n">
        <v>27</v>
      </c>
      <c r="O1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6">
      <c r="A136" t="n">
        <v>386</v>
      </c>
      <c r="B136" t="n">
        <v>189</v>
      </c>
      <c r="C136" t="inlineStr">
        <is>
          <t>Magic Madhouse</t>
        </is>
      </c>
      <c r="D136" s="8" t="inlineStr">
        <is>
          <t>https://magicmadhouse.co.uk/magic-the-gathering-lost-caverns-of-ixalan-commander-deck-explorers-of-the-deep-lost-caverns-of-ixalan</t>
        </is>
      </c>
      <c r="E136" t="n">
        <v>84.95</v>
      </c>
      <c r="F136" t="inlineStr">
        <is>
          <t>TRUE</t>
        </is>
      </c>
      <c r="J136">
        <f>_xlfn.XLOOKUP(tbl_Sourcing[[#This Row],[Product Id]], tbl_Product[Product Id], tbl_Product[Name])</f>
        <v/>
      </c>
      <c r="N136" t="n">
        <v>27</v>
      </c>
      <c r="O1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7">
      <c r="A137" t="n">
        <v>70</v>
      </c>
      <c r="B137" t="n">
        <v>74</v>
      </c>
      <c r="C137" t="inlineStr">
        <is>
          <t>Card Market</t>
        </is>
      </c>
      <c r="D137" s="8" t="inlineStr">
        <is>
          <t>https://www.cardmarket.com/en/Magic/Products/Booster-Boxes/Wilds-of-Eldraine-Set-Booster-Box?sellerCountry=13&amp;language=1</t>
        </is>
      </c>
      <c r="E137" t="n">
        <v>225.10344</v>
      </c>
      <c r="F137" t="inlineStr">
        <is>
          <t>TRUE</t>
        </is>
      </c>
      <c r="J137">
        <f>_xlfn.XLOOKUP(tbl_Sourcing[[#This Row],[Product Id]], tbl_Product[Product Id], tbl_Product[Name])</f>
        <v/>
      </c>
      <c r="K137" t="n">
        <v>28</v>
      </c>
      <c r="O1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8">
      <c r="A138" t="n">
        <v>250</v>
      </c>
      <c r="B138" t="n">
        <v>25</v>
      </c>
      <c r="C138" t="inlineStr">
        <is>
          <t>Games Lore</t>
        </is>
      </c>
      <c r="D138" s="8" t="inlineStr">
        <is>
          <t>https://www.gameslore.com/mtg-aetherdrift-play-booster-pack.html</t>
        </is>
      </c>
      <c r="E138" t="n">
        <v>4.28</v>
      </c>
      <c r="F138" t="inlineStr">
        <is>
          <t>TRUE</t>
        </is>
      </c>
      <c r="J138">
        <f>_xlfn.XLOOKUP(tbl_Sourcing[[#This Row],[Product Id]], tbl_Product[Product Id], tbl_Product[Name])</f>
        <v/>
      </c>
      <c r="M138" t="n">
        <v>28</v>
      </c>
      <c r="O1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9">
      <c r="A139" t="n">
        <v>379</v>
      </c>
      <c r="B139" t="n">
        <v>186</v>
      </c>
      <c r="C139" t="inlineStr">
        <is>
          <t>Magic Madhouse</t>
        </is>
      </c>
      <c r="D139" s="8" t="inlineStr">
        <is>
          <t>https://magicmadhouse.co.uk/magic-the-gathering-lost-caverns-of-ixalan-commander-deck-veloci-ramp-tor-lost-caverns-of-ixalan</t>
        </is>
      </c>
      <c r="E139" t="n">
        <v>124.95</v>
      </c>
      <c r="F139" t="inlineStr">
        <is>
          <t>TRUE</t>
        </is>
      </c>
      <c r="J139">
        <f>_xlfn.XLOOKUP(tbl_Sourcing[[#This Row],[Product Id]], tbl_Product[Product Id], tbl_Product[Name])</f>
        <v/>
      </c>
      <c r="N139" t="n">
        <v>28</v>
      </c>
      <c r="O1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0">
      <c r="A140" t="n">
        <v>72</v>
      </c>
      <c r="B140" t="n">
        <v>75</v>
      </c>
      <c r="C140" t="inlineStr">
        <is>
          <t>Card Market</t>
        </is>
      </c>
      <c r="D140" s="8" t="inlineStr">
        <is>
          <t>https://www.cardmarket.com/en/Magic/Products/Booster-Boxes/Streets-of-New-Capenna-Set-Booster-Box?sellerCountry=13&amp;language=1</t>
        </is>
      </c>
      <c r="E140" t="n">
        <v>145.57</v>
      </c>
      <c r="F140" t="inlineStr">
        <is>
          <t>TRUE</t>
        </is>
      </c>
      <c r="J140">
        <f>_xlfn.XLOOKUP(tbl_Sourcing[[#This Row],[Product Id]], tbl_Product[Product Id], tbl_Product[Name])</f>
        <v/>
      </c>
      <c r="K140" t="n">
        <v>29</v>
      </c>
      <c r="O1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1">
      <c r="A141" t="n">
        <v>251</v>
      </c>
      <c r="B141" t="n">
        <v>70</v>
      </c>
      <c r="C141" t="inlineStr">
        <is>
          <t>Games Lore</t>
        </is>
      </c>
      <c r="D141" s="8" t="inlineStr">
        <is>
          <t>https://www.gameslore.com/mtg-aetherdrift-play-booster-display.html</t>
        </is>
      </c>
      <c r="E141" t="n">
        <v>125.99</v>
      </c>
      <c r="F141" t="inlineStr">
        <is>
          <t>TRUE</t>
        </is>
      </c>
      <c r="J141">
        <f>_xlfn.XLOOKUP(tbl_Sourcing[[#This Row],[Product Id]], tbl_Product[Product Id], tbl_Product[Name])</f>
        <v/>
      </c>
      <c r="M141" t="n">
        <v>29</v>
      </c>
      <c r="O1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2">
      <c r="A142" t="n">
        <v>370</v>
      </c>
      <c r="B142" t="n">
        <v>208</v>
      </c>
      <c r="C142" t="inlineStr">
        <is>
          <t>Magic Madhouse</t>
        </is>
      </c>
      <c r="D142" s="8" t="inlineStr">
        <is>
          <t>https://magicmadhouse.co.uk/magic-the-gathering-march-of-the-machine-commander-deck-tinker-time-march-of-the-machine</t>
        </is>
      </c>
      <c r="E142" t="n">
        <v>64.95</v>
      </c>
      <c r="F142" t="inlineStr">
        <is>
          <t>TRUE</t>
        </is>
      </c>
      <c r="J142">
        <f>_xlfn.XLOOKUP(tbl_Sourcing[[#This Row],[Product Id]], tbl_Product[Product Id], tbl_Product[Name])</f>
        <v/>
      </c>
      <c r="N142" t="n">
        <v>29</v>
      </c>
      <c r="O1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3">
      <c r="A143" t="n">
        <v>74</v>
      </c>
      <c r="B143" t="n">
        <v>76</v>
      </c>
      <c r="C143" t="inlineStr">
        <is>
          <t>Card Market</t>
        </is>
      </c>
      <c r="D143" s="8" t="inlineStr">
        <is>
          <t>https://www.cardmarket.com/en/Magic/Products/Booster-Boxes/Dominaria-United-Set-Booster-Box?sellerCountry=13&amp;language=1</t>
        </is>
      </c>
      <c r="E143" t="n">
        <v>154.23</v>
      </c>
      <c r="F143" t="inlineStr">
        <is>
          <t>TRUE</t>
        </is>
      </c>
      <c r="J143">
        <f>_xlfn.XLOOKUP(tbl_Sourcing[[#This Row],[Product Id]], tbl_Product[Product Id], tbl_Product[Name])</f>
        <v/>
      </c>
      <c r="K143" t="n">
        <v>30</v>
      </c>
      <c r="O1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4">
      <c r="A144" t="n">
        <v>252</v>
      </c>
      <c r="B144" t="n">
        <v>83</v>
      </c>
      <c r="C144" t="inlineStr">
        <is>
          <t>Games Lore</t>
        </is>
      </c>
      <c r="D144" s="8" t="inlineStr">
        <is>
          <t>https://www.gameslore.com/mtg-aetherdrift-collector-booster-pack.html</t>
        </is>
      </c>
      <c r="E144" t="n">
        <v>19.79</v>
      </c>
      <c r="F144" t="inlineStr">
        <is>
          <t>TRUE</t>
        </is>
      </c>
      <c r="J144">
        <f>_xlfn.XLOOKUP(tbl_Sourcing[[#This Row],[Product Id]], tbl_Product[Product Id], tbl_Product[Name])</f>
        <v/>
      </c>
      <c r="M144" t="n">
        <v>30</v>
      </c>
      <c r="O1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5">
      <c r="A145" t="n">
        <v>351</v>
      </c>
      <c r="B145" t="n">
        <v>173</v>
      </c>
      <c r="C145" t="inlineStr">
        <is>
          <t>Magic Madhouse</t>
        </is>
      </c>
      <c r="D145" s="8" t="inlineStr">
        <is>
          <t>https://magicmadhouse.co.uk/magic-the-gathering-modern-horizons-3-commander-deck-creative-energy-modern-horizons-3</t>
        </is>
      </c>
      <c r="E145" t="n">
        <v>49.95</v>
      </c>
      <c r="F145" t="inlineStr">
        <is>
          <t>TRUE</t>
        </is>
      </c>
      <c r="J145">
        <f>_xlfn.XLOOKUP(tbl_Sourcing[[#This Row],[Product Id]], tbl_Product[Product Id], tbl_Product[Name])</f>
        <v/>
      </c>
      <c r="N145" t="n">
        <v>30</v>
      </c>
      <c r="O1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6">
      <c r="A146" t="n">
        <v>76</v>
      </c>
      <c r="B146" t="n">
        <v>77</v>
      </c>
      <c r="C146" t="inlineStr">
        <is>
          <t>Card Market</t>
        </is>
      </c>
      <c r="D146" s="8" t="inlineStr">
        <is>
          <t>https://www.cardmarket.com/en/Magic/Products/Booster-Boxes/Oath-of-the-Gatewatch-Booster-Box?sellerCountry=13&amp;language=1</t>
        </is>
      </c>
      <c r="E146" t="n">
        <v>193.2</v>
      </c>
      <c r="F146" t="inlineStr">
        <is>
          <t>TRUE</t>
        </is>
      </c>
      <c r="J146">
        <f>_xlfn.XLOOKUP(tbl_Sourcing[[#This Row],[Product Id]], tbl_Product[Product Id], tbl_Product[Name])</f>
        <v/>
      </c>
      <c r="K146" t="n">
        <v>31</v>
      </c>
      <c r="O1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7">
      <c r="A147" t="n">
        <v>253</v>
      </c>
      <c r="B147" t="n">
        <v>84</v>
      </c>
      <c r="C147" t="inlineStr">
        <is>
          <t>Games Lore</t>
        </is>
      </c>
      <c r="D147" s="8" t="inlineStr">
        <is>
          <t>https://www.gameslore.com/mtg-aetherdrift-collector-booster-display.html</t>
        </is>
      </c>
      <c r="E147" t="n">
        <v>229.49</v>
      </c>
      <c r="F147" t="inlineStr">
        <is>
          <t>TRUE</t>
        </is>
      </c>
      <c r="J147">
        <f>_xlfn.XLOOKUP(tbl_Sourcing[[#This Row],[Product Id]], tbl_Product[Product Id], tbl_Product[Name])</f>
        <v/>
      </c>
      <c r="M147" t="n">
        <v>31</v>
      </c>
      <c r="O1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8">
      <c r="A148" t="n">
        <v>378</v>
      </c>
      <c r="B148" t="n">
        <v>170</v>
      </c>
      <c r="C148" t="inlineStr">
        <is>
          <t>Magic Madhouse</t>
        </is>
      </c>
      <c r="D148" s="8" t="inlineStr">
        <is>
          <t>https://magicmadhouse.co.uk/magic-the-gathering-modern-horizons-3-commander-deck-eldrazi-incursion-modern-horizons-3</t>
        </is>
      </c>
      <c r="E148" t="n">
        <v>124.95</v>
      </c>
      <c r="F148" t="inlineStr">
        <is>
          <t>TRUE</t>
        </is>
      </c>
      <c r="J148">
        <f>_xlfn.XLOOKUP(tbl_Sourcing[[#This Row],[Product Id]], tbl_Product[Product Id], tbl_Product[Name])</f>
        <v/>
      </c>
      <c r="N148" t="n">
        <v>31</v>
      </c>
      <c r="O1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9">
      <c r="A149" t="n">
        <v>78</v>
      </c>
      <c r="B149" t="n">
        <v>78</v>
      </c>
      <c r="C149" t="inlineStr">
        <is>
          <t>Card Market</t>
        </is>
      </c>
      <c r="D149" s="8" t="inlineStr">
        <is>
          <t>https://www.cardmarket.com/en/Magic/Products/Booster-Boxes/Magic-The-Gathering-FINAL-FANTASY-Play-Booster-Box?sellerCountry=13&amp;language=1</t>
        </is>
      </c>
      <c r="E149" t="n">
        <v>190.06508</v>
      </c>
      <c r="F149" t="inlineStr">
        <is>
          <t>TRUE</t>
        </is>
      </c>
      <c r="J149">
        <f>_xlfn.XLOOKUP(tbl_Sourcing[[#This Row],[Product Id]], tbl_Product[Product Id], tbl_Product[Name])</f>
        <v/>
      </c>
      <c r="K149" t="n">
        <v>32</v>
      </c>
      <c r="O1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0">
      <c r="A150" t="n">
        <v>254</v>
      </c>
      <c r="B150" t="n">
        <v>171</v>
      </c>
      <c r="C150" t="inlineStr">
        <is>
          <t>Games Lore</t>
        </is>
      </c>
      <c r="D150" s="8" t="inlineStr">
        <is>
          <t>https://www.gameslore.com/mtg-modern-horizons-3-graveyard-overdrive-commander-deck.html</t>
        </is>
      </c>
      <c r="E150" t="n">
        <v>53.09</v>
      </c>
      <c r="F150" t="inlineStr">
        <is>
          <t>TRUE</t>
        </is>
      </c>
      <c r="J150">
        <f>_xlfn.XLOOKUP(tbl_Sourcing[[#This Row],[Product Id]], tbl_Product[Product Id], tbl_Product[Name])</f>
        <v/>
      </c>
      <c r="M150" t="n">
        <v>32</v>
      </c>
      <c r="O1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1">
      <c r="A151" t="n">
        <v>350</v>
      </c>
      <c r="B151" t="n">
        <v>171</v>
      </c>
      <c r="C151" t="inlineStr">
        <is>
          <t>Magic Madhouse</t>
        </is>
      </c>
      <c r="D151" s="8" t="inlineStr">
        <is>
          <t>https://magicmadhouse.co.uk/magic-the-gathering-modern-horizons-3-commander-deck-graveyard-overdrive-modern-horizons-3</t>
        </is>
      </c>
      <c r="E151" t="n">
        <v>49.95</v>
      </c>
      <c r="F151" t="inlineStr">
        <is>
          <t>TRUE</t>
        </is>
      </c>
      <c r="J151">
        <f>_xlfn.XLOOKUP(tbl_Sourcing[[#This Row],[Product Id]], tbl_Product[Product Id], tbl_Product[Name])</f>
        <v/>
      </c>
      <c r="N151" t="n">
        <v>32</v>
      </c>
      <c r="O1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2">
      <c r="A152" t="n">
        <v>81</v>
      </c>
      <c r="B152" t="n">
        <v>79</v>
      </c>
      <c r="C152" t="inlineStr">
        <is>
          <t>Card Market</t>
        </is>
      </c>
      <c r="D152" s="8" t="inlineStr">
        <is>
          <t>https://www.cardmarket.com/en/Magic/Products/Booster-Boxes/Bloomburrow-Play-Booster-Box?sellerCountry=13&amp;language=1</t>
        </is>
      </c>
      <c r="E152" t="n">
        <v>201.86</v>
      </c>
      <c r="F152" t="inlineStr">
        <is>
          <t>TRUE</t>
        </is>
      </c>
      <c r="J152">
        <f>_xlfn.XLOOKUP(tbl_Sourcing[[#This Row],[Product Id]], tbl_Product[Product Id], tbl_Product[Name])</f>
        <v/>
      </c>
      <c r="K152" t="n">
        <v>33</v>
      </c>
      <c r="O1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3">
      <c r="A153" t="n">
        <v>79</v>
      </c>
      <c r="B153" t="n">
        <v>78</v>
      </c>
      <c r="C153" t="inlineStr">
        <is>
          <t>Chaos Cards</t>
        </is>
      </c>
      <c r="D153" s="8" t="inlineStr">
        <is>
          <t>https://www.chaoscards.co.uk/prod/booster-boxes-magic/magic-the-gathering-universes-beyond-final-fantasy-play-booster-box-30-packs</t>
        </is>
      </c>
      <c r="E153" t="n">
        <v>159.95</v>
      </c>
      <c r="F153" t="inlineStr">
        <is>
          <t>FALSE</t>
        </is>
      </c>
      <c r="J153">
        <f>_xlfn.XLOOKUP(tbl_Sourcing[[#This Row],[Product Id]], tbl_Product[Product Id], tbl_Product[Name])</f>
        <v/>
      </c>
      <c r="L153" t="n">
        <v>33</v>
      </c>
      <c r="O1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4">
      <c r="A154" t="n">
        <v>255</v>
      </c>
      <c r="B154" t="n">
        <v>173</v>
      </c>
      <c r="C154" t="inlineStr">
        <is>
          <t>Games Lore</t>
        </is>
      </c>
      <c r="D154" s="8" t="inlineStr">
        <is>
          <t>https://www.gameslore.com/mtg-modern-horizons-3-creative-energy-commander-deck.html</t>
        </is>
      </c>
      <c r="E154" t="n">
        <v>53.09</v>
      </c>
      <c r="F154" t="inlineStr">
        <is>
          <t>TRUE</t>
        </is>
      </c>
      <c r="J154">
        <f>_xlfn.XLOOKUP(tbl_Sourcing[[#This Row],[Product Id]], tbl_Product[Product Id], tbl_Product[Name])</f>
        <v/>
      </c>
      <c r="M154" t="n">
        <v>33</v>
      </c>
      <c r="O1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5">
      <c r="A155" t="n">
        <v>366</v>
      </c>
      <c r="B155" t="n">
        <v>172</v>
      </c>
      <c r="C155" t="inlineStr">
        <is>
          <t>Magic Madhouse</t>
        </is>
      </c>
      <c r="D155" s="8" t="inlineStr">
        <is>
          <t>https://magicmadhouse.co.uk/magic-the-gathering-modern-horizons-3-commander-deck-tricky-terrain-modern-horizons-3</t>
        </is>
      </c>
      <c r="E155" t="n">
        <v>69.95</v>
      </c>
      <c r="F155" t="inlineStr">
        <is>
          <t>TRUE</t>
        </is>
      </c>
      <c r="J155">
        <f>_xlfn.XLOOKUP(tbl_Sourcing[[#This Row],[Product Id]], tbl_Product[Product Id], tbl_Product[Name])</f>
        <v/>
      </c>
      <c r="N155" t="n">
        <v>33</v>
      </c>
      <c r="O1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6">
      <c r="A156" t="n">
        <v>83</v>
      </c>
      <c r="B156" t="n">
        <v>80</v>
      </c>
      <c r="C156" t="inlineStr">
        <is>
          <t>Card Market</t>
        </is>
      </c>
      <c r="D156" s="8" t="inlineStr">
        <is>
          <t>https://www.cardmarket.com/en/Magic/Products/Booster-Boxes/Murders-at-Karlov-Manor-Play-Booster-Box?sellerCountry=13&amp;language=1</t>
        </is>
      </c>
      <c r="E156" t="n">
        <v>143.67346</v>
      </c>
      <c r="F156" t="inlineStr">
        <is>
          <t>TRUE</t>
        </is>
      </c>
      <c r="J156">
        <f>_xlfn.XLOOKUP(tbl_Sourcing[[#This Row],[Product Id]], tbl_Product[Product Id], tbl_Product[Name])</f>
        <v/>
      </c>
      <c r="K156" t="n">
        <v>34</v>
      </c>
      <c r="O1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7">
      <c r="A157" t="n">
        <v>256</v>
      </c>
      <c r="B157" t="n">
        <v>197</v>
      </c>
      <c r="C157" t="inlineStr">
        <is>
          <t>Games Lore</t>
        </is>
      </c>
      <c r="D157" s="8" t="inlineStr">
        <is>
          <t>https://www.gameslore.com/mtg-commander-masters-commander-planeswalker-party-deck.html</t>
        </is>
      </c>
      <c r="E157" t="n">
        <v>64.79000000000001</v>
      </c>
      <c r="F157" t="inlineStr">
        <is>
          <t>TRUE</t>
        </is>
      </c>
      <c r="J157">
        <f>_xlfn.XLOOKUP(tbl_Sourcing[[#This Row],[Product Id]], tbl_Product[Product Id], tbl_Product[Name])</f>
        <v/>
      </c>
      <c r="M157" t="n">
        <v>34</v>
      </c>
      <c r="O1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8">
      <c r="A158" t="n">
        <v>371</v>
      </c>
      <c r="B158" t="n">
        <v>184</v>
      </c>
      <c r="C158" t="inlineStr">
        <is>
          <t>Magic Madhouse</t>
        </is>
      </c>
      <c r="D158" s="8" t="inlineStr">
        <is>
          <t>https://magicmadhouse.co.uk/magic-the-gathering-murders-at-karlov-manor-commander-deck-deadly-disguise-murders-at-karlov-manor</t>
        </is>
      </c>
      <c r="E158" t="n">
        <v>64.95</v>
      </c>
      <c r="F158" t="inlineStr">
        <is>
          <t>TRUE</t>
        </is>
      </c>
      <c r="J158">
        <f>_xlfn.XLOOKUP(tbl_Sourcing[[#This Row],[Product Id]], tbl_Product[Product Id], tbl_Product[Name])</f>
        <v/>
      </c>
      <c r="N158" t="n">
        <v>34</v>
      </c>
      <c r="O1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9">
      <c r="A159" t="n">
        <v>119</v>
      </c>
      <c r="B159" t="n">
        <v>84</v>
      </c>
      <c r="C159" t="inlineStr">
        <is>
          <t>Card Market</t>
        </is>
      </c>
      <c r="D159" s="8" t="inlineStr">
        <is>
          <t>https://www.cardmarket.com/en/Magic/Products/Booster-Boxes/Aetherdrift-Collector-Booster-Box?sellerCountry=13&amp;language=1</t>
        </is>
      </c>
      <c r="E159" t="n">
        <v>219.95074</v>
      </c>
      <c r="F159" t="inlineStr">
        <is>
          <t>TRUE</t>
        </is>
      </c>
      <c r="J159">
        <f>_xlfn.XLOOKUP(tbl_Sourcing[[#This Row],[Product Id]], tbl_Product[Product Id], tbl_Product[Name])</f>
        <v/>
      </c>
      <c r="K159" t="n">
        <v>35</v>
      </c>
      <c r="O1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0">
      <c r="A160" t="n">
        <v>365</v>
      </c>
      <c r="B160" t="n">
        <v>175</v>
      </c>
      <c r="C160" t="inlineStr">
        <is>
          <t>Magic Madhouse</t>
        </is>
      </c>
      <c r="D160" s="8" t="inlineStr">
        <is>
          <t>https://magicmadhouse.co.uk/magic-the-gathering-outlaws-of-thunder-junction-commander-deck-desert-bloom-outlaws-of-thunder-junction</t>
        </is>
      </c>
      <c r="E160" t="n">
        <v>69.95</v>
      </c>
      <c r="F160" t="inlineStr">
        <is>
          <t>TRUE</t>
        </is>
      </c>
      <c r="J160">
        <f>_xlfn.XLOOKUP(tbl_Sourcing[[#This Row],[Product Id]], tbl_Product[Product Id], tbl_Product[Name])</f>
        <v/>
      </c>
      <c r="N160" t="n">
        <v>35</v>
      </c>
      <c r="O1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1">
      <c r="A161" t="n">
        <v>120</v>
      </c>
      <c r="B161" t="n">
        <v>86</v>
      </c>
      <c r="C161" t="inlineStr">
        <is>
          <t>Card Market</t>
        </is>
      </c>
      <c r="D161" s="8" t="inlineStr">
        <is>
          <t>https://www.cardmarket.com/en/Magic/Products/Booster-Boxes/Universes-Beyond-Assassins-Creed-Collector-Booster-Box?sellerCountry=13&amp;language=1</t>
        </is>
      </c>
      <c r="E161" t="n">
        <v>287.97504</v>
      </c>
      <c r="F161" t="inlineStr">
        <is>
          <t>TRUE</t>
        </is>
      </c>
      <c r="J161">
        <f>_xlfn.XLOOKUP(tbl_Sourcing[[#This Row],[Product Id]], tbl_Product[Product Id], tbl_Product[Name])</f>
        <v/>
      </c>
      <c r="K161" t="n">
        <v>36</v>
      </c>
      <c r="O1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2">
      <c r="A162" t="n">
        <v>86</v>
      </c>
      <c r="B162" t="n">
        <v>84</v>
      </c>
      <c r="C162" t="inlineStr">
        <is>
          <t>Chaos Cards</t>
        </is>
      </c>
      <c r="D162" s="8" t="inlineStr">
        <is>
          <t>https://www.chaoscards.co.uk/prod/booster-boxes-magic/magic-the-gathering-aetherdrift-collector-booster-box-12-packs</t>
        </is>
      </c>
      <c r="E162" t="n">
        <v>229.95</v>
      </c>
      <c r="F162" t="inlineStr">
        <is>
          <t>TRUE</t>
        </is>
      </c>
      <c r="J162">
        <f>_xlfn.XLOOKUP(tbl_Sourcing[[#This Row],[Product Id]], tbl_Product[Product Id], tbl_Product[Name])</f>
        <v/>
      </c>
      <c r="L162" t="n">
        <v>36</v>
      </c>
      <c r="O1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3">
      <c r="A163" t="n">
        <v>377</v>
      </c>
      <c r="B163" t="n">
        <v>176</v>
      </c>
      <c r="C163" t="inlineStr">
        <is>
          <t>Magic Madhouse</t>
        </is>
      </c>
      <c r="D163" s="8" t="inlineStr">
        <is>
          <t>https://magicmadhouse.co.uk/magic-the-gathering-outlaws-of-thunder-junction-commander-deck-grand-larceny-outlaws-of-thunder-junction</t>
        </is>
      </c>
      <c r="E163" t="n">
        <v>134.95</v>
      </c>
      <c r="F163" t="inlineStr">
        <is>
          <t>TRUE</t>
        </is>
      </c>
      <c r="J163">
        <f>_xlfn.XLOOKUP(tbl_Sourcing[[#This Row],[Product Id]], tbl_Product[Product Id], tbl_Product[Name])</f>
        <v/>
      </c>
      <c r="N163" t="n">
        <v>36</v>
      </c>
      <c r="O1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4">
      <c r="A164" t="n">
        <v>121</v>
      </c>
      <c r="B164" t="n">
        <v>88</v>
      </c>
      <c r="C164" t="inlineStr">
        <is>
          <t>Card Market</t>
        </is>
      </c>
      <c r="D164" s="8" t="inlineStr">
        <is>
          <t>https://www.cardmarket.com/en/Magic/Products/Booster-Boxes/Magic-The-Gathering-Avatar-The-Last-Airbender-Collector-Booster-Box?sellerCountry=13&amp;language=1</t>
        </is>
      </c>
      <c r="E164" t="n">
        <v>323.09134</v>
      </c>
      <c r="F164" t="inlineStr">
        <is>
          <t>TRUE</t>
        </is>
      </c>
      <c r="J164">
        <f>_xlfn.XLOOKUP(tbl_Sourcing[[#This Row],[Product Id]], tbl_Product[Product Id], tbl_Product[Name])</f>
        <v/>
      </c>
      <c r="K164" t="n">
        <v>37</v>
      </c>
      <c r="O1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5">
      <c r="A165" t="n">
        <v>87</v>
      </c>
      <c r="B165" t="n">
        <v>86</v>
      </c>
      <c r="C165" t="inlineStr">
        <is>
          <t>Chaos Cards</t>
        </is>
      </c>
      <c r="D165" s="8" t="inlineStr">
        <is>
          <t>https://www.chaoscards.co.uk/prod/booster-boxes-magic/magic-the-gathering-assassins-creed-collector-booster-box-12-packs</t>
        </is>
      </c>
      <c r="E165" t="n">
        <v>259.95</v>
      </c>
      <c r="F165" t="inlineStr">
        <is>
          <t>FALSE</t>
        </is>
      </c>
      <c r="J165">
        <f>_xlfn.XLOOKUP(tbl_Sourcing[[#This Row],[Product Id]], tbl_Product[Product Id], tbl_Product[Name])</f>
        <v/>
      </c>
      <c r="L165" t="n">
        <v>37</v>
      </c>
      <c r="O1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6">
      <c r="A166" t="n">
        <v>384</v>
      </c>
      <c r="B166" t="n">
        <v>177</v>
      </c>
      <c r="C166" t="inlineStr">
        <is>
          <t>Magic Madhouse</t>
        </is>
      </c>
      <c r="D166" s="8" t="inlineStr">
        <is>
          <t>https://magicmadhouse.co.uk/magic-the-gathering-outlaws-of-thunder-junction-commander-deck-most-wanted-outlaws-of-thunder-junction</t>
        </is>
      </c>
      <c r="E166" t="n">
        <v>99.95</v>
      </c>
      <c r="F166" t="inlineStr">
        <is>
          <t>TRUE</t>
        </is>
      </c>
      <c r="J166">
        <f>_xlfn.XLOOKUP(tbl_Sourcing[[#This Row],[Product Id]], tbl_Product[Product Id], tbl_Product[Name])</f>
        <v/>
      </c>
      <c r="N166" t="n">
        <v>37</v>
      </c>
      <c r="O1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7">
      <c r="A167" t="n">
        <v>122</v>
      </c>
      <c r="B167" t="n">
        <v>90</v>
      </c>
      <c r="C167" t="inlineStr">
        <is>
          <t>Card Market</t>
        </is>
      </c>
      <c r="D167" s="8" t="inlineStr">
        <is>
          <t>https://www.cardmarket.com/en/Magic/Products/Booster-Boxes/Bloomburrow-Collector-Booster-Box?sellerCountry=13&amp;language=1</t>
        </is>
      </c>
      <c r="E167" t="n">
        <v>885.134</v>
      </c>
      <c r="F167" t="inlineStr">
        <is>
          <t>TRUE</t>
        </is>
      </c>
      <c r="J167">
        <f>_xlfn.XLOOKUP(tbl_Sourcing[[#This Row],[Product Id]], tbl_Product[Product Id], tbl_Product[Name])</f>
        <v/>
      </c>
      <c r="K167" t="n">
        <v>38</v>
      </c>
      <c r="O1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8">
      <c r="A168" t="n">
        <v>88</v>
      </c>
      <c r="B168" t="n">
        <v>88</v>
      </c>
      <c r="C168" t="inlineStr">
        <is>
          <t>Chaos Cards</t>
        </is>
      </c>
      <c r="D168" s="8" t="inlineStr">
        <is>
          <t>https://www.chaoscards.co.uk/prod/booster-boxes-magic/magic-the-gathering-avatar-the-last-airbender-collector-booster-box-12-packs</t>
        </is>
      </c>
      <c r="E168" t="n">
        <v>399.95</v>
      </c>
      <c r="F168" t="inlineStr">
        <is>
          <t>TRUE</t>
        </is>
      </c>
      <c r="J168">
        <f>_xlfn.XLOOKUP(tbl_Sourcing[[#This Row],[Product Id]], tbl_Product[Product Id], tbl_Product[Name])</f>
        <v/>
      </c>
      <c r="L168" t="n">
        <v>38</v>
      </c>
      <c r="O1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9">
      <c r="A169" t="n">
        <v>376</v>
      </c>
      <c r="B169" t="n">
        <v>209</v>
      </c>
      <c r="C169" t="inlineStr">
        <is>
          <t>Magic Madhouse</t>
        </is>
      </c>
      <c r="D169" s="8" t="inlineStr">
        <is>
          <t>https://magicmadhouse.co.uk/magic-the-gathering-phyrexia-all-will-be-one-commander-deck-corrupting-influence-phyrexia-all-will-be-one</t>
        </is>
      </c>
      <c r="E169" t="n">
        <v>149.95</v>
      </c>
      <c r="F169" t="inlineStr">
        <is>
          <t>TRUE</t>
        </is>
      </c>
      <c r="J169">
        <f>_xlfn.XLOOKUP(tbl_Sourcing[[#This Row],[Product Id]], tbl_Product[Product Id], tbl_Product[Name])</f>
        <v/>
      </c>
      <c r="N169" t="n">
        <v>38</v>
      </c>
      <c r="O1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0">
      <c r="A170" t="n">
        <v>123</v>
      </c>
      <c r="B170" t="n">
        <v>92</v>
      </c>
      <c r="C170" t="inlineStr">
        <is>
          <t>Card Market</t>
        </is>
      </c>
      <c r="D170" s="8" t="inlineStr">
        <is>
          <t>https://www.cardmarket.com/en/Magic/Products/Booster-Boxes/Commander-Masters-Collector-Booster-Box?sellerCountry=13&amp;language=1</t>
        </is>
      </c>
      <c r="E170" t="n">
        <v>305.78</v>
      </c>
      <c r="F170" t="inlineStr">
        <is>
          <t>TRUE</t>
        </is>
      </c>
      <c r="J170">
        <f>_xlfn.XLOOKUP(tbl_Sourcing[[#This Row],[Product Id]], tbl_Product[Product Id], tbl_Product[Name])</f>
        <v/>
      </c>
      <c r="K170" t="n">
        <v>39</v>
      </c>
      <c r="O1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1">
      <c r="A171" t="n">
        <v>89</v>
      </c>
      <c r="B171" t="n">
        <v>90</v>
      </c>
      <c r="C171" t="inlineStr">
        <is>
          <t>Chaos Cards</t>
        </is>
      </c>
      <c r="D171" s="8" t="inlineStr">
        <is>
          <t>https://www.chaoscards.co.uk/prod/booster-boxes-magic/magic-the-gathering-bloomburrow-collector-booster-box-12-packs</t>
        </is>
      </c>
      <c r="E171" t="n">
        <v>247.95</v>
      </c>
      <c r="F171" t="inlineStr">
        <is>
          <t>FALSE</t>
        </is>
      </c>
      <c r="J171">
        <f>_xlfn.XLOOKUP(tbl_Sourcing[[#This Row],[Product Id]], tbl_Product[Product Id], tbl_Product[Name])</f>
        <v/>
      </c>
      <c r="L171" t="n">
        <v>39</v>
      </c>
      <c r="O1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2">
      <c r="A172" t="n">
        <v>367</v>
      </c>
      <c r="B172" t="n">
        <v>232</v>
      </c>
      <c r="C172" t="inlineStr">
        <is>
          <t>Magic Madhouse</t>
        </is>
      </c>
      <c r="D172" s="8" t="inlineStr">
        <is>
          <t>https://magicmadhouse.co.uk/magic-the-gathering-streets-of-new-capenna-commander-deck-bedecked-brokers-streets-of-new-capenna</t>
        </is>
      </c>
      <c r="E172" t="n">
        <v>67.95</v>
      </c>
      <c r="F172" t="inlineStr">
        <is>
          <t>TRUE</t>
        </is>
      </c>
      <c r="J172">
        <f>_xlfn.XLOOKUP(tbl_Sourcing[[#This Row],[Product Id]], tbl_Product[Product Id], tbl_Product[Name])</f>
        <v/>
      </c>
      <c r="N172" t="n">
        <v>39</v>
      </c>
      <c r="O1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3">
      <c r="A173" t="n">
        <v>124</v>
      </c>
      <c r="B173" t="n">
        <v>94</v>
      </c>
      <c r="C173" t="inlineStr">
        <is>
          <t>Card Market</t>
        </is>
      </c>
      <c r="D173" s="8" t="inlineStr">
        <is>
          <t>https://www.cardmarket.com/en/Magic/Products/Booster-Boxes/Dominaria-United-Collector-Booster-Box?sellerCountry=13&amp;language=1</t>
        </is>
      </c>
      <c r="E173" t="n">
        <v>241.59208</v>
      </c>
      <c r="F173" t="inlineStr">
        <is>
          <t>TRUE</t>
        </is>
      </c>
      <c r="J173">
        <f>_xlfn.XLOOKUP(tbl_Sourcing[[#This Row],[Product Id]], tbl_Product[Product Id], tbl_Product[Name])</f>
        <v/>
      </c>
      <c r="K173" t="n">
        <v>40</v>
      </c>
      <c r="O1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4">
      <c r="A174" t="n">
        <v>90</v>
      </c>
      <c r="B174" t="n">
        <v>92</v>
      </c>
      <c r="C174" t="inlineStr">
        <is>
          <t>Chaos Cards</t>
        </is>
      </c>
      <c r="D174" s="8" t="inlineStr">
        <is>
          <t>https://www.chaoscards.co.uk/prod/booster-boxes-magic/magic-the-gathering-commander-masters-collector-booster-box-4-packs</t>
        </is>
      </c>
      <c r="E174" t="n">
        <v>214.95</v>
      </c>
      <c r="F174" t="inlineStr">
        <is>
          <t>FALSE</t>
        </is>
      </c>
      <c r="J174">
        <f>_xlfn.XLOOKUP(tbl_Sourcing[[#This Row],[Product Id]], tbl_Product[Product Id], tbl_Product[Name])</f>
        <v/>
      </c>
      <c r="L174" t="n">
        <v>40</v>
      </c>
      <c r="O1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5">
      <c r="A175" t="n">
        <v>362</v>
      </c>
      <c r="B175" t="n">
        <v>155</v>
      </c>
      <c r="C175" t="inlineStr">
        <is>
          <t>Magic Madhouse</t>
        </is>
      </c>
      <c r="D175" s="8" t="inlineStr">
        <is>
          <t>https://magicmadhouse.co.uk/magic-the-gathering-tarkir-dragonstorm-commander-deck-abzan-armor-tarkir-dragonstorm</t>
        </is>
      </c>
      <c r="E175" t="n">
        <v>71.95</v>
      </c>
      <c r="F175" t="inlineStr">
        <is>
          <t>TRUE</t>
        </is>
      </c>
      <c r="J175">
        <f>_xlfn.XLOOKUP(tbl_Sourcing[[#This Row],[Product Id]], tbl_Product[Product Id], tbl_Product[Name])</f>
        <v/>
      </c>
      <c r="N175" t="n">
        <v>40</v>
      </c>
      <c r="O1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6">
      <c r="A176" t="n">
        <v>125</v>
      </c>
      <c r="B176" t="n">
        <v>96</v>
      </c>
      <c r="C176" t="inlineStr">
        <is>
          <t>Card Market</t>
        </is>
      </c>
      <c r="D176" s="8" t="inlineStr">
        <is>
          <t>https://www.cardmarket.com/en/Magic/Products/Booster-Boxes/Duskmourn-House-of-Horror-Collector-Booster-Box?sellerCountry=13&amp;language=1</t>
        </is>
      </c>
      <c r="E176" t="n">
        <v>396.71</v>
      </c>
      <c r="F176" t="inlineStr">
        <is>
          <t>TRUE</t>
        </is>
      </c>
      <c r="J176">
        <f>_xlfn.XLOOKUP(tbl_Sourcing[[#This Row],[Product Id]], tbl_Product[Product Id], tbl_Product[Name])</f>
        <v/>
      </c>
      <c r="K176" t="n">
        <v>41</v>
      </c>
      <c r="O1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7">
      <c r="A177" t="n">
        <v>91</v>
      </c>
      <c r="B177" t="n">
        <v>94</v>
      </c>
      <c r="C177" t="inlineStr">
        <is>
          <t>Chaos Cards</t>
        </is>
      </c>
      <c r="D177" s="8" t="inlineStr">
        <is>
          <t>https://www.chaoscards.co.uk/prod/booster-boxes-magic/magic-the-gathering-dominaria-united-collector-booster-box-12-packs</t>
        </is>
      </c>
      <c r="E177" t="n">
        <v>210</v>
      </c>
      <c r="F177" t="inlineStr">
        <is>
          <t>FALSE</t>
        </is>
      </c>
      <c r="J177">
        <f>_xlfn.XLOOKUP(tbl_Sourcing[[#This Row],[Product Id]], tbl_Product[Product Id], tbl_Product[Name])</f>
        <v/>
      </c>
      <c r="L177" t="n">
        <v>41</v>
      </c>
      <c r="O1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8">
      <c r="A178" t="n">
        <v>347</v>
      </c>
      <c r="B178" t="n">
        <v>157</v>
      </c>
      <c r="C178" t="inlineStr">
        <is>
          <t>Magic Madhouse</t>
        </is>
      </c>
      <c r="D178" s="8" t="inlineStr">
        <is>
          <t>https://magicmadhouse.co.uk/magic-the-gathering-tarkir-dragonstorm-commander-deck-jeskai-striker-tarkir-dragonstorm</t>
        </is>
      </c>
      <c r="E178" t="n">
        <v>49.95</v>
      </c>
      <c r="F178" t="inlineStr">
        <is>
          <t>TRUE</t>
        </is>
      </c>
      <c r="J178">
        <f>_xlfn.XLOOKUP(tbl_Sourcing[[#This Row],[Product Id]], tbl_Product[Product Id], tbl_Product[Name])</f>
        <v/>
      </c>
      <c r="N178" t="n">
        <v>41</v>
      </c>
      <c r="O1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9">
      <c r="A179" t="n">
        <v>126</v>
      </c>
      <c r="B179" t="n">
        <v>98</v>
      </c>
      <c r="C179" t="inlineStr">
        <is>
          <t>Card Market</t>
        </is>
      </c>
      <c r="D179" s="8" t="inlineStr">
        <is>
          <t>https://www.cardmarket.com/en/Magic/Products/Booster-Boxes/Edge-of-Eternities-Collector-Booster-Box?sellerCountry=13&amp;language=1</t>
        </is>
      </c>
      <c r="E179" t="n">
        <v>354.9688</v>
      </c>
      <c r="F179" t="inlineStr">
        <is>
          <t>TRUE</t>
        </is>
      </c>
      <c r="J179">
        <f>_xlfn.XLOOKUP(tbl_Sourcing[[#This Row],[Product Id]], tbl_Product[Product Id], tbl_Product[Name])</f>
        <v/>
      </c>
      <c r="K179" t="n">
        <v>42</v>
      </c>
      <c r="O1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0">
      <c r="A180" t="n">
        <v>92</v>
      </c>
      <c r="B180" t="n">
        <v>96</v>
      </c>
      <c r="C180" t="inlineStr">
        <is>
          <t>Chaos Cards</t>
        </is>
      </c>
      <c r="D180" s="8" t="inlineStr">
        <is>
          <t>https://www.chaoscards.co.uk/prod/booster-boxes-magic/magic-the-gathering-duskmourn-house-of-horror-collector-booster-box-12-packs</t>
        </is>
      </c>
      <c r="E180" t="n">
        <v>219.95</v>
      </c>
      <c r="F180" t="inlineStr">
        <is>
          <t>FALSE</t>
        </is>
      </c>
      <c r="J180">
        <f>_xlfn.XLOOKUP(tbl_Sourcing[[#This Row],[Product Id]], tbl_Product[Product Id], tbl_Product[Name])</f>
        <v/>
      </c>
      <c r="L180" t="n">
        <v>42</v>
      </c>
      <c r="O1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1">
      <c r="A181" t="n">
        <v>363</v>
      </c>
      <c r="B181" t="n">
        <v>159</v>
      </c>
      <c r="C181" t="inlineStr">
        <is>
          <t>Magic Madhouse</t>
        </is>
      </c>
      <c r="D181" s="8" t="inlineStr">
        <is>
          <t>https://magicmadhouse.co.uk/magic-the-gathering-tarkir-dragonstorm-commander-deck-sultai-arisen-tarkir-dragonstorm</t>
        </is>
      </c>
      <c r="E181" t="n">
        <v>69.95</v>
      </c>
      <c r="F181" t="inlineStr">
        <is>
          <t>TRUE</t>
        </is>
      </c>
      <c r="J181">
        <f>_xlfn.XLOOKUP(tbl_Sourcing[[#This Row],[Product Id]], tbl_Product[Product Id], tbl_Product[Name])</f>
        <v/>
      </c>
      <c r="N181" t="n">
        <v>42</v>
      </c>
      <c r="O1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2">
      <c r="A182" t="n">
        <v>127</v>
      </c>
      <c r="B182" t="n">
        <v>100</v>
      </c>
      <c r="C182" t="inlineStr">
        <is>
          <t>Card Market</t>
        </is>
      </c>
      <c r="D182" s="8" t="inlineStr">
        <is>
          <t>https://www.cardmarket.com/en/Magic/Products/Booster-Boxes/Magic-The-Gathering-FINAL-FANTASY-Collector-Booster-Box?sellerCountry=13&amp;language=1</t>
        </is>
      </c>
      <c r="E182" t="n">
        <v>816.72</v>
      </c>
      <c r="F182" t="inlineStr">
        <is>
          <t>TRUE</t>
        </is>
      </c>
      <c r="J182">
        <f>_xlfn.XLOOKUP(tbl_Sourcing[[#This Row],[Product Id]], tbl_Product[Product Id], tbl_Product[Name])</f>
        <v/>
      </c>
      <c r="K182" t="n">
        <v>43</v>
      </c>
      <c r="O1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3">
      <c r="A183" t="n">
        <v>93</v>
      </c>
      <c r="B183" t="n">
        <v>98</v>
      </c>
      <c r="C183" t="inlineStr">
        <is>
          <t>Chaos Cards</t>
        </is>
      </c>
      <c r="D183" s="8" t="inlineStr">
        <is>
          <t>https://www.chaoscards.co.uk/prod/booster-boxes-magic/magic-the-gathering-edge-of-eternities-collector-booster-box-12-packs</t>
        </is>
      </c>
      <c r="E183" t="n">
        <v>269.95</v>
      </c>
      <c r="F183" t="inlineStr">
        <is>
          <t>FALSE</t>
        </is>
      </c>
      <c r="J183">
        <f>_xlfn.XLOOKUP(tbl_Sourcing[[#This Row],[Product Id]], tbl_Product[Product Id], tbl_Product[Name])</f>
        <v/>
      </c>
      <c r="L183" t="n">
        <v>43</v>
      </c>
      <c r="O1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4">
      <c r="A184" t="n">
        <v>360</v>
      </c>
      <c r="B184" t="n">
        <v>158</v>
      </c>
      <c r="C184" t="inlineStr">
        <is>
          <t>Magic Madhouse</t>
        </is>
      </c>
      <c r="D184" s="8" t="inlineStr">
        <is>
          <t>https://magicmadhouse.co.uk/magic-the-gathering-tarkir-dragonstorm-commander-deck-temur-roar-tarkir-dragonstorm</t>
        </is>
      </c>
      <c r="E184" t="n">
        <v>74.95</v>
      </c>
      <c r="F184" t="inlineStr">
        <is>
          <t>TRUE</t>
        </is>
      </c>
      <c r="J184">
        <f>_xlfn.XLOOKUP(tbl_Sourcing[[#This Row],[Product Id]], tbl_Product[Product Id], tbl_Product[Name])</f>
        <v/>
      </c>
      <c r="N184" t="n">
        <v>43</v>
      </c>
      <c r="O1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5">
      <c r="A185" t="n">
        <v>128</v>
      </c>
      <c r="B185" t="n">
        <v>102</v>
      </c>
      <c r="C185" t="inlineStr">
        <is>
          <t>Card Market</t>
        </is>
      </c>
      <c r="D185" s="8" t="inlineStr">
        <is>
          <t>https://www.cardmarket.com/en/Magic/Products/Booster-Boxes/Magic-The-Gathering-Foundations-Collector-Booster-Box?sellerCountry=13&amp;language=1</t>
        </is>
      </c>
      <c r="E185" t="n">
        <v>633.19728</v>
      </c>
      <c r="F185" t="inlineStr">
        <is>
          <t>TRUE</t>
        </is>
      </c>
      <c r="J185">
        <f>_xlfn.XLOOKUP(tbl_Sourcing[[#This Row],[Product Id]], tbl_Product[Product Id], tbl_Product[Name])</f>
        <v/>
      </c>
      <c r="K185" t="n">
        <v>44</v>
      </c>
      <c r="O1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6">
      <c r="A186" t="n">
        <v>94</v>
      </c>
      <c r="B186" t="n">
        <v>100</v>
      </c>
      <c r="C186" t="inlineStr">
        <is>
          <t>Chaos Cards</t>
        </is>
      </c>
      <c r="D186" s="8" t="inlineStr">
        <is>
          <t>https://www.chaoscards.co.uk/prod/booster-boxes-magic/magic-the-gathering-universes-beyond-final-fantasy-collector-booster-box-12-packs</t>
        </is>
      </c>
      <c r="E186" t="n">
        <v>431.88</v>
      </c>
      <c r="F186" t="inlineStr">
        <is>
          <t>FALSE</t>
        </is>
      </c>
      <c r="J186">
        <f>_xlfn.XLOOKUP(tbl_Sourcing[[#This Row],[Product Id]], tbl_Product[Product Id], tbl_Product[Name])</f>
        <v/>
      </c>
      <c r="L186" t="n">
        <v>44</v>
      </c>
      <c r="O1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7">
      <c r="A187" t="n">
        <v>372</v>
      </c>
      <c r="B187" t="n">
        <v>217</v>
      </c>
      <c r="C187" t="inlineStr">
        <is>
          <t>Magic Madhouse</t>
        </is>
      </c>
      <c r="D187" s="8" t="inlineStr">
        <is>
          <t>https://magicmadhouse.co.uk/magic-the-gathering-the-brothers-war-commander-deck-mishras-burnished-banner-the-brothers-war</t>
        </is>
      </c>
      <c r="E187" t="n">
        <v>63.95</v>
      </c>
      <c r="F187" t="inlineStr">
        <is>
          <t>TRUE</t>
        </is>
      </c>
      <c r="J187">
        <f>_xlfn.XLOOKUP(tbl_Sourcing[[#This Row],[Product Id]], tbl_Product[Product Id], tbl_Product[Name])</f>
        <v/>
      </c>
      <c r="N187" t="n">
        <v>44</v>
      </c>
      <c r="O1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8">
      <c r="A188" t="n">
        <v>129</v>
      </c>
      <c r="B188" t="n">
        <v>104</v>
      </c>
      <c r="C188" t="inlineStr">
        <is>
          <t>Card Market</t>
        </is>
      </c>
      <c r="D188" s="8" t="inlineStr">
        <is>
          <t>https://www.cardmarket.com/en/Magic/Products/Booster-Boxes/Innistrad-Midnight-Hunt-Collector-Booster-Box?sellerCountry=13&amp;language=1</t>
        </is>
      </c>
      <c r="E188" t="n">
        <v>194.13528</v>
      </c>
      <c r="F188" t="inlineStr">
        <is>
          <t>TRUE</t>
        </is>
      </c>
      <c r="J188">
        <f>_xlfn.XLOOKUP(tbl_Sourcing[[#This Row],[Product Id]], tbl_Product[Product Id], tbl_Product[Name])</f>
        <v/>
      </c>
      <c r="K188" t="n">
        <v>45</v>
      </c>
      <c r="O1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9">
      <c r="A189" t="n">
        <v>95</v>
      </c>
      <c r="B189" t="n">
        <v>102</v>
      </c>
      <c r="C189" t="inlineStr">
        <is>
          <t>Chaos Cards</t>
        </is>
      </c>
      <c r="D189" s="8" t="inlineStr">
        <is>
          <t>https://www.chaoscards.co.uk/prod/booster-boxes-magic/magic-the-gathering-foundations-collector-booster-box-12-packs</t>
        </is>
      </c>
      <c r="E189" t="n">
        <v>229.95</v>
      </c>
      <c r="F189" t="inlineStr">
        <is>
          <t>FALSE</t>
        </is>
      </c>
      <c r="J189">
        <f>_xlfn.XLOOKUP(tbl_Sourcing[[#This Row],[Product Id]], tbl_Product[Product Id], tbl_Product[Name])</f>
        <v/>
      </c>
      <c r="L189" t="n">
        <v>45</v>
      </c>
      <c r="O1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0">
      <c r="A190" t="n">
        <v>130</v>
      </c>
      <c r="B190" t="n">
        <v>106</v>
      </c>
      <c r="C190" t="inlineStr">
        <is>
          <t>Card Market</t>
        </is>
      </c>
      <c r="D190" s="8" t="inlineStr">
        <is>
          <t>https://www.cardmarket.com/en/Magic/Products/Booster-Boxes/Innistrad-Remastered-Collector-Booster-Box?sellerCountry=13&amp;language=1</t>
        </is>
      </c>
      <c r="E190" t="n">
        <v>360.1215</v>
      </c>
      <c r="F190" t="inlineStr">
        <is>
          <t>TRUE</t>
        </is>
      </c>
      <c r="J190">
        <f>_xlfn.XLOOKUP(tbl_Sourcing[[#This Row],[Product Id]], tbl_Product[Product Id], tbl_Product[Name])</f>
        <v/>
      </c>
      <c r="K190" t="n">
        <v>46</v>
      </c>
      <c r="O1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1">
      <c r="A191" t="n">
        <v>96</v>
      </c>
      <c r="B191" t="n">
        <v>104</v>
      </c>
      <c r="C191" t="inlineStr">
        <is>
          <t>Chaos Cards</t>
        </is>
      </c>
      <c r="D191" s="8" t="inlineStr">
        <is>
          <t>https://www.chaoscards.co.uk/prod/booster-boxes-magic/magic-the-gathering-innistrad-midnight-hunt-collector-booster-box-12-packs</t>
        </is>
      </c>
      <c r="E191" t="n">
        <v>204.95</v>
      </c>
      <c r="F191" t="inlineStr">
        <is>
          <t>TRUE</t>
        </is>
      </c>
      <c r="J191">
        <f>_xlfn.XLOOKUP(tbl_Sourcing[[#This Row],[Product Id]], tbl_Product[Product Id], tbl_Product[Name])</f>
        <v/>
      </c>
      <c r="L191" t="n">
        <v>46</v>
      </c>
      <c r="O1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2">
      <c r="A192" t="n">
        <v>131</v>
      </c>
      <c r="B192" t="n">
        <v>108</v>
      </c>
      <c r="C192" t="inlineStr">
        <is>
          <t>Card Market</t>
        </is>
      </c>
      <c r="D192" s="8" t="inlineStr">
        <is>
          <t>https://www.cardmarket.com/en/Magic/Products/Booster-Boxes/Innistrad-Crimson-Vow-Collector-Booster-Box?sellerCountry=13&amp;language=1</t>
        </is>
      </c>
      <c r="E192" t="n">
        <v>171.55</v>
      </c>
      <c r="F192" t="inlineStr">
        <is>
          <t>TRUE</t>
        </is>
      </c>
      <c r="J192">
        <f>_xlfn.XLOOKUP(tbl_Sourcing[[#This Row],[Product Id]], tbl_Product[Product Id], tbl_Product[Name])</f>
        <v/>
      </c>
      <c r="K192" t="n">
        <v>47</v>
      </c>
      <c r="O1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3">
      <c r="A193" t="n">
        <v>97</v>
      </c>
      <c r="B193" t="n">
        <v>106</v>
      </c>
      <c r="C193" t="inlineStr">
        <is>
          <t>Chaos Cards</t>
        </is>
      </c>
      <c r="D193" s="8" t="inlineStr">
        <is>
          <t>https://www.chaoscards.co.uk/prod/booster-boxes-magic/magic-the-gathering-innistrad-remastered-collector-booster-box-12-packs</t>
        </is>
      </c>
      <c r="E193" t="n">
        <v>284.95</v>
      </c>
      <c r="F193" t="inlineStr">
        <is>
          <t>FALSE</t>
        </is>
      </c>
      <c r="J193">
        <f>_xlfn.XLOOKUP(tbl_Sourcing[[#This Row],[Product Id]], tbl_Product[Product Id], tbl_Product[Name])</f>
        <v/>
      </c>
      <c r="L193" t="n">
        <v>47</v>
      </c>
      <c r="O1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4">
      <c r="A194" t="n">
        <v>132</v>
      </c>
      <c r="B194" t="n">
        <v>110</v>
      </c>
      <c r="C194" t="inlineStr">
        <is>
          <t>Card Market</t>
        </is>
      </c>
      <c r="D194" s="8" t="inlineStr">
        <is>
          <t>https://www.cardmarket.com/en/Magic/Products/Booster-Boxes/Kaldheim-Collector-Booster-Box?sellerCountry=13&amp;language=1</t>
        </is>
      </c>
      <c r="E194" t="n">
        <v>266.81</v>
      </c>
      <c r="F194" t="inlineStr">
        <is>
          <t>TRUE</t>
        </is>
      </c>
      <c r="J194">
        <f>_xlfn.XLOOKUP(tbl_Sourcing[[#This Row],[Product Id]], tbl_Product[Product Id], tbl_Product[Name])</f>
        <v/>
      </c>
      <c r="K194" t="n">
        <v>48</v>
      </c>
      <c r="O1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5">
      <c r="A195" t="n">
        <v>98</v>
      </c>
      <c r="B195" t="n">
        <v>108</v>
      </c>
      <c r="C195" t="inlineStr">
        <is>
          <t>Chaos Cards</t>
        </is>
      </c>
      <c r="D195" s="8" t="inlineStr">
        <is>
          <t>https://www.chaoscards.co.uk/prod/booster-boxes-magic/magic-the-gathering-innistrad-crimson-vow-collector-booster-box-12-packs</t>
        </is>
      </c>
      <c r="E195" t="n">
        <v>192.95</v>
      </c>
      <c r="F195" t="inlineStr">
        <is>
          <t>FALSE</t>
        </is>
      </c>
      <c r="J195">
        <f>_xlfn.XLOOKUP(tbl_Sourcing[[#This Row],[Product Id]], tbl_Product[Product Id], tbl_Product[Name])</f>
        <v/>
      </c>
      <c r="L195" t="n">
        <v>48</v>
      </c>
      <c r="O1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6">
      <c r="A196" t="n">
        <v>133</v>
      </c>
      <c r="B196" t="n">
        <v>112</v>
      </c>
      <c r="C196" t="inlineStr">
        <is>
          <t>Card Market</t>
        </is>
      </c>
      <c r="D196" s="8" t="inlineStr">
        <is>
          <t>https://www.cardmarket.com/en/Magic/Products/Booster-Boxes/Kamigawa-Neon-Dynasty-Collector-Booster-Box?sellerCountry=13&amp;language=1</t>
        </is>
      </c>
      <c r="E196" t="n">
        <v>344.75</v>
      </c>
      <c r="F196" t="inlineStr">
        <is>
          <t>TRUE</t>
        </is>
      </c>
      <c r="J196">
        <f>_xlfn.XLOOKUP(tbl_Sourcing[[#This Row],[Product Id]], tbl_Product[Product Id], tbl_Product[Name])</f>
        <v/>
      </c>
      <c r="K196" t="n">
        <v>49</v>
      </c>
      <c r="O1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7">
      <c r="A197" t="n">
        <v>99</v>
      </c>
      <c r="B197" t="n">
        <v>110</v>
      </c>
      <c r="C197" t="inlineStr">
        <is>
          <t>Chaos Cards</t>
        </is>
      </c>
      <c r="D197" s="8" t="inlineStr">
        <is>
          <t>https://www.chaoscards.co.uk/prod/booster-boxes-magic/magic-the-gathering-kaldheim-collectors-booster-box-12-packs</t>
        </is>
      </c>
      <c r="E197" t="n">
        <v>174.95</v>
      </c>
      <c r="F197" t="inlineStr">
        <is>
          <t>FALSE</t>
        </is>
      </c>
      <c r="J197">
        <f>_xlfn.XLOOKUP(tbl_Sourcing[[#This Row],[Product Id]], tbl_Product[Product Id], tbl_Product[Name])</f>
        <v/>
      </c>
      <c r="L197" t="n">
        <v>49</v>
      </c>
      <c r="O1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8">
      <c r="A198" t="n">
        <v>134</v>
      </c>
      <c r="B198" t="n">
        <v>114</v>
      </c>
      <c r="C198" t="inlineStr">
        <is>
          <t>Card Market</t>
        </is>
      </c>
      <c r="D198" s="8" t="inlineStr">
        <is>
          <t>https://www.cardmarket.com/en/Magic/Products/Booster-Boxes/Lorwyn-Eclipsed-Collector-Booster-Box?sellerCountry=13&amp;language=1</t>
        </is>
      </c>
      <c r="E198" t="n">
        <v>367.85488</v>
      </c>
      <c r="F198" t="inlineStr">
        <is>
          <t>TRUE</t>
        </is>
      </c>
      <c r="J198">
        <f>_xlfn.XLOOKUP(tbl_Sourcing[[#This Row],[Product Id]], tbl_Product[Product Id], tbl_Product[Name])</f>
        <v/>
      </c>
      <c r="K198" t="n">
        <v>50</v>
      </c>
      <c r="O1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9">
      <c r="A199" t="n">
        <v>100</v>
      </c>
      <c r="B199" t="n">
        <v>112</v>
      </c>
      <c r="C199" t="inlineStr">
        <is>
          <t>Chaos Cards</t>
        </is>
      </c>
      <c r="D199" s="8" t="inlineStr">
        <is>
          <t>https://www.chaoscards.co.uk/prod/booster-boxes-magic/magic-the-gathering-kamigawa-neon-dynasty-collector-booster-box-12-packs</t>
        </is>
      </c>
      <c r="E199" t="n">
        <v>204.95</v>
      </c>
      <c r="F199" t="inlineStr">
        <is>
          <t>FALSE</t>
        </is>
      </c>
      <c r="J199">
        <f>_xlfn.XLOOKUP(tbl_Sourcing[[#This Row],[Product Id]], tbl_Product[Product Id], tbl_Product[Name])</f>
        <v/>
      </c>
      <c r="L199" t="n">
        <v>50</v>
      </c>
      <c r="O1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0">
      <c r="A200" t="n">
        <v>135</v>
      </c>
      <c r="B200" t="n">
        <v>116</v>
      </c>
      <c r="C200" t="inlineStr">
        <is>
          <t>Card Market</t>
        </is>
      </c>
      <c r="D200" s="8" t="inlineStr">
        <is>
          <t>https://www.cardmarket.com/en/Magic/Products/Booster-Boxes/March-of-the-Machine-Collector-Booster-Box?sellerCountry=13&amp;language=1</t>
        </is>
      </c>
      <c r="F200" t="inlineStr">
        <is>
          <t>FALSE</t>
        </is>
      </c>
      <c r="J200">
        <f>_xlfn.XLOOKUP(tbl_Sourcing[[#This Row],[Product Id]], tbl_Product[Product Id], tbl_Product[Name])</f>
        <v/>
      </c>
      <c r="K200" t="n">
        <v>51</v>
      </c>
      <c r="O2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1">
      <c r="A201" t="n">
        <v>101</v>
      </c>
      <c r="B201" t="n">
        <v>114</v>
      </c>
      <c r="C201" t="inlineStr">
        <is>
          <t>Chaos Cards</t>
        </is>
      </c>
      <c r="D201" s="8" t="inlineStr">
        <is>
          <t>https://www.chaoscards.co.uk/prod/booster-boxes-magic/magic-the-gathering-lorwyn-eclipsed-collector-booster-box-12-packs</t>
        </is>
      </c>
      <c r="E201" t="n">
        <v>269.95</v>
      </c>
      <c r="F201" t="inlineStr">
        <is>
          <t>FALSE</t>
        </is>
      </c>
      <c r="J201">
        <f>_xlfn.XLOOKUP(tbl_Sourcing[[#This Row],[Product Id]], tbl_Product[Product Id], tbl_Product[Name])</f>
        <v/>
      </c>
      <c r="L201" t="n">
        <v>51</v>
      </c>
      <c r="O2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2">
      <c r="A202" t="n">
        <v>136</v>
      </c>
      <c r="B202" t="n">
        <v>118</v>
      </c>
      <c r="C202" t="inlineStr">
        <is>
          <t>Card Market</t>
        </is>
      </c>
      <c r="D202" s="8" t="inlineStr">
        <is>
          <t>https://www.cardmarket.com/en/Magic/Products/Booster-Boxes/Magic-The-Gathering-Marvels-Spider-Man-Collector-Booster-Box?sellerCountry=13&amp;language=1</t>
        </is>
      </c>
      <c r="E202" t="n">
        <v>326.564</v>
      </c>
      <c r="F202" t="inlineStr">
        <is>
          <t>TRUE</t>
        </is>
      </c>
      <c r="J202">
        <f>_xlfn.XLOOKUP(tbl_Sourcing[[#This Row],[Product Id]], tbl_Product[Product Id], tbl_Product[Name])</f>
        <v/>
      </c>
      <c r="K202" t="n">
        <v>52</v>
      </c>
      <c r="O2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3">
      <c r="A203" t="n">
        <v>102</v>
      </c>
      <c r="B203" t="n">
        <v>116</v>
      </c>
      <c r="C203" t="inlineStr">
        <is>
          <t>Chaos Cards</t>
        </is>
      </c>
      <c r="D203" s="8" t="inlineStr">
        <is>
          <t>https://www.chaoscards.co.uk/prod/booster-boxes-magic/magic-the-gathering-march-of-the-machine-collector-booster-box-12-packs</t>
        </is>
      </c>
      <c r="E203" t="n">
        <v>219.95</v>
      </c>
      <c r="F203" t="inlineStr">
        <is>
          <t>FALSE</t>
        </is>
      </c>
      <c r="J203">
        <f>_xlfn.XLOOKUP(tbl_Sourcing[[#This Row],[Product Id]], tbl_Product[Product Id], tbl_Product[Name])</f>
        <v/>
      </c>
      <c r="L203" t="n">
        <v>52</v>
      </c>
      <c r="O2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4">
      <c r="A204" t="n">
        <v>137</v>
      </c>
      <c r="B204" t="n">
        <v>120</v>
      </c>
      <c r="C204" t="inlineStr">
        <is>
          <t>Card Market</t>
        </is>
      </c>
      <c r="D204" s="8" t="inlineStr">
        <is>
          <t>https://www.cardmarket.com/en/Magic/Products/Booster-Boxes/Modern-Horizons-2-Collector-Booster-Box?sellerCountry=13&amp;language=1</t>
        </is>
      </c>
      <c r="E204" t="n">
        <v>391.02904</v>
      </c>
      <c r="F204" t="inlineStr">
        <is>
          <t>TRUE</t>
        </is>
      </c>
      <c r="J204">
        <f>_xlfn.XLOOKUP(tbl_Sourcing[[#This Row],[Product Id]], tbl_Product[Product Id], tbl_Product[Name])</f>
        <v/>
      </c>
      <c r="K204" t="n">
        <v>53</v>
      </c>
      <c r="O2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5">
      <c r="A205" t="n">
        <v>103</v>
      </c>
      <c r="B205" t="n">
        <v>118</v>
      </c>
      <c r="C205" t="inlineStr">
        <is>
          <t>Chaos Cards</t>
        </is>
      </c>
      <c r="D205" s="8" t="inlineStr">
        <is>
          <t>https://www.chaoscards.co.uk/prod/booster-boxes-magic/magic-the-gathering-marvels-spider-man-collector-booster-box-12-packs</t>
        </is>
      </c>
      <c r="E205" t="n">
        <v>455.88</v>
      </c>
      <c r="F205" t="inlineStr">
        <is>
          <t>FALSE</t>
        </is>
      </c>
      <c r="J205">
        <f>_xlfn.XLOOKUP(tbl_Sourcing[[#This Row],[Product Id]], tbl_Product[Product Id], tbl_Product[Name])</f>
        <v/>
      </c>
      <c r="L205" t="n">
        <v>53</v>
      </c>
      <c r="O2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6">
      <c r="A206" t="n">
        <v>138</v>
      </c>
      <c r="B206" t="n">
        <v>122</v>
      </c>
      <c r="C206" t="inlineStr">
        <is>
          <t>Card Market</t>
        </is>
      </c>
      <c r="D206" s="8" t="inlineStr">
        <is>
          <t>https://www.cardmarket.com/en/Magic/Products/Booster-Boxes/Modern-Horizons-3-Collector-Booster-Box?sellerCountry=13&amp;language=1</t>
        </is>
      </c>
      <c r="E206" t="n">
        <v>470.32</v>
      </c>
      <c r="F206" t="inlineStr">
        <is>
          <t>TRUE</t>
        </is>
      </c>
      <c r="J206">
        <f>_xlfn.XLOOKUP(tbl_Sourcing[[#This Row],[Product Id]], tbl_Product[Product Id], tbl_Product[Name])</f>
        <v/>
      </c>
      <c r="K206" t="n">
        <v>54</v>
      </c>
      <c r="O2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7">
      <c r="A207" t="n">
        <v>104</v>
      </c>
      <c r="B207" t="n">
        <v>120</v>
      </c>
      <c r="C207" t="inlineStr">
        <is>
          <t>Chaos Cards</t>
        </is>
      </c>
      <c r="D207" s="8" t="inlineStr">
        <is>
          <t>https://www.chaoscards.co.uk/prod/booster-boxes-magic/magic-the-gathering-collector-booster-box-modern-horizons-2</t>
        </is>
      </c>
      <c r="E207" t="n">
        <v>324.95</v>
      </c>
      <c r="F207" t="inlineStr">
        <is>
          <t>FALSE</t>
        </is>
      </c>
      <c r="J207">
        <f>_xlfn.XLOOKUP(tbl_Sourcing[[#This Row],[Product Id]], tbl_Product[Product Id], tbl_Product[Name])</f>
        <v/>
      </c>
      <c r="L207" t="n">
        <v>54</v>
      </c>
      <c r="O2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8">
      <c r="A208" t="n">
        <v>139</v>
      </c>
      <c r="B208" t="n">
        <v>124</v>
      </c>
      <c r="C208" t="inlineStr">
        <is>
          <t>Card Market</t>
        </is>
      </c>
      <c r="D208" s="8" t="inlineStr">
        <is>
          <t>https://www.cardmarket.com/en/Magic/Products/Booster-Boxes/Murders-at-Karlov-Manor-Collector-Booster-Box?sellerCountry=13&amp;language=1</t>
        </is>
      </c>
      <c r="E208" t="n">
        <v>226.08202</v>
      </c>
      <c r="F208" t="inlineStr">
        <is>
          <t>TRUE</t>
        </is>
      </c>
      <c r="J208">
        <f>_xlfn.XLOOKUP(tbl_Sourcing[[#This Row],[Product Id]], tbl_Product[Product Id], tbl_Product[Name])</f>
        <v/>
      </c>
      <c r="K208" t="n">
        <v>55</v>
      </c>
      <c r="O2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9">
      <c r="A209" t="n">
        <v>105</v>
      </c>
      <c r="B209" t="n">
        <v>122</v>
      </c>
      <c r="C209" t="inlineStr">
        <is>
          <t>Chaos Cards</t>
        </is>
      </c>
      <c r="D209" s="8" t="inlineStr">
        <is>
          <t>https://www.chaoscards.co.uk/prod/booster-boxes-magic/magic-the-gathering-modern-horizons-3-collector-booster-box-12-packs</t>
        </is>
      </c>
      <c r="E209" t="n">
        <v>379.95</v>
      </c>
      <c r="F209" t="inlineStr">
        <is>
          <t>FALSE</t>
        </is>
      </c>
      <c r="J209">
        <f>_xlfn.XLOOKUP(tbl_Sourcing[[#This Row],[Product Id]], tbl_Product[Product Id], tbl_Product[Name])</f>
        <v/>
      </c>
      <c r="L209" t="n">
        <v>55</v>
      </c>
      <c r="O2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0">
      <c r="A210" t="n">
        <v>140</v>
      </c>
      <c r="B210" t="n">
        <v>126</v>
      </c>
      <c r="C210" t="inlineStr">
        <is>
          <t>Card Market</t>
        </is>
      </c>
      <c r="D210" s="8" t="inlineStr">
        <is>
          <t>https://www.cardmarket.com/en/Magic/Products/Booster-Boxes/Outlaws-of-Thunder-Junction-Collector-Booster-Box?sellerCountry=13&amp;language=1</t>
        </is>
      </c>
      <c r="E210" t="n">
        <v>349.08</v>
      </c>
      <c r="F210" t="inlineStr">
        <is>
          <t>TRUE</t>
        </is>
      </c>
      <c r="J210">
        <f>_xlfn.XLOOKUP(tbl_Sourcing[[#This Row],[Product Id]], tbl_Product[Product Id], tbl_Product[Name])</f>
        <v/>
      </c>
      <c r="K210" t="n">
        <v>56</v>
      </c>
      <c r="O2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1">
      <c r="A211" t="n">
        <v>106</v>
      </c>
      <c r="B211" t="n">
        <v>124</v>
      </c>
      <c r="C211" t="inlineStr">
        <is>
          <t>Chaos Cards</t>
        </is>
      </c>
      <c r="D211" s="8" t="inlineStr">
        <is>
          <t>https://www.chaoscards.co.uk/prod/booster-boxes-magic/magic-the-gathering-murders-at-karlov-manor-collector-booster-box-12-packs</t>
        </is>
      </c>
      <c r="E211" t="n">
        <v>221.95</v>
      </c>
      <c r="F211" t="inlineStr">
        <is>
          <t>FALSE</t>
        </is>
      </c>
      <c r="J211">
        <f>_xlfn.XLOOKUP(tbl_Sourcing[[#This Row],[Product Id]], tbl_Product[Product Id], tbl_Product[Name])</f>
        <v/>
      </c>
      <c r="L211" t="n">
        <v>56</v>
      </c>
      <c r="O2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2">
      <c r="A212" t="n">
        <v>141</v>
      </c>
      <c r="B212" t="n">
        <v>128</v>
      </c>
      <c r="C212" t="inlineStr">
        <is>
          <t>Card Market</t>
        </is>
      </c>
      <c r="D212" s="8" t="inlineStr">
        <is>
          <t>https://www.cardmarket.com/en/Magic/Products/Booster-Boxes/Phyrexia-All-Will-Be-One-Collector-Booster-Box?sellerCountry=13&amp;language=1</t>
        </is>
      </c>
      <c r="F212" t="inlineStr">
        <is>
          <t>FALSE</t>
        </is>
      </c>
      <c r="J212">
        <f>_xlfn.XLOOKUP(tbl_Sourcing[[#This Row],[Product Id]], tbl_Product[Product Id], tbl_Product[Name])</f>
        <v/>
      </c>
      <c r="K212" t="n">
        <v>57</v>
      </c>
      <c r="O2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3">
      <c r="A213" t="n">
        <v>107</v>
      </c>
      <c r="B213" t="n">
        <v>126</v>
      </c>
      <c r="C213" t="inlineStr">
        <is>
          <t>Chaos Cards</t>
        </is>
      </c>
      <c r="D213" s="8" t="inlineStr">
        <is>
          <t>https://www.chaoscards.co.uk/prod/booster-boxes-magic/magic-the-gathering-outlaws-of-thunder-junction-collector-booster-box-12-packs</t>
        </is>
      </c>
      <c r="E213" t="n">
        <v>220.95</v>
      </c>
      <c r="F213" t="inlineStr">
        <is>
          <t>FALSE</t>
        </is>
      </c>
      <c r="J213">
        <f>_xlfn.XLOOKUP(tbl_Sourcing[[#This Row],[Product Id]], tbl_Product[Product Id], tbl_Product[Name])</f>
        <v/>
      </c>
      <c r="L213" t="n">
        <v>57</v>
      </c>
      <c r="O2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4">
      <c r="A214" t="n">
        <v>142</v>
      </c>
      <c r="B214" t="n">
        <v>130</v>
      </c>
      <c r="C214" t="inlineStr">
        <is>
          <t>Card Market</t>
        </is>
      </c>
      <c r="D214" s="8" t="inlineStr">
        <is>
          <t>https://www.cardmarket.com/en/Magic/Products/Booster-Boxes/Ravnica-Remastered-Collector-Booster-Box?sellerCountry=13&amp;language=1</t>
        </is>
      </c>
      <c r="E214" t="n">
        <v>736.25994</v>
      </c>
      <c r="F214" t="inlineStr">
        <is>
          <t>TRUE</t>
        </is>
      </c>
      <c r="J214">
        <f>_xlfn.XLOOKUP(tbl_Sourcing[[#This Row],[Product Id]], tbl_Product[Product Id], tbl_Product[Name])</f>
        <v/>
      </c>
      <c r="K214" t="n">
        <v>58</v>
      </c>
      <c r="O2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5">
      <c r="A215" t="n">
        <v>108</v>
      </c>
      <c r="B215" t="n">
        <v>128</v>
      </c>
      <c r="C215" t="inlineStr">
        <is>
          <t>Chaos Cards</t>
        </is>
      </c>
      <c r="D215" s="8" t="inlineStr">
        <is>
          <t>https://www.chaoscards.co.uk/prod/booster-boxes-magic/magic-the-gathering-phyrexia-all-will-be-one-collector-booster-box-12-packs</t>
        </is>
      </c>
      <c r="E215" t="n">
        <v>224.95</v>
      </c>
      <c r="F215" t="inlineStr">
        <is>
          <t>FALSE</t>
        </is>
      </c>
      <c r="J215">
        <f>_xlfn.XLOOKUP(tbl_Sourcing[[#This Row],[Product Id]], tbl_Product[Product Id], tbl_Product[Name])</f>
        <v/>
      </c>
      <c r="L215" t="n">
        <v>58</v>
      </c>
      <c r="O2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6">
      <c r="A216" t="n">
        <v>143</v>
      </c>
      <c r="B216" t="n">
        <v>132</v>
      </c>
      <c r="C216" t="inlineStr">
        <is>
          <t>Card Market</t>
        </is>
      </c>
      <c r="D216" s="8" t="inlineStr">
        <is>
          <t>https://www.cardmarket.com/en/Magic/Products/Booster-Boxes/Streets-of-New-Capenna-Collector-Booster-Box?sellerCountry=13&amp;language=1</t>
        </is>
      </c>
      <c r="E216" t="n">
        <v>195.21778</v>
      </c>
      <c r="F216" t="inlineStr">
        <is>
          <t>TRUE</t>
        </is>
      </c>
      <c r="J216">
        <f>_xlfn.XLOOKUP(tbl_Sourcing[[#This Row],[Product Id]], tbl_Product[Product Id], tbl_Product[Name])</f>
        <v/>
      </c>
      <c r="K216" t="n">
        <v>59</v>
      </c>
      <c r="O2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7">
      <c r="A217" t="n">
        <v>109</v>
      </c>
      <c r="B217" t="n">
        <v>130</v>
      </c>
      <c r="C217" t="inlineStr">
        <is>
          <t>Chaos Cards</t>
        </is>
      </c>
      <c r="D217" s="8" t="inlineStr">
        <is>
          <t>https://www.chaoscards.co.uk/prod/booster-boxes-magic/magic-the-gathering-ravnica-remastered-collector-booster-box-12-packs</t>
        </is>
      </c>
      <c r="E217" t="n">
        <v>279.95</v>
      </c>
      <c r="F217" t="inlineStr">
        <is>
          <t>FALSE</t>
        </is>
      </c>
      <c r="J217">
        <f>_xlfn.XLOOKUP(tbl_Sourcing[[#This Row],[Product Id]], tbl_Product[Product Id], tbl_Product[Name])</f>
        <v/>
      </c>
      <c r="L217" t="n">
        <v>59</v>
      </c>
      <c r="O2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8">
      <c r="A218" t="n">
        <v>144</v>
      </c>
      <c r="B218" t="n">
        <v>134</v>
      </c>
      <c r="C218" t="inlineStr">
        <is>
          <t>Card Market</t>
        </is>
      </c>
      <c r="D218" s="8" t="inlineStr">
        <is>
          <t>https://www.cardmarket.com/en/Magic/Products/Booster-Boxes/Strixhaven-School-of-Mages-Collector-Booster-Box?sellerCountry=13&amp;language=1</t>
        </is>
      </c>
      <c r="E218" t="n">
        <v>391.02904</v>
      </c>
      <c r="F218" t="inlineStr">
        <is>
          <t>TRUE</t>
        </is>
      </c>
      <c r="J218">
        <f>_xlfn.XLOOKUP(tbl_Sourcing[[#This Row],[Product Id]], tbl_Product[Product Id], tbl_Product[Name])</f>
        <v/>
      </c>
      <c r="K218" t="n">
        <v>60</v>
      </c>
      <c r="O2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9">
      <c r="A219" t="n">
        <v>110</v>
      </c>
      <c r="B219" t="n">
        <v>132</v>
      </c>
      <c r="C219" t="inlineStr">
        <is>
          <t>Chaos Cards</t>
        </is>
      </c>
      <c r="D219" s="8" t="inlineStr">
        <is>
          <t>https://www.chaoscards.co.uk/prod/booster-boxes-magic/magic-the-gathering-streets-of-new-capenna-collector-booster-box-12-packs</t>
        </is>
      </c>
      <c r="E219" t="n">
        <v>207.95</v>
      </c>
      <c r="F219" t="inlineStr">
        <is>
          <t>TRUE</t>
        </is>
      </c>
      <c r="J219">
        <f>_xlfn.XLOOKUP(tbl_Sourcing[[#This Row],[Product Id]], tbl_Product[Product Id], tbl_Product[Name])</f>
        <v/>
      </c>
      <c r="L219" t="n">
        <v>60</v>
      </c>
      <c r="O2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0">
      <c r="A220" t="n">
        <v>145</v>
      </c>
      <c r="B220" t="n">
        <v>136</v>
      </c>
      <c r="C220" t="inlineStr">
        <is>
          <t>Card Market</t>
        </is>
      </c>
      <c r="D220" s="8" t="inlineStr">
        <is>
          <t>https://www.cardmarket.com/en/Magic/Products/Booster-Boxes/Tarkir-Dragonstorm-Collector-Booster-Box?sellerCountry=13&amp;language=1</t>
        </is>
      </c>
      <c r="E220" t="n">
        <v>298.28044</v>
      </c>
      <c r="F220" t="inlineStr">
        <is>
          <t>TRUE</t>
        </is>
      </c>
      <c r="J220">
        <f>_xlfn.XLOOKUP(tbl_Sourcing[[#This Row],[Product Id]], tbl_Product[Product Id], tbl_Product[Name])</f>
        <v/>
      </c>
      <c r="K220" t="n">
        <v>61</v>
      </c>
      <c r="O2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1">
      <c r="A221" t="n">
        <v>111</v>
      </c>
      <c r="B221" t="n">
        <v>134</v>
      </c>
      <c r="C221" t="inlineStr">
        <is>
          <t>Chaos Cards</t>
        </is>
      </c>
      <c r="D221" s="8" t="inlineStr">
        <is>
          <t>https://www.chaoscards.co.uk/prod/booster-boxes-magic/magic-the-gathering-strixhaven-school-of-mages-collector-booster-box-12-packs</t>
        </is>
      </c>
      <c r="E221" t="n">
        <v>289.95</v>
      </c>
      <c r="F221" t="inlineStr">
        <is>
          <t>FALSE</t>
        </is>
      </c>
      <c r="J221">
        <f>_xlfn.XLOOKUP(tbl_Sourcing[[#This Row],[Product Id]], tbl_Product[Product Id], tbl_Product[Name])</f>
        <v/>
      </c>
      <c r="L221" t="n">
        <v>61</v>
      </c>
      <c r="O2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2">
      <c r="A222" t="n">
        <v>146</v>
      </c>
      <c r="B222" t="n">
        <v>138</v>
      </c>
      <c r="C222" t="inlineStr">
        <is>
          <t>Card Market</t>
        </is>
      </c>
      <c r="D222" s="8" t="inlineStr">
        <is>
          <t>https://www.cardmarket.com/en/Magic/Products/Booster-Boxes/The-Brothers-War-Collector-Booster-Box?sellerCountry=13&amp;language=1</t>
        </is>
      </c>
      <c r="E222" t="n">
        <v>453</v>
      </c>
      <c r="F222" t="inlineStr">
        <is>
          <t>TRUE</t>
        </is>
      </c>
      <c r="J222">
        <f>_xlfn.XLOOKUP(tbl_Sourcing[[#This Row],[Product Id]], tbl_Product[Product Id], tbl_Product[Name])</f>
        <v/>
      </c>
      <c r="K222" t="n">
        <v>62</v>
      </c>
      <c r="O2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3">
      <c r="A223" t="n">
        <v>112</v>
      </c>
      <c r="B223" t="n">
        <v>136</v>
      </c>
      <c r="C223" t="inlineStr">
        <is>
          <t>Chaos Cards</t>
        </is>
      </c>
      <c r="D223" s="8" t="inlineStr">
        <is>
          <t>https://www.chaoscards.co.uk/prod/booster-boxes-magic/magic-the-gathering-tarkir-dragonstorm-collector-booster-box-12-packs</t>
        </is>
      </c>
      <c r="E223" t="n">
        <v>259.95</v>
      </c>
      <c r="F223" t="inlineStr">
        <is>
          <t>FALSE</t>
        </is>
      </c>
      <c r="J223">
        <f>_xlfn.XLOOKUP(tbl_Sourcing[[#This Row],[Product Id]], tbl_Product[Product Id], tbl_Product[Name])</f>
        <v/>
      </c>
      <c r="L223" t="n">
        <v>62</v>
      </c>
      <c r="O2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4">
      <c r="A224" t="n">
        <v>147</v>
      </c>
      <c r="B224" t="n">
        <v>140</v>
      </c>
      <c r="C224" t="inlineStr">
        <is>
          <t>Card Market</t>
        </is>
      </c>
      <c r="D224" s="8" t="inlineStr">
        <is>
          <t>https://www.cardmarket.com/en/Magic/Products/Booster-Boxes/The-Lord-of-the-Rings-Tales-of-Middle-earth-Collector-Booster-Box?sellerCountry=13&amp;language=1</t>
        </is>
      </c>
      <c r="E224" t="n">
        <v>886</v>
      </c>
      <c r="F224" t="inlineStr">
        <is>
          <t>TRUE</t>
        </is>
      </c>
      <c r="J224">
        <f>_xlfn.XLOOKUP(tbl_Sourcing[[#This Row],[Product Id]], tbl_Product[Product Id], tbl_Product[Name])</f>
        <v/>
      </c>
      <c r="K224" t="n">
        <v>63</v>
      </c>
      <c r="O2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5">
      <c r="A225" t="n">
        <v>113</v>
      </c>
      <c r="B225" t="n">
        <v>138</v>
      </c>
      <c r="C225" t="inlineStr">
        <is>
          <t>Chaos Cards</t>
        </is>
      </c>
      <c r="D225" s="8" t="inlineStr">
        <is>
          <t>https://www.chaoscards.co.uk/prod/booster-boxes-magic/magic-the-gathering-the-brothers-war-collector-booster-box-12-packs</t>
        </is>
      </c>
      <c r="E225" t="n">
        <v>219.95</v>
      </c>
      <c r="F225" t="inlineStr">
        <is>
          <t>FALSE</t>
        </is>
      </c>
      <c r="J225">
        <f>_xlfn.XLOOKUP(tbl_Sourcing[[#This Row],[Product Id]], tbl_Product[Product Id], tbl_Product[Name])</f>
        <v/>
      </c>
      <c r="L225" t="n">
        <v>63</v>
      </c>
      <c r="O2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6">
      <c r="A226" t="n">
        <v>148</v>
      </c>
      <c r="B226" t="n">
        <v>142</v>
      </c>
      <c r="C226" t="inlineStr">
        <is>
          <t>Card Market</t>
        </is>
      </c>
      <c r="D226" s="8" t="inlineStr">
        <is>
          <t>https://www.cardmarket.com/en/Magic/Products/Booster-Boxes/The-Lost-Caverns-of-Ixalan-Collector-Booster-Box?sellerCountry=13&amp;language=1</t>
        </is>
      </c>
      <c r="E226" t="n">
        <v>885.134</v>
      </c>
      <c r="F226" t="inlineStr">
        <is>
          <t>TRUE</t>
        </is>
      </c>
      <c r="J226">
        <f>_xlfn.XLOOKUP(tbl_Sourcing[[#This Row],[Product Id]], tbl_Product[Product Id], tbl_Product[Name])</f>
        <v/>
      </c>
      <c r="K226" t="n">
        <v>64</v>
      </c>
      <c r="O2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7">
      <c r="A227" t="n">
        <v>114</v>
      </c>
      <c r="B227" t="n">
        <v>140</v>
      </c>
      <c r="C227" t="inlineStr">
        <is>
          <t>Chaos Cards</t>
        </is>
      </c>
      <c r="D227" s="8" t="inlineStr">
        <is>
          <t>https://www.chaoscards.co.uk/prod/booster-boxes-magic/magic-the-gathering-lord-of-the-rings-tales-of-middle-earth-collector-booster-box-12-packs</t>
        </is>
      </c>
      <c r="E227" t="n">
        <v>409.95</v>
      </c>
      <c r="F227" t="inlineStr">
        <is>
          <t>FALSE</t>
        </is>
      </c>
      <c r="J227">
        <f>_xlfn.XLOOKUP(tbl_Sourcing[[#This Row],[Product Id]], tbl_Product[Product Id], tbl_Product[Name])</f>
        <v/>
      </c>
      <c r="L227" t="n">
        <v>64</v>
      </c>
      <c r="O2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8">
      <c r="A228" t="n">
        <v>149</v>
      </c>
      <c r="B228" t="n">
        <v>144</v>
      </c>
      <c r="C228" t="inlineStr">
        <is>
          <t>Card Market</t>
        </is>
      </c>
      <c r="D228" s="8" t="inlineStr">
        <is>
          <t>https://www.cardmarket.com/en/Magic/Products/Booster-Boxes/Theros-Beyond-Death-Collector-Booster-Box?sellerCountry=13&amp;language=1</t>
        </is>
      </c>
      <c r="E228" t="n">
        <v>205.52318</v>
      </c>
      <c r="F228" t="inlineStr">
        <is>
          <t>TRUE</t>
        </is>
      </c>
      <c r="J228">
        <f>_xlfn.XLOOKUP(tbl_Sourcing[[#This Row],[Product Id]], tbl_Product[Product Id], tbl_Product[Name])</f>
        <v/>
      </c>
      <c r="K228" t="n">
        <v>65</v>
      </c>
      <c r="O2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9">
      <c r="A229" t="n">
        <v>115</v>
      </c>
      <c r="B229" t="n">
        <v>142</v>
      </c>
      <c r="C229" t="inlineStr">
        <is>
          <t>Chaos Cards</t>
        </is>
      </c>
      <c r="D229" s="8" t="inlineStr">
        <is>
          <t>https://www.chaoscards.co.uk/prod/booster-boxes-magic/magic-the-gathering-the-lost-caverns-of-ixalan-collector-booster-box-12-packs</t>
        </is>
      </c>
      <c r="E229" t="n">
        <v>224.95</v>
      </c>
      <c r="F229" t="inlineStr">
        <is>
          <t>FALSE</t>
        </is>
      </c>
      <c r="J229">
        <f>_xlfn.XLOOKUP(tbl_Sourcing[[#This Row],[Product Id]], tbl_Product[Product Id], tbl_Product[Name])</f>
        <v/>
      </c>
      <c r="L229" t="n">
        <v>65</v>
      </c>
      <c r="O2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0">
      <c r="A230" t="n">
        <v>150</v>
      </c>
      <c r="B230" t="n">
        <v>146</v>
      </c>
      <c r="C230" t="inlineStr">
        <is>
          <t>Card Market</t>
        </is>
      </c>
      <c r="D230" s="8" t="inlineStr">
        <is>
          <t>https://www.cardmarket.com/en/Magic/Products/Booster-Boxes/Throne-of-Eldraine-Collector-Booster-Box?sellerCountry=13&amp;language=1</t>
        </is>
      </c>
      <c r="E230" t="n">
        <v>329.18798</v>
      </c>
      <c r="F230" t="inlineStr">
        <is>
          <t>TRUE</t>
        </is>
      </c>
      <c r="J230">
        <f>_xlfn.XLOOKUP(tbl_Sourcing[[#This Row],[Product Id]], tbl_Product[Product Id], tbl_Product[Name])</f>
        <v/>
      </c>
      <c r="K230" t="n">
        <v>66</v>
      </c>
      <c r="O2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1">
      <c r="A231" t="n">
        <v>116</v>
      </c>
      <c r="B231" t="n">
        <v>144</v>
      </c>
      <c r="C231" t="inlineStr">
        <is>
          <t>Chaos Cards</t>
        </is>
      </c>
      <c r="D231" s="8" t="inlineStr">
        <is>
          <t>https://www.chaoscards.co.uk/prod/booster-boxes-magic/magic-the-gathering-theros-beyond-death-collector-booster-box-12-packs</t>
        </is>
      </c>
      <c r="E231" t="n">
        <v>249.95</v>
      </c>
      <c r="F231" t="inlineStr">
        <is>
          <t>FALSE</t>
        </is>
      </c>
      <c r="J231">
        <f>_xlfn.XLOOKUP(tbl_Sourcing[[#This Row],[Product Id]], tbl_Product[Product Id], tbl_Product[Name])</f>
        <v/>
      </c>
      <c r="L231" t="n">
        <v>66</v>
      </c>
      <c r="O2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2">
      <c r="A232" t="n">
        <v>151</v>
      </c>
      <c r="B232" t="n">
        <v>148</v>
      </c>
      <c r="C232" t="inlineStr">
        <is>
          <t>Card Market</t>
        </is>
      </c>
      <c r="D232" s="8" t="inlineStr">
        <is>
          <t>https://www.cardmarket.com/en/Magic/Products/Booster-Boxes/Wilds-of-Eldraine-Collector-Booster-Box?sellerCountry=13&amp;language=1</t>
        </is>
      </c>
      <c r="E232" t="n">
        <v>844.52726</v>
      </c>
      <c r="F232" t="inlineStr">
        <is>
          <t>TRUE</t>
        </is>
      </c>
      <c r="J232">
        <f>_xlfn.XLOOKUP(tbl_Sourcing[[#This Row],[Product Id]], tbl_Product[Product Id], tbl_Product[Name])</f>
        <v/>
      </c>
      <c r="K232" t="n">
        <v>67</v>
      </c>
      <c r="O2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3">
      <c r="A233" t="n">
        <v>117</v>
      </c>
      <c r="B233" t="n">
        <v>146</v>
      </c>
      <c r="C233" t="inlineStr">
        <is>
          <t>Chaos Cards</t>
        </is>
      </c>
      <c r="D233" s="8" t="inlineStr">
        <is>
          <t>https://www.chaoscards.co.uk/prod/booster-boxes-magic/magic-the-gathering-throne-of-eldraine-collector-booster-box-12-packs-1-183231</t>
        </is>
      </c>
      <c r="E233" t="n">
        <v>286.95</v>
      </c>
      <c r="F233" t="inlineStr">
        <is>
          <t>FALSE</t>
        </is>
      </c>
      <c r="J233">
        <f>_xlfn.XLOOKUP(tbl_Sourcing[[#This Row],[Product Id]], tbl_Product[Product Id], tbl_Product[Name])</f>
        <v/>
      </c>
      <c r="L233" t="n">
        <v>67</v>
      </c>
      <c r="O2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4">
      <c r="A234" t="n">
        <v>152</v>
      </c>
      <c r="B234" t="n">
        <v>1</v>
      </c>
      <c r="C234" t="inlineStr">
        <is>
          <t>Card Market</t>
        </is>
      </c>
      <c r="D234" s="8" t="inlineStr">
        <is>
          <t>https://www.cardmarket.com/en/Magic/Products/Boosters/Modern-Horizons-2-Set-Booster?sellerCountry=13&amp;language=1</t>
        </is>
      </c>
      <c r="E234" t="n">
        <v>20.37514</v>
      </c>
      <c r="F234" t="inlineStr">
        <is>
          <t>TRUE</t>
        </is>
      </c>
      <c r="H234" t="n">
        <v>12.36648</v>
      </c>
      <c r="J234">
        <f>_xlfn.XLOOKUP(tbl_Sourcing[[#This Row],[Product Id]], tbl_Product[Product Id], tbl_Product[Name])</f>
        <v/>
      </c>
      <c r="K234" t="n">
        <v>68</v>
      </c>
      <c r="O2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5">
      <c r="A235" t="n">
        <v>118</v>
      </c>
      <c r="B235" t="n">
        <v>148</v>
      </c>
      <c r="C235" t="inlineStr">
        <is>
          <t>Chaos Cards</t>
        </is>
      </c>
      <c r="D235" s="8" t="inlineStr">
        <is>
          <t>https://www.chaoscards.co.uk/prod/booster-boxes-magic/magic-the-gathering-wilds-of-eldraine-collector-booster-box-12-packs</t>
        </is>
      </c>
      <c r="E235" t="n">
        <v>229.95</v>
      </c>
      <c r="F235" t="inlineStr">
        <is>
          <t>FALSE</t>
        </is>
      </c>
      <c r="J235">
        <f>_xlfn.XLOOKUP(tbl_Sourcing[[#This Row],[Product Id]], tbl_Product[Product Id], tbl_Product[Name])</f>
        <v/>
      </c>
      <c r="L235" t="n">
        <v>68</v>
      </c>
      <c r="O2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6">
      <c r="A236" t="n">
        <v>153</v>
      </c>
      <c r="B236" t="n">
        <v>2</v>
      </c>
      <c r="C236" t="inlineStr">
        <is>
          <t>Card Market</t>
        </is>
      </c>
      <c r="D236" s="8" t="inlineStr">
        <is>
          <t>https://www.cardmarket.com/en/Magic/Products/Boosters/The-Lost-Caverns-of-Ixalan-Set-Booster?sellerCountry=13&amp;language=1</t>
        </is>
      </c>
      <c r="E236" t="n">
        <v>8.1919</v>
      </c>
      <c r="F236" t="inlineStr">
        <is>
          <t>TRUE</t>
        </is>
      </c>
      <c r="H236" t="n">
        <v>6.18324</v>
      </c>
      <c r="J236">
        <f>_xlfn.XLOOKUP(tbl_Sourcing[[#This Row],[Product Id]], tbl_Product[Product Id], tbl_Product[Name])</f>
        <v/>
      </c>
      <c r="K236" t="n">
        <v>69</v>
      </c>
      <c r="O2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7">
      <c r="A237" t="n">
        <v>387</v>
      </c>
      <c r="B237" t="n">
        <v>197</v>
      </c>
      <c r="C237" t="inlineStr">
        <is>
          <t>Chaos Cards</t>
        </is>
      </c>
      <c r="D237" s="8" t="inlineStr">
        <is>
          <t>https://www.chaoscards.co.uk/prod/commander-magic/magic-the-gathering-commander-masters-commander-deck-planeswalker-party</t>
        </is>
      </c>
      <c r="E237" t="n">
        <v>63.94</v>
      </c>
      <c r="F237" t="inlineStr">
        <is>
          <t>TRUE</t>
        </is>
      </c>
      <c r="J237">
        <f>_xlfn.XLOOKUP(tbl_Sourcing[[#This Row],[Product Id]], tbl_Product[Product Id], tbl_Product[Name])</f>
        <v/>
      </c>
      <c r="L237" t="n">
        <v>69</v>
      </c>
      <c r="O2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8">
      <c r="A238" t="n">
        <v>154</v>
      </c>
      <c r="B238" t="n">
        <v>3</v>
      </c>
      <c r="C238" t="inlineStr">
        <is>
          <t>Card Market</t>
        </is>
      </c>
      <c r="D238" s="8" t="inlineStr">
        <is>
          <t>https://www.cardmarket.com/en/Magic/Products/Boosters/Innistrad-Remastered-Play-Booster?sellerCountry=13&amp;language=1</t>
        </is>
      </c>
      <c r="E238" t="n">
        <v>7.90612</v>
      </c>
      <c r="F238" t="inlineStr">
        <is>
          <t>TRUE</t>
        </is>
      </c>
      <c r="H238" t="n">
        <v>5.90612</v>
      </c>
      <c r="J238">
        <f>_xlfn.XLOOKUP(tbl_Sourcing[[#This Row],[Product Id]], tbl_Product[Product Id], tbl_Product[Name])</f>
        <v/>
      </c>
      <c r="K238" t="n">
        <v>70</v>
      </c>
      <c r="O2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9">
      <c r="A239" t="n">
        <v>388</v>
      </c>
      <c r="B239" t="n">
        <v>198</v>
      </c>
      <c r="C239" t="inlineStr">
        <is>
          <t>Chaos Cards</t>
        </is>
      </c>
      <c r="D239" s="8" t="inlineStr">
        <is>
          <t>https://www.chaoscards.co.uk/prod/commander-magic/magic-the-gathering-commander-masters-commander-deck-enduring-enchantments</t>
        </is>
      </c>
      <c r="E239" t="n">
        <v>79.95</v>
      </c>
      <c r="F239" t="inlineStr">
        <is>
          <t>TRUE</t>
        </is>
      </c>
      <c r="J239">
        <f>_xlfn.XLOOKUP(tbl_Sourcing[[#This Row],[Product Id]], tbl_Product[Product Id], tbl_Product[Name])</f>
        <v/>
      </c>
      <c r="L239" t="n">
        <v>70</v>
      </c>
      <c r="O2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0">
      <c r="A240" t="n">
        <v>155</v>
      </c>
      <c r="B240" t="n">
        <v>4</v>
      </c>
      <c r="C240" t="inlineStr">
        <is>
          <t>Card Market</t>
        </is>
      </c>
      <c r="D240" s="8" t="inlineStr">
        <is>
          <t>https://www.cardmarket.com/en/Magic/Products/Boosters/Lorwyn-Eclipsed-Play-Booster?sellerCountry=13&amp;language=1</t>
        </is>
      </c>
      <c r="E240" t="n">
        <v>6.641760000000001</v>
      </c>
      <c r="F240" t="inlineStr">
        <is>
          <t>TRUE</t>
        </is>
      </c>
      <c r="H240" t="n">
        <v>4.641760000000001</v>
      </c>
      <c r="J240">
        <f>_xlfn.XLOOKUP(tbl_Sourcing[[#This Row],[Product Id]], tbl_Product[Product Id], tbl_Product[Name])</f>
        <v/>
      </c>
      <c r="K240" t="n">
        <v>71</v>
      </c>
      <c r="O2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1">
      <c r="A241" t="n">
        <v>389</v>
      </c>
      <c r="B241" t="n">
        <v>156</v>
      </c>
      <c r="C241" t="inlineStr">
        <is>
          <t>Chaos Cards</t>
        </is>
      </c>
      <c r="D241" s="8" t="inlineStr">
        <is>
          <t>https://www.chaoscards.co.uk/prod/commander-magic/magic-the-gathering-tarkir-dragonstorm-commander-deck-mardu-surge</t>
        </is>
      </c>
      <c r="E241" t="n">
        <v>49.95</v>
      </c>
      <c r="F241" t="inlineStr">
        <is>
          <t>TRUE</t>
        </is>
      </c>
      <c r="J241">
        <f>_xlfn.XLOOKUP(tbl_Sourcing[[#This Row],[Product Id]], tbl_Product[Product Id], tbl_Product[Name])</f>
        <v/>
      </c>
      <c r="L241" t="n">
        <v>71</v>
      </c>
      <c r="O2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2">
      <c r="A242" t="n">
        <v>156</v>
      </c>
      <c r="B242" t="n">
        <v>5</v>
      </c>
      <c r="C242" t="inlineStr">
        <is>
          <t>Card Market</t>
        </is>
      </c>
      <c r="D242" s="8" t="inlineStr">
        <is>
          <t>https://www.cardmarket.com/en/Magic/Products/Boosters/Innistrad-Midnight-Hunt-Set-Booster?sellerCountry=13&amp;language=1</t>
        </is>
      </c>
      <c r="E242" t="n">
        <v>7.04012</v>
      </c>
      <c r="F242" t="inlineStr">
        <is>
          <t>TRUE</t>
        </is>
      </c>
      <c r="H242" t="n">
        <v>5.04012</v>
      </c>
      <c r="J242">
        <f>_xlfn.XLOOKUP(tbl_Sourcing[[#This Row],[Product Id]], tbl_Product[Product Id], tbl_Product[Name])</f>
        <v/>
      </c>
      <c r="K242" t="n">
        <v>72</v>
      </c>
      <c r="O2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3">
      <c r="A243" t="n">
        <v>390</v>
      </c>
      <c r="B243" t="n">
        <v>168</v>
      </c>
      <c r="C243" t="inlineStr">
        <is>
          <t>Chaos Cards</t>
        </is>
      </c>
      <c r="D243" s="8" t="inlineStr">
        <is>
          <t>https://www.chaoscards.co.uk/prod/commander-magic/magic-the-gathering-bloomburrow-commander-deck-peace-offering</t>
        </is>
      </c>
      <c r="E243" t="n">
        <v>59.95</v>
      </c>
      <c r="F243" t="inlineStr">
        <is>
          <t>TRUE</t>
        </is>
      </c>
      <c r="J243">
        <f>_xlfn.XLOOKUP(tbl_Sourcing[[#This Row],[Product Id]], tbl_Product[Product Id], tbl_Product[Name])</f>
        <v/>
      </c>
      <c r="L243" t="n">
        <v>72</v>
      </c>
      <c r="O2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4">
      <c r="A244" t="n">
        <v>157</v>
      </c>
      <c r="B244" t="n">
        <v>6</v>
      </c>
      <c r="C244" t="inlineStr">
        <is>
          <t>Card Market</t>
        </is>
      </c>
      <c r="D244" s="8" t="inlineStr">
        <is>
          <t>https://www.cardmarket.com/en/Magic/Products/Boosters/Kaldheim-Set-Booster?sellerCountry=13&amp;language=1</t>
        </is>
      </c>
      <c r="E244" t="n">
        <v>9.17048</v>
      </c>
      <c r="F244" t="inlineStr">
        <is>
          <t>TRUE</t>
        </is>
      </c>
      <c r="H244" t="n">
        <v>7.984520000000001</v>
      </c>
      <c r="J244">
        <f>_xlfn.XLOOKUP(tbl_Sourcing[[#This Row],[Product Id]], tbl_Product[Product Id], tbl_Product[Name])</f>
        <v/>
      </c>
      <c r="K244" t="n">
        <v>73</v>
      </c>
      <c r="O2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5">
      <c r="A245" t="n">
        <v>391</v>
      </c>
      <c r="B245" t="n">
        <v>169</v>
      </c>
      <c r="C245" t="inlineStr">
        <is>
          <t>Chaos Cards</t>
        </is>
      </c>
      <c r="D245" s="8" t="inlineStr">
        <is>
          <t>https://www.chaoscards.co.uk/prod/commander-magic/magic-the-gathering-bloomburrow-commander-deck-family-matters</t>
        </is>
      </c>
      <c r="E245" t="n">
        <v>44.95</v>
      </c>
      <c r="F245" t="inlineStr">
        <is>
          <t>TRUE</t>
        </is>
      </c>
      <c r="J245">
        <f>_xlfn.XLOOKUP(tbl_Sourcing[[#This Row],[Product Id]], tbl_Product[Product Id], tbl_Product[Name])</f>
        <v/>
      </c>
      <c r="L245" t="n">
        <v>73</v>
      </c>
      <c r="O2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6">
      <c r="A246" t="n">
        <v>158</v>
      </c>
      <c r="B246" t="n">
        <v>7</v>
      </c>
      <c r="C246" t="inlineStr">
        <is>
          <t>Card Market</t>
        </is>
      </c>
      <c r="D246" s="8" t="inlineStr">
        <is>
          <t>https://www.cardmarket.com/en/Magic/Products/Boosters/Commander-Masters-Set-Booster?sellerCountry=13&amp;language=1</t>
        </is>
      </c>
      <c r="E246" t="n">
        <v>27.84872</v>
      </c>
      <c r="F246" t="inlineStr">
        <is>
          <t>TRUE</t>
        </is>
      </c>
      <c r="H246" t="n">
        <v>19.8314</v>
      </c>
      <c r="J246">
        <f>_xlfn.XLOOKUP(tbl_Sourcing[[#This Row],[Product Id]], tbl_Product[Product Id], tbl_Product[Name])</f>
        <v/>
      </c>
      <c r="K246" t="n">
        <v>74</v>
      </c>
      <c r="O2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7">
      <c r="A247" t="n">
        <v>392</v>
      </c>
      <c r="B247" t="n">
        <v>161</v>
      </c>
      <c r="C247" t="inlineStr">
        <is>
          <t>Chaos Cards</t>
        </is>
      </c>
      <c r="D247" s="8" t="inlineStr">
        <is>
          <t>https://www.chaoscards.co.uk/prod/commander-magic/magic-the-gathering-aetherdrift-commander-deck-living-energy</t>
        </is>
      </c>
      <c r="E247" t="n">
        <v>39.95</v>
      </c>
      <c r="F247" t="inlineStr">
        <is>
          <t>TRUE</t>
        </is>
      </c>
      <c r="J247">
        <f>_xlfn.XLOOKUP(tbl_Sourcing[[#This Row],[Product Id]], tbl_Product[Product Id], tbl_Product[Name])</f>
        <v/>
      </c>
      <c r="L247" t="n">
        <v>74</v>
      </c>
      <c r="O2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8">
      <c r="A248" t="n">
        <v>159</v>
      </c>
      <c r="B248" t="n">
        <v>8</v>
      </c>
      <c r="C248" t="inlineStr">
        <is>
          <t>Card Market</t>
        </is>
      </c>
      <c r="D248" s="8" t="inlineStr">
        <is>
          <t>https://www.cardmarket.com/en/Magic/Products/Boosters/War-of-the-Spark-Booster?sellerCountry=13&amp;language=1</t>
        </is>
      </c>
      <c r="E248" t="n">
        <v>7.16136</v>
      </c>
      <c r="F248" t="inlineStr">
        <is>
          <t>TRUE</t>
        </is>
      </c>
      <c r="H248" t="n">
        <v>5.1527</v>
      </c>
      <c r="J248">
        <f>_xlfn.XLOOKUP(tbl_Sourcing[[#This Row],[Product Id]], tbl_Product[Product Id], tbl_Product[Name])</f>
        <v/>
      </c>
      <c r="K248" t="n">
        <v>75</v>
      </c>
      <c r="O2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9">
      <c r="A249" t="n">
        <v>393</v>
      </c>
      <c r="B249" t="n">
        <v>157</v>
      </c>
      <c r="C249" t="inlineStr">
        <is>
          <t>Chaos Cards</t>
        </is>
      </c>
      <c r="D249" s="8" t="inlineStr">
        <is>
          <t>https://www.chaoscards.co.uk/prod/commander-magic/magic-the-gathering-tarkir-dragonstorm-commander-deck-jeskai-striker</t>
        </is>
      </c>
      <c r="E249" t="n">
        <v>41.95</v>
      </c>
      <c r="F249" t="inlineStr">
        <is>
          <t>TRUE</t>
        </is>
      </c>
      <c r="J249">
        <f>_xlfn.XLOOKUP(tbl_Sourcing[[#This Row],[Product Id]], tbl_Product[Product Id], tbl_Product[Name])</f>
        <v/>
      </c>
      <c r="L249" t="n">
        <v>75</v>
      </c>
      <c r="O2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0">
      <c r="A250" t="n">
        <v>160</v>
      </c>
      <c r="B250" t="n">
        <v>9</v>
      </c>
      <c r="C250" t="inlineStr">
        <is>
          <t>Card Market</t>
        </is>
      </c>
      <c r="D250" s="8" t="inlineStr">
        <is>
          <t>https://www.cardmarket.com/en/Magic/Products/Boosters/Strixhaven-School-of-Mages-Set-Booster?sellerCountry=13&amp;language=1</t>
        </is>
      </c>
      <c r="E250" t="n">
        <v>8.1919</v>
      </c>
      <c r="F250" t="inlineStr">
        <is>
          <t>TRUE</t>
        </is>
      </c>
      <c r="H250" t="n">
        <v>6.18324</v>
      </c>
      <c r="J250">
        <f>_xlfn.XLOOKUP(tbl_Sourcing[[#This Row],[Product Id]], tbl_Product[Product Id], tbl_Product[Name])</f>
        <v/>
      </c>
      <c r="K250" t="n">
        <v>76</v>
      </c>
      <c r="O2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1">
      <c r="A251" t="n">
        <v>394</v>
      </c>
      <c r="B251" t="n">
        <v>171</v>
      </c>
      <c r="C251" t="inlineStr">
        <is>
          <t>Chaos Cards</t>
        </is>
      </c>
      <c r="D251" s="8" t="inlineStr">
        <is>
          <t>https://www.chaoscards.co.uk/prod/commander-magic/magic-the-gathering-modern-horizons-3-commander-deck-graveyard-overdrive</t>
        </is>
      </c>
      <c r="E251" t="n">
        <v>45.86</v>
      </c>
      <c r="F251" t="inlineStr">
        <is>
          <t>TRUE</t>
        </is>
      </c>
      <c r="J251">
        <f>_xlfn.XLOOKUP(tbl_Sourcing[[#This Row],[Product Id]], tbl_Product[Product Id], tbl_Product[Name])</f>
        <v/>
      </c>
      <c r="L251" t="n">
        <v>76</v>
      </c>
      <c r="O2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2">
      <c r="A252" t="n">
        <v>161</v>
      </c>
      <c r="B252" t="n">
        <v>10</v>
      </c>
      <c r="C252" t="inlineStr">
        <is>
          <t>Card Market</t>
        </is>
      </c>
      <c r="D252" s="8" t="inlineStr">
        <is>
          <t>https://www.cardmarket.com/en/Magic/Products/Boosters/Throne-of-Eldraine-Booster?sellerCountry=13&amp;language=1</t>
        </is>
      </c>
      <c r="E252" t="n">
        <v>8.1919</v>
      </c>
      <c r="F252" t="inlineStr">
        <is>
          <t>TRUE</t>
        </is>
      </c>
      <c r="H252" t="n">
        <v>6.18324</v>
      </c>
      <c r="J252">
        <f>_xlfn.XLOOKUP(tbl_Sourcing[[#This Row],[Product Id]], tbl_Product[Product Id], tbl_Product[Name])</f>
        <v/>
      </c>
      <c r="K252" t="n">
        <v>77</v>
      </c>
      <c r="O2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3">
      <c r="A253" t="n">
        <v>395</v>
      </c>
      <c r="B253" t="n">
        <v>167</v>
      </c>
      <c r="C253" t="inlineStr">
        <is>
          <t>Chaos Cards</t>
        </is>
      </c>
      <c r="D253" s="8" t="inlineStr">
        <is>
          <t>https://www.chaoscards.co.uk/prod/commander-magic/magic-the-gathering-bloomburrow-commander-deck-animated-army</t>
        </is>
      </c>
      <c r="E253" t="n">
        <v>53.95</v>
      </c>
      <c r="F253" t="inlineStr">
        <is>
          <t>TRUE</t>
        </is>
      </c>
      <c r="J253">
        <f>_xlfn.XLOOKUP(tbl_Sourcing[[#This Row],[Product Id]], tbl_Product[Product Id], tbl_Product[Name])</f>
        <v/>
      </c>
      <c r="L253" t="n">
        <v>77</v>
      </c>
      <c r="O2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4">
      <c r="A254" t="n">
        <v>162</v>
      </c>
      <c r="B254" t="n">
        <v>11</v>
      </c>
      <c r="C254" t="inlineStr">
        <is>
          <t>Card Market</t>
        </is>
      </c>
      <c r="D254" s="8" t="inlineStr">
        <is>
          <t>https://www.cardmarket.com/en/Magic/Products/Boosters/Outlaws-of-Thunder-Junction-Play-Booster?sellerCountry=13&amp;language=1</t>
        </is>
      </c>
      <c r="E254" t="n">
        <v>5.45534</v>
      </c>
      <c r="F254" t="inlineStr">
        <is>
          <t>TRUE</t>
        </is>
      </c>
      <c r="H254" t="n">
        <v>3.45534</v>
      </c>
      <c r="J254">
        <f>_xlfn.XLOOKUP(tbl_Sourcing[[#This Row],[Product Id]], tbl_Product[Product Id], tbl_Product[Name])</f>
        <v/>
      </c>
      <c r="K254" t="n">
        <v>78</v>
      </c>
      <c r="O2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5">
      <c r="A255" t="n">
        <v>396</v>
      </c>
      <c r="B255" t="n">
        <v>218</v>
      </c>
      <c r="C255" t="inlineStr">
        <is>
          <t>Chaos Cards</t>
        </is>
      </c>
      <c r="D255" s="8" t="inlineStr">
        <is>
          <t>https://www.chaoscards.co.uk/prod/commander-magic/magic-the-gathering-warhammer-40k-the-ruinous-powers-commander-deck</t>
        </is>
      </c>
      <c r="E255" t="n">
        <v>149.95</v>
      </c>
      <c r="F255" t="inlineStr">
        <is>
          <t>TRUE</t>
        </is>
      </c>
      <c r="J255">
        <f>_xlfn.XLOOKUP(tbl_Sourcing[[#This Row],[Product Id]], tbl_Product[Product Id], tbl_Product[Name])</f>
        <v/>
      </c>
      <c r="L255" t="n">
        <v>78</v>
      </c>
      <c r="O2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6">
      <c r="A256" t="n">
        <v>163</v>
      </c>
      <c r="B256" t="n">
        <v>12</v>
      </c>
      <c r="C256" t="inlineStr">
        <is>
          <t>Card Market</t>
        </is>
      </c>
      <c r="D256" s="8" t="inlineStr">
        <is>
          <t>https://www.cardmarket.com/en/Magic/Products/Boosters/Magic-The-Gathering-Avatar-The-Last-Airbender-Play-Booster?sellerCountry=13&amp;language=1</t>
        </is>
      </c>
      <c r="E256" t="n">
        <v>6.1135</v>
      </c>
      <c r="F256" t="inlineStr">
        <is>
          <t>TRUE</t>
        </is>
      </c>
      <c r="H256" t="n">
        <v>4.1135</v>
      </c>
      <c r="J256">
        <f>_xlfn.XLOOKUP(tbl_Sourcing[[#This Row],[Product Id]], tbl_Product[Product Id], tbl_Product[Name])</f>
        <v/>
      </c>
      <c r="K256" t="n">
        <v>79</v>
      </c>
      <c r="O2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7">
      <c r="A257" t="n">
        <v>397</v>
      </c>
      <c r="B257" t="n">
        <v>192</v>
      </c>
      <c r="C257" t="inlineStr">
        <is>
          <t>Chaos Cards</t>
        </is>
      </c>
      <c r="D257" s="8" t="inlineStr">
        <is>
          <t>https://www.chaoscards.co.uk/prod/commander-magic/magic-the-gathering-doctor-who-commander-deck-paradox-power</t>
        </is>
      </c>
      <c r="E257" t="n">
        <v>39.95</v>
      </c>
      <c r="F257" t="inlineStr">
        <is>
          <t>TRUE</t>
        </is>
      </c>
      <c r="J257">
        <f>_xlfn.XLOOKUP(tbl_Sourcing[[#This Row],[Product Id]], tbl_Product[Product Id], tbl_Product[Name])</f>
        <v/>
      </c>
      <c r="L257" t="n">
        <v>79</v>
      </c>
      <c r="O2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8">
      <c r="A258" t="n">
        <v>164</v>
      </c>
      <c r="B258" t="n">
        <v>13</v>
      </c>
      <c r="C258" t="inlineStr">
        <is>
          <t>Card Market</t>
        </is>
      </c>
      <c r="D258" s="8" t="inlineStr">
        <is>
          <t>https://www.cardmarket.com/en/Magic/Products/Boosters/Innistrad-Crimson-Vow-Set-Booster?sellerCountry=13&amp;language=1</t>
        </is>
      </c>
      <c r="E258" t="n">
        <v>5.464</v>
      </c>
      <c r="F258" t="inlineStr">
        <is>
          <t>TRUE</t>
        </is>
      </c>
      <c r="H258" t="n">
        <v>3.464</v>
      </c>
      <c r="J258">
        <f>_xlfn.XLOOKUP(tbl_Sourcing[[#This Row],[Product Id]], tbl_Product[Product Id], tbl_Product[Name])</f>
        <v/>
      </c>
      <c r="K258" t="n">
        <v>80</v>
      </c>
      <c r="O2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9">
      <c r="A259" t="n">
        <v>398</v>
      </c>
      <c r="B259" t="n">
        <v>159</v>
      </c>
      <c r="C259" t="inlineStr">
        <is>
          <t>Chaos Cards</t>
        </is>
      </c>
      <c r="D259" s="8" t="inlineStr">
        <is>
          <t>https://www.chaoscards.co.uk/prod/commander-magic/magic-the-gathering-tarkir-dragonstorm-commander-deck-sultai-arisen</t>
        </is>
      </c>
      <c r="E259" t="n">
        <v>69.95</v>
      </c>
      <c r="F259" t="inlineStr">
        <is>
          <t>TRUE</t>
        </is>
      </c>
      <c r="J259">
        <f>_xlfn.XLOOKUP(tbl_Sourcing[[#This Row],[Product Id]], tbl_Product[Product Id], tbl_Product[Name])</f>
        <v/>
      </c>
      <c r="L259" t="n">
        <v>80</v>
      </c>
      <c r="O2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0">
      <c r="A260" t="n">
        <v>165</v>
      </c>
      <c r="B260" t="n">
        <v>14</v>
      </c>
      <c r="C260" t="inlineStr">
        <is>
          <t>Card Market</t>
        </is>
      </c>
      <c r="D260" s="8" t="inlineStr">
        <is>
          <t>https://www.cardmarket.com/en/Magic/Products/Boosters/March-of-the-Machine-Set-Booster?sellerCountry=13&amp;language=1</t>
        </is>
      </c>
      <c r="E260" t="n">
        <v>7.16136</v>
      </c>
      <c r="F260" t="inlineStr">
        <is>
          <t>TRUE</t>
        </is>
      </c>
      <c r="H260" t="n">
        <v>5.1527</v>
      </c>
      <c r="J260">
        <f>_xlfn.XLOOKUP(tbl_Sourcing[[#This Row],[Product Id]], tbl_Product[Product Id], tbl_Product[Name])</f>
        <v/>
      </c>
      <c r="K260" t="n">
        <v>81</v>
      </c>
      <c r="O2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1">
      <c r="A261" t="n">
        <v>399</v>
      </c>
      <c r="B261" t="n">
        <v>152</v>
      </c>
      <c r="C261" t="inlineStr">
        <is>
          <t>Chaos Cards</t>
        </is>
      </c>
      <c r="D261" s="8" t="inlineStr">
        <is>
          <t>https://www.chaoscards.co.uk/prod/commander-magic/magic-the-gathering-universes-beyond-final-fantasy-commander-deck-limit-break</t>
        </is>
      </c>
      <c r="E261" t="n">
        <v>79.95</v>
      </c>
      <c r="F261" t="inlineStr">
        <is>
          <t>TRUE</t>
        </is>
      </c>
      <c r="J261">
        <f>_xlfn.XLOOKUP(tbl_Sourcing[[#This Row],[Product Id]], tbl_Product[Product Id], tbl_Product[Name])</f>
        <v/>
      </c>
      <c r="L261" t="n">
        <v>81</v>
      </c>
      <c r="O2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2">
      <c r="A262" t="n">
        <v>166</v>
      </c>
      <c r="B262" t="n">
        <v>15</v>
      </c>
      <c r="C262" t="inlineStr">
        <is>
          <t>Card Market</t>
        </is>
      </c>
      <c r="D262" s="8" t="inlineStr">
        <is>
          <t>https://www.cardmarket.com/en/Magic/Products/Boosters/Modern-Horizons-3-Play-Booster?sellerCountry=13&amp;language=1</t>
        </is>
      </c>
      <c r="E262" t="n">
        <v>9.72472</v>
      </c>
      <c r="F262" t="inlineStr">
        <is>
          <t>TRUE</t>
        </is>
      </c>
      <c r="H262" t="n">
        <v>7.71606</v>
      </c>
      <c r="J262">
        <f>_xlfn.XLOOKUP(tbl_Sourcing[[#This Row],[Product Id]], tbl_Product[Product Id], tbl_Product[Name])</f>
        <v/>
      </c>
      <c r="K262" t="n">
        <v>82</v>
      </c>
      <c r="O2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3">
      <c r="A263" t="n">
        <v>400</v>
      </c>
      <c r="B263" t="n">
        <v>151</v>
      </c>
      <c r="C263" t="inlineStr">
        <is>
          <t>Chaos Cards</t>
        </is>
      </c>
      <c r="D263" s="8" t="inlineStr">
        <is>
          <t>https://www.chaoscards.co.uk/prod/commander-magic/magic-the-gathering-universes-beyond-final-fantasy-commander-deck-revival-trance</t>
        </is>
      </c>
      <c r="E263" t="n">
        <v>54.95</v>
      </c>
      <c r="F263" t="inlineStr">
        <is>
          <t>TRUE</t>
        </is>
      </c>
      <c r="J263">
        <f>_xlfn.XLOOKUP(tbl_Sourcing[[#This Row],[Product Id]], tbl_Product[Product Id], tbl_Product[Name])</f>
        <v/>
      </c>
      <c r="L263" t="n">
        <v>82</v>
      </c>
      <c r="O2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4">
      <c r="A264" t="n">
        <v>167</v>
      </c>
      <c r="B264" t="n">
        <v>16</v>
      </c>
      <c r="C264" t="inlineStr">
        <is>
          <t>Card Market</t>
        </is>
      </c>
      <c r="D264" s="8" t="inlineStr">
        <is>
          <t>https://www.cardmarket.com/en/Magic/Products/Boosters/Magic-The-Gathering-Foundations-Play-Booster?sellerCountry=13&amp;language=1</t>
        </is>
      </c>
      <c r="E264" t="n">
        <v>5.897</v>
      </c>
      <c r="F264" t="inlineStr">
        <is>
          <t>TRUE</t>
        </is>
      </c>
      <c r="H264" t="n">
        <v>3.897</v>
      </c>
      <c r="J264">
        <f>_xlfn.XLOOKUP(tbl_Sourcing[[#This Row],[Product Id]], tbl_Product[Product Id], tbl_Product[Name])</f>
        <v/>
      </c>
      <c r="K264" t="n">
        <v>83</v>
      </c>
      <c r="O2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5">
      <c r="A265" t="n">
        <v>401</v>
      </c>
      <c r="B265" t="n">
        <v>172</v>
      </c>
      <c r="C265" t="inlineStr">
        <is>
          <t>Chaos Cards</t>
        </is>
      </c>
      <c r="D265" s="8" t="inlineStr">
        <is>
          <t>https://www.chaoscards.co.uk/prod/commander-magic/magic-the-gathering-modern-horizons-3-commander-deck-tricky-terrain</t>
        </is>
      </c>
      <c r="E265" t="n">
        <v>57.95</v>
      </c>
      <c r="F265" t="inlineStr">
        <is>
          <t>TRUE</t>
        </is>
      </c>
      <c r="J265">
        <f>_xlfn.XLOOKUP(tbl_Sourcing[[#This Row],[Product Id]], tbl_Product[Product Id], tbl_Product[Name])</f>
        <v/>
      </c>
      <c r="L265" t="n">
        <v>83</v>
      </c>
      <c r="O2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6">
      <c r="A266" t="n">
        <v>168</v>
      </c>
      <c r="B266" t="n">
        <v>17</v>
      </c>
      <c r="C266" t="inlineStr">
        <is>
          <t>Card Market</t>
        </is>
      </c>
      <c r="D266" s="8" t="inlineStr">
        <is>
          <t>https://www.cardmarket.com/en/Magic/Products/Boosters/Dominaria-Booster?sellerCountry=13&amp;language=1</t>
        </is>
      </c>
      <c r="E266" t="n">
        <v>6.13082</v>
      </c>
      <c r="F266" t="inlineStr">
        <is>
          <t>TRUE</t>
        </is>
      </c>
      <c r="H266" t="n">
        <v>4.12216</v>
      </c>
      <c r="J266">
        <f>_xlfn.XLOOKUP(tbl_Sourcing[[#This Row],[Product Id]], tbl_Product[Product Id], tbl_Product[Name])</f>
        <v/>
      </c>
      <c r="K266" t="n">
        <v>84</v>
      </c>
      <c r="O2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7">
      <c r="A267" t="n">
        <v>402</v>
      </c>
      <c r="B267" t="n">
        <v>208</v>
      </c>
      <c r="C267" t="inlineStr">
        <is>
          <t>Chaos Cards</t>
        </is>
      </c>
      <c r="D267" s="8" t="inlineStr">
        <is>
          <t>https://www.chaoscards.co.uk/prod/commander-magic/magic-the-gathering-march-of-the-machine-commander-deck-tinker-time</t>
        </is>
      </c>
      <c r="E267" t="n">
        <v>38.95</v>
      </c>
      <c r="F267" t="inlineStr">
        <is>
          <t>TRUE</t>
        </is>
      </c>
      <c r="J267">
        <f>_xlfn.XLOOKUP(tbl_Sourcing[[#This Row],[Product Id]], tbl_Product[Product Id], tbl_Product[Name])</f>
        <v/>
      </c>
      <c r="L267" t="n">
        <v>84</v>
      </c>
      <c r="O2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8">
      <c r="A268" t="n">
        <v>169</v>
      </c>
      <c r="B268" t="n">
        <v>18</v>
      </c>
      <c r="C268" t="inlineStr">
        <is>
          <t>Card Market</t>
        </is>
      </c>
      <c r="D268" s="8" t="inlineStr">
        <is>
          <t>https://www.cardmarket.com/en/Magic/Products/Boosters/Universes-Beyond-Assassins-Creed-Beyond-Booster?sellerCountry=13&amp;language=1</t>
        </is>
      </c>
      <c r="E268" t="n">
        <v>7.1094</v>
      </c>
      <c r="F268" t="inlineStr">
        <is>
          <t>TRUE</t>
        </is>
      </c>
      <c r="H268" t="n">
        <v>5.10074</v>
      </c>
      <c r="J268">
        <f>_xlfn.XLOOKUP(tbl_Sourcing[[#This Row],[Product Id]], tbl_Product[Product Id], tbl_Product[Name])</f>
        <v/>
      </c>
      <c r="K268" t="n">
        <v>85</v>
      </c>
      <c r="O2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9">
      <c r="A269" t="n">
        <v>403</v>
      </c>
      <c r="B269" t="n">
        <v>166</v>
      </c>
      <c r="C269" t="inlineStr">
        <is>
          <t>Chaos Cards</t>
        </is>
      </c>
      <c r="D269" s="8" t="inlineStr">
        <is>
          <t>https://www.chaoscards.co.uk/prod/commander-magic/magic-the-gathering-bloomburrow-commander-deck-squirreled-away</t>
        </is>
      </c>
      <c r="E269" t="n">
        <v>78.95</v>
      </c>
      <c r="F269" t="inlineStr">
        <is>
          <t>TRUE</t>
        </is>
      </c>
      <c r="J269">
        <f>_xlfn.XLOOKUP(tbl_Sourcing[[#This Row],[Product Id]], tbl_Product[Product Id], tbl_Product[Name])</f>
        <v/>
      </c>
      <c r="L269" t="n">
        <v>85</v>
      </c>
      <c r="O2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0">
      <c r="A270" t="n">
        <v>170</v>
      </c>
      <c r="B270" t="n">
        <v>19</v>
      </c>
      <c r="C270" t="inlineStr">
        <is>
          <t>Card Market</t>
        </is>
      </c>
      <c r="D270" s="8" t="inlineStr">
        <is>
          <t>https://www.cardmarket.com/en/Magic/Products/Boosters/Magic-The-Gathering-Marvels-Spider-Man-Play-Booster?sellerCountry=13&amp;language=1</t>
        </is>
      </c>
      <c r="E270" t="n">
        <v>4.5114</v>
      </c>
      <c r="F270" t="inlineStr">
        <is>
          <t>TRUE</t>
        </is>
      </c>
      <c r="H270" t="n">
        <v>2.5114</v>
      </c>
      <c r="J270">
        <f>_xlfn.XLOOKUP(tbl_Sourcing[[#This Row],[Product Id]], tbl_Product[Product Id], tbl_Product[Name])</f>
        <v/>
      </c>
      <c r="K270" t="n">
        <v>86</v>
      </c>
      <c r="O2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1">
      <c r="A271" t="n">
        <v>404</v>
      </c>
      <c r="B271" t="n">
        <v>173</v>
      </c>
      <c r="C271" t="inlineStr">
        <is>
          <t>Chaos Cards</t>
        </is>
      </c>
      <c r="D271" s="8" t="inlineStr">
        <is>
          <t>https://www.chaoscards.co.uk/prod/commander-magic/magic-the-gathering-modern-horizons-3-commander-deck-creative-energy</t>
        </is>
      </c>
      <c r="E271" t="n">
        <v>54.95</v>
      </c>
      <c r="F271" t="inlineStr">
        <is>
          <t>TRUE</t>
        </is>
      </c>
      <c r="J271">
        <f>_xlfn.XLOOKUP(tbl_Sourcing[[#This Row],[Product Id]], tbl_Product[Product Id], tbl_Product[Name])</f>
        <v/>
      </c>
      <c r="L271" t="n">
        <v>86</v>
      </c>
      <c r="O2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2">
      <c r="A272" t="n">
        <v>171</v>
      </c>
      <c r="B272" t="n">
        <v>20</v>
      </c>
      <c r="C272" t="inlineStr">
        <is>
          <t>Card Market</t>
        </is>
      </c>
      <c r="D272" s="8" t="inlineStr">
        <is>
          <t>https://www.cardmarket.com/en/Magic/Products/Boosters/Edge-of-Eternities-Play-Booster?sellerCountry=13&amp;language=1</t>
        </is>
      </c>
      <c r="E272" t="n">
        <v>5.88834</v>
      </c>
      <c r="F272" t="inlineStr">
        <is>
          <t>TRUE</t>
        </is>
      </c>
      <c r="H272" t="n">
        <v>3.88834</v>
      </c>
      <c r="J272">
        <f>_xlfn.XLOOKUP(tbl_Sourcing[[#This Row],[Product Id]], tbl_Product[Product Id], tbl_Product[Name])</f>
        <v/>
      </c>
      <c r="K272" t="n">
        <v>87</v>
      </c>
      <c r="O2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3">
      <c r="A273" t="n">
        <v>405</v>
      </c>
      <c r="B273" t="n">
        <v>158</v>
      </c>
      <c r="C273" t="inlineStr">
        <is>
          <t>Chaos Cards</t>
        </is>
      </c>
      <c r="D273" s="8" t="inlineStr">
        <is>
          <t>https://www.chaoscards.co.uk/prod/commander-magic/magic-the-gathering-tarkir-dragonstorm-commander-deck-temur-roar</t>
        </is>
      </c>
      <c r="E273" t="n">
        <v>69.95</v>
      </c>
      <c r="F273" t="inlineStr">
        <is>
          <t>TRUE</t>
        </is>
      </c>
      <c r="J273">
        <f>_xlfn.XLOOKUP(tbl_Sourcing[[#This Row],[Product Id]], tbl_Product[Product Id], tbl_Product[Name])</f>
        <v/>
      </c>
      <c r="L273" t="n">
        <v>87</v>
      </c>
      <c r="O2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4">
      <c r="A274" t="n">
        <v>172</v>
      </c>
      <c r="B274" t="n">
        <v>21</v>
      </c>
      <c r="C274" t="inlineStr">
        <is>
          <t>Card Market</t>
        </is>
      </c>
      <c r="D274" s="8" t="inlineStr">
        <is>
          <t>https://www.cardmarket.com/en/Magic/Products/Boosters/The-Lord-of-the-Rings-Tales-of-Middle-earth-Set-Booster?sellerCountry=13&amp;language=1</t>
        </is>
      </c>
      <c r="E274" t="n">
        <v>18.825</v>
      </c>
      <c r="F274" t="inlineStr">
        <is>
          <t>TRUE</t>
        </is>
      </c>
      <c r="H274" t="n">
        <v>10.825</v>
      </c>
      <c r="J274">
        <f>_xlfn.XLOOKUP(tbl_Sourcing[[#This Row],[Product Id]], tbl_Product[Product Id], tbl_Product[Name])</f>
        <v/>
      </c>
      <c r="K274" t="n">
        <v>88</v>
      </c>
      <c r="O2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5">
      <c r="A275" t="n">
        <v>406</v>
      </c>
      <c r="B275" t="n">
        <v>154</v>
      </c>
      <c r="C275" t="inlineStr">
        <is>
          <t>Chaos Cards</t>
        </is>
      </c>
      <c r="D275" s="8" t="inlineStr">
        <is>
          <t>https://www.chaoscards.co.uk/prod/commander-magic/magic-the-gathering-universes-beyond-final-fantasy-commander-deck-scions-spellcraft</t>
        </is>
      </c>
      <c r="E275" t="n">
        <v>79.95</v>
      </c>
      <c r="F275" t="inlineStr">
        <is>
          <t>TRUE</t>
        </is>
      </c>
      <c r="J275">
        <f>_xlfn.XLOOKUP(tbl_Sourcing[[#This Row],[Product Id]], tbl_Product[Product Id], tbl_Product[Name])</f>
        <v/>
      </c>
      <c r="L275" t="n">
        <v>88</v>
      </c>
      <c r="O2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6">
      <c r="A276" t="n">
        <v>173</v>
      </c>
      <c r="B276" t="n">
        <v>22</v>
      </c>
      <c r="C276" t="inlineStr">
        <is>
          <t>Card Market</t>
        </is>
      </c>
      <c r="D276" s="8" t="inlineStr">
        <is>
          <t>https://www.cardmarket.com/en/Magic/Products/Boosters/Phyrexia-All-Will-Be-One-Set-Booster?sellerCountry=13&amp;language=1</t>
        </is>
      </c>
      <c r="E276" t="n">
        <v>8.139939999999999</v>
      </c>
      <c r="F276" t="inlineStr">
        <is>
          <t>TRUE</t>
        </is>
      </c>
      <c r="H276" t="n">
        <v>6.13128</v>
      </c>
      <c r="J276">
        <f>_xlfn.XLOOKUP(tbl_Sourcing[[#This Row],[Product Id]], tbl_Product[Product Id], tbl_Product[Name])</f>
        <v/>
      </c>
      <c r="K276" t="n">
        <v>89</v>
      </c>
      <c r="O2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7">
      <c r="A277" t="n">
        <v>407</v>
      </c>
      <c r="B277" t="n">
        <v>190</v>
      </c>
      <c r="C277" t="inlineStr">
        <is>
          <t>Chaos Cards</t>
        </is>
      </c>
      <c r="D277" s="8" t="inlineStr">
        <is>
          <t>https://www.chaoscards.co.uk/prod/commander-magic/magic-the-gathering-doctor-who-commander-deck-blast-from-the-past</t>
        </is>
      </c>
      <c r="E277" t="n">
        <v>39.91</v>
      </c>
      <c r="F277" t="inlineStr">
        <is>
          <t>TRUE</t>
        </is>
      </c>
      <c r="J277">
        <f>_xlfn.XLOOKUP(tbl_Sourcing[[#This Row],[Product Id]], tbl_Product[Product Id], tbl_Product[Name])</f>
        <v/>
      </c>
      <c r="L277" t="n">
        <v>89</v>
      </c>
      <c r="O2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8">
      <c r="A278" t="n">
        <v>174</v>
      </c>
      <c r="B278" t="n">
        <v>23</v>
      </c>
      <c r="C278" t="inlineStr">
        <is>
          <t>Card Market</t>
        </is>
      </c>
      <c r="D278" s="8" t="inlineStr">
        <is>
          <t>https://www.cardmarket.com/en/Magic/Products/Boosters/Ravnica-Remastered-Draft-Booster?sellerCountry=13&amp;language=1</t>
        </is>
      </c>
      <c r="E278" t="n">
        <v>7.05744</v>
      </c>
      <c r="F278" t="inlineStr">
        <is>
          <t>TRUE</t>
        </is>
      </c>
      <c r="H278" t="n">
        <v>5.04878</v>
      </c>
      <c r="J278">
        <f>_xlfn.XLOOKUP(tbl_Sourcing[[#This Row],[Product Id]], tbl_Product[Product Id], tbl_Product[Name])</f>
        <v/>
      </c>
      <c r="K278" t="n">
        <v>90</v>
      </c>
      <c r="O2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9">
      <c r="A279" t="n">
        <v>408</v>
      </c>
      <c r="B279" t="n">
        <v>153</v>
      </c>
      <c r="C279" t="inlineStr">
        <is>
          <t>Chaos Cards</t>
        </is>
      </c>
      <c r="D279" s="8" t="inlineStr">
        <is>
          <t>https://www.chaoscards.co.uk/prod/commander-magic/magic-the-gathering-universes-beyond-final-fantasy-commander-deck-counter-blitz</t>
        </is>
      </c>
      <c r="E279" t="n">
        <v>79.95</v>
      </c>
      <c r="F279" t="inlineStr">
        <is>
          <t>TRUE</t>
        </is>
      </c>
      <c r="J279">
        <f>_xlfn.XLOOKUP(tbl_Sourcing[[#This Row],[Product Id]], tbl_Product[Product Id], tbl_Product[Name])</f>
        <v/>
      </c>
      <c r="L279" t="n">
        <v>90</v>
      </c>
      <c r="O2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0">
      <c r="A280" t="n">
        <v>175</v>
      </c>
      <c r="B280" t="n">
        <v>24</v>
      </c>
      <c r="C280" t="inlineStr">
        <is>
          <t>Card Market</t>
        </is>
      </c>
      <c r="D280" s="8" t="inlineStr">
        <is>
          <t>https://www.cardmarket.com/en/Magic/Products/Boosters/Kamigawa-Neon-Dynasty-Set-Booster?sellerCountry=13&amp;language=1</t>
        </is>
      </c>
      <c r="E280" t="n">
        <v>8.062000000000001</v>
      </c>
      <c r="F280" t="inlineStr">
        <is>
          <t>TRUE</t>
        </is>
      </c>
      <c r="H280" t="n">
        <v>6.062</v>
      </c>
      <c r="J280">
        <f>_xlfn.XLOOKUP(tbl_Sourcing[[#This Row],[Product Id]], tbl_Product[Product Id], tbl_Product[Name])</f>
        <v/>
      </c>
      <c r="K280" t="n">
        <v>91</v>
      </c>
      <c r="O2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1">
      <c r="A281" t="n">
        <v>176</v>
      </c>
      <c r="B281" t="n">
        <v>25</v>
      </c>
      <c r="C281" t="inlineStr">
        <is>
          <t>Card Market</t>
        </is>
      </c>
      <c r="D281" s="8" t="inlineStr">
        <is>
          <t>https://www.cardmarket.com/en/Magic/Products/Boosters/Aetherdrift-Play-Booster?sellerCountry=13&amp;language=1</t>
        </is>
      </c>
      <c r="E281" t="n">
        <v>4.5547</v>
      </c>
      <c r="F281" t="inlineStr">
        <is>
          <t>TRUE</t>
        </is>
      </c>
      <c r="H281" t="n">
        <v>2.5547</v>
      </c>
      <c r="J281">
        <f>_xlfn.XLOOKUP(tbl_Sourcing[[#This Row],[Product Id]], tbl_Product[Product Id], tbl_Product[Name])</f>
        <v/>
      </c>
      <c r="K281" t="n">
        <v>92</v>
      </c>
      <c r="O2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2">
      <c r="A282" t="n">
        <v>177</v>
      </c>
      <c r="B282" t="n">
        <v>26</v>
      </c>
      <c r="C282" t="inlineStr">
        <is>
          <t>Card Market</t>
        </is>
      </c>
      <c r="D282" s="8" t="inlineStr">
        <is>
          <t>https://www.cardmarket.com/en/Magic/Products/Boosters/Duskmourn-House-of-Horror-Play-Booster?sellerCountry=13&amp;language=1</t>
        </is>
      </c>
      <c r="E282" t="n">
        <v>5.464</v>
      </c>
      <c r="F282" t="inlineStr">
        <is>
          <t>TRUE</t>
        </is>
      </c>
      <c r="H282" t="n">
        <v>3.464</v>
      </c>
      <c r="J282">
        <f>_xlfn.XLOOKUP(tbl_Sourcing[[#This Row],[Product Id]], tbl_Product[Product Id], tbl_Product[Name])</f>
        <v/>
      </c>
      <c r="K282" t="n">
        <v>93</v>
      </c>
      <c r="O2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3">
      <c r="A283" t="n">
        <v>178</v>
      </c>
      <c r="B283" t="n">
        <v>27</v>
      </c>
      <c r="C283" t="inlineStr">
        <is>
          <t>Card Market</t>
        </is>
      </c>
      <c r="D283" s="8" t="inlineStr">
        <is>
          <t>https://www.cardmarket.com/en/Magic/Products/Boosters/Tarkir-Dragonstorm-Play-Booster?sellerCountry=13&amp;language=1</t>
        </is>
      </c>
      <c r="E283" t="n">
        <v>5.031000000000001</v>
      </c>
      <c r="F283" t="inlineStr">
        <is>
          <t>TRUE</t>
        </is>
      </c>
      <c r="H283" t="n">
        <v>3.031</v>
      </c>
      <c r="J283">
        <f>_xlfn.XLOOKUP(tbl_Sourcing[[#This Row],[Product Id]], tbl_Product[Product Id], tbl_Product[Name])</f>
        <v/>
      </c>
      <c r="K283" t="n">
        <v>94</v>
      </c>
      <c r="O2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4">
      <c r="A284" t="n">
        <v>179</v>
      </c>
      <c r="B284" t="n">
        <v>28</v>
      </c>
      <c r="C284" t="inlineStr">
        <is>
          <t>Card Market</t>
        </is>
      </c>
      <c r="D284" s="8" t="inlineStr">
        <is>
          <t>https://www.cardmarket.com/en/Magic/Products/Boosters/The-Brothers-War-Set-Booster?sellerCountry=13&amp;language=1</t>
        </is>
      </c>
      <c r="E284" t="n">
        <v>5.464</v>
      </c>
      <c r="F284" t="inlineStr">
        <is>
          <t>TRUE</t>
        </is>
      </c>
      <c r="H284" t="n">
        <v>3.464</v>
      </c>
      <c r="J284">
        <f>_xlfn.XLOOKUP(tbl_Sourcing[[#This Row],[Product Id]], tbl_Product[Product Id], tbl_Product[Name])</f>
        <v/>
      </c>
      <c r="K284" t="n">
        <v>95</v>
      </c>
      <c r="O2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5">
      <c r="A285" t="n">
        <v>180</v>
      </c>
      <c r="B285" t="n">
        <v>29</v>
      </c>
      <c r="C285" t="inlineStr">
        <is>
          <t>Card Market</t>
        </is>
      </c>
      <c r="D285" s="8" t="inlineStr">
        <is>
          <t>https://www.cardmarket.com/en/Magic/Products/Boosters/Wilds-of-Eldraine-Set-Booster?sellerCountry=13&amp;language=1</t>
        </is>
      </c>
      <c r="E285" t="n">
        <v>9.73338</v>
      </c>
      <c r="F285" t="inlineStr">
        <is>
          <t>TRUE</t>
        </is>
      </c>
      <c r="H285" t="n">
        <v>7.733379999999999</v>
      </c>
      <c r="J285">
        <f>_xlfn.XLOOKUP(tbl_Sourcing[[#This Row],[Product Id]], tbl_Product[Product Id], tbl_Product[Name])</f>
        <v/>
      </c>
      <c r="K285" t="n">
        <v>96</v>
      </c>
      <c r="O2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6">
      <c r="A286" t="n">
        <v>181</v>
      </c>
      <c r="B286" t="n">
        <v>30</v>
      </c>
      <c r="C286" t="inlineStr">
        <is>
          <t>Card Market</t>
        </is>
      </c>
      <c r="D286" s="8" t="inlineStr">
        <is>
          <t>https://www.cardmarket.com/en/Magic/Products/Boosters/Streets-of-New-Capenna-Set-Booster?sellerCountry=13&amp;language=1</t>
        </is>
      </c>
      <c r="E286" t="n">
        <v>5.6805</v>
      </c>
      <c r="F286" t="inlineStr">
        <is>
          <t>TRUE</t>
        </is>
      </c>
      <c r="H286" t="n">
        <v>3.6805</v>
      </c>
      <c r="J286">
        <f>_xlfn.XLOOKUP(tbl_Sourcing[[#This Row],[Product Id]], tbl_Product[Product Id], tbl_Product[Name])</f>
        <v/>
      </c>
      <c r="K286" t="n">
        <v>97</v>
      </c>
      <c r="O2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7">
      <c r="A287" t="n">
        <v>182</v>
      </c>
      <c r="B287" t="n">
        <v>31</v>
      </c>
      <c r="C287" t="inlineStr">
        <is>
          <t>Card Market</t>
        </is>
      </c>
      <c r="D287" s="8" t="inlineStr">
        <is>
          <t>https://www.cardmarket.com/en/Magic/Products/Boosters/Dominaria-United-Set-Booster?sellerCountry=13&amp;language=1</t>
        </is>
      </c>
      <c r="E287" t="n">
        <v>6.13082</v>
      </c>
      <c r="F287" t="inlineStr">
        <is>
          <t>TRUE</t>
        </is>
      </c>
      <c r="H287" t="n">
        <v>4.12216</v>
      </c>
      <c r="J287">
        <f>_xlfn.XLOOKUP(tbl_Sourcing[[#This Row],[Product Id]], tbl_Product[Product Id], tbl_Product[Name])</f>
        <v/>
      </c>
      <c r="K287" t="n">
        <v>98</v>
      </c>
      <c r="O2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8">
      <c r="A288" t="n">
        <v>183</v>
      </c>
      <c r="B288" t="n">
        <v>32</v>
      </c>
      <c r="C288" t="inlineStr">
        <is>
          <t>Card Market</t>
        </is>
      </c>
      <c r="D288" s="8" t="inlineStr">
        <is>
          <t>https://www.cardmarket.com/en/Magic/Products/Boosters/Oath-of-the-Gatewatch-Booster?sellerCountry=13&amp;language=1</t>
        </is>
      </c>
      <c r="E288" t="n">
        <v>5.7238</v>
      </c>
      <c r="F288" t="inlineStr">
        <is>
          <t>TRUE</t>
        </is>
      </c>
      <c r="H288" t="n">
        <v>3.7238</v>
      </c>
      <c r="J288">
        <f>_xlfn.XLOOKUP(tbl_Sourcing[[#This Row],[Product Id]], tbl_Product[Product Id], tbl_Product[Name])</f>
        <v/>
      </c>
      <c r="K288" t="n">
        <v>99</v>
      </c>
      <c r="O2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9">
      <c r="A289" t="n">
        <v>184</v>
      </c>
      <c r="B289" t="n">
        <v>33</v>
      </c>
      <c r="C289" t="inlineStr">
        <is>
          <t>Card Market</t>
        </is>
      </c>
      <c r="D289" s="8" t="inlineStr">
        <is>
          <t>https://www.cardmarket.com/en/Magic/Products/Boosters/Magic-The-Gathering-FINAL-FANTASY-Play-Booster?sellerCountry=13&amp;language=1</t>
        </is>
      </c>
      <c r="E289" t="n">
        <v>7.4125</v>
      </c>
      <c r="F289" t="inlineStr">
        <is>
          <t>TRUE</t>
        </is>
      </c>
      <c r="H289" t="n">
        <v>5.4125</v>
      </c>
      <c r="J289">
        <f>_xlfn.XLOOKUP(tbl_Sourcing[[#This Row],[Product Id]], tbl_Product[Product Id], tbl_Product[Name])</f>
        <v/>
      </c>
      <c r="K289" t="n">
        <v>100</v>
      </c>
      <c r="O2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0">
      <c r="A290" t="n">
        <v>185</v>
      </c>
      <c r="B290" t="n">
        <v>34</v>
      </c>
      <c r="C290" t="inlineStr">
        <is>
          <t>Card Market</t>
        </is>
      </c>
      <c r="D290" s="8" t="inlineStr">
        <is>
          <t>https://www.cardmarket.com/en/Magic/Products/Boosters/Bloomburrow-Play-Booster?sellerCountry=13&amp;language=1</t>
        </is>
      </c>
      <c r="E290" t="n">
        <v>7.6723</v>
      </c>
      <c r="F290" t="inlineStr">
        <is>
          <t>TRUE</t>
        </is>
      </c>
      <c r="H290" t="n">
        <v>5.6723</v>
      </c>
      <c r="J290">
        <f>_xlfn.XLOOKUP(tbl_Sourcing[[#This Row],[Product Id]], tbl_Product[Product Id], tbl_Product[Name])</f>
        <v/>
      </c>
      <c r="K290" t="n">
        <v>101</v>
      </c>
      <c r="O2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1">
      <c r="A291" t="n">
        <v>186</v>
      </c>
      <c r="B291" t="n">
        <v>35</v>
      </c>
      <c r="C291" t="inlineStr">
        <is>
          <t>Card Market</t>
        </is>
      </c>
      <c r="D291" s="8" t="inlineStr">
        <is>
          <t>https://www.cardmarket.com/en/Magic/Products/Boosters/Murders-at-Karlov-Manor-Play-Booster?sellerCountry=13&amp;language=1</t>
        </is>
      </c>
      <c r="E291" t="n">
        <v>5.10028</v>
      </c>
      <c r="F291" t="inlineStr">
        <is>
          <t>TRUE</t>
        </is>
      </c>
      <c r="H291" t="n">
        <v>3.09162</v>
      </c>
      <c r="J291">
        <f>_xlfn.XLOOKUP(tbl_Sourcing[[#This Row],[Product Id]], tbl_Product[Product Id], tbl_Product[Name])</f>
        <v/>
      </c>
      <c r="K291" t="n">
        <v>102</v>
      </c>
      <c r="O2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2">
      <c r="A292" t="n">
        <v>187</v>
      </c>
      <c r="B292" t="n">
        <v>43</v>
      </c>
      <c r="C292" t="inlineStr">
        <is>
          <t>Card Market</t>
        </is>
      </c>
      <c r="D292" s="8" t="inlineStr">
        <is>
          <t>https://www.cardmarket.com/en/Magic/Products/Boosters/Rivals-of-Ixalan-Booster?sellerCountry=13&amp;language=1</t>
        </is>
      </c>
      <c r="E292" t="n">
        <v>5.611219999999999</v>
      </c>
      <c r="F292" t="inlineStr">
        <is>
          <t>TRUE</t>
        </is>
      </c>
      <c r="H292" t="n">
        <v>3.61122</v>
      </c>
      <c r="J292">
        <f>_xlfn.XLOOKUP(tbl_Sourcing[[#This Row],[Product Id]], tbl_Product[Product Id], tbl_Product[Name])</f>
        <v/>
      </c>
      <c r="K292" t="n">
        <v>103</v>
      </c>
      <c r="O2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3">
      <c r="A293" t="n">
        <v>188</v>
      </c>
      <c r="B293" t="n">
        <v>44</v>
      </c>
      <c r="C293" t="inlineStr">
        <is>
          <t>Card Market</t>
        </is>
      </c>
      <c r="D293" s="8" t="inlineStr">
        <is>
          <t>https://www.cardmarket.com/en/Magic/Products/Boosters/Guilds-of-Ravnica-Booster?sellerCountry=13&amp;language=1</t>
        </is>
      </c>
      <c r="E293" t="n">
        <v>5.611219999999999</v>
      </c>
      <c r="F293" t="inlineStr">
        <is>
          <t>TRUE</t>
        </is>
      </c>
      <c r="H293" t="n">
        <v>3.61122</v>
      </c>
      <c r="J293">
        <f>_xlfn.XLOOKUP(tbl_Sourcing[[#This Row],[Product Id]], tbl_Product[Product Id], tbl_Product[Name])</f>
        <v/>
      </c>
      <c r="K293" t="n">
        <v>104</v>
      </c>
      <c r="O2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4">
      <c r="A294" t="n">
        <v>189</v>
      </c>
      <c r="B294" t="n">
        <v>45</v>
      </c>
      <c r="C294" t="inlineStr">
        <is>
          <t>Card Market</t>
        </is>
      </c>
      <c r="D294" s="8" t="inlineStr">
        <is>
          <t>https://www.cardmarket.com/en/Magic/Products/Boosters/Theros-Beyond-Death-Booster?sellerCountry=13&amp;language=1</t>
        </is>
      </c>
      <c r="E294" t="n">
        <v>5.464</v>
      </c>
      <c r="F294" t="inlineStr">
        <is>
          <t>TRUE</t>
        </is>
      </c>
      <c r="H294" t="n">
        <v>3.464</v>
      </c>
      <c r="J294">
        <f>_xlfn.XLOOKUP(tbl_Sourcing[[#This Row],[Product Id]], tbl_Product[Product Id], tbl_Product[Name])</f>
        <v/>
      </c>
      <c r="K294" t="n">
        <v>105</v>
      </c>
      <c r="O2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5">
      <c r="A295" t="n">
        <v>190</v>
      </c>
      <c r="B295" t="n">
        <v>83</v>
      </c>
      <c r="C295" t="inlineStr">
        <is>
          <t>Card Market</t>
        </is>
      </c>
      <c r="D295" s="8" t="inlineStr">
        <is>
          <t>https://www.cardmarket.com/en/Magic/Products/Boosters/Aetherdrift-Collector-Booster?sellerCountry=13&amp;language=1</t>
        </is>
      </c>
      <c r="E295" t="n">
        <v>25.32</v>
      </c>
      <c r="F295" t="inlineStr">
        <is>
          <t>TRUE</t>
        </is>
      </c>
      <c r="H295" t="n">
        <v>17.32</v>
      </c>
      <c r="J295">
        <f>_xlfn.XLOOKUP(tbl_Sourcing[[#This Row],[Product Id]], tbl_Product[Product Id], tbl_Product[Name])</f>
        <v/>
      </c>
      <c r="K295" t="n">
        <v>106</v>
      </c>
      <c r="O2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6">
      <c r="A296" t="n">
        <v>191</v>
      </c>
      <c r="B296" t="n">
        <v>85</v>
      </c>
      <c r="C296" t="inlineStr">
        <is>
          <t>Card Market</t>
        </is>
      </c>
      <c r="D296" s="8" t="inlineStr">
        <is>
          <t>https://www.cardmarket.com/en/Magic/Products/Boosters/Universes-Beyond-Assassins-Creed-Collector-Booster?sellerCountry=13&amp;language=1</t>
        </is>
      </c>
      <c r="E296" t="n">
        <v>33.77216</v>
      </c>
      <c r="F296" t="inlineStr">
        <is>
          <t>TRUE</t>
        </is>
      </c>
      <c r="H296" t="n">
        <v>25.2439</v>
      </c>
      <c r="J296">
        <f>_xlfn.XLOOKUP(tbl_Sourcing[[#This Row],[Product Id]], tbl_Product[Product Id], tbl_Product[Name])</f>
        <v/>
      </c>
      <c r="K296" t="n">
        <v>107</v>
      </c>
      <c r="O2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7">
      <c r="A297" t="n">
        <v>192</v>
      </c>
      <c r="B297" t="n">
        <v>87</v>
      </c>
      <c r="C297" t="inlineStr">
        <is>
          <t>Card Market</t>
        </is>
      </c>
      <c r="D297" s="8" t="inlineStr">
        <is>
          <t>https://www.cardmarket.com/en/Magic/Products/Boosters/Magic-The-Gathering-Avatar-The-Last-Airbender-Collector-Booster?sellerCountry=13&amp;language=1</t>
        </is>
      </c>
      <c r="E297" t="n">
        <v>44.0256</v>
      </c>
      <c r="F297" t="inlineStr">
        <is>
          <t>TRUE</t>
        </is>
      </c>
      <c r="H297" t="n">
        <v>36.00828</v>
      </c>
      <c r="J297">
        <f>_xlfn.XLOOKUP(tbl_Sourcing[[#This Row],[Product Id]], tbl_Product[Product Id], tbl_Product[Name])</f>
        <v/>
      </c>
      <c r="K297" t="n">
        <v>108</v>
      </c>
      <c r="O2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8">
      <c r="A298" t="n">
        <v>193</v>
      </c>
      <c r="B298" t="n">
        <v>89</v>
      </c>
      <c r="C298" t="inlineStr">
        <is>
          <t>Card Market</t>
        </is>
      </c>
      <c r="D298" s="8" t="inlineStr">
        <is>
          <t>https://www.cardmarket.com/en/Magic/Products/Boosters/Bloomburrow-Collector-Booster?sellerCountry=13&amp;language=1</t>
        </is>
      </c>
      <c r="E298" t="n">
        <v>80.14646</v>
      </c>
      <c r="F298" t="inlineStr">
        <is>
          <t>TRUE</t>
        </is>
      </c>
      <c r="H298" t="n">
        <v>72.11181999999999</v>
      </c>
      <c r="J298">
        <f>_xlfn.XLOOKUP(tbl_Sourcing[[#This Row],[Product Id]], tbl_Product[Product Id], tbl_Product[Name])</f>
        <v/>
      </c>
      <c r="K298" t="n">
        <v>109</v>
      </c>
      <c r="O2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9">
      <c r="A299" t="n">
        <v>194</v>
      </c>
      <c r="B299" t="n">
        <v>91</v>
      </c>
      <c r="C299" t="inlineStr">
        <is>
          <t>Card Market</t>
        </is>
      </c>
      <c r="D299" s="8" t="inlineStr">
        <is>
          <t>https://www.cardmarket.com/en/Magic/Products/Boosters/Commander-Masters-Collector-Booster?sellerCountry=13&amp;language=1</t>
        </is>
      </c>
      <c r="F299" t="inlineStr">
        <is>
          <t>FALSE</t>
        </is>
      </c>
      <c r="J299">
        <f>_xlfn.XLOOKUP(tbl_Sourcing[[#This Row],[Product Id]], tbl_Product[Product Id], tbl_Product[Name])</f>
        <v/>
      </c>
      <c r="K299" t="n">
        <v>110</v>
      </c>
      <c r="O2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0">
      <c r="A300" t="n">
        <v>195</v>
      </c>
      <c r="B300" t="n">
        <v>93</v>
      </c>
      <c r="C300" t="inlineStr">
        <is>
          <t>Card Market</t>
        </is>
      </c>
      <c r="D300" s="8" t="inlineStr">
        <is>
          <t>https://www.cardmarket.com/en/Magic/Products/Boosters/Dominaria-United-Collector-Booster?sellerCountry=13&amp;language=1</t>
        </is>
      </c>
      <c r="E300" t="n">
        <v>32.248</v>
      </c>
      <c r="F300" t="inlineStr">
        <is>
          <t>TRUE</t>
        </is>
      </c>
      <c r="H300" t="n">
        <v>24.248</v>
      </c>
      <c r="J300">
        <f>_xlfn.XLOOKUP(tbl_Sourcing[[#This Row],[Product Id]], tbl_Product[Product Id], tbl_Product[Name])</f>
        <v/>
      </c>
      <c r="K300" t="n">
        <v>111</v>
      </c>
      <c r="O3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1">
      <c r="A301" t="n">
        <v>196</v>
      </c>
      <c r="B301" t="n">
        <v>95</v>
      </c>
      <c r="C301" t="inlineStr">
        <is>
          <t>Card Market</t>
        </is>
      </c>
      <c r="D301" s="8" t="inlineStr">
        <is>
          <t>https://www.cardmarket.com/en/Magic/Products/Boosters/Duskmourn-House-of-Horror-Collector-Booster?sellerCountry=13&amp;language=1</t>
        </is>
      </c>
      <c r="E301" t="n">
        <v>40.96862</v>
      </c>
      <c r="F301" t="inlineStr">
        <is>
          <t>TRUE</t>
        </is>
      </c>
      <c r="H301" t="n">
        <v>32.96862</v>
      </c>
      <c r="J301">
        <f>_xlfn.XLOOKUP(tbl_Sourcing[[#This Row],[Product Id]], tbl_Product[Product Id], tbl_Product[Name])</f>
        <v/>
      </c>
      <c r="K301" t="n">
        <v>112</v>
      </c>
      <c r="O3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2">
      <c r="A302" t="n">
        <v>197</v>
      </c>
      <c r="B302" t="n">
        <v>97</v>
      </c>
      <c r="C302" t="inlineStr">
        <is>
          <t>Card Market</t>
        </is>
      </c>
      <c r="D302" s="8" t="inlineStr">
        <is>
          <t>https://www.cardmarket.com/en/Magic/Products/Boosters/Edge-of-Eternities-Collector-Booster?sellerCountry=13&amp;language=1</t>
        </is>
      </c>
      <c r="E302" t="n">
        <v>44.00828</v>
      </c>
      <c r="F302" t="inlineStr">
        <is>
          <t>TRUE</t>
        </is>
      </c>
      <c r="H302" t="n">
        <v>36.00828</v>
      </c>
      <c r="J302">
        <f>_xlfn.XLOOKUP(tbl_Sourcing[[#This Row],[Product Id]], tbl_Product[Product Id], tbl_Product[Name])</f>
        <v/>
      </c>
      <c r="K302" t="n">
        <v>113</v>
      </c>
      <c r="O3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3">
      <c r="A303" t="n">
        <v>198</v>
      </c>
      <c r="B303" t="n">
        <v>99</v>
      </c>
      <c r="C303" t="inlineStr">
        <is>
          <t>Card Market</t>
        </is>
      </c>
      <c r="D303" s="8" t="inlineStr">
        <is>
          <t>https://www.cardmarket.com/en/Magic/Products/Boosters/Magic-The-Gathering-FINAL-FANTASY-Collector-Booster?sellerCountry=13&amp;language=1</t>
        </is>
      </c>
      <c r="E303" t="n">
        <v>106.6</v>
      </c>
      <c r="F303" t="inlineStr">
        <is>
          <t>TRUE</t>
        </is>
      </c>
      <c r="H303" t="n">
        <v>86.59999999999999</v>
      </c>
      <c r="J303">
        <f>_xlfn.XLOOKUP(tbl_Sourcing[[#This Row],[Product Id]], tbl_Product[Product Id], tbl_Product[Name])</f>
        <v/>
      </c>
      <c r="K303" t="n">
        <v>114</v>
      </c>
      <c r="O3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4">
      <c r="A304" t="n">
        <v>199</v>
      </c>
      <c r="B304" t="n">
        <v>101</v>
      </c>
      <c r="C304" t="inlineStr">
        <is>
          <t>Card Market</t>
        </is>
      </c>
      <c r="D304" s="8" t="inlineStr">
        <is>
          <t>https://www.cardmarket.com/en/Magic/Products/Boosters/Magic-The-Gathering-Foundations-Collector-Booster?sellerCountry=13&amp;language=1</t>
        </is>
      </c>
      <c r="E304" t="n">
        <v>55.63</v>
      </c>
      <c r="F304" t="inlineStr">
        <is>
          <t>TRUE</t>
        </is>
      </c>
      <c r="H304" t="n">
        <v>47.63</v>
      </c>
      <c r="J304">
        <f>_xlfn.XLOOKUP(tbl_Sourcing[[#This Row],[Product Id]], tbl_Product[Product Id], tbl_Product[Name])</f>
        <v/>
      </c>
      <c r="K304" t="n">
        <v>115</v>
      </c>
      <c r="O3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5">
      <c r="A305" t="n">
        <v>200</v>
      </c>
      <c r="B305" t="n">
        <v>103</v>
      </c>
      <c r="C305" t="inlineStr">
        <is>
          <t>Card Market</t>
        </is>
      </c>
      <c r="D305" s="8" t="inlineStr">
        <is>
          <t>https://www.cardmarket.com/en/Magic/Products/Boosters/Innistrad-Midnight-Hunt-Collector-Booster?sellerCountry=13&amp;language=1</t>
        </is>
      </c>
      <c r="E305" t="n">
        <v>24.48864</v>
      </c>
      <c r="F305" t="inlineStr">
        <is>
          <t>TRUE</t>
        </is>
      </c>
      <c r="H305" t="n">
        <v>16.48864</v>
      </c>
      <c r="J305">
        <f>_xlfn.XLOOKUP(tbl_Sourcing[[#This Row],[Product Id]], tbl_Product[Product Id], tbl_Product[Name])</f>
        <v/>
      </c>
      <c r="K305" t="n">
        <v>116</v>
      </c>
      <c r="O3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6">
      <c r="A306" t="n">
        <v>201</v>
      </c>
      <c r="B306" t="n">
        <v>105</v>
      </c>
      <c r="C306" t="inlineStr">
        <is>
          <t>Card Market</t>
        </is>
      </c>
      <c r="D306" s="8" t="inlineStr">
        <is>
          <t>https://www.cardmarket.com/en/Magic/Products/Boosters/Innistrad-Remastered-Collector-Booster?sellerCountry=13&amp;language=1</t>
        </is>
      </c>
      <c r="E306" t="n">
        <v>38.90754</v>
      </c>
      <c r="F306" t="inlineStr">
        <is>
          <t>TRUE</t>
        </is>
      </c>
      <c r="H306" t="n">
        <v>30.90754</v>
      </c>
      <c r="J306">
        <f>_xlfn.XLOOKUP(tbl_Sourcing[[#This Row],[Product Id]], tbl_Product[Product Id], tbl_Product[Name])</f>
        <v/>
      </c>
      <c r="K306" t="n">
        <v>117</v>
      </c>
      <c r="O3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7">
      <c r="A307" t="n">
        <v>202</v>
      </c>
      <c r="B307" t="n">
        <v>107</v>
      </c>
      <c r="C307" t="inlineStr">
        <is>
          <t>Card Market</t>
        </is>
      </c>
      <c r="D307" s="8" t="inlineStr">
        <is>
          <t>https://www.cardmarket.com/en/Magic/Products/Boosters/Innistrad-Crimson-Vow-Collector-Booster?sellerCountry=13&amp;language=1</t>
        </is>
      </c>
      <c r="E307" t="n">
        <v>23.0251</v>
      </c>
      <c r="F307" t="inlineStr">
        <is>
          <t>TRUE</t>
        </is>
      </c>
      <c r="H307" t="n">
        <v>15.0251</v>
      </c>
      <c r="J307">
        <f>_xlfn.XLOOKUP(tbl_Sourcing[[#This Row],[Product Id]], tbl_Product[Product Id], tbl_Product[Name])</f>
        <v/>
      </c>
      <c r="K307" t="n">
        <v>118</v>
      </c>
      <c r="O3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8">
      <c r="A308" t="n">
        <v>203</v>
      </c>
      <c r="B308" t="n">
        <v>109</v>
      </c>
      <c r="C308" t="inlineStr">
        <is>
          <t>Card Market</t>
        </is>
      </c>
      <c r="D308" s="8" t="inlineStr">
        <is>
          <t>https://www.cardmarket.com/en/Magic/Products/Boosters/Kaldheim-Collector-Booster?sellerCountry=13&amp;language=1</t>
        </is>
      </c>
      <c r="F308" t="inlineStr">
        <is>
          <t>FALSE</t>
        </is>
      </c>
      <c r="J308">
        <f>_xlfn.XLOOKUP(tbl_Sourcing[[#This Row],[Product Id]], tbl_Product[Product Id], tbl_Product[Name])</f>
        <v/>
      </c>
      <c r="K308" t="n">
        <v>119</v>
      </c>
      <c r="O3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9">
      <c r="A309" t="n">
        <v>204</v>
      </c>
      <c r="B309" t="n">
        <v>111</v>
      </c>
      <c r="C309" t="inlineStr">
        <is>
          <t>Card Market</t>
        </is>
      </c>
      <c r="D309" s="8" t="inlineStr">
        <is>
          <t>https://www.cardmarket.com/en/Magic/Products/Boosters/Kamigawa-Neon-Dynasty-Collector-Booster?sellerCountry=13&amp;language=1</t>
        </is>
      </c>
      <c r="E309" t="n">
        <v>40.96862</v>
      </c>
      <c r="F309" t="inlineStr">
        <is>
          <t>TRUE</t>
        </is>
      </c>
      <c r="H309" t="n">
        <v>32.96862</v>
      </c>
      <c r="J309">
        <f>_xlfn.XLOOKUP(tbl_Sourcing[[#This Row],[Product Id]], tbl_Product[Product Id], tbl_Product[Name])</f>
        <v/>
      </c>
      <c r="K309" t="n">
        <v>120</v>
      </c>
      <c r="O3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0">
      <c r="A310" t="n">
        <v>205</v>
      </c>
      <c r="B310" t="n">
        <v>113</v>
      </c>
      <c r="C310" t="inlineStr">
        <is>
          <t>Card Market</t>
        </is>
      </c>
      <c r="D310" s="8" t="inlineStr">
        <is>
          <t>https://www.cardmarket.com/en/Magic/Products/Boosters/Lorwyn-Eclipsed-Collector-Booster?sellerCountry=13&amp;language=1</t>
        </is>
      </c>
      <c r="F310" t="inlineStr">
        <is>
          <t>FALSE</t>
        </is>
      </c>
      <c r="J310">
        <f>_xlfn.XLOOKUP(tbl_Sourcing[[#This Row],[Product Id]], tbl_Product[Product Id], tbl_Product[Name])</f>
        <v/>
      </c>
      <c r="K310" t="n">
        <v>121</v>
      </c>
      <c r="O3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1">
      <c r="A311" t="n">
        <v>206</v>
      </c>
      <c r="B311" t="n">
        <v>115</v>
      </c>
      <c r="C311" t="inlineStr">
        <is>
          <t>Card Market</t>
        </is>
      </c>
      <c r="D311" s="8" t="inlineStr">
        <is>
          <t>https://www.cardmarket.com/en/Magic/Products/Boosters/March-of-the-Machine-Collector-Booster?sellerCountry=13&amp;language=1</t>
        </is>
      </c>
      <c r="E311" t="n">
        <v>49.15232</v>
      </c>
      <c r="F311" t="inlineStr">
        <is>
          <t>TRUE</t>
        </is>
      </c>
      <c r="H311" t="n">
        <v>41.15232</v>
      </c>
      <c r="J311">
        <f>_xlfn.XLOOKUP(tbl_Sourcing[[#This Row],[Product Id]], tbl_Product[Product Id], tbl_Product[Name])</f>
        <v/>
      </c>
      <c r="K311" t="n">
        <v>122</v>
      </c>
      <c r="O3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2">
      <c r="A312" t="n">
        <v>207</v>
      </c>
      <c r="B312" t="n">
        <v>117</v>
      </c>
      <c r="C312" t="inlineStr">
        <is>
          <t>Card Market</t>
        </is>
      </c>
      <c r="D312" s="8" t="inlineStr">
        <is>
          <t>https://www.cardmarket.com/en/Magic/Products/Boosters/Magic-The-Gathering-Marvels-Spider-Man-Collector-Booster?sellerCountry=13&amp;language=1</t>
        </is>
      </c>
      <c r="E312" t="n">
        <v>29.65</v>
      </c>
      <c r="F312" t="inlineStr">
        <is>
          <t>TRUE</t>
        </is>
      </c>
      <c r="H312" t="n">
        <v>21.65</v>
      </c>
      <c r="J312">
        <f>_xlfn.XLOOKUP(tbl_Sourcing[[#This Row],[Product Id]], tbl_Product[Product Id], tbl_Product[Name])</f>
        <v/>
      </c>
      <c r="K312" t="n">
        <v>123</v>
      </c>
      <c r="O3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3">
      <c r="A313" t="n">
        <v>208</v>
      </c>
      <c r="B313" t="n">
        <v>119</v>
      </c>
      <c r="C313" t="inlineStr">
        <is>
          <t>Card Market</t>
        </is>
      </c>
      <c r="D313" s="8" t="inlineStr">
        <is>
          <t>https://www.cardmarket.com/en/Magic/Products/Boosters/Modern-Horizons-2-Collector-Booster?sellerCountry=13&amp;language=1</t>
        </is>
      </c>
      <c r="E313" t="n">
        <v>48.16508</v>
      </c>
      <c r="F313" t="inlineStr">
        <is>
          <t>TRUE</t>
        </is>
      </c>
      <c r="H313" t="n">
        <v>40.16508</v>
      </c>
      <c r="J313">
        <f>_xlfn.XLOOKUP(tbl_Sourcing[[#This Row],[Product Id]], tbl_Product[Product Id], tbl_Product[Name])</f>
        <v/>
      </c>
      <c r="K313" t="n">
        <v>124</v>
      </c>
      <c r="O3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4">
      <c r="A314" t="n">
        <v>209</v>
      </c>
      <c r="B314" t="n">
        <v>121</v>
      </c>
      <c r="C314" t="inlineStr">
        <is>
          <t>Card Market</t>
        </is>
      </c>
      <c r="D314" s="8" t="inlineStr">
        <is>
          <t>https://www.cardmarket.com/en/Magic/Products/Boosters/Modern-Horizons-3-Collector-Booster?sellerCountry=13&amp;language=1</t>
        </is>
      </c>
      <c r="E314" t="n">
        <v>51.3</v>
      </c>
      <c r="F314" t="inlineStr">
        <is>
          <t>TRUE</t>
        </is>
      </c>
      <c r="H314" t="n">
        <v>43.3</v>
      </c>
      <c r="J314">
        <f>_xlfn.XLOOKUP(tbl_Sourcing[[#This Row],[Product Id]], tbl_Product[Product Id], tbl_Product[Name])</f>
        <v/>
      </c>
      <c r="K314" t="n">
        <v>125</v>
      </c>
      <c r="O3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5">
      <c r="A315" t="n">
        <v>210</v>
      </c>
      <c r="B315" t="n">
        <v>123</v>
      </c>
      <c r="C315" t="inlineStr">
        <is>
          <t>Card Market</t>
        </is>
      </c>
      <c r="D315" s="8" t="inlineStr">
        <is>
          <t>https://www.cardmarket.com/en/Magic/Products/Boosters/Murders-at-Karlov-Manor-Collector-Booster?sellerCountry=13&amp;language=1</t>
        </is>
      </c>
      <c r="E315" t="n">
        <v>26.54106</v>
      </c>
      <c r="F315" t="inlineStr">
        <is>
          <t>TRUE</t>
        </is>
      </c>
      <c r="H315" t="n">
        <v>20.55018</v>
      </c>
      <c r="J315">
        <f>_xlfn.XLOOKUP(tbl_Sourcing[[#This Row],[Product Id]], tbl_Product[Product Id], tbl_Product[Name])</f>
        <v/>
      </c>
      <c r="K315" t="n">
        <v>126</v>
      </c>
      <c r="O3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6">
      <c r="A316" t="n">
        <v>211</v>
      </c>
      <c r="B316" t="n">
        <v>125</v>
      </c>
      <c r="C316" t="inlineStr">
        <is>
          <t>Card Market</t>
        </is>
      </c>
      <c r="D316" s="8" t="inlineStr">
        <is>
          <t>https://www.cardmarket.com/en/Magic/Products/Boosters/Outlaws-of-Thunder-Junction-Collector-Booster?sellerCountry=13&amp;language=1</t>
        </is>
      </c>
      <c r="E316" t="n">
        <v>33.75484</v>
      </c>
      <c r="F316" t="inlineStr">
        <is>
          <t>TRUE</t>
        </is>
      </c>
      <c r="H316" t="n">
        <v>25.75484</v>
      </c>
      <c r="J316">
        <f>_xlfn.XLOOKUP(tbl_Sourcing[[#This Row],[Product Id]], tbl_Product[Product Id], tbl_Product[Name])</f>
        <v/>
      </c>
      <c r="K316" t="n">
        <v>127</v>
      </c>
      <c r="O3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7">
      <c r="A317" t="n">
        <v>212</v>
      </c>
      <c r="B317" t="n">
        <v>127</v>
      </c>
      <c r="C317" t="inlineStr">
        <is>
          <t>Card Market</t>
        </is>
      </c>
      <c r="D317" s="8" t="inlineStr">
        <is>
          <t>https://www.cardmarket.com/en/Magic/Products/Boosters/Phyrexia-All-Will-Be-One-Collector-Booster?sellerCountry=13&amp;language=1</t>
        </is>
      </c>
      <c r="F317" t="inlineStr">
        <is>
          <t>FALSE</t>
        </is>
      </c>
      <c r="J317">
        <f>_xlfn.XLOOKUP(tbl_Sourcing[[#This Row],[Product Id]], tbl_Product[Product Id], tbl_Product[Name])</f>
        <v/>
      </c>
      <c r="K317" t="n">
        <v>128</v>
      </c>
      <c r="O3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8">
      <c r="A318" t="n">
        <v>213</v>
      </c>
      <c r="B318" t="n">
        <v>129</v>
      </c>
      <c r="C318" t="inlineStr">
        <is>
          <t>Card Market</t>
        </is>
      </c>
      <c r="D318" s="8" t="inlineStr">
        <is>
          <t>https://www.cardmarket.com/en/Magic/Products/Boosters/Ravnica-Remastered-Collector-Booster?sellerCountry=13&amp;language=1</t>
        </is>
      </c>
      <c r="E318" t="n">
        <v>72.89803999999999</v>
      </c>
      <c r="F318" t="inlineStr">
        <is>
          <t>TRUE</t>
        </is>
      </c>
      <c r="H318" t="n">
        <v>64.89803999999999</v>
      </c>
      <c r="J318">
        <f>_xlfn.XLOOKUP(tbl_Sourcing[[#This Row],[Product Id]], tbl_Product[Product Id], tbl_Product[Name])</f>
        <v/>
      </c>
      <c r="K318" t="n">
        <v>129</v>
      </c>
      <c r="O3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9">
      <c r="A319" t="n">
        <v>214</v>
      </c>
      <c r="B319" t="n">
        <v>131</v>
      </c>
      <c r="C319" t="inlineStr">
        <is>
          <t>Card Market</t>
        </is>
      </c>
      <c r="D319" s="8" t="inlineStr">
        <is>
          <t>https://www.cardmarket.com/en/Magic/Products/Boosters/Streets-of-New-Capenna-Collector-Booster?sellerCountry=13&amp;language=1</t>
        </is>
      </c>
      <c r="E319" t="n">
        <v>24.48864</v>
      </c>
      <c r="F319" t="inlineStr">
        <is>
          <t>TRUE</t>
        </is>
      </c>
      <c r="H319" t="n">
        <v>16.48864</v>
      </c>
      <c r="J319">
        <f>_xlfn.XLOOKUP(tbl_Sourcing[[#This Row],[Product Id]], tbl_Product[Product Id], tbl_Product[Name])</f>
        <v/>
      </c>
      <c r="K319" t="n">
        <v>130</v>
      </c>
      <c r="O3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0">
      <c r="A320" t="n">
        <v>215</v>
      </c>
      <c r="B320" t="n">
        <v>133</v>
      </c>
      <c r="C320" t="inlineStr">
        <is>
          <t>Card Market</t>
        </is>
      </c>
      <c r="D320" s="8" t="inlineStr">
        <is>
          <t>https://www.cardmarket.com/en/Magic/Products/Boosters/Strixhaven-School-of-Mages-Collector-Booster?sellerCountry=13&amp;language=1</t>
        </is>
      </c>
      <c r="E320" t="n">
        <v>40.44036</v>
      </c>
      <c r="F320" t="inlineStr">
        <is>
          <t>TRUE</t>
        </is>
      </c>
      <c r="H320" t="n">
        <v>32.44036</v>
      </c>
      <c r="J320">
        <f>_xlfn.XLOOKUP(tbl_Sourcing[[#This Row],[Product Id]], tbl_Product[Product Id], tbl_Product[Name])</f>
        <v/>
      </c>
      <c r="K320" t="n">
        <v>131</v>
      </c>
      <c r="O3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1">
      <c r="A321" t="n">
        <v>216</v>
      </c>
      <c r="B321" t="n">
        <v>135</v>
      </c>
      <c r="C321" t="inlineStr">
        <is>
          <t>Card Market</t>
        </is>
      </c>
      <c r="D321" s="8" t="inlineStr">
        <is>
          <t>https://www.cardmarket.com/en/Magic/Products/Boosters/Tarkir-Dragonstorm-Collector-Booster?sellerCountry=13&amp;language=1</t>
        </is>
      </c>
      <c r="E321" t="n">
        <v>33.547</v>
      </c>
      <c r="F321" t="inlineStr">
        <is>
          <t>TRUE</t>
        </is>
      </c>
      <c r="H321" t="n">
        <v>25.547</v>
      </c>
      <c r="J321">
        <f>_xlfn.XLOOKUP(tbl_Sourcing[[#This Row],[Product Id]], tbl_Product[Product Id], tbl_Product[Name])</f>
        <v/>
      </c>
      <c r="K321" t="n">
        <v>132</v>
      </c>
      <c r="O3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2">
      <c r="A322" t="n">
        <v>217</v>
      </c>
      <c r="B322" t="n">
        <v>137</v>
      </c>
      <c r="C322" t="inlineStr">
        <is>
          <t>Card Market</t>
        </is>
      </c>
      <c r="D322" s="8" t="inlineStr">
        <is>
          <t>https://www.cardmarket.com/en/Magic/Products/Boosters/The-Brothers-War-Collector-Booster?sellerCountry=13&amp;language=1</t>
        </is>
      </c>
      <c r="E322" t="n">
        <v>31.382</v>
      </c>
      <c r="F322" t="inlineStr">
        <is>
          <t>TRUE</t>
        </is>
      </c>
      <c r="H322" t="n">
        <v>23.382</v>
      </c>
      <c r="J322">
        <f>_xlfn.XLOOKUP(tbl_Sourcing[[#This Row],[Product Id]], tbl_Product[Product Id], tbl_Product[Name])</f>
        <v/>
      </c>
      <c r="K322" t="n">
        <v>133</v>
      </c>
      <c r="O3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3">
      <c r="A323" t="n">
        <v>218</v>
      </c>
      <c r="B323" t="n">
        <v>139</v>
      </c>
      <c r="C323" t="inlineStr">
        <is>
          <t>Card Market</t>
        </is>
      </c>
      <c r="D323" s="8" t="inlineStr">
        <is>
          <t>https://www.cardmarket.com/en/Magic/Products/Boosters/The-Lord-of-the-Rings-Tales-of-Middle-earth-Collector-Booster?sellerCountry=13&amp;language=1</t>
        </is>
      </c>
      <c r="E323" t="n">
        <v>122.4911</v>
      </c>
      <c r="F323" t="inlineStr">
        <is>
          <t>TRUE</t>
        </is>
      </c>
      <c r="H323" t="n">
        <v>102.4911</v>
      </c>
      <c r="J323">
        <f>_xlfn.XLOOKUP(tbl_Sourcing[[#This Row],[Product Id]], tbl_Product[Product Id], tbl_Product[Name])</f>
        <v/>
      </c>
      <c r="K323" t="n">
        <v>134</v>
      </c>
      <c r="O3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4">
      <c r="A324" t="n">
        <v>219</v>
      </c>
      <c r="B324" t="n">
        <v>141</v>
      </c>
      <c r="C324" t="inlineStr">
        <is>
          <t>Card Market</t>
        </is>
      </c>
      <c r="D324" s="8" t="inlineStr">
        <is>
          <t>https://www.cardmarket.com/en/Magic/Products/Boosters/The-Lost-Caverns-of-Ixalan-Collector-Booster?sellerCountry=13&amp;language=1</t>
        </is>
      </c>
      <c r="E324" t="n">
        <v>69.80642</v>
      </c>
      <c r="F324" t="inlineStr">
        <is>
          <t>TRUE</t>
        </is>
      </c>
      <c r="H324" t="n">
        <v>61.80642</v>
      </c>
      <c r="J324">
        <f>_xlfn.XLOOKUP(tbl_Sourcing[[#This Row],[Product Id]], tbl_Product[Product Id], tbl_Product[Name])</f>
        <v/>
      </c>
      <c r="K324" t="n">
        <v>135</v>
      </c>
      <c r="O3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5">
      <c r="A325" t="n">
        <v>220</v>
      </c>
      <c r="B325" t="n">
        <v>143</v>
      </c>
      <c r="C325" t="inlineStr">
        <is>
          <t>Card Market</t>
        </is>
      </c>
      <c r="D325" s="8" t="inlineStr">
        <is>
          <t>https://www.cardmarket.com/en/Magic/Products/Boosters/Theros-Beyond-Death-Collector-Booster?sellerCountry=13&amp;language=1</t>
        </is>
      </c>
      <c r="E325" t="n">
        <v>25.50186</v>
      </c>
      <c r="F325" t="inlineStr">
        <is>
          <t>TRUE</t>
        </is>
      </c>
      <c r="H325" t="n">
        <v>17.50186</v>
      </c>
      <c r="J325">
        <f>_xlfn.XLOOKUP(tbl_Sourcing[[#This Row],[Product Id]], tbl_Product[Product Id], tbl_Product[Name])</f>
        <v/>
      </c>
      <c r="K325" t="n">
        <v>136</v>
      </c>
      <c r="O3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6">
      <c r="A326" t="n">
        <v>221</v>
      </c>
      <c r="B326" t="n">
        <v>145</v>
      </c>
      <c r="C326" t="inlineStr">
        <is>
          <t>Card Market</t>
        </is>
      </c>
      <c r="D326" s="8" t="inlineStr">
        <is>
          <t>https://www.cardmarket.com/en/Magic/Products/Boosters/Throne-of-Eldraine-Collector-Booster?sellerCountry=13&amp;language=1</t>
        </is>
      </c>
      <c r="E326" t="n">
        <v>33.75484</v>
      </c>
      <c r="F326" t="inlineStr">
        <is>
          <t>TRUE</t>
        </is>
      </c>
      <c r="H326" t="n">
        <v>25.75484</v>
      </c>
      <c r="J326">
        <f>_xlfn.XLOOKUP(tbl_Sourcing[[#This Row],[Product Id]], tbl_Product[Product Id], tbl_Product[Name])</f>
        <v/>
      </c>
      <c r="K326" t="n">
        <v>137</v>
      </c>
      <c r="O3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7">
      <c r="A327" t="n">
        <v>222</v>
      </c>
      <c r="B327" t="n">
        <v>147</v>
      </c>
      <c r="C327" t="inlineStr">
        <is>
          <t>Card Market</t>
        </is>
      </c>
      <c r="D327" s="8" t="inlineStr">
        <is>
          <t>https://www.cardmarket.com/en/Magic/Products/Boosters/Wilds-of-Eldraine-Collector-Booster?sellerCountry=13&amp;language=1</t>
        </is>
      </c>
      <c r="E327" t="n">
        <v>122.95874</v>
      </c>
      <c r="F327" t="inlineStr">
        <is>
          <t>TRUE</t>
        </is>
      </c>
      <c r="H327" t="n">
        <v>102.95874</v>
      </c>
      <c r="J327">
        <f>_xlfn.XLOOKUP(tbl_Sourcing[[#This Row],[Product Id]], tbl_Product[Product Id], tbl_Product[Name])</f>
        <v/>
      </c>
      <c r="K327" t="n">
        <v>138</v>
      </c>
      <c r="O3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8">
      <c r="A328" t="n">
        <v>257</v>
      </c>
      <c r="B328" t="n">
        <v>149</v>
      </c>
      <c r="C328" t="inlineStr">
        <is>
          <t>Card Market</t>
        </is>
      </c>
      <c r="D328" s="8" t="inlineStr">
        <is>
          <t>https://www.cardmarket.com/en/Magic/Products/Preconstructed-Decks/Commander-Edge-of-Eternities-World-Shaper-Commander-Deck</t>
        </is>
      </c>
      <c r="E328" t="n">
        <v>51.2567</v>
      </c>
      <c r="F328" t="inlineStr">
        <is>
          <t>TRUE</t>
        </is>
      </c>
      <c r="J328">
        <f>_xlfn.XLOOKUP(tbl_Sourcing[[#This Row],[Product Id]], tbl_Product[Product Id], tbl_Product[Name])</f>
        <v/>
      </c>
      <c r="K328" t="n">
        <v>139</v>
      </c>
      <c r="O3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9">
      <c r="A329" t="n">
        <v>258</v>
      </c>
      <c r="B329" t="n">
        <v>150</v>
      </c>
      <c r="C329" t="inlineStr">
        <is>
          <t>Card Market</t>
        </is>
      </c>
      <c r="D329" s="8" t="inlineStr">
        <is>
          <t>https://www.cardmarket.com/en/Magic/Products/Preconstructed-Decks/Commander-Edge-of-Eternities-Counter-Intelligence-Commander-Deck</t>
        </is>
      </c>
      <c r="E329" t="n">
        <v>33.9367</v>
      </c>
      <c r="F329" t="inlineStr">
        <is>
          <t>TRUE</t>
        </is>
      </c>
      <c r="J329">
        <f>_xlfn.XLOOKUP(tbl_Sourcing[[#This Row],[Product Id]], tbl_Product[Product Id], tbl_Product[Name])</f>
        <v/>
      </c>
      <c r="K329" t="n">
        <v>140</v>
      </c>
      <c r="O3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0">
      <c r="A330" t="n">
        <v>259</v>
      </c>
      <c r="B330" t="n">
        <v>151</v>
      </c>
      <c r="C330" t="inlineStr">
        <is>
          <t>Card Market</t>
        </is>
      </c>
      <c r="D330" s="8" t="inlineStr">
        <is>
          <t>https://www.cardmarket.com/en/Magic/Products/Preconstructed-Decks/Commander-Magic-The-Gathering-FINAL-FANTASY-Revival-Trance-Commander-Deck</t>
        </is>
      </c>
      <c r="E330" t="n">
        <v>29.64134</v>
      </c>
      <c r="F330" t="inlineStr">
        <is>
          <t>TRUE</t>
        </is>
      </c>
      <c r="J330">
        <f>_xlfn.XLOOKUP(tbl_Sourcing[[#This Row],[Product Id]], tbl_Product[Product Id], tbl_Product[Name])</f>
        <v/>
      </c>
      <c r="K330" t="n">
        <v>141</v>
      </c>
      <c r="O3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1">
      <c r="A331" t="n">
        <v>260</v>
      </c>
      <c r="B331" t="n">
        <v>152</v>
      </c>
      <c r="C331" t="inlineStr">
        <is>
          <t>Card Market</t>
        </is>
      </c>
      <c r="D331" s="8" t="inlineStr">
        <is>
          <t>https://www.cardmarket.com/en/Magic/Products/Preconstructed-Decks/Commander-Magic-The-Gathering-FINAL-FANTASY-Limit-Break-Commander-Deck</t>
        </is>
      </c>
      <c r="E331" t="n">
        <v>46.96134</v>
      </c>
      <c r="F331" t="inlineStr">
        <is>
          <t>TRUE</t>
        </is>
      </c>
      <c r="J331">
        <f>_xlfn.XLOOKUP(tbl_Sourcing[[#This Row],[Product Id]], tbl_Product[Product Id], tbl_Product[Name])</f>
        <v/>
      </c>
      <c r="K331" t="n">
        <v>142</v>
      </c>
      <c r="O3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2">
      <c r="A332" t="n">
        <v>261</v>
      </c>
      <c r="B332" t="n">
        <v>153</v>
      </c>
      <c r="C332" t="inlineStr">
        <is>
          <t>Card Market</t>
        </is>
      </c>
      <c r="D332" s="8" t="inlineStr">
        <is>
          <t>https://www.cardmarket.com/en/Magic/Products/Preconstructed-Decks/Commander-Magic-The-Gathering-FINAL-FANTASY-Counter-Blitz-Commander-Deck</t>
        </is>
      </c>
      <c r="E332" t="n">
        <v>46.96134</v>
      </c>
      <c r="F332" t="inlineStr">
        <is>
          <t>TRUE</t>
        </is>
      </c>
      <c r="J332">
        <f>_xlfn.XLOOKUP(tbl_Sourcing[[#This Row],[Product Id]], tbl_Product[Product Id], tbl_Product[Name])</f>
        <v/>
      </c>
      <c r="K332" t="n">
        <v>143</v>
      </c>
      <c r="O3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3">
      <c r="A333" t="n">
        <v>262</v>
      </c>
      <c r="B333" t="n">
        <v>154</v>
      </c>
      <c r="C333" t="inlineStr">
        <is>
          <t>Card Market</t>
        </is>
      </c>
      <c r="D333" s="8" t="inlineStr">
        <is>
          <t>https://www.cardmarket.com/en/Magic/Products/Preconstructed-Decks/Commander-Magic-The-Gathering-FINAL-FANTASY-Scions-Spellcraft-Commander-Deck</t>
        </is>
      </c>
      <c r="E333" t="n">
        <v>38.31</v>
      </c>
      <c r="F333" t="inlineStr">
        <is>
          <t>TRUE</t>
        </is>
      </c>
      <c r="J333">
        <f>_xlfn.XLOOKUP(tbl_Sourcing[[#This Row],[Product Id]], tbl_Product[Product Id], tbl_Product[Name])</f>
        <v/>
      </c>
      <c r="K333" t="n">
        <v>144</v>
      </c>
      <c r="O3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4">
      <c r="A334" t="n">
        <v>263</v>
      </c>
      <c r="B334" t="n">
        <v>155</v>
      </c>
      <c r="C334" t="inlineStr">
        <is>
          <t>Card Market</t>
        </is>
      </c>
      <c r="D334" s="8" t="inlineStr">
        <is>
          <t>https://www.cardmarket.com/en/Magic/Products/Preconstructed-Decks/Commander-Tarkir-Dragonstorm-Abzan-Armor-Commander-Deck</t>
        </is>
      </c>
      <c r="E334" t="n">
        <v>36.5347</v>
      </c>
      <c r="F334" t="inlineStr">
        <is>
          <t>TRUE</t>
        </is>
      </c>
      <c r="J334">
        <f>_xlfn.XLOOKUP(tbl_Sourcing[[#This Row],[Product Id]], tbl_Product[Product Id], tbl_Product[Name])</f>
        <v/>
      </c>
      <c r="K334" t="n">
        <v>145</v>
      </c>
      <c r="O3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5">
      <c r="A335" t="n">
        <v>264</v>
      </c>
      <c r="B335" t="n">
        <v>156</v>
      </c>
      <c r="C335" t="inlineStr">
        <is>
          <t>Card Market</t>
        </is>
      </c>
      <c r="D335" s="8" t="inlineStr">
        <is>
          <t>https://www.cardmarket.com/en/Magic/Products/Preconstructed-Decks/Commander-Tarkir-Dragonstorm-Mardu-Surge-Commander-Deck</t>
        </is>
      </c>
      <c r="E335" t="n">
        <v>37.444</v>
      </c>
      <c r="F335" t="inlineStr">
        <is>
          <t>TRUE</t>
        </is>
      </c>
      <c r="J335">
        <f>_xlfn.XLOOKUP(tbl_Sourcing[[#This Row],[Product Id]], tbl_Product[Product Id], tbl_Product[Name])</f>
        <v/>
      </c>
      <c r="K335" t="n">
        <v>146</v>
      </c>
      <c r="O3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6">
      <c r="A336" t="n">
        <v>265</v>
      </c>
      <c r="B336" t="n">
        <v>157</v>
      </c>
      <c r="C336" t="inlineStr">
        <is>
          <t>Card Market</t>
        </is>
      </c>
      <c r="D336" s="8" t="inlineStr">
        <is>
          <t>https://www.cardmarket.com/en/Magic/Products/Preconstructed-Decks/Commander-Tarkir-Dragonstorm-Jeskai-Striker-Commander-Deck</t>
        </is>
      </c>
      <c r="E336" t="n">
        <v>32.248</v>
      </c>
      <c r="F336" t="inlineStr">
        <is>
          <t>TRUE</t>
        </is>
      </c>
      <c r="J336">
        <f>_xlfn.XLOOKUP(tbl_Sourcing[[#This Row],[Product Id]], tbl_Product[Product Id], tbl_Product[Name])</f>
        <v/>
      </c>
      <c r="K336" t="n">
        <v>147</v>
      </c>
      <c r="O3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7">
      <c r="A337" t="n">
        <v>266</v>
      </c>
      <c r="B337" t="n">
        <v>158</v>
      </c>
      <c r="C337" t="inlineStr">
        <is>
          <t>Card Market</t>
        </is>
      </c>
      <c r="D337" s="8" t="inlineStr">
        <is>
          <t>https://www.cardmarket.com/en/Magic/Products/Preconstructed-Decks/Commander-Tarkir-Dragonstorm-Temur-Roar-Commander-Deck</t>
        </is>
      </c>
      <c r="E337" t="n">
        <v>53.01468</v>
      </c>
      <c r="F337" t="inlineStr">
        <is>
          <t>TRUE</t>
        </is>
      </c>
      <c r="J337">
        <f>_xlfn.XLOOKUP(tbl_Sourcing[[#This Row],[Product Id]], tbl_Product[Product Id], tbl_Product[Name])</f>
        <v/>
      </c>
      <c r="K337" t="n">
        <v>148</v>
      </c>
      <c r="O3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8">
      <c r="A338" t="n">
        <v>267</v>
      </c>
      <c r="B338" t="n">
        <v>159</v>
      </c>
      <c r="C338" t="inlineStr">
        <is>
          <t>Card Market</t>
        </is>
      </c>
      <c r="D338" s="8" t="inlineStr">
        <is>
          <t>https://www.cardmarket.com/en/Magic/Products/Preconstructed-Decks/Commander-Tarkir-Dragonstorm-Sultai-Arisen-Commander-Deck</t>
        </is>
      </c>
      <c r="E338" t="n">
        <v>54.764</v>
      </c>
      <c r="F338" t="inlineStr">
        <is>
          <t>TRUE</t>
        </is>
      </c>
      <c r="J338">
        <f>_xlfn.XLOOKUP(tbl_Sourcing[[#This Row],[Product Id]], tbl_Product[Product Id], tbl_Product[Name])</f>
        <v/>
      </c>
      <c r="K338" t="n">
        <v>149</v>
      </c>
      <c r="O3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9">
      <c r="A339" t="n">
        <v>268</v>
      </c>
      <c r="B339" t="n">
        <v>160</v>
      </c>
      <c r="C339" t="inlineStr">
        <is>
          <t>Card Market</t>
        </is>
      </c>
      <c r="D339" s="8" t="inlineStr">
        <is>
          <t>https://www.cardmarket.com/en/Magic/Products/Preconstructed-Decks/Commander-Aetherdrift-Eternal-Might-Commander-Deck</t>
        </is>
      </c>
      <c r="E339" t="n">
        <v>42.63134</v>
      </c>
      <c r="F339" t="inlineStr">
        <is>
          <t>TRUE</t>
        </is>
      </c>
      <c r="J339">
        <f>_xlfn.XLOOKUP(tbl_Sourcing[[#This Row],[Product Id]], tbl_Product[Product Id], tbl_Product[Name])</f>
        <v/>
      </c>
      <c r="K339" t="n">
        <v>150</v>
      </c>
      <c r="O3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0">
      <c r="A340" t="n">
        <v>269</v>
      </c>
      <c r="B340" t="n">
        <v>161</v>
      </c>
      <c r="C340" t="inlineStr">
        <is>
          <t>Card Market</t>
        </is>
      </c>
      <c r="D340" s="8" t="inlineStr">
        <is>
          <t>https://www.cardmarket.com/en/Magic/Products/Preconstructed-Decks/Commander-Aetherdrift-Living-Energy-Commander-Deck</t>
        </is>
      </c>
      <c r="E340" t="n">
        <v>29.6067</v>
      </c>
      <c r="F340" t="inlineStr">
        <is>
          <t>TRUE</t>
        </is>
      </c>
      <c r="J340">
        <f>_xlfn.XLOOKUP(tbl_Sourcing[[#This Row],[Product Id]], tbl_Product[Product Id], tbl_Product[Name])</f>
        <v/>
      </c>
      <c r="K340" t="n">
        <v>151</v>
      </c>
      <c r="O3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1">
      <c r="A341" t="n">
        <v>270</v>
      </c>
      <c r="B341" t="n">
        <v>162</v>
      </c>
      <c r="C341" t="inlineStr">
        <is>
          <t>Card Market</t>
        </is>
      </c>
      <c r="D341" s="8" t="inlineStr">
        <is>
          <t>https://www.cardmarket.com/en/Magic/Products/Preconstructed-Decks/Commander-Duskmourn-House-of-Horror-Miracle-Worker-Commander-Deck</t>
        </is>
      </c>
      <c r="E341" t="n">
        <v>46.9267</v>
      </c>
      <c r="F341" t="inlineStr">
        <is>
          <t>TRUE</t>
        </is>
      </c>
      <c r="J341">
        <f>_xlfn.XLOOKUP(tbl_Sourcing[[#This Row],[Product Id]], tbl_Product[Product Id], tbl_Product[Name])</f>
        <v/>
      </c>
      <c r="K341" t="n">
        <v>152</v>
      </c>
      <c r="O3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2">
      <c r="A342" t="n">
        <v>271</v>
      </c>
      <c r="B342" t="n">
        <v>163</v>
      </c>
      <c r="C342" t="inlineStr">
        <is>
          <t>Card Market</t>
        </is>
      </c>
      <c r="D342" s="8" t="inlineStr">
        <is>
          <t>https://www.cardmarket.com/en/Magic/Products/Preconstructed-Decks/Commander-Duskmourn-House-of-Horror-Jump-Scare-Commander-Deck</t>
        </is>
      </c>
      <c r="E342" t="n">
        <v>46.8834</v>
      </c>
      <c r="F342" t="inlineStr">
        <is>
          <t>TRUE</t>
        </is>
      </c>
      <c r="J342">
        <f>_xlfn.XLOOKUP(tbl_Sourcing[[#This Row],[Product Id]], tbl_Product[Product Id], tbl_Product[Name])</f>
        <v/>
      </c>
      <c r="K342" t="n">
        <v>153</v>
      </c>
      <c r="O3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3">
      <c r="A343" t="n">
        <v>272</v>
      </c>
      <c r="B343" t="n">
        <v>164</v>
      </c>
      <c r="C343" t="inlineStr">
        <is>
          <t>Card Market</t>
        </is>
      </c>
      <c r="D343" s="8" t="inlineStr">
        <is>
          <t>https://www.cardmarket.com/en/Magic/Products/Preconstructed-Decks/Commander-Duskmourn-House-of-Horror-Endless-Punishment-Commander-Deck</t>
        </is>
      </c>
      <c r="E343" t="n">
        <v>128.11144</v>
      </c>
      <c r="F343" t="inlineStr">
        <is>
          <t>TRUE</t>
        </is>
      </c>
      <c r="J343">
        <f>_xlfn.XLOOKUP(tbl_Sourcing[[#This Row],[Product Id]], tbl_Product[Product Id], tbl_Product[Name])</f>
        <v/>
      </c>
      <c r="K343" t="n">
        <v>154</v>
      </c>
      <c r="O3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4">
      <c r="A344" t="n">
        <v>273</v>
      </c>
      <c r="B344" t="n">
        <v>165</v>
      </c>
      <c r="C344" t="inlineStr">
        <is>
          <t>Card Market</t>
        </is>
      </c>
      <c r="D344" s="8" t="inlineStr">
        <is>
          <t>https://www.cardmarket.com/en/Magic/Products/Preconstructed-Decks/Commander-Duskmourn-House-of-Horror-Death-Toll-Commander-Deck</t>
        </is>
      </c>
      <c r="E344" t="n">
        <v>36.56934</v>
      </c>
      <c r="F344" t="inlineStr">
        <is>
          <t>TRUE</t>
        </is>
      </c>
      <c r="J344">
        <f>_xlfn.XLOOKUP(tbl_Sourcing[[#This Row],[Product Id]], tbl_Product[Product Id], tbl_Product[Name])</f>
        <v/>
      </c>
      <c r="K344" t="n">
        <v>155</v>
      </c>
      <c r="O3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5">
      <c r="A345" t="n">
        <v>274</v>
      </c>
      <c r="B345" t="n">
        <v>166</v>
      </c>
      <c r="C345" t="inlineStr">
        <is>
          <t>Card Market</t>
        </is>
      </c>
      <c r="D345" s="8" t="inlineStr">
        <is>
          <t>https://www.cardmarket.com/en/Magic/Products/Preconstructed-Decks/Commander-Bloomburrow-Squirreled-Away-Commander-Deck</t>
        </is>
      </c>
      <c r="E345" t="n">
        <v>51.29134</v>
      </c>
      <c r="F345" t="inlineStr">
        <is>
          <t>TRUE</t>
        </is>
      </c>
      <c r="J345">
        <f>_xlfn.XLOOKUP(tbl_Sourcing[[#This Row],[Product Id]], tbl_Product[Product Id], tbl_Product[Name])</f>
        <v/>
      </c>
      <c r="K345" t="n">
        <v>156</v>
      </c>
      <c r="O3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6">
      <c r="A346" t="n">
        <v>275</v>
      </c>
      <c r="B346" t="n">
        <v>167</v>
      </c>
      <c r="C346" t="inlineStr">
        <is>
          <t>Card Market</t>
        </is>
      </c>
      <c r="D346" s="8" t="inlineStr">
        <is>
          <t>https://www.cardmarket.com/en/Magic/Products/Preconstructed-Decks/Commander-Bloomburrow-Animated-Army-Commander-Deck</t>
        </is>
      </c>
      <c r="E346" t="n">
        <v>42.59670000000001</v>
      </c>
      <c r="F346" t="inlineStr">
        <is>
          <t>TRUE</t>
        </is>
      </c>
      <c r="J346">
        <f>_xlfn.XLOOKUP(tbl_Sourcing[[#This Row],[Product Id]], tbl_Product[Product Id], tbl_Product[Name])</f>
        <v/>
      </c>
      <c r="K346" t="n">
        <v>157</v>
      </c>
      <c r="O3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7">
      <c r="A347" t="n">
        <v>276</v>
      </c>
      <c r="B347" t="n">
        <v>168</v>
      </c>
      <c r="C347" t="inlineStr">
        <is>
          <t>Card Market</t>
        </is>
      </c>
      <c r="D347" s="8" t="inlineStr">
        <is>
          <t>https://www.cardmarket.com/en/Magic/Products/Preconstructed-Decks/Commander-Bloomburrow-Peace-Offering-Commander-Deck</t>
        </is>
      </c>
      <c r="E347" t="n">
        <v>42.62268</v>
      </c>
      <c r="F347" t="inlineStr">
        <is>
          <t>TRUE</t>
        </is>
      </c>
      <c r="J347">
        <f>_xlfn.XLOOKUP(tbl_Sourcing[[#This Row],[Product Id]], tbl_Product[Product Id], tbl_Product[Name])</f>
        <v/>
      </c>
      <c r="K347" t="n">
        <v>158</v>
      </c>
      <c r="O3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8">
      <c r="A348" t="n">
        <v>277</v>
      </c>
      <c r="B348" t="n">
        <v>169</v>
      </c>
      <c r="C348" t="inlineStr">
        <is>
          <t>Card Market</t>
        </is>
      </c>
      <c r="D348" s="8" t="inlineStr">
        <is>
          <t>https://www.cardmarket.com/en/Magic/Products/Preconstructed-Decks/Commander-Bloomburrow-Family-Matters-Commander-Deck</t>
        </is>
      </c>
      <c r="E348" t="n">
        <v>37.3574</v>
      </c>
      <c r="F348" t="inlineStr">
        <is>
          <t>TRUE</t>
        </is>
      </c>
      <c r="J348">
        <f>_xlfn.XLOOKUP(tbl_Sourcing[[#This Row],[Product Id]], tbl_Product[Product Id], tbl_Product[Name])</f>
        <v/>
      </c>
      <c r="K348" t="n">
        <v>159</v>
      </c>
      <c r="O3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9">
      <c r="A349" t="n">
        <v>278</v>
      </c>
      <c r="B349" t="n">
        <v>170</v>
      </c>
      <c r="C349" t="inlineStr">
        <is>
          <t>Card Market</t>
        </is>
      </c>
      <c r="D349" s="8" t="inlineStr">
        <is>
          <t>https://www.cardmarket.com/en/Magic/Products/Preconstructed-Decks/Commander-Modern-Horizons-3-Eldrazi-Incursion-Commander-Deck</t>
        </is>
      </c>
      <c r="E349" t="n">
        <v>72.07534</v>
      </c>
      <c r="F349" t="inlineStr">
        <is>
          <t>TRUE</t>
        </is>
      </c>
      <c r="J349">
        <f>_xlfn.XLOOKUP(tbl_Sourcing[[#This Row],[Product Id]], tbl_Product[Product Id], tbl_Product[Name])</f>
        <v/>
      </c>
      <c r="K349" t="n">
        <v>160</v>
      </c>
      <c r="O3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0">
      <c r="A350" t="n">
        <v>279</v>
      </c>
      <c r="B350" t="n">
        <v>171</v>
      </c>
      <c r="C350" t="inlineStr">
        <is>
          <t>Card Market</t>
        </is>
      </c>
      <c r="D350" s="8" t="inlineStr">
        <is>
          <t>https://www.cardmarket.com/en/Magic/Products/Preconstructed-Decks/Commander-Modern-Horizons-3-Graveyard-Overdrive-Commander-Deck</t>
        </is>
      </c>
      <c r="E350" t="n">
        <v>40.475</v>
      </c>
      <c r="F350" t="inlineStr">
        <is>
          <t>TRUE</t>
        </is>
      </c>
      <c r="J350">
        <f>_xlfn.XLOOKUP(tbl_Sourcing[[#This Row],[Product Id]], tbl_Product[Product Id], tbl_Product[Name])</f>
        <v/>
      </c>
      <c r="K350" t="n">
        <v>161</v>
      </c>
      <c r="O3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1">
      <c r="A351" t="n">
        <v>280</v>
      </c>
      <c r="B351" t="n">
        <v>172</v>
      </c>
      <c r="C351" t="inlineStr">
        <is>
          <t>Card Market</t>
        </is>
      </c>
      <c r="D351" s="8" t="inlineStr">
        <is>
          <t>https://www.cardmarket.com/en/Magic/Products/Preconstructed-Decks/Commander-Modern-Horizons-3-Tricky-Terrain-Commander-Deck</t>
        </is>
      </c>
      <c r="E351" t="n">
        <v>49.135</v>
      </c>
      <c r="F351" t="inlineStr">
        <is>
          <t>TRUE</t>
        </is>
      </c>
      <c r="J351">
        <f>_xlfn.XLOOKUP(tbl_Sourcing[[#This Row],[Product Id]], tbl_Product[Product Id], tbl_Product[Name])</f>
        <v/>
      </c>
      <c r="K351" t="n">
        <v>162</v>
      </c>
      <c r="O3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2">
      <c r="A352" t="n">
        <v>281</v>
      </c>
      <c r="B352" t="n">
        <v>173</v>
      </c>
      <c r="C352" t="inlineStr">
        <is>
          <t>Card Market</t>
        </is>
      </c>
      <c r="D352" s="8" t="inlineStr">
        <is>
          <t>https://www.cardmarket.com/en/Magic/Products/Preconstructed-Decks/Commander-Modern-Horizons-3-Creative-Energy-Commander-Deck</t>
        </is>
      </c>
      <c r="E352" t="n">
        <v>35.6687</v>
      </c>
      <c r="F352" t="inlineStr">
        <is>
          <t>TRUE</t>
        </is>
      </c>
      <c r="J352">
        <f>_xlfn.XLOOKUP(tbl_Sourcing[[#This Row],[Product Id]], tbl_Product[Product Id], tbl_Product[Name])</f>
        <v/>
      </c>
      <c r="K352" t="n">
        <v>163</v>
      </c>
      <c r="O3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3">
      <c r="A353" t="n">
        <v>282</v>
      </c>
      <c r="B353" t="n">
        <v>174</v>
      </c>
      <c r="C353" t="inlineStr">
        <is>
          <t>Card Market</t>
        </is>
      </c>
      <c r="D353" s="8" t="inlineStr">
        <is>
          <t>https://www.cardmarket.com/en/Magic/Products/Preconstructed-Decks/Commander-Outlaws-of-Thunder-Junction-Quick-Draw-Commander-Deck</t>
        </is>
      </c>
      <c r="E353" t="n">
        <v>64.28134</v>
      </c>
      <c r="F353" t="inlineStr">
        <is>
          <t>TRUE</t>
        </is>
      </c>
      <c r="J353">
        <f>_xlfn.XLOOKUP(tbl_Sourcing[[#This Row],[Product Id]], tbl_Product[Product Id], tbl_Product[Name])</f>
        <v/>
      </c>
      <c r="K353" t="n">
        <v>164</v>
      </c>
      <c r="O3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4">
      <c r="A354" t="n">
        <v>283</v>
      </c>
      <c r="B354" t="n">
        <v>175</v>
      </c>
      <c r="C354" t="inlineStr">
        <is>
          <t>Card Market</t>
        </is>
      </c>
      <c r="D354" s="8" t="inlineStr">
        <is>
          <t>https://www.cardmarket.com/en/Magic/Products/Preconstructed-Decks/Commander-Outlaws-of-Thunder-Junction-Desert-Bloom-Commander-Deck</t>
        </is>
      </c>
      <c r="E354" t="n">
        <v>42.59670000000001</v>
      </c>
      <c r="F354" t="inlineStr">
        <is>
          <t>TRUE</t>
        </is>
      </c>
      <c r="J354">
        <f>_xlfn.XLOOKUP(tbl_Sourcing[[#This Row],[Product Id]], tbl_Product[Product Id], tbl_Product[Name])</f>
        <v/>
      </c>
      <c r="K354" t="n">
        <v>165</v>
      </c>
      <c r="O3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5">
      <c r="A355" t="n">
        <v>284</v>
      </c>
      <c r="B355" t="n">
        <v>176</v>
      </c>
      <c r="C355" t="inlineStr">
        <is>
          <t>Card Market</t>
        </is>
      </c>
      <c r="D355" s="8" t="inlineStr">
        <is>
          <t>https://www.cardmarket.com/en/Magic/Products/Preconstructed-Decks/Commander-Outlaws-of-Thunder-Junction-Grand-Larceny-Commander-Deck</t>
        </is>
      </c>
      <c r="E355" t="n">
        <v>70.785</v>
      </c>
      <c r="F355" t="inlineStr">
        <is>
          <t>TRUE</t>
        </is>
      </c>
      <c r="J355">
        <f>_xlfn.XLOOKUP(tbl_Sourcing[[#This Row],[Product Id]], tbl_Product[Product Id], tbl_Product[Name])</f>
        <v/>
      </c>
      <c r="K355" t="n">
        <v>166</v>
      </c>
      <c r="O3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6">
      <c r="A356" t="n">
        <v>285</v>
      </c>
      <c r="B356" t="n">
        <v>177</v>
      </c>
      <c r="C356" t="inlineStr">
        <is>
          <t>Card Market</t>
        </is>
      </c>
      <c r="D356" s="8" t="inlineStr">
        <is>
          <t>https://www.cardmarket.com/en/Magic/Products/Preconstructed-Decks/Commander-Outlaws-of-Thunder-Junction-Most-Wanted-Commander-Deck</t>
        </is>
      </c>
      <c r="E356" t="n">
        <v>42.5534</v>
      </c>
      <c r="F356" t="inlineStr">
        <is>
          <t>TRUE</t>
        </is>
      </c>
      <c r="J356">
        <f>_xlfn.XLOOKUP(tbl_Sourcing[[#This Row],[Product Id]], tbl_Product[Product Id], tbl_Product[Name])</f>
        <v/>
      </c>
      <c r="K356" t="n">
        <v>167</v>
      </c>
      <c r="O3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7">
      <c r="A357" t="n">
        <v>286</v>
      </c>
      <c r="B357" t="n">
        <v>178</v>
      </c>
      <c r="C357" t="inlineStr">
        <is>
          <t>Card Market</t>
        </is>
      </c>
      <c r="D357" s="8" t="inlineStr">
        <is>
          <t>https://www.cardmarket.com/en/Magic/Products/Preconstructed-Decks/Universes-Beyond-Fallout-Scrappy-Survivors-Commander-Deck</t>
        </is>
      </c>
      <c r="E357" t="n">
        <v>46.87474</v>
      </c>
      <c r="F357" t="inlineStr">
        <is>
          <t>TRUE</t>
        </is>
      </c>
      <c r="J357">
        <f>_xlfn.XLOOKUP(tbl_Sourcing[[#This Row],[Product Id]], tbl_Product[Product Id], tbl_Product[Name])</f>
        <v/>
      </c>
      <c r="K357" t="n">
        <v>168</v>
      </c>
      <c r="O3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8">
      <c r="A358" t="n">
        <v>287</v>
      </c>
      <c r="B358" t="n">
        <v>179</v>
      </c>
      <c r="C358" t="inlineStr">
        <is>
          <t>Card Market</t>
        </is>
      </c>
      <c r="D358" s="8" t="inlineStr">
        <is>
          <t>https://www.cardmarket.com/en/Magic/Products/Preconstructed-Decks/Universes-Beyond-Fallout-Science-Commander-Deck</t>
        </is>
      </c>
      <c r="E358" t="n">
        <v>33.97134</v>
      </c>
      <c r="F358" t="inlineStr">
        <is>
          <t>TRUE</t>
        </is>
      </c>
      <c r="J358">
        <f>_xlfn.XLOOKUP(tbl_Sourcing[[#This Row],[Product Id]], tbl_Product[Product Id], tbl_Product[Name])</f>
        <v/>
      </c>
      <c r="K358" t="n">
        <v>169</v>
      </c>
      <c r="O3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9">
      <c r="A359" t="n">
        <v>288</v>
      </c>
      <c r="B359" t="n">
        <v>180</v>
      </c>
      <c r="C359" t="inlineStr">
        <is>
          <t>Card Market</t>
        </is>
      </c>
      <c r="D359" s="8" t="inlineStr">
        <is>
          <t>https://www.cardmarket.com/en/Magic/Products/Preconstructed-Decks/Universes-Beyond-Fallout-Hail-Caesar-Commander-Deck</t>
        </is>
      </c>
      <c r="E359" t="n">
        <v>49.568</v>
      </c>
      <c r="F359" t="inlineStr">
        <is>
          <t>TRUE</t>
        </is>
      </c>
      <c r="J359">
        <f>_xlfn.XLOOKUP(tbl_Sourcing[[#This Row],[Product Id]], tbl_Product[Product Id], tbl_Product[Name])</f>
        <v/>
      </c>
      <c r="K359" t="n">
        <v>170</v>
      </c>
      <c r="O3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0">
      <c r="A360" t="n">
        <v>289</v>
      </c>
      <c r="B360" t="n">
        <v>181</v>
      </c>
      <c r="C360" t="inlineStr">
        <is>
          <t>Card Market</t>
        </is>
      </c>
      <c r="D360" s="8" t="inlineStr">
        <is>
          <t>https://www.cardmarket.com/en/Magic/Products/Preconstructed-Decks/Universes-Beyond-Fallout-Mutant-Menace-Commander-Deck</t>
        </is>
      </c>
      <c r="E360" t="n">
        <v>77.27134</v>
      </c>
      <c r="F360" t="inlineStr">
        <is>
          <t>TRUE</t>
        </is>
      </c>
      <c r="J360">
        <f>_xlfn.XLOOKUP(tbl_Sourcing[[#This Row],[Product Id]], tbl_Product[Product Id], tbl_Product[Name])</f>
        <v/>
      </c>
      <c r="K360" t="n">
        <v>171</v>
      </c>
      <c r="O3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1">
      <c r="A361" t="n">
        <v>290</v>
      </c>
      <c r="B361" t="n">
        <v>182</v>
      </c>
      <c r="C361" t="inlineStr">
        <is>
          <t>Card Market</t>
        </is>
      </c>
      <c r="D361" s="8" t="inlineStr">
        <is>
          <t>https://www.cardmarket.com/en/Magic/Products/Preconstructed-Decks/Commander-Murders-at-Karlov-Manor-Blame-Game-Commander-Deck</t>
        </is>
      </c>
      <c r="E361" t="n">
        <v>51.29134</v>
      </c>
      <c r="F361" t="inlineStr">
        <is>
          <t>TRUE</t>
        </is>
      </c>
      <c r="J361">
        <f>_xlfn.XLOOKUP(tbl_Sourcing[[#This Row],[Product Id]], tbl_Product[Product Id], tbl_Product[Name])</f>
        <v/>
      </c>
      <c r="K361" t="n">
        <v>172</v>
      </c>
      <c r="O3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2">
      <c r="A362" t="n">
        <v>291</v>
      </c>
      <c r="B362" t="n">
        <v>183</v>
      </c>
      <c r="C362" t="inlineStr">
        <is>
          <t>Card Market</t>
        </is>
      </c>
      <c r="D362" s="8" t="inlineStr">
        <is>
          <t>https://www.cardmarket.com/en/Magic/Products/Preconstructed-Decks/Commander-Murders-at-Karlov-Manor-Revenant-Recon-Commander-Deck</t>
        </is>
      </c>
      <c r="E362" t="n">
        <v>55.63</v>
      </c>
      <c r="F362" t="inlineStr">
        <is>
          <t>TRUE</t>
        </is>
      </c>
      <c r="J362">
        <f>_xlfn.XLOOKUP(tbl_Sourcing[[#This Row],[Product Id]], tbl_Product[Product Id], tbl_Product[Name])</f>
        <v/>
      </c>
      <c r="K362" t="n">
        <v>173</v>
      </c>
      <c r="O3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3">
      <c r="A363" t="n">
        <v>292</v>
      </c>
      <c r="B363" t="n">
        <v>184</v>
      </c>
      <c r="C363" t="inlineStr">
        <is>
          <t>Card Market</t>
        </is>
      </c>
      <c r="D363" s="8" t="inlineStr">
        <is>
          <t>https://www.cardmarket.com/en/Magic/Products/Preconstructed-Decks/Commander-Murders-at-Karlov-Manor-Deadly-Disguise-Commander-Deck</t>
        </is>
      </c>
      <c r="E363" t="n">
        <v>38.30134</v>
      </c>
      <c r="F363" t="inlineStr">
        <is>
          <t>TRUE</t>
        </is>
      </c>
      <c r="J363">
        <f>_xlfn.XLOOKUP(tbl_Sourcing[[#This Row],[Product Id]], tbl_Product[Product Id], tbl_Product[Name])</f>
        <v/>
      </c>
      <c r="K363" t="n">
        <v>174</v>
      </c>
      <c r="O3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4">
      <c r="A364" t="n">
        <v>293</v>
      </c>
      <c r="B364" t="n">
        <v>185</v>
      </c>
      <c r="C364" t="inlineStr">
        <is>
          <t>Card Market</t>
        </is>
      </c>
      <c r="D364" s="8" t="inlineStr">
        <is>
          <t>https://www.cardmarket.com/en/Magic/Products/Preconstructed-Decks/Commander-Murders-at-Karlov-Manor-Deep-Clue-Sea-Commander-Deck</t>
        </is>
      </c>
      <c r="E364" t="n">
        <v>38.2234</v>
      </c>
      <c r="F364" t="inlineStr">
        <is>
          <t>TRUE</t>
        </is>
      </c>
      <c r="J364">
        <f>_xlfn.XLOOKUP(tbl_Sourcing[[#This Row],[Product Id]], tbl_Product[Product Id], tbl_Product[Name])</f>
        <v/>
      </c>
      <c r="K364" t="n">
        <v>175</v>
      </c>
      <c r="O3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5">
      <c r="A365" t="n">
        <v>294</v>
      </c>
      <c r="B365" t="n">
        <v>186</v>
      </c>
      <c r="C365" t="inlineStr">
        <is>
          <t>Card Market</t>
        </is>
      </c>
      <c r="D365" s="8" t="inlineStr">
        <is>
          <t>https://www.cardmarket.com/en/Magic/Products/Preconstructed-Decks/Commander-The-Lost-Caverns-of-Ixalan-Veloci-Ramp-Tor-Commander-Deck</t>
        </is>
      </c>
      <c r="E365" t="n">
        <v>90.22670000000001</v>
      </c>
      <c r="F365" t="inlineStr">
        <is>
          <t>TRUE</t>
        </is>
      </c>
      <c r="J365">
        <f>_xlfn.XLOOKUP(tbl_Sourcing[[#This Row],[Product Id]], tbl_Product[Product Id], tbl_Product[Name])</f>
        <v/>
      </c>
      <c r="K365" t="n">
        <v>176</v>
      </c>
      <c r="O3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6">
      <c r="A366" t="n">
        <v>295</v>
      </c>
      <c r="B366" t="n">
        <v>187</v>
      </c>
      <c r="C366" t="inlineStr">
        <is>
          <t>Card Market</t>
        </is>
      </c>
      <c r="D366" s="8" t="inlineStr">
        <is>
          <t>https://www.cardmarket.com/en/Magic/Products/Preconstructed-Decks/Commander-The-Lost-Caverns-of-Ixalan-Blood-Rites-Commander-Deck</t>
        </is>
      </c>
      <c r="E366" t="n">
        <v>77.2367</v>
      </c>
      <c r="F366" t="inlineStr">
        <is>
          <t>TRUE</t>
        </is>
      </c>
      <c r="J366">
        <f>_xlfn.XLOOKUP(tbl_Sourcing[[#This Row],[Product Id]], tbl_Product[Product Id], tbl_Product[Name])</f>
        <v/>
      </c>
      <c r="K366" t="n">
        <v>177</v>
      </c>
      <c r="O3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7">
      <c r="A367" t="n">
        <v>296</v>
      </c>
      <c r="B367" t="n">
        <v>188</v>
      </c>
      <c r="C367" t="inlineStr">
        <is>
          <t>Card Market</t>
        </is>
      </c>
      <c r="D367" s="8" t="inlineStr">
        <is>
          <t>https://www.cardmarket.com/en/Magic/Products/Preconstructed-Decks/Commander-The-Lost-Caverns-of-Ixalan-Ahoy-Mateys-Commander-Deck</t>
        </is>
      </c>
      <c r="E367" t="n">
        <v>35.712</v>
      </c>
      <c r="F367" t="inlineStr">
        <is>
          <t>TRUE</t>
        </is>
      </c>
      <c r="J367">
        <f>_xlfn.XLOOKUP(tbl_Sourcing[[#This Row],[Product Id]], tbl_Product[Product Id], tbl_Product[Name])</f>
        <v/>
      </c>
      <c r="K367" t="n">
        <v>178</v>
      </c>
      <c r="O3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8">
      <c r="A368" t="n">
        <v>297</v>
      </c>
      <c r="B368" t="n">
        <v>189</v>
      </c>
      <c r="C368" t="inlineStr">
        <is>
          <t>Card Market</t>
        </is>
      </c>
      <c r="D368" s="8" t="inlineStr">
        <is>
          <t>https://www.cardmarket.com/en/Magic/Products/Preconstructed-Decks/Commander-The-Lost-Caverns-of-Ixalan-Explorers-of-the-Deep-Commander-Deck</t>
        </is>
      </c>
      <c r="E368" t="n">
        <v>55.5867</v>
      </c>
      <c r="F368" t="inlineStr">
        <is>
          <t>TRUE</t>
        </is>
      </c>
      <c r="J368">
        <f>_xlfn.XLOOKUP(tbl_Sourcing[[#This Row],[Product Id]], tbl_Product[Product Id], tbl_Product[Name])</f>
        <v/>
      </c>
      <c r="K368" t="n">
        <v>179</v>
      </c>
      <c r="O3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9">
      <c r="A369" t="n">
        <v>298</v>
      </c>
      <c r="B369" t="n">
        <v>190</v>
      </c>
      <c r="C369" t="inlineStr">
        <is>
          <t>Card Market</t>
        </is>
      </c>
      <c r="D369" s="8" t="inlineStr">
        <is>
          <t>https://www.cardmarket.com/en/Magic/Products/Preconstructed-Decks/Universes-Beyond-Doctor-Who-Blast-from-the-Past-Commander-Deck</t>
        </is>
      </c>
      <c r="E369" t="n">
        <v>29.5634</v>
      </c>
      <c r="F369" t="inlineStr">
        <is>
          <t>TRUE</t>
        </is>
      </c>
      <c r="J369">
        <f>_xlfn.XLOOKUP(tbl_Sourcing[[#This Row],[Product Id]], tbl_Product[Product Id], tbl_Product[Name])</f>
        <v/>
      </c>
      <c r="K369" t="n">
        <v>180</v>
      </c>
      <c r="O3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0">
      <c r="A370" t="n">
        <v>299</v>
      </c>
      <c r="B370" t="n">
        <v>191</v>
      </c>
      <c r="C370" t="inlineStr">
        <is>
          <t>Card Market</t>
        </is>
      </c>
      <c r="D370" s="8" t="inlineStr">
        <is>
          <t>https://www.cardmarket.com/en/Magic/Products/Preconstructed-Decks/Universes-Beyond-Doctor-Who-Timey-Wimey-Commander-Deck</t>
        </is>
      </c>
      <c r="E370" t="n">
        <v>60.38434</v>
      </c>
      <c r="F370" t="inlineStr">
        <is>
          <t>TRUE</t>
        </is>
      </c>
      <c r="J370">
        <f>_xlfn.XLOOKUP(tbl_Sourcing[[#This Row],[Product Id]], tbl_Product[Product Id], tbl_Product[Name])</f>
        <v/>
      </c>
      <c r="K370" t="n">
        <v>181</v>
      </c>
      <c r="O3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1">
      <c r="A371" t="n">
        <v>300</v>
      </c>
      <c r="B371" t="n">
        <v>192</v>
      </c>
      <c r="C371" t="inlineStr">
        <is>
          <t>Card Market</t>
        </is>
      </c>
      <c r="D371" s="8" t="inlineStr">
        <is>
          <t>https://www.cardmarket.com/en/Magic/Products/Preconstructed-Decks/Universes-Beyond-Doctor-Who-Paradox-Power-Commander-Deck</t>
        </is>
      </c>
      <c r="E371" t="n">
        <v>32.23934</v>
      </c>
      <c r="F371" t="inlineStr">
        <is>
          <t>TRUE</t>
        </is>
      </c>
      <c r="J371">
        <f>_xlfn.XLOOKUP(tbl_Sourcing[[#This Row],[Product Id]], tbl_Product[Product Id], tbl_Product[Name])</f>
        <v/>
      </c>
      <c r="K371" t="n">
        <v>182</v>
      </c>
      <c r="O3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2">
      <c r="A372" t="n">
        <v>301</v>
      </c>
      <c r="B372" t="n">
        <v>193</v>
      </c>
      <c r="C372" t="inlineStr">
        <is>
          <t>Card Market</t>
        </is>
      </c>
      <c r="D372" s="8" t="inlineStr">
        <is>
          <t>https://www.cardmarket.com/en/Magic/Products/Preconstructed-Decks/Universes-Beyond-Doctor-Who-Masters-of-Evil-Commander-Deck</t>
        </is>
      </c>
      <c r="E372" t="n">
        <v>54.32234</v>
      </c>
      <c r="F372" t="inlineStr">
        <is>
          <t>TRUE</t>
        </is>
      </c>
      <c r="J372">
        <f>_xlfn.XLOOKUP(tbl_Sourcing[[#This Row],[Product Id]], tbl_Product[Product Id], tbl_Product[Name])</f>
        <v/>
      </c>
      <c r="K372" t="n">
        <v>183</v>
      </c>
      <c r="O3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3">
      <c r="A373" t="n">
        <v>302</v>
      </c>
      <c r="B373" t="n">
        <v>194</v>
      </c>
      <c r="C373" t="inlineStr">
        <is>
          <t>Card Market</t>
        </is>
      </c>
      <c r="D373" s="8" t="inlineStr">
        <is>
          <t>https://www.cardmarket.com/en/Magic/Products/Preconstructed-Decks/Commander-Wilds-of-Eldraine-Virtue-and-Valor-Commander-Deck</t>
        </is>
      </c>
      <c r="E373" t="n">
        <v>38.31</v>
      </c>
      <c r="F373" t="inlineStr">
        <is>
          <t>TRUE</t>
        </is>
      </c>
      <c r="J373">
        <f>_xlfn.XLOOKUP(tbl_Sourcing[[#This Row],[Product Id]], tbl_Product[Product Id], tbl_Product[Name])</f>
        <v/>
      </c>
      <c r="K373" t="n">
        <v>184</v>
      </c>
      <c r="O3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4">
      <c r="A374" t="n">
        <v>303</v>
      </c>
      <c r="B374" t="n">
        <v>195</v>
      </c>
      <c r="C374" t="inlineStr">
        <is>
          <t>Card Market</t>
        </is>
      </c>
      <c r="D374" s="8" t="inlineStr">
        <is>
          <t>https://www.cardmarket.com/en/Magic/Products/Preconstructed-Decks/Commander-Wilds-of-Eldraine-Fae-Dominion-Commander-Deck</t>
        </is>
      </c>
      <c r="E374" t="n">
        <v>85.94</v>
      </c>
      <c r="F374" t="inlineStr">
        <is>
          <t>TRUE</t>
        </is>
      </c>
      <c r="J374">
        <f>_xlfn.XLOOKUP(tbl_Sourcing[[#This Row],[Product Id]], tbl_Product[Product Id], tbl_Product[Name])</f>
        <v/>
      </c>
      <c r="K374" t="n">
        <v>185</v>
      </c>
      <c r="O3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5">
      <c r="A375" t="n">
        <v>304</v>
      </c>
      <c r="B375" t="n">
        <v>196</v>
      </c>
      <c r="C375" t="inlineStr">
        <is>
          <t>Card Market</t>
        </is>
      </c>
      <c r="D375" s="8" t="inlineStr">
        <is>
          <t>https://www.cardmarket.com/en/Magic/Products/Preconstructed-Decks/Commander-Masters-Sliver-Swarm-Commander-Deck</t>
        </is>
      </c>
      <c r="E375" t="n">
        <v>180.21</v>
      </c>
      <c r="F375" t="inlineStr">
        <is>
          <t>TRUE</t>
        </is>
      </c>
      <c r="J375">
        <f>_xlfn.XLOOKUP(tbl_Sourcing[[#This Row],[Product Id]], tbl_Product[Product Id], tbl_Product[Name])</f>
        <v/>
      </c>
      <c r="K375" t="n">
        <v>186</v>
      </c>
      <c r="O3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6">
      <c r="A376" t="n">
        <v>305</v>
      </c>
      <c r="B376" t="n">
        <v>197</v>
      </c>
      <c r="C376" t="inlineStr">
        <is>
          <t>Card Market</t>
        </is>
      </c>
      <c r="D376" s="8" t="inlineStr">
        <is>
          <t>https://www.cardmarket.com/en/Magic/Products/Preconstructed-Decks/Commander-Masters-Planeswalker-Party-Commander-Deck</t>
        </is>
      </c>
      <c r="E376" t="n">
        <v>55.63</v>
      </c>
      <c r="F376" t="inlineStr">
        <is>
          <t>TRUE</t>
        </is>
      </c>
      <c r="J376">
        <f>_xlfn.XLOOKUP(tbl_Sourcing[[#This Row],[Product Id]], tbl_Product[Product Id], tbl_Product[Name])</f>
        <v/>
      </c>
      <c r="K376" t="n">
        <v>187</v>
      </c>
      <c r="O3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7">
      <c r="A377" t="n">
        <v>306</v>
      </c>
      <c r="B377" t="n">
        <v>198</v>
      </c>
      <c r="C377" t="inlineStr">
        <is>
          <t>Card Market</t>
        </is>
      </c>
      <c r="D377" s="8" t="inlineStr">
        <is>
          <t>https://www.cardmarket.com/en/Magic/Products/Preconstructed-Decks/Commander-Masters-Enduring-Enchantments-Commander-Deck</t>
        </is>
      </c>
      <c r="E377" t="n">
        <v>77.27134</v>
      </c>
      <c r="F377" t="inlineStr">
        <is>
          <t>TRUE</t>
        </is>
      </c>
      <c r="J377">
        <f>_xlfn.XLOOKUP(tbl_Sourcing[[#This Row],[Product Id]], tbl_Product[Product Id], tbl_Product[Name])</f>
        <v/>
      </c>
      <c r="K377" t="n">
        <v>188</v>
      </c>
      <c r="O3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8">
      <c r="A378" t="n">
        <v>307</v>
      </c>
      <c r="B378" t="n">
        <v>199</v>
      </c>
      <c r="C378" t="inlineStr">
        <is>
          <t>Card Market</t>
        </is>
      </c>
      <c r="D378" s="8" t="inlineStr">
        <is>
          <t>https://www.cardmarket.com/en/Magic/Products/Preconstructed-Decks/Commander-Masters-Eldrazi-Unbound-Commander-Deck</t>
        </is>
      </c>
      <c r="E378" t="n">
        <v>227.84</v>
      </c>
      <c r="F378" t="inlineStr">
        <is>
          <t>TRUE</t>
        </is>
      </c>
      <c r="J378">
        <f>_xlfn.XLOOKUP(tbl_Sourcing[[#This Row],[Product Id]], tbl_Product[Product Id], tbl_Product[Name])</f>
        <v/>
      </c>
      <c r="K378" t="n">
        <v>189</v>
      </c>
      <c r="O3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9">
      <c r="A379" t="n">
        <v>308</v>
      </c>
      <c r="B379" t="n">
        <v>200</v>
      </c>
      <c r="C379" t="inlineStr">
        <is>
          <t>Card Market</t>
        </is>
      </c>
      <c r="D379" s="8" t="inlineStr">
        <is>
          <t>https://www.cardmarket.com/en/Magic/Products/Preconstructed-Decks/Commander-The-Lord-of-the-Rings-Tales-of-Middle-earth-Food-and-Fellowship-Commander-Deck</t>
        </is>
      </c>
      <c r="E379" t="n">
        <v>72.9067</v>
      </c>
      <c r="F379" t="inlineStr">
        <is>
          <t>TRUE</t>
        </is>
      </c>
      <c r="J379">
        <f>_xlfn.XLOOKUP(tbl_Sourcing[[#This Row],[Product Id]], tbl_Product[Product Id], tbl_Product[Name])</f>
        <v/>
      </c>
      <c r="K379" t="n">
        <v>190</v>
      </c>
      <c r="O3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0">
      <c r="A380" t="n">
        <v>309</v>
      </c>
      <c r="B380" t="n">
        <v>201</v>
      </c>
      <c r="C380" t="inlineStr">
        <is>
          <t>Card Market</t>
        </is>
      </c>
      <c r="D380" s="8" t="inlineStr">
        <is>
          <t>https://www.cardmarket.com/en/Magic/Products/Preconstructed-Decks/Commander-The-Lord-of-the-Rings-Tales-of-Middle-earth-Elven-Council-Commander-Deck</t>
        </is>
      </c>
      <c r="E380" t="n">
        <v>53.898</v>
      </c>
      <c r="F380" t="inlineStr">
        <is>
          <t>TRUE</t>
        </is>
      </c>
      <c r="J380">
        <f>_xlfn.XLOOKUP(tbl_Sourcing[[#This Row],[Product Id]], tbl_Product[Product Id], tbl_Product[Name])</f>
        <v/>
      </c>
      <c r="K380" t="n">
        <v>191</v>
      </c>
      <c r="O3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1">
      <c r="A381" t="n">
        <v>310</v>
      </c>
      <c r="B381" t="n">
        <v>202</v>
      </c>
      <c r="C381" t="inlineStr">
        <is>
          <t>Card Market</t>
        </is>
      </c>
      <c r="D381" s="8" t="inlineStr">
        <is>
          <t>https://www.cardmarket.com/en/Magic/Products/Preconstructed-Decks/Commander-The-Lord-of-the-Rings-Tales-of-Middle-earth-Riders-of-Rohan-Commander-Deck</t>
        </is>
      </c>
      <c r="E381" t="n">
        <v>76.414</v>
      </c>
      <c r="F381" t="inlineStr">
        <is>
          <t>TRUE</t>
        </is>
      </c>
      <c r="J381">
        <f>_xlfn.XLOOKUP(tbl_Sourcing[[#This Row],[Product Id]], tbl_Product[Product Id], tbl_Product[Name])</f>
        <v/>
      </c>
      <c r="K381" t="n">
        <v>192</v>
      </c>
      <c r="O3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2">
      <c r="A382" t="n">
        <v>311</v>
      </c>
      <c r="B382" t="n">
        <v>203</v>
      </c>
      <c r="C382" t="inlineStr">
        <is>
          <t>Card Market</t>
        </is>
      </c>
      <c r="D382" s="8" t="inlineStr">
        <is>
          <t>https://www.cardmarket.com/en/Magic/Products/Preconstructed-Decks/Commander-The-Lord-of-the-Rings-Tales-of-Middle-earth-The-Hosts-of-Mordor-Commander-Deck</t>
        </is>
      </c>
      <c r="E382" t="n">
        <v>128.25</v>
      </c>
      <c r="F382" t="inlineStr">
        <is>
          <t>TRUE</t>
        </is>
      </c>
      <c r="J382">
        <f>_xlfn.XLOOKUP(tbl_Sourcing[[#This Row],[Product Id]], tbl_Product[Product Id], tbl_Product[Name])</f>
        <v/>
      </c>
      <c r="K382" t="n">
        <v>193</v>
      </c>
      <c r="O3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3">
      <c r="A383" t="n">
        <v>312</v>
      </c>
      <c r="B383" t="n">
        <v>204</v>
      </c>
      <c r="C383" t="inlineStr">
        <is>
          <t>Card Market</t>
        </is>
      </c>
      <c r="D383" s="8" t="inlineStr">
        <is>
          <t>https://www.cardmarket.com/en/Magic/Products/Preconstructed-Decks/Commander-March-of-the-Machine-Growing-Threat-Commander-Deck</t>
        </is>
      </c>
      <c r="E383" t="n">
        <v>68.61134</v>
      </c>
      <c r="F383" t="inlineStr">
        <is>
          <t>TRUE</t>
        </is>
      </c>
      <c r="J383">
        <f>_xlfn.XLOOKUP(tbl_Sourcing[[#This Row],[Product Id]], tbl_Product[Product Id], tbl_Product[Name])</f>
        <v/>
      </c>
      <c r="K383" t="n">
        <v>194</v>
      </c>
      <c r="O3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4">
      <c r="A384" t="n">
        <v>313</v>
      </c>
      <c r="B384" t="n">
        <v>205</v>
      </c>
      <c r="C384" t="inlineStr">
        <is>
          <t>Card Market</t>
        </is>
      </c>
      <c r="D384" s="8" t="inlineStr">
        <is>
          <t>https://www.cardmarket.com/en/Magic/Products/Preconstructed-Decks/Commander-March-of-the-Machine-Cavalry-Charge-Commander-Deck</t>
        </is>
      </c>
      <c r="E384" t="n">
        <v>90.27</v>
      </c>
      <c r="F384" t="inlineStr">
        <is>
          <t>TRUE</t>
        </is>
      </c>
      <c r="J384">
        <f>_xlfn.XLOOKUP(tbl_Sourcing[[#This Row],[Product Id]], tbl_Product[Product Id], tbl_Product[Name])</f>
        <v/>
      </c>
      <c r="K384" t="n">
        <v>195</v>
      </c>
      <c r="O3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5">
      <c r="A385" t="n">
        <v>314</v>
      </c>
      <c r="B385" t="n">
        <v>206</v>
      </c>
      <c r="C385" t="inlineStr">
        <is>
          <t>Card Market</t>
        </is>
      </c>
      <c r="D385" s="8" t="inlineStr">
        <is>
          <t>https://www.cardmarket.com/en/Magic/Products/Preconstructed-Decks/Commander-March-of-the-Machine-Call-for-Backup-Commander-Deck</t>
        </is>
      </c>
      <c r="E385" t="n">
        <v>42.63134</v>
      </c>
      <c r="F385" t="inlineStr">
        <is>
          <t>TRUE</t>
        </is>
      </c>
      <c r="J385">
        <f>_xlfn.XLOOKUP(tbl_Sourcing[[#This Row],[Product Id]], tbl_Product[Product Id], tbl_Product[Name])</f>
        <v/>
      </c>
      <c r="K385" t="n">
        <v>196</v>
      </c>
      <c r="O3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6">
      <c r="A386" t="n">
        <v>315</v>
      </c>
      <c r="B386" t="n">
        <v>207</v>
      </c>
      <c r="C386" t="inlineStr">
        <is>
          <t>Card Market</t>
        </is>
      </c>
      <c r="D386" s="8" t="inlineStr">
        <is>
          <t>https://www.cardmarket.com/en/Magic/Products/Preconstructed-Decks/Commander-March-of-the-Machine-Divine-Convocation-Commander-Deck</t>
        </is>
      </c>
      <c r="E386" t="n">
        <v>46.96134</v>
      </c>
      <c r="F386" t="inlineStr">
        <is>
          <t>TRUE</t>
        </is>
      </c>
      <c r="J386">
        <f>_xlfn.XLOOKUP(tbl_Sourcing[[#This Row],[Product Id]], tbl_Product[Product Id], tbl_Product[Name])</f>
        <v/>
      </c>
      <c r="K386" t="n">
        <v>197</v>
      </c>
      <c r="O3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7">
      <c r="A387" t="n">
        <v>316</v>
      </c>
      <c r="B387" t="n">
        <v>208</v>
      </c>
      <c r="C387" t="inlineStr">
        <is>
          <t>Card Market</t>
        </is>
      </c>
      <c r="D387" s="8" t="inlineStr">
        <is>
          <t>https://www.cardmarket.com/en/Magic/Products/Preconstructed-Decks/Commander-March-of-the-Machine-Tinker-Time-Commander-Deck</t>
        </is>
      </c>
      <c r="E387" t="n">
        <v>27.918</v>
      </c>
      <c r="F387" t="inlineStr">
        <is>
          <t>TRUE</t>
        </is>
      </c>
      <c r="J387">
        <f>_xlfn.XLOOKUP(tbl_Sourcing[[#This Row],[Product Id]], tbl_Product[Product Id], tbl_Product[Name])</f>
        <v/>
      </c>
      <c r="K387" t="n">
        <v>198</v>
      </c>
      <c r="O3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8">
      <c r="A388" t="n">
        <v>317</v>
      </c>
      <c r="B388" t="n">
        <v>209</v>
      </c>
      <c r="C388" t="inlineStr">
        <is>
          <t>Card Market</t>
        </is>
      </c>
      <c r="D388" s="8" t="inlineStr">
        <is>
          <t>https://www.cardmarket.com/en/Magic/Products/Preconstructed-Decks/Commander-Phyrexia-All-Will-Be-One-Corrupting-Influence-Commander-Deck</t>
        </is>
      </c>
      <c r="E388" t="n">
        <v>119.5467</v>
      </c>
      <c r="F388" t="inlineStr">
        <is>
          <t>TRUE</t>
        </is>
      </c>
      <c r="J388">
        <f>_xlfn.XLOOKUP(tbl_Sourcing[[#This Row],[Product Id]], tbl_Product[Product Id], tbl_Product[Name])</f>
        <v/>
      </c>
      <c r="K388" t="n">
        <v>199</v>
      </c>
      <c r="O3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9">
      <c r="A389" t="n">
        <v>318</v>
      </c>
      <c r="B389" t="n">
        <v>210</v>
      </c>
      <c r="C389" t="inlineStr">
        <is>
          <t>Card Market</t>
        </is>
      </c>
      <c r="D389" s="8" t="inlineStr">
        <is>
          <t>https://www.cardmarket.com/en/Magic/Products/Preconstructed-Decks/Commander-Phyrexia-All-Will-Be-One-Rebellion-Rising-Commander-Deck</t>
        </is>
      </c>
      <c r="E389" t="n">
        <v>33.97134</v>
      </c>
      <c r="F389" t="inlineStr">
        <is>
          <t>TRUE</t>
        </is>
      </c>
      <c r="J389">
        <f>_xlfn.XLOOKUP(tbl_Sourcing[[#This Row],[Product Id]], tbl_Product[Product Id], tbl_Product[Name])</f>
        <v/>
      </c>
      <c r="K389" t="n">
        <v>200</v>
      </c>
      <c r="O3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0">
      <c r="A390" t="n">
        <v>319</v>
      </c>
      <c r="B390" t="n">
        <v>211</v>
      </c>
      <c r="C390" t="inlineStr">
        <is>
          <t>Card Market</t>
        </is>
      </c>
      <c r="D390" s="8" t="inlineStr">
        <is>
          <t>https://www.cardmarket.com/en/Magic/Products/Preconstructed-Decks/Starter-Commander-Decks-First-Flight-Commander-Deck</t>
        </is>
      </c>
      <c r="E390" t="n">
        <v>31.815</v>
      </c>
      <c r="F390" t="inlineStr">
        <is>
          <t>TRUE</t>
        </is>
      </c>
      <c r="J390">
        <f>_xlfn.XLOOKUP(tbl_Sourcing[[#This Row],[Product Id]], tbl_Product[Product Id], tbl_Product[Name])</f>
        <v/>
      </c>
      <c r="K390" t="n">
        <v>201</v>
      </c>
      <c r="O3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1">
      <c r="A391" t="n">
        <v>320</v>
      </c>
      <c r="B391" t="n">
        <v>212</v>
      </c>
      <c r="C391" t="inlineStr">
        <is>
          <t>Card Market</t>
        </is>
      </c>
      <c r="D391" s="8" t="inlineStr">
        <is>
          <t>https://www.cardmarket.com/en/Magic/Products/Preconstructed-Decks/Starter-Commander-Decks-Grave-Danger-Commander-Deck</t>
        </is>
      </c>
      <c r="E391" t="n">
        <v>42.64</v>
      </c>
      <c r="F391" t="inlineStr">
        <is>
          <t>TRUE</t>
        </is>
      </c>
      <c r="J391">
        <f>_xlfn.XLOOKUP(tbl_Sourcing[[#This Row],[Product Id]], tbl_Product[Product Id], tbl_Product[Name])</f>
        <v/>
      </c>
      <c r="K391" t="n">
        <v>202</v>
      </c>
      <c r="O3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2">
      <c r="A392" t="n">
        <v>321</v>
      </c>
      <c r="B392" t="n">
        <v>213</v>
      </c>
      <c r="C392" t="inlineStr">
        <is>
          <t>Card Market</t>
        </is>
      </c>
      <c r="D392" s="8" t="inlineStr">
        <is>
          <t>https://www.cardmarket.com/en/Magic/Products/Preconstructed-Decks/Starter-Commander-Decks-Chaos-Incarnate-Commander-Deck</t>
        </is>
      </c>
      <c r="E392" t="n">
        <v>41.774</v>
      </c>
      <c r="F392" t="inlineStr">
        <is>
          <t>TRUE</t>
        </is>
      </c>
      <c r="J392">
        <f>_xlfn.XLOOKUP(tbl_Sourcing[[#This Row],[Product Id]], tbl_Product[Product Id], tbl_Product[Name])</f>
        <v/>
      </c>
      <c r="K392" t="n">
        <v>203</v>
      </c>
      <c r="O3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3">
      <c r="A393" t="n">
        <v>322</v>
      </c>
      <c r="B393" t="n">
        <v>214</v>
      </c>
      <c r="C393" t="inlineStr">
        <is>
          <t>Card Market</t>
        </is>
      </c>
      <c r="D393" s="8" t="inlineStr">
        <is>
          <t>https://www.cardmarket.com/en/Magic/Products/Preconstructed-Decks/Starter-Commander-Decks-Draconic-Destruction-Commander-Deck</t>
        </is>
      </c>
      <c r="E393" t="n">
        <v>59.08534</v>
      </c>
      <c r="F393" t="inlineStr">
        <is>
          <t>TRUE</t>
        </is>
      </c>
      <c r="J393">
        <f>_xlfn.XLOOKUP(tbl_Sourcing[[#This Row],[Product Id]], tbl_Product[Product Id], tbl_Product[Name])</f>
        <v/>
      </c>
      <c r="K393" t="n">
        <v>204</v>
      </c>
      <c r="O3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4">
      <c r="A394" t="n">
        <v>323</v>
      </c>
      <c r="B394" t="n">
        <v>215</v>
      </c>
      <c r="C394" t="inlineStr">
        <is>
          <t>Card Market</t>
        </is>
      </c>
      <c r="D394" s="8" t="inlineStr">
        <is>
          <t>https://www.cardmarket.com/en/Magic/Products/Preconstructed-Decks/Starter-Commander-Decks-Token-Triumph-Commander-Deck</t>
        </is>
      </c>
      <c r="E394" t="n">
        <v>38.31</v>
      </c>
      <c r="F394" t="inlineStr">
        <is>
          <t>TRUE</t>
        </is>
      </c>
      <c r="J394">
        <f>_xlfn.XLOOKUP(tbl_Sourcing[[#This Row],[Product Id]], tbl_Product[Product Id], tbl_Product[Name])</f>
        <v/>
      </c>
      <c r="K394" t="n">
        <v>205</v>
      </c>
      <c r="O3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5">
      <c r="A395" t="n">
        <v>324</v>
      </c>
      <c r="B395" t="n">
        <v>216</v>
      </c>
      <c r="C395" t="inlineStr">
        <is>
          <t>Card Market</t>
        </is>
      </c>
      <c r="D395" s="8" t="inlineStr">
        <is>
          <t>https://www.cardmarket.com/en/Magic/Products/Preconstructed-Decks/Commander-The-Brothers-War-Urzas-Iron-Alliance-Commander-Deck</t>
        </is>
      </c>
      <c r="E395" t="n">
        <v>81.5667</v>
      </c>
      <c r="F395" t="inlineStr">
        <is>
          <t>TRUE</t>
        </is>
      </c>
      <c r="J395">
        <f>_xlfn.XLOOKUP(tbl_Sourcing[[#This Row],[Product Id]], tbl_Product[Product Id], tbl_Product[Name])</f>
        <v/>
      </c>
      <c r="K395" t="n">
        <v>206</v>
      </c>
      <c r="O3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6">
      <c r="A396" t="n">
        <v>325</v>
      </c>
      <c r="B396" t="n">
        <v>217</v>
      </c>
      <c r="C396" t="inlineStr">
        <is>
          <t>Card Market</t>
        </is>
      </c>
      <c r="D396" s="8" t="inlineStr">
        <is>
          <t>https://www.cardmarket.com/en/Magic/Products/Preconstructed-Decks/Commander-The-Brothers-War-Mishras-Burnished-Banner-Commander-Deck</t>
        </is>
      </c>
      <c r="E396" t="n">
        <v>35.6254</v>
      </c>
      <c r="F396" t="inlineStr">
        <is>
          <t>TRUE</t>
        </is>
      </c>
      <c r="J396">
        <f>_xlfn.XLOOKUP(tbl_Sourcing[[#This Row],[Product Id]], tbl_Product[Product Id], tbl_Product[Name])</f>
        <v/>
      </c>
      <c r="K396" t="n">
        <v>207</v>
      </c>
      <c r="O3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7">
      <c r="A397" t="n">
        <v>326</v>
      </c>
      <c r="B397" t="n">
        <v>218</v>
      </c>
      <c r="C397" t="inlineStr">
        <is>
          <t>Card Market</t>
        </is>
      </c>
      <c r="D397" s="8" t="inlineStr">
        <is>
          <t>https://www.cardmarket.com/en/Magic/Products/Preconstructed-Decks/Universes-Beyond-Warhammer-40000-The-Ruinous-Powers-Commander-Deck</t>
        </is>
      </c>
      <c r="E397" t="n">
        <v>128.24134</v>
      </c>
      <c r="F397" t="inlineStr">
        <is>
          <t>TRUE</t>
        </is>
      </c>
      <c r="J397">
        <f>_xlfn.XLOOKUP(tbl_Sourcing[[#This Row],[Product Id]], tbl_Product[Product Id], tbl_Product[Name])</f>
        <v/>
      </c>
      <c r="K397" t="n">
        <v>208</v>
      </c>
      <c r="O3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8">
      <c r="A398" t="n">
        <v>327</v>
      </c>
      <c r="B398" t="n">
        <v>219</v>
      </c>
      <c r="C398" t="inlineStr">
        <is>
          <t>Card Market</t>
        </is>
      </c>
      <c r="D398" s="8" t="inlineStr">
        <is>
          <t>https://www.cardmarket.com/en/Magic/Products/Preconstructed-Decks/Universes-Beyond-Warhammer-40000-Tyranid-Swarm-Commander-Deck</t>
        </is>
      </c>
      <c r="E398" t="n">
        <v>167.1334</v>
      </c>
      <c r="F398" t="inlineStr">
        <is>
          <t>TRUE</t>
        </is>
      </c>
      <c r="J398">
        <f>_xlfn.XLOOKUP(tbl_Sourcing[[#This Row],[Product Id]], tbl_Product[Product Id], tbl_Product[Name])</f>
        <v/>
      </c>
      <c r="K398" t="n">
        <v>209</v>
      </c>
      <c r="O3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9">
      <c r="A399" t="n">
        <v>328</v>
      </c>
      <c r="B399" t="n">
        <v>220</v>
      </c>
      <c r="C399" t="inlineStr">
        <is>
          <t>Card Market</t>
        </is>
      </c>
      <c r="D399" s="8" t="inlineStr">
        <is>
          <t>https://www.cardmarket.com/en/Magic/Products/Preconstructed-Decks/Universes-Beyond-Warhammer-40000-Forces-of-the-Imperium-Commander-Deck</t>
        </is>
      </c>
      <c r="E399" t="n">
        <v>169.385</v>
      </c>
      <c r="F399" t="inlineStr">
        <is>
          <t>TRUE</t>
        </is>
      </c>
      <c r="J399">
        <f>_xlfn.XLOOKUP(tbl_Sourcing[[#This Row],[Product Id]], tbl_Product[Product Id], tbl_Product[Name])</f>
        <v/>
      </c>
      <c r="K399" t="n">
        <v>210</v>
      </c>
      <c r="O3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0">
      <c r="A400" t="n">
        <v>329</v>
      </c>
      <c r="B400" t="n">
        <v>221</v>
      </c>
      <c r="C400" t="inlineStr">
        <is>
          <t>Card Market</t>
        </is>
      </c>
      <c r="D400" s="8" t="inlineStr">
        <is>
          <t>https://www.cardmarket.com/en/Magic/Products/Preconstructed-Decks/Universes-Beyond-Warhammer-40000-Necron-Dynasties-Commander-Deck</t>
        </is>
      </c>
      <c r="E400" t="n">
        <v>193.2</v>
      </c>
      <c r="F400" t="inlineStr">
        <is>
          <t>TRUE</t>
        </is>
      </c>
      <c r="J400">
        <f>_xlfn.XLOOKUP(tbl_Sourcing[[#This Row],[Product Id]], tbl_Product[Product Id], tbl_Product[Name])</f>
        <v/>
      </c>
      <c r="K400" t="n">
        <v>211</v>
      </c>
      <c r="O4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1">
      <c r="A401" t="n">
        <v>330</v>
      </c>
      <c r="B401" t="n">
        <v>222</v>
      </c>
      <c r="C401" t="inlineStr">
        <is>
          <t>Card Market</t>
        </is>
      </c>
      <c r="D401" s="8" t="inlineStr">
        <is>
          <t>https://www.cardmarket.com/en/Magic/Products/Preconstructed-Decks/Commander-Dominaria-United-Painbow-Deck</t>
        </is>
      </c>
      <c r="E401" t="n">
        <v>46.96134</v>
      </c>
      <c r="F401" t="inlineStr">
        <is>
          <t>TRUE</t>
        </is>
      </c>
      <c r="J401">
        <f>_xlfn.XLOOKUP(tbl_Sourcing[[#This Row],[Product Id]], tbl_Product[Product Id], tbl_Product[Name])</f>
        <v/>
      </c>
      <c r="K401" t="n">
        <v>212</v>
      </c>
      <c r="O4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2">
      <c r="A402" t="n">
        <v>331</v>
      </c>
      <c r="B402" t="n">
        <v>223</v>
      </c>
      <c r="C402" t="inlineStr">
        <is>
          <t>Card Market</t>
        </is>
      </c>
      <c r="D402" s="8" t="inlineStr">
        <is>
          <t>https://www.cardmarket.com/en/Magic/Products/Preconstructed-Decks/Commander-Dominaria-United-Legends-Legacy-Deck</t>
        </is>
      </c>
      <c r="E402" t="n">
        <v>64.28999999999999</v>
      </c>
      <c r="F402" t="inlineStr">
        <is>
          <t>TRUE</t>
        </is>
      </c>
      <c r="J402">
        <f>_xlfn.XLOOKUP(tbl_Sourcing[[#This Row],[Product Id]], tbl_Product[Product Id], tbl_Product[Name])</f>
        <v/>
      </c>
      <c r="K402" t="n">
        <v>213</v>
      </c>
      <c r="O4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3">
      <c r="A403" t="n">
        <v>332</v>
      </c>
      <c r="B403" t="n">
        <v>224</v>
      </c>
      <c r="C403" t="inlineStr">
        <is>
          <t>Card Market</t>
        </is>
      </c>
      <c r="D403" s="8" t="inlineStr">
        <is>
          <t>https://www.cardmarket.com/en/Magic/Products/Preconstructed-Decks/Commander-Legends-Battle-for-Baldurs-Gate-Party-Time-Deck</t>
        </is>
      </c>
      <c r="E403" t="n">
        <v>64.28134</v>
      </c>
      <c r="F403" t="inlineStr">
        <is>
          <t>TRUE</t>
        </is>
      </c>
      <c r="J403">
        <f>_xlfn.XLOOKUP(tbl_Sourcing[[#This Row],[Product Id]], tbl_Product[Product Id], tbl_Product[Name])</f>
        <v/>
      </c>
      <c r="K403" t="n">
        <v>214</v>
      </c>
      <c r="O4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4">
      <c r="A404" t="n">
        <v>333</v>
      </c>
      <c r="B404" t="n">
        <v>225</v>
      </c>
      <c r="C404" t="inlineStr">
        <is>
          <t>Card Market</t>
        </is>
      </c>
      <c r="D404" s="8" t="inlineStr">
        <is>
          <t>https://www.cardmarket.com/en/Magic/Products/Preconstructed-Decks/Commander-Legends-Battle-for-Baldurs-Gate-Mind-Flayarrrs-Deck</t>
        </is>
      </c>
      <c r="E404" t="n">
        <v>192.334</v>
      </c>
      <c r="F404" t="inlineStr">
        <is>
          <t>TRUE</t>
        </is>
      </c>
      <c r="J404">
        <f>_xlfn.XLOOKUP(tbl_Sourcing[[#This Row],[Product Id]], tbl_Product[Product Id], tbl_Product[Name])</f>
        <v/>
      </c>
      <c r="K404" t="n">
        <v>215</v>
      </c>
      <c r="O4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5">
      <c r="A405" t="n">
        <v>334</v>
      </c>
      <c r="B405" t="n">
        <v>226</v>
      </c>
      <c r="C405" t="inlineStr">
        <is>
          <t>Card Market</t>
        </is>
      </c>
      <c r="D405" s="8" t="inlineStr">
        <is>
          <t>https://www.cardmarket.com/en/Magic/Products/Preconstructed-Decks/Commander-Legends-Battle-for-Baldurs-Gate-Draconic-Dissent-Deck</t>
        </is>
      </c>
      <c r="E405" t="n">
        <v>81.60133999999999</v>
      </c>
      <c r="F405" t="inlineStr">
        <is>
          <t>TRUE</t>
        </is>
      </c>
      <c r="J405">
        <f>_xlfn.XLOOKUP(tbl_Sourcing[[#This Row],[Product Id]], tbl_Product[Product Id], tbl_Product[Name])</f>
        <v/>
      </c>
      <c r="K405" t="n">
        <v>216</v>
      </c>
      <c r="O4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6">
      <c r="A406" t="n">
        <v>335</v>
      </c>
      <c r="B406" t="n">
        <v>227</v>
      </c>
      <c r="C406" t="inlineStr">
        <is>
          <t>Card Market</t>
        </is>
      </c>
      <c r="D406" s="8" t="inlineStr">
        <is>
          <t>https://www.cardmarket.com/en/Magic/Products/Preconstructed-Decks/Commander-Legends-Battle-for-Baldurs-Gate-Exit-from-Exile-Deck</t>
        </is>
      </c>
      <c r="E406" t="n">
        <v>77.27134</v>
      </c>
      <c r="F406" t="inlineStr">
        <is>
          <t>TRUE</t>
        </is>
      </c>
      <c r="J406">
        <f>_xlfn.XLOOKUP(tbl_Sourcing[[#This Row],[Product Id]], tbl_Product[Product Id], tbl_Product[Name])</f>
        <v/>
      </c>
      <c r="K406" t="n">
        <v>217</v>
      </c>
      <c r="O4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7">
      <c r="A407" t="n">
        <v>336</v>
      </c>
      <c r="B407" t="n">
        <v>228</v>
      </c>
      <c r="C407" t="inlineStr">
        <is>
          <t>Card Market</t>
        </is>
      </c>
      <c r="D407" s="8" t="inlineStr">
        <is>
          <t>https://www.cardmarket.com/en/Magic/Products/Preconstructed-Decks/Commander-Streets-of-New-Capenna-Obscura-Operation-Deck</t>
        </is>
      </c>
      <c r="E407" t="n">
        <v>41.76534</v>
      </c>
      <c r="F407" t="inlineStr">
        <is>
          <t>TRUE</t>
        </is>
      </c>
      <c r="J407">
        <f>_xlfn.XLOOKUP(tbl_Sourcing[[#This Row],[Product Id]], tbl_Product[Product Id], tbl_Product[Name])</f>
        <v/>
      </c>
      <c r="K407" t="n">
        <v>218</v>
      </c>
      <c r="O4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8">
      <c r="A408" t="n">
        <v>337</v>
      </c>
      <c r="B408" t="n">
        <v>229</v>
      </c>
      <c r="C408" t="inlineStr">
        <is>
          <t>Card Market</t>
        </is>
      </c>
      <c r="D408" s="8" t="inlineStr">
        <is>
          <t>https://www.cardmarket.com/en/Magic/Products/Preconstructed-Decks/Commander-Streets-of-New-Capenna-Maestros-Massacre-Deck</t>
        </is>
      </c>
      <c r="E408" t="n">
        <v>42.53608000000001</v>
      </c>
      <c r="F408" t="inlineStr">
        <is>
          <t>TRUE</t>
        </is>
      </c>
      <c r="J408">
        <f>_xlfn.XLOOKUP(tbl_Sourcing[[#This Row],[Product Id]], tbl_Product[Product Id], tbl_Product[Name])</f>
        <v/>
      </c>
      <c r="K408" t="n">
        <v>219</v>
      </c>
      <c r="O4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9">
      <c r="A409" t="n">
        <v>338</v>
      </c>
      <c r="B409" t="n">
        <v>230</v>
      </c>
      <c r="C409" t="inlineStr">
        <is>
          <t>Card Market</t>
        </is>
      </c>
      <c r="D409" s="8" t="inlineStr">
        <is>
          <t>https://www.cardmarket.com/en/Magic/Products/Preconstructed-Decks/Commander-Streets-of-New-Capenna-Riveteers-Rampage-Deck</t>
        </is>
      </c>
      <c r="E409" t="n">
        <v>58.20202</v>
      </c>
      <c r="F409" t="inlineStr">
        <is>
          <t>TRUE</t>
        </is>
      </c>
      <c r="J409">
        <f>_xlfn.XLOOKUP(tbl_Sourcing[[#This Row],[Product Id]], tbl_Product[Product Id], tbl_Product[Name])</f>
        <v/>
      </c>
      <c r="K409" t="n">
        <v>220</v>
      </c>
      <c r="O4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0">
      <c r="A410" t="n">
        <v>339</v>
      </c>
      <c r="B410" t="n">
        <v>231</v>
      </c>
      <c r="C410" t="inlineStr">
        <is>
          <t>Card Market</t>
        </is>
      </c>
      <c r="D410" s="8" t="inlineStr">
        <is>
          <t>https://www.cardmarket.com/en/Magic/Products/Preconstructed-Decks/Commander-Streets-of-New-Capenna-Cabaretti-Cacophony-Deck</t>
        </is>
      </c>
      <c r="E410" t="n">
        <v>41.73936</v>
      </c>
      <c r="F410" t="inlineStr">
        <is>
          <t>TRUE</t>
        </is>
      </c>
      <c r="J410">
        <f>_xlfn.XLOOKUP(tbl_Sourcing[[#This Row],[Product Id]], tbl_Product[Product Id], tbl_Product[Name])</f>
        <v/>
      </c>
      <c r="K410" t="n">
        <v>221</v>
      </c>
      <c r="O4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1">
      <c r="A411" t="n">
        <v>340</v>
      </c>
      <c r="B411" t="n">
        <v>232</v>
      </c>
      <c r="C411" t="inlineStr">
        <is>
          <t>Card Market</t>
        </is>
      </c>
      <c r="D411" s="8" t="inlineStr">
        <is>
          <t>https://www.cardmarket.com/en/Magic/Products/Preconstructed-Decks/Commander-Streets-of-New-Capenna-Bedecked-Brokers-Deck-Minimum-Waste</t>
        </is>
      </c>
      <c r="E411" t="n">
        <v>29.65</v>
      </c>
      <c r="F411" t="inlineStr">
        <is>
          <t>TRUE</t>
        </is>
      </c>
      <c r="J411">
        <f>_xlfn.XLOOKUP(tbl_Sourcing[[#This Row],[Product Id]], tbl_Product[Product Id], tbl_Product[Name])</f>
        <v/>
      </c>
      <c r="K411" t="n">
        <v>222</v>
      </c>
      <c r="O4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2">
      <c r="A412" t="n">
        <v>341</v>
      </c>
      <c r="B412" t="n">
        <v>233</v>
      </c>
      <c r="C412" t="inlineStr">
        <is>
          <t>Card Market</t>
        </is>
      </c>
      <c r="D412" s="8" t="inlineStr">
        <is>
          <t>https://www.cardmarket.com/en/Magic/Products/Preconstructed-Decks/Commander-Kamigawa-Neon-Dynasty-Buckle-Up-Deck</t>
        </is>
      </c>
      <c r="E412" t="n">
        <v>34.57754</v>
      </c>
      <c r="F412" t="inlineStr">
        <is>
          <t>TRUE</t>
        </is>
      </c>
      <c r="J412">
        <f>_xlfn.XLOOKUP(tbl_Sourcing[[#This Row],[Product Id]], tbl_Product[Product Id], tbl_Product[Name])</f>
        <v/>
      </c>
      <c r="K412" t="n">
        <v>223</v>
      </c>
      <c r="O4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3">
      <c r="A413" t="n">
        <v>342</v>
      </c>
      <c r="B413" t="n">
        <v>234</v>
      </c>
      <c r="C413" t="inlineStr">
        <is>
          <t>Card Market</t>
        </is>
      </c>
      <c r="D413" s="8" t="inlineStr">
        <is>
          <t>https://www.cardmarket.com/en/Magic/Products/Preconstructed-Decks/Commander-Kamigawa-Neon-Dynasty-Upgrades-Unleashed-Deck</t>
        </is>
      </c>
      <c r="E413" t="n">
        <v>30.24754</v>
      </c>
      <c r="F413" t="inlineStr">
        <is>
          <t>TRUE</t>
        </is>
      </c>
      <c r="J413">
        <f>_xlfn.XLOOKUP(tbl_Sourcing[[#This Row],[Product Id]], tbl_Product[Product Id], tbl_Product[Name])</f>
        <v/>
      </c>
      <c r="K413" t="n">
        <v>224</v>
      </c>
      <c r="O4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</sheetData>
  <conditionalFormatting sqref="O1:O1048576">
    <cfRule type="duplicateValues" priority="1" dxfId="8"/>
  </conditionalFormatting>
  <hyperlinks>
    <hyperlink xmlns:r="http://schemas.openxmlformats.org/officeDocument/2006/relationships" ref="D36" r:id="rId1"/>
    <hyperlink xmlns:r="http://schemas.openxmlformats.org/officeDocument/2006/relationships" ref="D37" r:id="rId2"/>
    <hyperlink xmlns:r="http://schemas.openxmlformats.org/officeDocument/2006/relationships" ref="D38" r:id="rId3"/>
    <hyperlink xmlns:r="http://schemas.openxmlformats.org/officeDocument/2006/relationships" ref="D39" r:id="rId4"/>
    <hyperlink xmlns:r="http://schemas.openxmlformats.org/officeDocument/2006/relationships" ref="D40" r:id="rId5"/>
    <hyperlink xmlns:r="http://schemas.openxmlformats.org/officeDocument/2006/relationships" ref="D41" r:id="rId6"/>
    <hyperlink xmlns:r="http://schemas.openxmlformats.org/officeDocument/2006/relationships" ref="D42" r:id="rId7"/>
    <hyperlink xmlns:r="http://schemas.openxmlformats.org/officeDocument/2006/relationships" ref="D43" r:id="rId8"/>
    <hyperlink xmlns:r="http://schemas.openxmlformats.org/officeDocument/2006/relationships" ref="D44" r:id="rId9"/>
    <hyperlink xmlns:r="http://schemas.openxmlformats.org/officeDocument/2006/relationships" ref="D45" r:id="rId10"/>
    <hyperlink xmlns:r="http://schemas.openxmlformats.org/officeDocument/2006/relationships" ref="D46" r:id="rId11"/>
    <hyperlink xmlns:r="http://schemas.openxmlformats.org/officeDocument/2006/relationships" ref="D47" r:id="rId12"/>
    <hyperlink xmlns:r="http://schemas.openxmlformats.org/officeDocument/2006/relationships" ref="D48" r:id="rId13"/>
    <hyperlink xmlns:r="http://schemas.openxmlformats.org/officeDocument/2006/relationships" ref="D49" r:id="rId14"/>
    <hyperlink xmlns:r="http://schemas.openxmlformats.org/officeDocument/2006/relationships" ref="D50" r:id="rId15"/>
    <hyperlink xmlns:r="http://schemas.openxmlformats.org/officeDocument/2006/relationships" ref="D51" r:id="rId16"/>
    <hyperlink xmlns:r="http://schemas.openxmlformats.org/officeDocument/2006/relationships" ref="D52" r:id="rId17"/>
    <hyperlink xmlns:r="http://schemas.openxmlformats.org/officeDocument/2006/relationships" ref="D53" r:id="rId18"/>
    <hyperlink xmlns:r="http://schemas.openxmlformats.org/officeDocument/2006/relationships" ref="D54" r:id="rId19"/>
    <hyperlink xmlns:r="http://schemas.openxmlformats.org/officeDocument/2006/relationships" ref="D55" r:id="rId20"/>
    <hyperlink xmlns:r="http://schemas.openxmlformats.org/officeDocument/2006/relationships" ref="D56" r:id="rId21"/>
    <hyperlink xmlns:r="http://schemas.openxmlformats.org/officeDocument/2006/relationships" ref="D57" r:id="rId22"/>
    <hyperlink xmlns:r="http://schemas.openxmlformats.org/officeDocument/2006/relationships" ref="D58" r:id="rId23"/>
    <hyperlink xmlns:r="http://schemas.openxmlformats.org/officeDocument/2006/relationships" ref="D59" r:id="rId24"/>
    <hyperlink xmlns:r="http://schemas.openxmlformats.org/officeDocument/2006/relationships" ref="D60" r:id="rId25"/>
    <hyperlink xmlns:r="http://schemas.openxmlformats.org/officeDocument/2006/relationships" ref="D61" r:id="rId26"/>
    <hyperlink xmlns:r="http://schemas.openxmlformats.org/officeDocument/2006/relationships" ref="D62" r:id="rId27"/>
    <hyperlink xmlns:r="http://schemas.openxmlformats.org/officeDocument/2006/relationships" ref="D63" r:id="rId28"/>
    <hyperlink xmlns:r="http://schemas.openxmlformats.org/officeDocument/2006/relationships" ref="D64" r:id="rId29"/>
    <hyperlink xmlns:r="http://schemas.openxmlformats.org/officeDocument/2006/relationships" ref="D65" r:id="rId30"/>
    <hyperlink xmlns:r="http://schemas.openxmlformats.org/officeDocument/2006/relationships" ref="D66" r:id="rId31"/>
    <hyperlink xmlns:r="http://schemas.openxmlformats.org/officeDocument/2006/relationships" ref="D67" r:id="rId32"/>
    <hyperlink xmlns:r="http://schemas.openxmlformats.org/officeDocument/2006/relationships" ref="D68" r:id="rId33"/>
    <hyperlink xmlns:r="http://schemas.openxmlformats.org/officeDocument/2006/relationships" ref="D69" r:id="rId34"/>
    <hyperlink xmlns:r="http://schemas.openxmlformats.org/officeDocument/2006/relationships" ref="D70" r:id="rId35"/>
    <hyperlink xmlns:r="http://schemas.openxmlformats.org/officeDocument/2006/relationships" ref="D71" r:id="rId36"/>
    <hyperlink xmlns:r="http://schemas.openxmlformats.org/officeDocument/2006/relationships" ref="D72" r:id="rId37"/>
    <hyperlink xmlns:r="http://schemas.openxmlformats.org/officeDocument/2006/relationships" ref="D73" r:id="rId38"/>
    <hyperlink xmlns:r="http://schemas.openxmlformats.org/officeDocument/2006/relationships" ref="D74" r:id="rId39"/>
    <hyperlink xmlns:r="http://schemas.openxmlformats.org/officeDocument/2006/relationships" ref="D75" r:id="rId40"/>
    <hyperlink xmlns:r="http://schemas.openxmlformats.org/officeDocument/2006/relationships" ref="D76" r:id="rId41"/>
    <hyperlink xmlns:r="http://schemas.openxmlformats.org/officeDocument/2006/relationships" ref="D77" r:id="rId42"/>
    <hyperlink xmlns:r="http://schemas.openxmlformats.org/officeDocument/2006/relationships" ref="D78" r:id="rId43"/>
    <hyperlink xmlns:r="http://schemas.openxmlformats.org/officeDocument/2006/relationships" ref="D79" r:id="rId44"/>
    <hyperlink xmlns:r="http://schemas.openxmlformats.org/officeDocument/2006/relationships" ref="D80" r:id="rId45"/>
    <hyperlink xmlns:r="http://schemas.openxmlformats.org/officeDocument/2006/relationships" ref="D81" r:id="rId46"/>
    <hyperlink xmlns:r="http://schemas.openxmlformats.org/officeDocument/2006/relationships" ref="D82" r:id="rId47"/>
    <hyperlink xmlns:r="http://schemas.openxmlformats.org/officeDocument/2006/relationships" ref="D83" r:id="rId48"/>
    <hyperlink xmlns:r="http://schemas.openxmlformats.org/officeDocument/2006/relationships" ref="D84" r:id="rId49"/>
    <hyperlink xmlns:r="http://schemas.openxmlformats.org/officeDocument/2006/relationships" ref="D85" r:id="rId50"/>
    <hyperlink xmlns:r="http://schemas.openxmlformats.org/officeDocument/2006/relationships" ref="D86" r:id="rId51"/>
    <hyperlink xmlns:r="http://schemas.openxmlformats.org/officeDocument/2006/relationships" ref="D87" r:id="rId52"/>
    <hyperlink xmlns:r="http://schemas.openxmlformats.org/officeDocument/2006/relationships" ref="D88" r:id="rId53"/>
    <hyperlink xmlns:r="http://schemas.openxmlformats.org/officeDocument/2006/relationships" ref="D89" r:id="rId54"/>
    <hyperlink xmlns:r="http://schemas.openxmlformats.org/officeDocument/2006/relationships" ref="D90" r:id="rId55"/>
    <hyperlink xmlns:r="http://schemas.openxmlformats.org/officeDocument/2006/relationships" ref="D91" r:id="rId56"/>
    <hyperlink xmlns:r="http://schemas.openxmlformats.org/officeDocument/2006/relationships" ref="D92" r:id="rId57"/>
    <hyperlink xmlns:r="http://schemas.openxmlformats.org/officeDocument/2006/relationships" ref="D93" r:id="rId58"/>
    <hyperlink xmlns:r="http://schemas.openxmlformats.org/officeDocument/2006/relationships" ref="D94" r:id="rId59"/>
    <hyperlink xmlns:r="http://schemas.openxmlformats.org/officeDocument/2006/relationships" ref="D95" r:id="rId60"/>
    <hyperlink xmlns:r="http://schemas.openxmlformats.org/officeDocument/2006/relationships" ref="D96" r:id="rId61"/>
    <hyperlink xmlns:r="http://schemas.openxmlformats.org/officeDocument/2006/relationships" ref="D97" r:id="rId62"/>
    <hyperlink xmlns:r="http://schemas.openxmlformats.org/officeDocument/2006/relationships" ref="D98" r:id="rId63"/>
    <hyperlink xmlns:r="http://schemas.openxmlformats.org/officeDocument/2006/relationships" ref="D99" r:id="rId64"/>
    <hyperlink xmlns:r="http://schemas.openxmlformats.org/officeDocument/2006/relationships" ref="D100" r:id="rId65"/>
    <hyperlink xmlns:r="http://schemas.openxmlformats.org/officeDocument/2006/relationships" ref="D101" r:id="rId66"/>
    <hyperlink xmlns:r="http://schemas.openxmlformats.org/officeDocument/2006/relationships" ref="D102" r:id="rId67"/>
    <hyperlink xmlns:r="http://schemas.openxmlformats.org/officeDocument/2006/relationships" ref="D103" r:id="rId68"/>
    <hyperlink xmlns:r="http://schemas.openxmlformats.org/officeDocument/2006/relationships" ref="D104" r:id="rId69"/>
    <hyperlink xmlns:r="http://schemas.openxmlformats.org/officeDocument/2006/relationships" ref="D105" r:id="rId70"/>
    <hyperlink xmlns:r="http://schemas.openxmlformats.org/officeDocument/2006/relationships" ref="D106" r:id="rId71"/>
    <hyperlink xmlns:r="http://schemas.openxmlformats.org/officeDocument/2006/relationships" ref="D107" r:id="rId72"/>
    <hyperlink xmlns:r="http://schemas.openxmlformats.org/officeDocument/2006/relationships" ref="D108" r:id="rId73"/>
    <hyperlink xmlns:r="http://schemas.openxmlformats.org/officeDocument/2006/relationships" ref="D109" r:id="rId74"/>
    <hyperlink xmlns:r="http://schemas.openxmlformats.org/officeDocument/2006/relationships" ref="D110" r:id="rId75"/>
    <hyperlink xmlns:r="http://schemas.openxmlformats.org/officeDocument/2006/relationships" ref="D111" r:id="rId76"/>
    <hyperlink xmlns:r="http://schemas.openxmlformats.org/officeDocument/2006/relationships" ref="D112" r:id="rId77"/>
    <hyperlink xmlns:r="http://schemas.openxmlformats.org/officeDocument/2006/relationships" ref="D113" r:id="rId78"/>
    <hyperlink xmlns:r="http://schemas.openxmlformats.org/officeDocument/2006/relationships" ref="D114" r:id="rId79"/>
    <hyperlink xmlns:r="http://schemas.openxmlformats.org/officeDocument/2006/relationships" ref="D115" r:id="rId80"/>
    <hyperlink xmlns:r="http://schemas.openxmlformats.org/officeDocument/2006/relationships" ref="D116" r:id="rId81"/>
    <hyperlink xmlns:r="http://schemas.openxmlformats.org/officeDocument/2006/relationships" ref="D117" r:id="rId82"/>
    <hyperlink xmlns:r="http://schemas.openxmlformats.org/officeDocument/2006/relationships" ref="D118" r:id="rId83"/>
    <hyperlink xmlns:r="http://schemas.openxmlformats.org/officeDocument/2006/relationships" ref="D119" r:id="rId84"/>
    <hyperlink xmlns:r="http://schemas.openxmlformats.org/officeDocument/2006/relationships" ref="D120" r:id="rId85"/>
    <hyperlink xmlns:r="http://schemas.openxmlformats.org/officeDocument/2006/relationships" ref="D121" r:id="rId86"/>
    <hyperlink xmlns:r="http://schemas.openxmlformats.org/officeDocument/2006/relationships" ref="D122" r:id="rId87"/>
    <hyperlink xmlns:r="http://schemas.openxmlformats.org/officeDocument/2006/relationships" ref="D123" r:id="rId88"/>
    <hyperlink xmlns:r="http://schemas.openxmlformats.org/officeDocument/2006/relationships" ref="D124" r:id="rId89"/>
    <hyperlink xmlns:r="http://schemas.openxmlformats.org/officeDocument/2006/relationships" ref="D125" r:id="rId90"/>
    <hyperlink xmlns:r="http://schemas.openxmlformats.org/officeDocument/2006/relationships" ref="D126" r:id="rId91"/>
    <hyperlink xmlns:r="http://schemas.openxmlformats.org/officeDocument/2006/relationships" ref="D127" r:id="rId92"/>
    <hyperlink xmlns:r="http://schemas.openxmlformats.org/officeDocument/2006/relationships" ref="D128" r:id="rId93"/>
    <hyperlink xmlns:r="http://schemas.openxmlformats.org/officeDocument/2006/relationships" ref="D129" r:id="rId94"/>
    <hyperlink xmlns:r="http://schemas.openxmlformats.org/officeDocument/2006/relationships" ref="D130" r:id="rId95"/>
    <hyperlink xmlns:r="http://schemas.openxmlformats.org/officeDocument/2006/relationships" ref="D131" r:id="rId96"/>
    <hyperlink xmlns:r="http://schemas.openxmlformats.org/officeDocument/2006/relationships" ref="D132" r:id="rId97"/>
    <hyperlink xmlns:r="http://schemas.openxmlformats.org/officeDocument/2006/relationships" ref="D133" r:id="rId98"/>
    <hyperlink xmlns:r="http://schemas.openxmlformats.org/officeDocument/2006/relationships" ref="D134" r:id="rId99"/>
    <hyperlink xmlns:r="http://schemas.openxmlformats.org/officeDocument/2006/relationships" ref="D135" r:id="rId100"/>
    <hyperlink xmlns:r="http://schemas.openxmlformats.org/officeDocument/2006/relationships" ref="D136" r:id="rId101"/>
    <hyperlink xmlns:r="http://schemas.openxmlformats.org/officeDocument/2006/relationships" ref="D137" r:id="rId102"/>
    <hyperlink xmlns:r="http://schemas.openxmlformats.org/officeDocument/2006/relationships" ref="D138" r:id="rId103"/>
    <hyperlink xmlns:r="http://schemas.openxmlformats.org/officeDocument/2006/relationships" ref="D139" r:id="rId104"/>
    <hyperlink xmlns:r="http://schemas.openxmlformats.org/officeDocument/2006/relationships" ref="D140" r:id="rId105"/>
    <hyperlink xmlns:r="http://schemas.openxmlformats.org/officeDocument/2006/relationships" ref="D141" r:id="rId106"/>
    <hyperlink xmlns:r="http://schemas.openxmlformats.org/officeDocument/2006/relationships" ref="D142" r:id="rId107"/>
    <hyperlink xmlns:r="http://schemas.openxmlformats.org/officeDocument/2006/relationships" ref="D143" r:id="rId108"/>
    <hyperlink xmlns:r="http://schemas.openxmlformats.org/officeDocument/2006/relationships" ref="D144" r:id="rId109"/>
    <hyperlink xmlns:r="http://schemas.openxmlformats.org/officeDocument/2006/relationships" ref="D145" r:id="rId110"/>
    <hyperlink xmlns:r="http://schemas.openxmlformats.org/officeDocument/2006/relationships" ref="D146" r:id="rId111"/>
    <hyperlink xmlns:r="http://schemas.openxmlformats.org/officeDocument/2006/relationships" ref="D147" r:id="rId112"/>
    <hyperlink xmlns:r="http://schemas.openxmlformats.org/officeDocument/2006/relationships" ref="D148" r:id="rId113"/>
    <hyperlink xmlns:r="http://schemas.openxmlformats.org/officeDocument/2006/relationships" ref="D149" r:id="rId114"/>
    <hyperlink xmlns:r="http://schemas.openxmlformats.org/officeDocument/2006/relationships" ref="D150" r:id="rId115"/>
    <hyperlink xmlns:r="http://schemas.openxmlformats.org/officeDocument/2006/relationships" ref="D151" r:id="rId116"/>
    <hyperlink xmlns:r="http://schemas.openxmlformats.org/officeDocument/2006/relationships" ref="D152" r:id="rId117"/>
    <hyperlink xmlns:r="http://schemas.openxmlformats.org/officeDocument/2006/relationships" ref="D153" r:id="rId118"/>
    <hyperlink xmlns:r="http://schemas.openxmlformats.org/officeDocument/2006/relationships" ref="D154" r:id="rId119"/>
    <hyperlink xmlns:r="http://schemas.openxmlformats.org/officeDocument/2006/relationships" ref="D155" r:id="rId120"/>
    <hyperlink xmlns:r="http://schemas.openxmlformats.org/officeDocument/2006/relationships" ref="D156" r:id="rId121"/>
    <hyperlink xmlns:r="http://schemas.openxmlformats.org/officeDocument/2006/relationships" ref="D157" r:id="rId122"/>
    <hyperlink xmlns:r="http://schemas.openxmlformats.org/officeDocument/2006/relationships" ref="D158" r:id="rId123"/>
    <hyperlink xmlns:r="http://schemas.openxmlformats.org/officeDocument/2006/relationships" ref="D159" r:id="rId124"/>
    <hyperlink xmlns:r="http://schemas.openxmlformats.org/officeDocument/2006/relationships" ref="D160" r:id="rId125"/>
    <hyperlink xmlns:r="http://schemas.openxmlformats.org/officeDocument/2006/relationships" ref="D161" r:id="rId126"/>
    <hyperlink xmlns:r="http://schemas.openxmlformats.org/officeDocument/2006/relationships" ref="D162" r:id="rId127"/>
    <hyperlink xmlns:r="http://schemas.openxmlformats.org/officeDocument/2006/relationships" ref="D163" r:id="rId128"/>
    <hyperlink xmlns:r="http://schemas.openxmlformats.org/officeDocument/2006/relationships" ref="D164" r:id="rId129"/>
    <hyperlink xmlns:r="http://schemas.openxmlformats.org/officeDocument/2006/relationships" ref="D165" r:id="rId130"/>
    <hyperlink xmlns:r="http://schemas.openxmlformats.org/officeDocument/2006/relationships" ref="D166" r:id="rId131"/>
    <hyperlink xmlns:r="http://schemas.openxmlformats.org/officeDocument/2006/relationships" ref="D167" r:id="rId132"/>
    <hyperlink xmlns:r="http://schemas.openxmlformats.org/officeDocument/2006/relationships" ref="D168" r:id="rId133"/>
    <hyperlink xmlns:r="http://schemas.openxmlformats.org/officeDocument/2006/relationships" ref="D169" r:id="rId134"/>
    <hyperlink xmlns:r="http://schemas.openxmlformats.org/officeDocument/2006/relationships" ref="D170" r:id="rId135"/>
    <hyperlink xmlns:r="http://schemas.openxmlformats.org/officeDocument/2006/relationships" ref="D171" r:id="rId136"/>
    <hyperlink xmlns:r="http://schemas.openxmlformats.org/officeDocument/2006/relationships" ref="D172" r:id="rId137"/>
    <hyperlink xmlns:r="http://schemas.openxmlformats.org/officeDocument/2006/relationships" ref="D173" r:id="rId138"/>
    <hyperlink xmlns:r="http://schemas.openxmlformats.org/officeDocument/2006/relationships" ref="D174" r:id="rId139"/>
    <hyperlink xmlns:r="http://schemas.openxmlformats.org/officeDocument/2006/relationships" ref="D175" r:id="rId140"/>
    <hyperlink xmlns:r="http://schemas.openxmlformats.org/officeDocument/2006/relationships" ref="D176" r:id="rId141"/>
    <hyperlink xmlns:r="http://schemas.openxmlformats.org/officeDocument/2006/relationships" ref="D177" r:id="rId142"/>
    <hyperlink xmlns:r="http://schemas.openxmlformats.org/officeDocument/2006/relationships" ref="D178" r:id="rId143"/>
    <hyperlink xmlns:r="http://schemas.openxmlformats.org/officeDocument/2006/relationships" ref="D179" r:id="rId144"/>
    <hyperlink xmlns:r="http://schemas.openxmlformats.org/officeDocument/2006/relationships" ref="D180" r:id="rId145"/>
    <hyperlink xmlns:r="http://schemas.openxmlformats.org/officeDocument/2006/relationships" ref="D181" r:id="rId146"/>
    <hyperlink xmlns:r="http://schemas.openxmlformats.org/officeDocument/2006/relationships" ref="D182" r:id="rId147"/>
    <hyperlink xmlns:r="http://schemas.openxmlformats.org/officeDocument/2006/relationships" ref="D183" r:id="rId148"/>
    <hyperlink xmlns:r="http://schemas.openxmlformats.org/officeDocument/2006/relationships" ref="D184" r:id="rId149"/>
    <hyperlink xmlns:r="http://schemas.openxmlformats.org/officeDocument/2006/relationships" ref="D185" r:id="rId150"/>
    <hyperlink xmlns:r="http://schemas.openxmlformats.org/officeDocument/2006/relationships" ref="D186" r:id="rId151"/>
    <hyperlink xmlns:r="http://schemas.openxmlformats.org/officeDocument/2006/relationships" ref="D187" r:id="rId152"/>
    <hyperlink xmlns:r="http://schemas.openxmlformats.org/officeDocument/2006/relationships" ref="D188" r:id="rId153"/>
    <hyperlink xmlns:r="http://schemas.openxmlformats.org/officeDocument/2006/relationships" ref="D189" r:id="rId154"/>
    <hyperlink xmlns:r="http://schemas.openxmlformats.org/officeDocument/2006/relationships" ref="D190" r:id="rId155"/>
    <hyperlink xmlns:r="http://schemas.openxmlformats.org/officeDocument/2006/relationships" ref="D191" r:id="rId156"/>
    <hyperlink xmlns:r="http://schemas.openxmlformats.org/officeDocument/2006/relationships" ref="D192" r:id="rId157"/>
    <hyperlink xmlns:r="http://schemas.openxmlformats.org/officeDocument/2006/relationships" ref="D193" r:id="rId158"/>
    <hyperlink xmlns:r="http://schemas.openxmlformats.org/officeDocument/2006/relationships" ref="D194" r:id="rId159"/>
    <hyperlink xmlns:r="http://schemas.openxmlformats.org/officeDocument/2006/relationships" ref="D195" r:id="rId160"/>
    <hyperlink xmlns:r="http://schemas.openxmlformats.org/officeDocument/2006/relationships" ref="D196" r:id="rId161"/>
    <hyperlink xmlns:r="http://schemas.openxmlformats.org/officeDocument/2006/relationships" ref="D197" r:id="rId162"/>
    <hyperlink xmlns:r="http://schemas.openxmlformats.org/officeDocument/2006/relationships" ref="D198" r:id="rId163"/>
    <hyperlink xmlns:r="http://schemas.openxmlformats.org/officeDocument/2006/relationships" ref="D199" r:id="rId164"/>
    <hyperlink xmlns:r="http://schemas.openxmlformats.org/officeDocument/2006/relationships" ref="D200" r:id="rId165"/>
    <hyperlink xmlns:r="http://schemas.openxmlformats.org/officeDocument/2006/relationships" ref="D201" r:id="rId166"/>
    <hyperlink xmlns:r="http://schemas.openxmlformats.org/officeDocument/2006/relationships" ref="D202" r:id="rId167"/>
    <hyperlink xmlns:r="http://schemas.openxmlformats.org/officeDocument/2006/relationships" ref="D203" r:id="rId168"/>
    <hyperlink xmlns:r="http://schemas.openxmlformats.org/officeDocument/2006/relationships" ref="D204" r:id="rId169"/>
    <hyperlink xmlns:r="http://schemas.openxmlformats.org/officeDocument/2006/relationships" ref="D205" r:id="rId170"/>
    <hyperlink xmlns:r="http://schemas.openxmlformats.org/officeDocument/2006/relationships" ref="D206" r:id="rId171"/>
    <hyperlink xmlns:r="http://schemas.openxmlformats.org/officeDocument/2006/relationships" ref="D207" r:id="rId172"/>
    <hyperlink xmlns:r="http://schemas.openxmlformats.org/officeDocument/2006/relationships" ref="D208" r:id="rId173"/>
    <hyperlink xmlns:r="http://schemas.openxmlformats.org/officeDocument/2006/relationships" ref="D209" r:id="rId174"/>
    <hyperlink xmlns:r="http://schemas.openxmlformats.org/officeDocument/2006/relationships" ref="D210" r:id="rId175"/>
    <hyperlink xmlns:r="http://schemas.openxmlformats.org/officeDocument/2006/relationships" ref="D211" r:id="rId176"/>
    <hyperlink xmlns:r="http://schemas.openxmlformats.org/officeDocument/2006/relationships" ref="D212" r:id="rId177"/>
    <hyperlink xmlns:r="http://schemas.openxmlformats.org/officeDocument/2006/relationships" ref="D213" r:id="rId178"/>
    <hyperlink xmlns:r="http://schemas.openxmlformats.org/officeDocument/2006/relationships" ref="D214" r:id="rId179"/>
    <hyperlink xmlns:r="http://schemas.openxmlformats.org/officeDocument/2006/relationships" ref="D215" r:id="rId180"/>
    <hyperlink xmlns:r="http://schemas.openxmlformats.org/officeDocument/2006/relationships" ref="D216" r:id="rId181"/>
    <hyperlink xmlns:r="http://schemas.openxmlformats.org/officeDocument/2006/relationships" ref="D217" r:id="rId182"/>
    <hyperlink xmlns:r="http://schemas.openxmlformats.org/officeDocument/2006/relationships" ref="D218" r:id="rId183"/>
    <hyperlink xmlns:r="http://schemas.openxmlformats.org/officeDocument/2006/relationships" ref="D219" r:id="rId184"/>
    <hyperlink xmlns:r="http://schemas.openxmlformats.org/officeDocument/2006/relationships" ref="D220" r:id="rId185"/>
    <hyperlink xmlns:r="http://schemas.openxmlformats.org/officeDocument/2006/relationships" ref="D221" r:id="rId186"/>
    <hyperlink xmlns:r="http://schemas.openxmlformats.org/officeDocument/2006/relationships" ref="D222" r:id="rId187"/>
    <hyperlink xmlns:r="http://schemas.openxmlformats.org/officeDocument/2006/relationships" ref="D223" r:id="rId188"/>
    <hyperlink xmlns:r="http://schemas.openxmlformats.org/officeDocument/2006/relationships" ref="D224" r:id="rId189"/>
    <hyperlink xmlns:r="http://schemas.openxmlformats.org/officeDocument/2006/relationships" ref="D225" r:id="rId190"/>
    <hyperlink xmlns:r="http://schemas.openxmlformats.org/officeDocument/2006/relationships" ref="D226" r:id="rId191"/>
    <hyperlink xmlns:r="http://schemas.openxmlformats.org/officeDocument/2006/relationships" ref="D227" r:id="rId192"/>
    <hyperlink xmlns:r="http://schemas.openxmlformats.org/officeDocument/2006/relationships" ref="D228" r:id="rId193"/>
    <hyperlink xmlns:r="http://schemas.openxmlformats.org/officeDocument/2006/relationships" ref="D229" r:id="rId194"/>
    <hyperlink xmlns:r="http://schemas.openxmlformats.org/officeDocument/2006/relationships" ref="D230" r:id="rId195"/>
    <hyperlink xmlns:r="http://schemas.openxmlformats.org/officeDocument/2006/relationships" ref="D231" r:id="rId196"/>
    <hyperlink xmlns:r="http://schemas.openxmlformats.org/officeDocument/2006/relationships" ref="D232" r:id="rId197"/>
    <hyperlink xmlns:r="http://schemas.openxmlformats.org/officeDocument/2006/relationships" ref="D233" r:id="rId198"/>
    <hyperlink xmlns:r="http://schemas.openxmlformats.org/officeDocument/2006/relationships" ref="D234" r:id="rId199"/>
    <hyperlink xmlns:r="http://schemas.openxmlformats.org/officeDocument/2006/relationships" ref="D235" r:id="rId200"/>
    <hyperlink xmlns:r="http://schemas.openxmlformats.org/officeDocument/2006/relationships" ref="D236" r:id="rId201"/>
    <hyperlink xmlns:r="http://schemas.openxmlformats.org/officeDocument/2006/relationships" ref="D237" r:id="rId202"/>
    <hyperlink xmlns:r="http://schemas.openxmlformats.org/officeDocument/2006/relationships" ref="D238" r:id="rId203"/>
    <hyperlink xmlns:r="http://schemas.openxmlformats.org/officeDocument/2006/relationships" ref="D239" r:id="rId204"/>
    <hyperlink xmlns:r="http://schemas.openxmlformats.org/officeDocument/2006/relationships" ref="D240" r:id="rId205"/>
    <hyperlink xmlns:r="http://schemas.openxmlformats.org/officeDocument/2006/relationships" ref="D241" r:id="rId206"/>
    <hyperlink xmlns:r="http://schemas.openxmlformats.org/officeDocument/2006/relationships" ref="D242" r:id="rId207"/>
    <hyperlink xmlns:r="http://schemas.openxmlformats.org/officeDocument/2006/relationships" ref="D243" r:id="rId208"/>
    <hyperlink xmlns:r="http://schemas.openxmlformats.org/officeDocument/2006/relationships" ref="D244" r:id="rId209"/>
    <hyperlink xmlns:r="http://schemas.openxmlformats.org/officeDocument/2006/relationships" ref="D245" r:id="rId210"/>
    <hyperlink xmlns:r="http://schemas.openxmlformats.org/officeDocument/2006/relationships" ref="D246" r:id="rId211"/>
    <hyperlink xmlns:r="http://schemas.openxmlformats.org/officeDocument/2006/relationships" ref="D247" r:id="rId212"/>
    <hyperlink xmlns:r="http://schemas.openxmlformats.org/officeDocument/2006/relationships" ref="D248" r:id="rId213"/>
    <hyperlink xmlns:r="http://schemas.openxmlformats.org/officeDocument/2006/relationships" ref="D249" r:id="rId214"/>
    <hyperlink xmlns:r="http://schemas.openxmlformats.org/officeDocument/2006/relationships" ref="D250" r:id="rId215"/>
    <hyperlink xmlns:r="http://schemas.openxmlformats.org/officeDocument/2006/relationships" ref="D251" r:id="rId216"/>
    <hyperlink xmlns:r="http://schemas.openxmlformats.org/officeDocument/2006/relationships" ref="D252" r:id="rId217"/>
    <hyperlink xmlns:r="http://schemas.openxmlformats.org/officeDocument/2006/relationships" ref="D253" r:id="rId218"/>
    <hyperlink xmlns:r="http://schemas.openxmlformats.org/officeDocument/2006/relationships" ref="D254" r:id="rId219"/>
    <hyperlink xmlns:r="http://schemas.openxmlformats.org/officeDocument/2006/relationships" ref="D255" r:id="rId220"/>
    <hyperlink xmlns:r="http://schemas.openxmlformats.org/officeDocument/2006/relationships" ref="D256" r:id="rId221"/>
    <hyperlink xmlns:r="http://schemas.openxmlformats.org/officeDocument/2006/relationships" ref="D257" r:id="rId222"/>
    <hyperlink xmlns:r="http://schemas.openxmlformats.org/officeDocument/2006/relationships" ref="D258" r:id="rId223"/>
    <hyperlink xmlns:r="http://schemas.openxmlformats.org/officeDocument/2006/relationships" ref="D259" r:id="rId224"/>
    <hyperlink xmlns:r="http://schemas.openxmlformats.org/officeDocument/2006/relationships" ref="D260" r:id="rId225"/>
    <hyperlink xmlns:r="http://schemas.openxmlformats.org/officeDocument/2006/relationships" ref="D261" r:id="rId226"/>
    <hyperlink xmlns:r="http://schemas.openxmlformats.org/officeDocument/2006/relationships" ref="D262" r:id="rId227"/>
    <hyperlink xmlns:r="http://schemas.openxmlformats.org/officeDocument/2006/relationships" ref="D263" r:id="rId228"/>
    <hyperlink xmlns:r="http://schemas.openxmlformats.org/officeDocument/2006/relationships" ref="D264" r:id="rId229"/>
    <hyperlink xmlns:r="http://schemas.openxmlformats.org/officeDocument/2006/relationships" ref="D265" r:id="rId230"/>
    <hyperlink xmlns:r="http://schemas.openxmlformats.org/officeDocument/2006/relationships" ref="D266" r:id="rId231"/>
    <hyperlink xmlns:r="http://schemas.openxmlformats.org/officeDocument/2006/relationships" ref="D267" r:id="rId232"/>
    <hyperlink xmlns:r="http://schemas.openxmlformats.org/officeDocument/2006/relationships" ref="D268" r:id="rId233"/>
    <hyperlink xmlns:r="http://schemas.openxmlformats.org/officeDocument/2006/relationships" ref="D269" r:id="rId234"/>
    <hyperlink xmlns:r="http://schemas.openxmlformats.org/officeDocument/2006/relationships" ref="D270" r:id="rId235"/>
    <hyperlink xmlns:r="http://schemas.openxmlformats.org/officeDocument/2006/relationships" ref="D271" r:id="rId236"/>
    <hyperlink xmlns:r="http://schemas.openxmlformats.org/officeDocument/2006/relationships" ref="D272" r:id="rId237"/>
    <hyperlink xmlns:r="http://schemas.openxmlformats.org/officeDocument/2006/relationships" ref="D273" r:id="rId238"/>
    <hyperlink xmlns:r="http://schemas.openxmlformats.org/officeDocument/2006/relationships" ref="D274" r:id="rId239"/>
    <hyperlink xmlns:r="http://schemas.openxmlformats.org/officeDocument/2006/relationships" ref="D275" r:id="rId240"/>
    <hyperlink xmlns:r="http://schemas.openxmlformats.org/officeDocument/2006/relationships" ref="D276" r:id="rId241"/>
    <hyperlink xmlns:r="http://schemas.openxmlformats.org/officeDocument/2006/relationships" ref="D277" r:id="rId242"/>
    <hyperlink xmlns:r="http://schemas.openxmlformats.org/officeDocument/2006/relationships" ref="D278" r:id="rId243"/>
    <hyperlink xmlns:r="http://schemas.openxmlformats.org/officeDocument/2006/relationships" ref="D279" r:id="rId244"/>
    <hyperlink xmlns:r="http://schemas.openxmlformats.org/officeDocument/2006/relationships" ref="D280" r:id="rId245"/>
    <hyperlink xmlns:r="http://schemas.openxmlformats.org/officeDocument/2006/relationships" ref="D281" r:id="rId246"/>
    <hyperlink xmlns:r="http://schemas.openxmlformats.org/officeDocument/2006/relationships" ref="D282" r:id="rId247"/>
    <hyperlink xmlns:r="http://schemas.openxmlformats.org/officeDocument/2006/relationships" ref="D283" r:id="rId248"/>
    <hyperlink xmlns:r="http://schemas.openxmlformats.org/officeDocument/2006/relationships" ref="D284" r:id="rId249"/>
    <hyperlink xmlns:r="http://schemas.openxmlformats.org/officeDocument/2006/relationships" ref="D285" r:id="rId250"/>
    <hyperlink xmlns:r="http://schemas.openxmlformats.org/officeDocument/2006/relationships" ref="D286" r:id="rId251"/>
    <hyperlink xmlns:r="http://schemas.openxmlformats.org/officeDocument/2006/relationships" ref="D287" r:id="rId252"/>
    <hyperlink xmlns:r="http://schemas.openxmlformats.org/officeDocument/2006/relationships" ref="D288" r:id="rId253"/>
    <hyperlink xmlns:r="http://schemas.openxmlformats.org/officeDocument/2006/relationships" ref="D289" r:id="rId254"/>
    <hyperlink xmlns:r="http://schemas.openxmlformats.org/officeDocument/2006/relationships" ref="D290" r:id="rId255"/>
    <hyperlink xmlns:r="http://schemas.openxmlformats.org/officeDocument/2006/relationships" ref="D291" r:id="rId256"/>
    <hyperlink xmlns:r="http://schemas.openxmlformats.org/officeDocument/2006/relationships" ref="D292" r:id="rId257"/>
    <hyperlink xmlns:r="http://schemas.openxmlformats.org/officeDocument/2006/relationships" ref="D293" r:id="rId258"/>
    <hyperlink xmlns:r="http://schemas.openxmlformats.org/officeDocument/2006/relationships" ref="D294" r:id="rId259"/>
    <hyperlink xmlns:r="http://schemas.openxmlformats.org/officeDocument/2006/relationships" ref="D295" r:id="rId260"/>
    <hyperlink xmlns:r="http://schemas.openxmlformats.org/officeDocument/2006/relationships" ref="D296" r:id="rId261"/>
    <hyperlink xmlns:r="http://schemas.openxmlformats.org/officeDocument/2006/relationships" ref="D297" r:id="rId262"/>
    <hyperlink xmlns:r="http://schemas.openxmlformats.org/officeDocument/2006/relationships" ref="D298" r:id="rId263"/>
    <hyperlink xmlns:r="http://schemas.openxmlformats.org/officeDocument/2006/relationships" ref="D299" r:id="rId264"/>
    <hyperlink xmlns:r="http://schemas.openxmlformats.org/officeDocument/2006/relationships" ref="D300" r:id="rId265"/>
    <hyperlink xmlns:r="http://schemas.openxmlformats.org/officeDocument/2006/relationships" ref="D301" r:id="rId266"/>
    <hyperlink xmlns:r="http://schemas.openxmlformats.org/officeDocument/2006/relationships" ref="D302" r:id="rId267"/>
    <hyperlink xmlns:r="http://schemas.openxmlformats.org/officeDocument/2006/relationships" ref="D303" r:id="rId268"/>
    <hyperlink xmlns:r="http://schemas.openxmlformats.org/officeDocument/2006/relationships" ref="D304" r:id="rId269"/>
    <hyperlink xmlns:r="http://schemas.openxmlformats.org/officeDocument/2006/relationships" ref="D305" r:id="rId270"/>
    <hyperlink xmlns:r="http://schemas.openxmlformats.org/officeDocument/2006/relationships" ref="D306" r:id="rId271"/>
    <hyperlink xmlns:r="http://schemas.openxmlformats.org/officeDocument/2006/relationships" ref="D307" r:id="rId272"/>
    <hyperlink xmlns:r="http://schemas.openxmlformats.org/officeDocument/2006/relationships" ref="D308" r:id="rId273"/>
    <hyperlink xmlns:r="http://schemas.openxmlformats.org/officeDocument/2006/relationships" ref="D309" r:id="rId274"/>
    <hyperlink xmlns:r="http://schemas.openxmlformats.org/officeDocument/2006/relationships" ref="D310" r:id="rId275"/>
    <hyperlink xmlns:r="http://schemas.openxmlformats.org/officeDocument/2006/relationships" ref="D311" r:id="rId276"/>
    <hyperlink xmlns:r="http://schemas.openxmlformats.org/officeDocument/2006/relationships" ref="D312" r:id="rId277"/>
    <hyperlink xmlns:r="http://schemas.openxmlformats.org/officeDocument/2006/relationships" ref="D313" r:id="rId278"/>
    <hyperlink xmlns:r="http://schemas.openxmlformats.org/officeDocument/2006/relationships" ref="D314" r:id="rId279"/>
    <hyperlink xmlns:r="http://schemas.openxmlformats.org/officeDocument/2006/relationships" ref="D315" r:id="rId280"/>
    <hyperlink xmlns:r="http://schemas.openxmlformats.org/officeDocument/2006/relationships" ref="D316" r:id="rId281"/>
    <hyperlink xmlns:r="http://schemas.openxmlformats.org/officeDocument/2006/relationships" ref="D317" r:id="rId282"/>
    <hyperlink xmlns:r="http://schemas.openxmlformats.org/officeDocument/2006/relationships" ref="D318" r:id="rId283"/>
    <hyperlink xmlns:r="http://schemas.openxmlformats.org/officeDocument/2006/relationships" ref="D319" r:id="rId284"/>
    <hyperlink xmlns:r="http://schemas.openxmlformats.org/officeDocument/2006/relationships" ref="D320" r:id="rId285"/>
    <hyperlink xmlns:r="http://schemas.openxmlformats.org/officeDocument/2006/relationships" ref="D321" r:id="rId286"/>
    <hyperlink xmlns:r="http://schemas.openxmlformats.org/officeDocument/2006/relationships" ref="D322" r:id="rId287"/>
    <hyperlink xmlns:r="http://schemas.openxmlformats.org/officeDocument/2006/relationships" ref="D323" r:id="rId288"/>
    <hyperlink xmlns:r="http://schemas.openxmlformats.org/officeDocument/2006/relationships" ref="D324" r:id="rId289"/>
    <hyperlink xmlns:r="http://schemas.openxmlformats.org/officeDocument/2006/relationships" ref="D325" r:id="rId290"/>
    <hyperlink xmlns:r="http://schemas.openxmlformats.org/officeDocument/2006/relationships" ref="D326" r:id="rId291"/>
    <hyperlink xmlns:r="http://schemas.openxmlformats.org/officeDocument/2006/relationships" ref="D327" r:id="rId292"/>
    <hyperlink xmlns:r="http://schemas.openxmlformats.org/officeDocument/2006/relationships" ref="D328" r:id="rId293"/>
    <hyperlink xmlns:r="http://schemas.openxmlformats.org/officeDocument/2006/relationships" ref="D329" r:id="rId294"/>
    <hyperlink xmlns:r="http://schemas.openxmlformats.org/officeDocument/2006/relationships" ref="D330" r:id="rId295"/>
    <hyperlink xmlns:r="http://schemas.openxmlformats.org/officeDocument/2006/relationships" ref="D331" r:id="rId296"/>
    <hyperlink xmlns:r="http://schemas.openxmlformats.org/officeDocument/2006/relationships" ref="D332" r:id="rId297"/>
    <hyperlink xmlns:r="http://schemas.openxmlformats.org/officeDocument/2006/relationships" ref="D333" r:id="rId298"/>
    <hyperlink xmlns:r="http://schemas.openxmlformats.org/officeDocument/2006/relationships" ref="D334" r:id="rId299"/>
    <hyperlink xmlns:r="http://schemas.openxmlformats.org/officeDocument/2006/relationships" ref="D335" r:id="rId300"/>
    <hyperlink xmlns:r="http://schemas.openxmlformats.org/officeDocument/2006/relationships" ref="D336" r:id="rId301"/>
    <hyperlink xmlns:r="http://schemas.openxmlformats.org/officeDocument/2006/relationships" ref="D337" r:id="rId302"/>
    <hyperlink xmlns:r="http://schemas.openxmlformats.org/officeDocument/2006/relationships" ref="D338" r:id="rId303"/>
    <hyperlink xmlns:r="http://schemas.openxmlformats.org/officeDocument/2006/relationships" ref="D339" r:id="rId304"/>
    <hyperlink xmlns:r="http://schemas.openxmlformats.org/officeDocument/2006/relationships" ref="D340" r:id="rId305"/>
    <hyperlink xmlns:r="http://schemas.openxmlformats.org/officeDocument/2006/relationships" ref="D341" r:id="rId306"/>
    <hyperlink xmlns:r="http://schemas.openxmlformats.org/officeDocument/2006/relationships" ref="D342" r:id="rId307"/>
    <hyperlink xmlns:r="http://schemas.openxmlformats.org/officeDocument/2006/relationships" ref="D343" r:id="rId308"/>
    <hyperlink xmlns:r="http://schemas.openxmlformats.org/officeDocument/2006/relationships" ref="D344" r:id="rId309"/>
    <hyperlink xmlns:r="http://schemas.openxmlformats.org/officeDocument/2006/relationships" ref="D345" r:id="rId310"/>
    <hyperlink xmlns:r="http://schemas.openxmlformats.org/officeDocument/2006/relationships" ref="D346" r:id="rId311"/>
    <hyperlink xmlns:r="http://schemas.openxmlformats.org/officeDocument/2006/relationships" ref="D347" r:id="rId312"/>
    <hyperlink xmlns:r="http://schemas.openxmlformats.org/officeDocument/2006/relationships" ref="D348" r:id="rId313"/>
    <hyperlink xmlns:r="http://schemas.openxmlformats.org/officeDocument/2006/relationships" ref="D349" r:id="rId314"/>
    <hyperlink xmlns:r="http://schemas.openxmlformats.org/officeDocument/2006/relationships" ref="D350" r:id="rId315"/>
    <hyperlink xmlns:r="http://schemas.openxmlformats.org/officeDocument/2006/relationships" ref="D351" r:id="rId316"/>
    <hyperlink xmlns:r="http://schemas.openxmlformats.org/officeDocument/2006/relationships" ref="D352" r:id="rId317"/>
    <hyperlink xmlns:r="http://schemas.openxmlformats.org/officeDocument/2006/relationships" ref="D353" r:id="rId318"/>
    <hyperlink xmlns:r="http://schemas.openxmlformats.org/officeDocument/2006/relationships" ref="D354" r:id="rId319"/>
    <hyperlink xmlns:r="http://schemas.openxmlformats.org/officeDocument/2006/relationships" ref="D355" r:id="rId320"/>
    <hyperlink xmlns:r="http://schemas.openxmlformats.org/officeDocument/2006/relationships" ref="D356" r:id="rId321"/>
    <hyperlink xmlns:r="http://schemas.openxmlformats.org/officeDocument/2006/relationships" ref="D357" r:id="rId322"/>
    <hyperlink xmlns:r="http://schemas.openxmlformats.org/officeDocument/2006/relationships" ref="D358" r:id="rId323"/>
    <hyperlink xmlns:r="http://schemas.openxmlformats.org/officeDocument/2006/relationships" ref="D359" r:id="rId324"/>
    <hyperlink xmlns:r="http://schemas.openxmlformats.org/officeDocument/2006/relationships" ref="D360" r:id="rId325"/>
    <hyperlink xmlns:r="http://schemas.openxmlformats.org/officeDocument/2006/relationships" ref="D361" r:id="rId326"/>
    <hyperlink xmlns:r="http://schemas.openxmlformats.org/officeDocument/2006/relationships" ref="D362" r:id="rId327"/>
    <hyperlink xmlns:r="http://schemas.openxmlformats.org/officeDocument/2006/relationships" ref="D363" r:id="rId328"/>
    <hyperlink xmlns:r="http://schemas.openxmlformats.org/officeDocument/2006/relationships" ref="D364" r:id="rId329"/>
    <hyperlink xmlns:r="http://schemas.openxmlformats.org/officeDocument/2006/relationships" ref="D365" r:id="rId330"/>
    <hyperlink xmlns:r="http://schemas.openxmlformats.org/officeDocument/2006/relationships" ref="D366" r:id="rId331"/>
    <hyperlink xmlns:r="http://schemas.openxmlformats.org/officeDocument/2006/relationships" ref="D367" r:id="rId332"/>
    <hyperlink xmlns:r="http://schemas.openxmlformats.org/officeDocument/2006/relationships" ref="D368" r:id="rId333"/>
    <hyperlink xmlns:r="http://schemas.openxmlformats.org/officeDocument/2006/relationships" ref="D369" r:id="rId334"/>
    <hyperlink xmlns:r="http://schemas.openxmlformats.org/officeDocument/2006/relationships" ref="D370" r:id="rId335"/>
    <hyperlink xmlns:r="http://schemas.openxmlformats.org/officeDocument/2006/relationships" ref="D371" r:id="rId336"/>
    <hyperlink xmlns:r="http://schemas.openxmlformats.org/officeDocument/2006/relationships" ref="D372" r:id="rId337"/>
    <hyperlink xmlns:r="http://schemas.openxmlformats.org/officeDocument/2006/relationships" ref="D373" r:id="rId338"/>
    <hyperlink xmlns:r="http://schemas.openxmlformats.org/officeDocument/2006/relationships" ref="D374" r:id="rId339"/>
    <hyperlink xmlns:r="http://schemas.openxmlformats.org/officeDocument/2006/relationships" ref="D375" r:id="rId340"/>
    <hyperlink xmlns:r="http://schemas.openxmlformats.org/officeDocument/2006/relationships" ref="D376" r:id="rId341"/>
    <hyperlink xmlns:r="http://schemas.openxmlformats.org/officeDocument/2006/relationships" ref="D377" r:id="rId342"/>
    <hyperlink xmlns:r="http://schemas.openxmlformats.org/officeDocument/2006/relationships" ref="D378" r:id="rId343"/>
    <hyperlink xmlns:r="http://schemas.openxmlformats.org/officeDocument/2006/relationships" ref="D379" r:id="rId344"/>
    <hyperlink xmlns:r="http://schemas.openxmlformats.org/officeDocument/2006/relationships" ref="D380" r:id="rId345"/>
    <hyperlink xmlns:r="http://schemas.openxmlformats.org/officeDocument/2006/relationships" ref="D381" r:id="rId346"/>
    <hyperlink xmlns:r="http://schemas.openxmlformats.org/officeDocument/2006/relationships" ref="D382" r:id="rId347"/>
    <hyperlink xmlns:r="http://schemas.openxmlformats.org/officeDocument/2006/relationships" ref="D383" r:id="rId348"/>
    <hyperlink xmlns:r="http://schemas.openxmlformats.org/officeDocument/2006/relationships" ref="D384" r:id="rId349"/>
    <hyperlink xmlns:r="http://schemas.openxmlformats.org/officeDocument/2006/relationships" ref="D385" r:id="rId350"/>
    <hyperlink xmlns:r="http://schemas.openxmlformats.org/officeDocument/2006/relationships" ref="D386" r:id="rId351"/>
    <hyperlink xmlns:r="http://schemas.openxmlformats.org/officeDocument/2006/relationships" ref="D387" r:id="rId352"/>
    <hyperlink xmlns:r="http://schemas.openxmlformats.org/officeDocument/2006/relationships" ref="D388" r:id="rId353"/>
    <hyperlink xmlns:r="http://schemas.openxmlformats.org/officeDocument/2006/relationships" ref="D389" r:id="rId354"/>
    <hyperlink xmlns:r="http://schemas.openxmlformats.org/officeDocument/2006/relationships" ref="D390" r:id="rId355"/>
    <hyperlink xmlns:r="http://schemas.openxmlformats.org/officeDocument/2006/relationships" ref="D391" r:id="rId356"/>
    <hyperlink xmlns:r="http://schemas.openxmlformats.org/officeDocument/2006/relationships" ref="D392" r:id="rId357"/>
    <hyperlink xmlns:r="http://schemas.openxmlformats.org/officeDocument/2006/relationships" ref="D393" r:id="rId358"/>
    <hyperlink xmlns:r="http://schemas.openxmlformats.org/officeDocument/2006/relationships" ref="D394" r:id="rId359"/>
    <hyperlink xmlns:r="http://schemas.openxmlformats.org/officeDocument/2006/relationships" ref="D395" r:id="rId360"/>
    <hyperlink xmlns:r="http://schemas.openxmlformats.org/officeDocument/2006/relationships" ref="D396" r:id="rId361"/>
    <hyperlink xmlns:r="http://schemas.openxmlformats.org/officeDocument/2006/relationships" ref="D397" r:id="rId362"/>
    <hyperlink xmlns:r="http://schemas.openxmlformats.org/officeDocument/2006/relationships" ref="D398" r:id="rId363"/>
    <hyperlink xmlns:r="http://schemas.openxmlformats.org/officeDocument/2006/relationships" ref="D399" r:id="rId364"/>
    <hyperlink xmlns:r="http://schemas.openxmlformats.org/officeDocument/2006/relationships" ref="D400" r:id="rId365"/>
    <hyperlink xmlns:r="http://schemas.openxmlformats.org/officeDocument/2006/relationships" ref="D401" r:id="rId366"/>
    <hyperlink xmlns:r="http://schemas.openxmlformats.org/officeDocument/2006/relationships" ref="D402" r:id="rId367"/>
    <hyperlink xmlns:r="http://schemas.openxmlformats.org/officeDocument/2006/relationships" ref="D403" r:id="rId368"/>
    <hyperlink xmlns:r="http://schemas.openxmlformats.org/officeDocument/2006/relationships" ref="D404" r:id="rId369"/>
    <hyperlink xmlns:r="http://schemas.openxmlformats.org/officeDocument/2006/relationships" ref="D405" r:id="rId370"/>
    <hyperlink xmlns:r="http://schemas.openxmlformats.org/officeDocument/2006/relationships" ref="D406" r:id="rId371"/>
    <hyperlink xmlns:r="http://schemas.openxmlformats.org/officeDocument/2006/relationships" ref="D407" r:id="rId372"/>
    <hyperlink xmlns:r="http://schemas.openxmlformats.org/officeDocument/2006/relationships" ref="D408" r:id="rId373"/>
    <hyperlink xmlns:r="http://schemas.openxmlformats.org/officeDocument/2006/relationships" ref="D409" r:id="rId374"/>
    <hyperlink xmlns:r="http://schemas.openxmlformats.org/officeDocument/2006/relationships" ref="D410" r:id="rId375"/>
    <hyperlink xmlns:r="http://schemas.openxmlformats.org/officeDocument/2006/relationships" ref="D411" r:id="rId376"/>
    <hyperlink xmlns:r="http://schemas.openxmlformats.org/officeDocument/2006/relationships" ref="D412" r:id="rId377"/>
    <hyperlink xmlns:r="http://schemas.openxmlformats.org/officeDocument/2006/relationships" ref="D413" r:id="rId378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379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F14" sqref="F14"/>
    </sheetView>
  </sheetViews>
  <sheetFormatPr baseColWidth="8" defaultRowHeight="15"/>
  <cols>
    <col width="10" bestFit="1" customWidth="1" style="6" min="1" max="1"/>
    <col width="15.28515625" bestFit="1" customWidth="1" style="6" min="2" max="2"/>
    <col width="13.28515625" bestFit="1" customWidth="1" style="6" min="3" max="3"/>
    <col width="10" bestFit="1" customWidth="1" style="6" min="4" max="4"/>
    <col width="22.140625" bestFit="1" customWidth="1" style="6" min="5" max="5"/>
    <col width="34.42578125" bestFit="1" customWidth="1" style="6" min="6" max="6"/>
  </cols>
  <sheetData>
    <row r="1">
      <c r="A1" t="inlineStr">
        <is>
          <t>Supplier Id</t>
        </is>
      </c>
      <c r="B1" t="inlineStr">
        <is>
          <t>Name</t>
        </is>
      </c>
      <c r="C1" t="inlineStr">
        <is>
          <t>Contact Name</t>
        </is>
      </c>
      <c r="D1" t="inlineStr">
        <is>
          <t>Locations</t>
        </is>
      </c>
      <c r="E1" t="inlineStr">
        <is>
          <t>Currency Code Accepted</t>
        </is>
      </c>
      <c r="F1" t="inlineStr">
        <is>
          <t>Notes</t>
        </is>
      </c>
      <c r="G1" t="inlineStr">
        <is>
          <t>URL</t>
        </is>
      </c>
    </row>
    <row r="2">
      <c r="B2" t="inlineStr">
        <is>
          <t>Blackfire</t>
        </is>
      </c>
      <c r="F2" t="inlineStr">
        <is>
          <t>Requires brick-and-mortar store</t>
        </is>
      </c>
    </row>
    <row r="3">
      <c r="B3" t="inlineStr">
        <is>
          <t>Entoyment</t>
        </is>
      </c>
      <c r="G3" s="8" t="inlineStr">
        <is>
          <t>https://entoyment.co.uk/</t>
        </is>
      </c>
    </row>
    <row r="4">
      <c r="B4" t="inlineStr">
        <is>
          <t>Total Cards</t>
        </is>
      </c>
      <c r="D4" t="inlineStr">
        <is>
          <t>UK</t>
        </is>
      </c>
      <c r="F4" t="inlineStr">
        <is>
          <t>On waitlist for account creation</t>
        </is>
      </c>
      <c r="G4" s="8" t="inlineStr">
        <is>
          <t>https://totalcards.net/</t>
        </is>
      </c>
    </row>
    <row r="5">
      <c r="B5" t="inlineStr">
        <is>
          <t>Invicta</t>
        </is>
      </c>
      <c r="D5" t="inlineStr">
        <is>
          <t>UK</t>
        </is>
      </c>
      <c r="F5" t="inlineStr">
        <is>
          <t>Registered</t>
        </is>
      </c>
      <c r="G5" s="8" t="inlineStr">
        <is>
          <t>https://invictatcg.co.uk/wholesale-login/</t>
        </is>
      </c>
    </row>
    <row r="6">
      <c r="B6" t="inlineStr">
        <is>
          <t>Asmodee</t>
        </is>
      </c>
      <c r="D6" t="inlineStr">
        <is>
          <t>UK</t>
        </is>
      </c>
      <c r="F6" t="inlineStr">
        <is>
          <t>Only accepts VAT registered companies</t>
        </is>
      </c>
      <c r="G6" s="8" t="inlineStr">
        <is>
          <t>https://www.asmodee.co.uk/pages/new-account-application</t>
        </is>
      </c>
    </row>
    <row r="7">
      <c r="B7" t="inlineStr">
        <is>
          <t>Bliss</t>
        </is>
      </c>
      <c r="D7" t="inlineStr">
        <is>
          <t>UK</t>
        </is>
      </c>
    </row>
    <row r="8">
      <c r="B8" t="inlineStr">
        <is>
          <t>Muddle It</t>
        </is>
      </c>
      <c r="D8" t="inlineStr">
        <is>
          <t>UK</t>
        </is>
      </c>
    </row>
    <row r="9">
      <c r="B9" t="inlineStr">
        <is>
          <t>Plus Marketing</t>
        </is>
      </c>
      <c r="D9" t="inlineStr">
        <is>
          <t>UK</t>
        </is>
      </c>
    </row>
    <row r="10">
      <c r="B10" t="inlineStr">
        <is>
          <t>Chaos Cards</t>
        </is>
      </c>
      <c r="D10" t="inlineStr">
        <is>
          <t>UK</t>
        </is>
      </c>
    </row>
    <row r="11">
      <c r="B11" t="inlineStr">
        <is>
          <t>Magic Madhouse</t>
        </is>
      </c>
      <c r="D11" t="inlineStr">
        <is>
          <t>UK</t>
        </is>
      </c>
    </row>
    <row r="12">
      <c r="B12" t="inlineStr">
        <is>
          <t>Card Market</t>
        </is>
      </c>
      <c r="D12" t="inlineStr">
        <is>
          <t>World</t>
        </is>
      </c>
    </row>
    <row r="13">
      <c r="B13" t="inlineStr">
        <is>
          <t>Japan 2 UK</t>
        </is>
      </c>
      <c r="D13" t="inlineStr">
        <is>
          <t>Japan (UK)</t>
        </is>
      </c>
      <c r="G13" s="8" t="inlineStr">
        <is>
          <t>https://www.japan2uk.com/</t>
        </is>
      </c>
    </row>
    <row r="14">
      <c r="B14" t="inlineStr">
        <is>
          <t>Poke UK</t>
        </is>
      </c>
      <c r="D14" t="inlineStr">
        <is>
          <t>UK</t>
        </is>
      </c>
      <c r="G14" s="8" t="inlineStr">
        <is>
          <t>https://pokeuk.co.uk/pokemon-booster-boxes/</t>
        </is>
      </c>
    </row>
    <row r="15">
      <c r="B15" t="inlineStr">
        <is>
          <t>Titan Cards</t>
        </is>
      </c>
      <c r="D15" t="inlineStr">
        <is>
          <t>UK</t>
        </is>
      </c>
      <c r="G15" s="8" t="inlineStr">
        <is>
          <t>https://titancards.co.uk/</t>
        </is>
      </c>
    </row>
  </sheetData>
  <hyperlinks>
    <hyperlink xmlns:r="http://schemas.openxmlformats.org/officeDocument/2006/relationships" ref="G3" r:id="rId1"/>
    <hyperlink xmlns:r="http://schemas.openxmlformats.org/officeDocument/2006/relationships" ref="G4" r:id="rId2"/>
    <hyperlink xmlns:r="http://schemas.openxmlformats.org/officeDocument/2006/relationships" ref="G5" r:id="rId3"/>
    <hyperlink xmlns:r="http://schemas.openxmlformats.org/officeDocument/2006/relationships" ref="G6" r:id="rId4"/>
    <hyperlink xmlns:r="http://schemas.openxmlformats.org/officeDocument/2006/relationships" ref="G13" r:id="rId5"/>
    <hyperlink xmlns:r="http://schemas.openxmlformats.org/officeDocument/2006/relationships" ref="G14" r:id="rId6"/>
    <hyperlink xmlns:r="http://schemas.openxmlformats.org/officeDocument/2006/relationships" ref="G15" r:id="rId7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23"/>
  <sheetViews>
    <sheetView zoomScaleNormal="150" zoomScaleSheetLayoutView="100" workbookViewId="0">
      <selection activeCell="B14" sqref="B14"/>
    </sheetView>
  </sheetViews>
  <sheetFormatPr baseColWidth="8" defaultRowHeight="15"/>
  <cols>
    <col width="24.42578125" customWidth="1" style="6" min="1" max="1"/>
  </cols>
  <sheetData>
    <row r="1">
      <c r="A1" t="inlineStr">
        <is>
          <t>Statistics</t>
        </is>
      </c>
    </row>
    <row r="2">
      <c r="A2" t="inlineStr">
        <is>
          <t>Order count</t>
        </is>
      </c>
      <c r="B2" s="11">
        <f>COUNTIF('Sales Order'!H:H, TRUE)</f>
        <v/>
      </c>
    </row>
    <row r="3">
      <c r="A3" t="inlineStr">
        <is>
          <t>Item count</t>
        </is>
      </c>
      <c r="B3" s="11">
        <f>COUNTIF('Sales Order Item'!H:H, TRUE)</f>
        <v/>
      </c>
    </row>
    <row r="4">
      <c r="A4" t="inlineStr">
        <is>
          <t>Mean items per order</t>
        </is>
      </c>
      <c r="B4" s="11">
        <f>B3/B2</f>
        <v/>
      </c>
    </row>
    <row r="5">
      <c r="B5" s="11" t="n"/>
    </row>
    <row r="6" ht="27.75" customHeight="1" s="6">
      <c r="A6" s="1" t="inlineStr">
        <is>
          <t>Cost of drive to and from post office</t>
        </is>
      </c>
      <c r="B6" t="n">
        <v>1</v>
      </c>
    </row>
    <row r="7">
      <c r="A7" s="1" t="inlineStr">
        <is>
          <t>Shipping fee surplus</t>
        </is>
      </c>
      <c r="B7" t="n">
        <v>0.5</v>
      </c>
    </row>
    <row r="8">
      <c r="A8" t="inlineStr">
        <is>
          <t>Cost of packaging</t>
        </is>
      </c>
      <c r="B8" t="n">
        <v>0.5</v>
      </c>
    </row>
    <row r="9">
      <c r="A9" t="inlineStr">
        <is>
          <t>Packing duration</t>
        </is>
      </c>
      <c r="B9" s="14" t="n">
        <v>0.006944444444444444</v>
      </c>
    </row>
    <row r="10">
      <c r="A10" t="inlineStr">
        <is>
          <t>My hourly rate</t>
        </is>
      </c>
      <c r="B10" t="n">
        <v>10</v>
      </c>
    </row>
    <row r="11">
      <c r="A11" t="inlineStr">
        <is>
          <t>Shipping salary</t>
        </is>
      </c>
      <c r="B11">
        <f>B10*HOUR(B9)+B10*MINUTE(B9)/60</f>
        <v/>
      </c>
    </row>
    <row r="12">
      <c r="B12" s="11" t="n"/>
    </row>
    <row r="13">
      <c r="A13" t="inlineStr">
        <is>
          <t>Shipping cost per order</t>
        </is>
      </c>
      <c r="B13" s="11">
        <f>B6+B7+B8+B11</f>
        <v/>
      </c>
    </row>
    <row r="14">
      <c r="A14" t="inlineStr">
        <is>
          <t>Shipping cost per item</t>
        </is>
      </c>
      <c r="B14" s="11">
        <f>B13/B4</f>
        <v/>
      </c>
    </row>
    <row r="17">
      <c r="A17" t="inlineStr">
        <is>
          <t>Mailbox monthly fee</t>
        </is>
      </c>
      <c r="B17" t="n">
        <v>50</v>
      </c>
    </row>
    <row r="18" ht="27.75" customHeight="1" s="6">
      <c r="A18" s="1" t="inlineStr">
        <is>
          <t>Cost of drive to and from mailbox</t>
        </is>
      </c>
      <c r="B18" t="n">
        <v>15</v>
      </c>
    </row>
    <row r="19">
      <c r="A19" s="1" t="inlineStr">
        <is>
          <t>Toll fee on drive (1 way only)</t>
        </is>
      </c>
      <c r="B19" t="n">
        <v>3</v>
      </c>
    </row>
    <row r="21">
      <c r="A21" t="inlineStr">
        <is>
          <t>Mean packages per month</t>
        </is>
      </c>
      <c r="B21" t="n">
        <v>10</v>
      </c>
    </row>
    <row r="22">
      <c r="A22" s="1" t="inlineStr">
        <is>
          <t>Mean mailbox visits per month</t>
        </is>
      </c>
      <c r="B22" t="n">
        <v>3</v>
      </c>
    </row>
    <row r="23" ht="27.75" customHeight="1" s="6">
      <c r="A23" s="1" t="inlineStr">
        <is>
          <t>Package handling cost per item</t>
        </is>
      </c>
      <c r="B23">
        <f>(B17+(B18+B19)*B22)/B21</f>
        <v/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8"/>
  <sheetViews>
    <sheetView topLeftCell="C1" zoomScaleNormal="150" zoomScaleSheetLayoutView="100" workbookViewId="0">
      <selection activeCell="W16" sqref="W16"/>
    </sheetView>
  </sheetViews>
  <sheetFormatPr baseColWidth="8" defaultRowHeight="15"/>
  <cols>
    <col width="8.5703125" customWidth="1" style="11" min="6" max="10"/>
  </cols>
  <sheetData>
    <row r="1">
      <c r="A1" t="inlineStr">
        <is>
          <t>Play/Set Booster Box Buy Price</t>
        </is>
      </c>
      <c r="F1" s="11" t="inlineStr">
        <is>
          <t>Play/Set Booster From Box Sell Price</t>
        </is>
      </c>
      <c r="K1" t="inlineStr">
        <is>
          <t>Play Booster Sell Price CardMarket</t>
        </is>
      </c>
    </row>
    <row r="2">
      <c r="A2" t="inlineStr">
        <is>
          <t>CardMarket</t>
        </is>
      </c>
      <c r="B2" t="inlineStr">
        <is>
          <t>Chaos Cards</t>
        </is>
      </c>
      <c r="C2" t="inlineStr">
        <is>
          <t>Magic Madhouse</t>
        </is>
      </c>
      <c r="D2" t="inlineStr">
        <is>
          <t>MuddleIt</t>
        </is>
      </c>
      <c r="E2" t="inlineStr">
        <is>
          <t>PlusMarketing</t>
        </is>
      </c>
      <c r="F2" s="11" t="inlineStr">
        <is>
          <t>CardMarket</t>
        </is>
      </c>
      <c r="G2" s="11" t="inlineStr">
        <is>
          <t>Chaos Cards</t>
        </is>
      </c>
      <c r="H2" s="11" t="inlineStr">
        <is>
          <t>Magic Madhouse</t>
        </is>
      </c>
      <c r="I2" s="11" t="inlineStr">
        <is>
          <t>MuddleIt</t>
        </is>
      </c>
      <c r="J2" s="11" t="inlineStr">
        <is>
          <t>PlusMarketing</t>
        </is>
      </c>
      <c r="K2" t="inlineStr">
        <is>
          <t>CardMarket</t>
        </is>
      </c>
      <c r="L2" t="inlineStr">
        <is>
          <t>FB Marketplace</t>
        </is>
      </c>
      <c r="M2" t="inlineStr">
        <is>
          <t>CardMarket Profit</t>
        </is>
      </c>
      <c r="N2" t="inlineStr">
        <is>
          <t>Name</t>
        </is>
      </c>
    </row>
    <row r="3">
      <c r="A3" t="n">
        <v>183</v>
      </c>
      <c r="C3" t="n">
        <v>180</v>
      </c>
      <c r="D3" t="n">
        <v>85</v>
      </c>
      <c r="E3" t="n">
        <v>200</v>
      </c>
      <c r="F3" s="11">
        <f>(A3+96/10)/36</f>
        <v/>
      </c>
      <c r="G3" s="11">
        <f>(B3+96/10)/36</f>
        <v/>
      </c>
      <c r="H3" s="11">
        <f>(C3+96/10)/36</f>
        <v/>
      </c>
      <c r="I3" s="11">
        <f>(D3+96/10)/36</f>
        <v/>
      </c>
      <c r="J3" s="11">
        <f>(E3+96/10)/36</f>
        <v/>
      </c>
      <c r="K3" t="n">
        <v>6.99</v>
      </c>
      <c r="L3" t="n">
        <v>7</v>
      </c>
      <c r="M3" s="11">
        <f>K3-F3-1.5</f>
        <v/>
      </c>
      <c r="N3" t="inlineStr">
        <is>
          <t>Mega Evolutions 2: Phantasmal Flames Booster Box</t>
        </is>
      </c>
      <c r="S3">
        <f>170/36</f>
        <v/>
      </c>
      <c r="T3">
        <f>500/3/36</f>
        <v/>
      </c>
      <c r="U3">
        <f>332/4/18</f>
        <v/>
      </c>
    </row>
    <row r="4">
      <c r="A4" t="n">
        <v>183</v>
      </c>
      <c r="C4" t="n">
        <v>212</v>
      </c>
      <c r="E4" t="n">
        <v>262</v>
      </c>
      <c r="F4" s="11">
        <f>(A4+96/10)/36</f>
        <v/>
      </c>
      <c r="G4" s="11">
        <f>(B4+96/10)/36</f>
        <v/>
      </c>
      <c r="H4" s="11">
        <f>(C4+96/10)/36</f>
        <v/>
      </c>
      <c r="I4" s="11">
        <f>(D4+96/10)/36</f>
        <v/>
      </c>
      <c r="J4" s="11">
        <f>(E4+96/10)/36</f>
        <v/>
      </c>
      <c r="K4" t="n">
        <v>5.3</v>
      </c>
      <c r="L4" t="n">
        <v>6</v>
      </c>
      <c r="M4">
        <f>K4-F4-1.5</f>
        <v/>
      </c>
      <c r="N4" t="inlineStr">
        <is>
          <t>Mega Evolutions Booster Box</t>
        </is>
      </c>
      <c r="S4">
        <f>K3-1.5-S3</f>
        <v/>
      </c>
      <c r="T4">
        <f>K3-1.5-T3</f>
        <v/>
      </c>
      <c r="U4">
        <f>K3-1.5-U3</f>
        <v/>
      </c>
    </row>
    <row r="5">
      <c r="A5" t="n">
        <v>183</v>
      </c>
      <c r="F5" s="11">
        <f>(A5+96/10)/36</f>
        <v/>
      </c>
      <c r="K5" t="n">
        <v>3.99</v>
      </c>
      <c r="L5" t="n">
        <v>6</v>
      </c>
      <c r="M5">
        <f>K5-F5-1.5</f>
        <v/>
      </c>
      <c r="N5" t="inlineStr">
        <is>
          <t>Paradox Rift Booster Box</t>
        </is>
      </c>
    </row>
    <row r="6">
      <c r="A6" t="n">
        <v>285</v>
      </c>
      <c r="F6" s="11">
        <f>(A6+96/10)/36</f>
        <v/>
      </c>
      <c r="K6" t="n">
        <v>7</v>
      </c>
      <c r="L6" t="n">
        <v>6</v>
      </c>
      <c r="M6">
        <f>K6-F6-1.5</f>
        <v/>
      </c>
      <c r="N6" t="inlineStr">
        <is>
          <t>Paldea Evolved Booster Box</t>
        </is>
      </c>
    </row>
    <row r="7">
      <c r="A7" t="n">
        <v>178</v>
      </c>
      <c r="F7" s="11">
        <f>(A7+96/10)/36</f>
        <v/>
      </c>
      <c r="K7" t="n">
        <v>4.7</v>
      </c>
      <c r="L7" t="n">
        <v>6</v>
      </c>
      <c r="M7">
        <f>K7-F7-1.5</f>
        <v/>
      </c>
      <c r="N7" t="inlineStr">
        <is>
          <t xml:space="preserve">Scarlet &amp; Violet Booster Box </t>
        </is>
      </c>
    </row>
    <row r="8">
      <c r="A8" t="n">
        <v>248</v>
      </c>
      <c r="F8" s="11">
        <f>(A8+96/10)/36</f>
        <v/>
      </c>
      <c r="K8" t="n">
        <v>5.75</v>
      </c>
      <c r="L8" t="n">
        <v>6</v>
      </c>
      <c r="M8">
        <f>K8-F8-1.5</f>
        <v/>
      </c>
      <c r="N8" t="inlineStr">
        <is>
          <t>Obsidian Flames Booster Box</t>
        </is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4"/>
  <sheetViews>
    <sheetView zoomScaleNormal="150" zoomScaleSheetLayoutView="100" workbookViewId="0">
      <selection activeCell="G34" sqref="G34"/>
    </sheetView>
  </sheetViews>
  <sheetFormatPr baseColWidth="8" defaultRowHeight="15"/>
  <cols>
    <col width="11.140625" customWidth="1" style="6" min="1" max="1"/>
    <col width="8.5703125" bestFit="1" customWidth="1" style="6" min="2" max="2"/>
    <col width="36.5703125" bestFit="1" customWidth="1" style="6" min="3" max="3"/>
    <col width="10.85546875" bestFit="1" customWidth="1" style="6" min="4" max="4"/>
    <col width="11.7109375" bestFit="1" customWidth="1" style="6" min="5" max="5"/>
    <col width="8.7109375" bestFit="1" customWidth="1" style="6" min="6" max="6"/>
    <col width="8.5703125" bestFit="1" customWidth="1" style="6" min="7" max="7"/>
    <col width="12.5703125" bestFit="1" customWidth="1" style="6" min="8" max="8"/>
    <col width="36.5703125" bestFit="1" customWidth="1" style="6" min="9" max="9"/>
  </cols>
  <sheetData>
    <row r="1">
      <c r="A1" t="inlineStr">
        <is>
          <t>Date</t>
        </is>
      </c>
      <c r="B1" t="inlineStr">
        <is>
          <t>From</t>
        </is>
      </c>
      <c r="C1" t="inlineStr">
        <is>
          <t>Name</t>
        </is>
      </c>
      <c r="D1" t="inlineStr">
        <is>
          <t>Quantity</t>
        </is>
      </c>
      <c r="E1" t="inlineStr">
        <is>
          <t>Unit Cost</t>
        </is>
      </c>
      <c r="F1" t="inlineStr">
        <is>
          <t>Notes</t>
        </is>
      </c>
      <c r="G1" t="inlineStr">
        <is>
          <t>SKU</t>
        </is>
      </c>
      <c r="H1" t="inlineStr">
        <is>
          <t>Received?</t>
        </is>
      </c>
      <c r="I1" t="inlineStr">
        <is>
          <t>Purpose</t>
        </is>
      </c>
    </row>
    <row r="2">
      <c r="A2" s="3" t="n">
        <v>45934</v>
      </c>
      <c r="B2" t="inlineStr">
        <is>
          <t>Chaos Cards</t>
        </is>
      </c>
      <c r="C2" t="inlineStr">
        <is>
          <t>Chaos Cards - singles</t>
        </is>
      </c>
      <c r="F2" t="n">
        <v>41.45</v>
      </c>
      <c r="I2" t="inlineStr">
        <is>
          <t>Deck building content</t>
        </is>
      </c>
    </row>
    <row r="3">
      <c r="A3" s="3" t="n">
        <v>45934</v>
      </c>
      <c r="B3" t="inlineStr">
        <is>
          <t>Unicorn Cards</t>
        </is>
      </c>
      <c r="C3" t="inlineStr">
        <is>
          <t>Unicorn Cards - singles</t>
        </is>
      </c>
      <c r="F3" t="n">
        <v>47.7</v>
      </c>
      <c r="I3" t="inlineStr">
        <is>
          <t>Deck building content</t>
        </is>
      </c>
    </row>
    <row r="4">
      <c r="A4" s="3" t="n">
        <v>45934</v>
      </c>
      <c r="B4" t="inlineStr">
        <is>
          <t>Big Orbit Cards</t>
        </is>
      </c>
      <c r="C4" t="inlineStr">
        <is>
          <t>Big Orbit Cards - singles</t>
        </is>
      </c>
      <c r="F4" t="inlineStr">
        <is>
          <t>53.19 - 1.8</t>
        </is>
      </c>
      <c r="I4" t="inlineStr">
        <is>
          <t>Deck building content</t>
        </is>
      </c>
    </row>
    <row r="5">
      <c r="A5" s="3" t="n">
        <v>45942</v>
      </c>
      <c r="B5" t="inlineStr">
        <is>
          <t>Modular Worlds</t>
        </is>
      </c>
      <c r="C5" t="inlineStr">
        <is>
          <t>Dragon Shield Sealable Transparent Inner Sleeves</t>
        </is>
      </c>
      <c r="D5" t="n">
        <v>3</v>
      </c>
      <c r="E5" t="n">
        <v>5.99</v>
      </c>
      <c r="F5" t="n">
        <v>17.97</v>
      </c>
      <c r="I5" t="inlineStr">
        <is>
          <t>Inventory Management</t>
        </is>
      </c>
    </row>
    <row r="6">
      <c r="A6" s="3" t="n">
        <v>45943</v>
      </c>
      <c r="B6" t="inlineStr">
        <is>
          <t>Modular Worlds</t>
        </is>
      </c>
      <c r="C6" t="inlineStr">
        <is>
          <t>Dragon Shield Sealable Transparent Inner Sleeves</t>
        </is>
      </c>
      <c r="D6" t="n">
        <v>4</v>
      </c>
      <c r="E6" t="n">
        <v>5.99</v>
      </c>
      <c r="F6" t="n">
        <v>23.96</v>
      </c>
      <c r="I6" t="inlineStr">
        <is>
          <t>Inventory Management</t>
        </is>
      </c>
    </row>
    <row r="7">
      <c r="A7" s="3" t="n">
        <v>45946</v>
      </c>
      <c r="B7" t="inlineStr">
        <is>
          <t>Comic Con (MCM?)</t>
        </is>
      </c>
      <c r="C7" t="inlineStr">
        <is>
          <t>Comic Con ticket</t>
        </is>
      </c>
      <c r="D7" s="4" t="n">
        <v>2</v>
      </c>
      <c r="E7" t="n">
        <v>13.76</v>
      </c>
      <c r="F7" t="inlineStr">
        <is>
          <t>13.76 each</t>
        </is>
      </c>
      <c r="I7" t="inlineStr">
        <is>
          <t>Deck building content</t>
        </is>
      </c>
    </row>
    <row r="8">
      <c r="A8" s="3" t="n">
        <v>45948</v>
      </c>
      <c r="B8" t="inlineStr">
        <is>
          <t>Modular Worlds</t>
        </is>
      </c>
      <c r="C8" t="inlineStr">
        <is>
          <t>Cdr precons fin £75 and tdm £48.99</t>
        </is>
      </c>
      <c r="F8" t="n">
        <v>123.99</v>
      </c>
      <c r="I8" t="inlineStr">
        <is>
          <t>Deck building content</t>
        </is>
      </c>
    </row>
    <row r="9">
      <c r="A9" s="3" t="n">
        <v>45951</v>
      </c>
      <c r="B9" t="inlineStr">
        <is>
          <t>Modular worlds</t>
        </is>
      </c>
      <c r="C9" t="inlineStr">
        <is>
          <t>???</t>
        </is>
      </c>
      <c r="F9" t="n">
        <v>36.34</v>
      </c>
      <c r="I9" t="inlineStr">
        <is>
          <t>Deck building content</t>
        </is>
      </c>
    </row>
    <row r="10">
      <c r="A10" s="3" t="n">
        <v>45962</v>
      </c>
      <c r="B10" t="inlineStr">
        <is>
          <t>Retroblast Coffee</t>
        </is>
      </c>
      <c r="C10" t="inlineStr">
        <is>
          <t>Singles</t>
        </is>
      </c>
      <c r="F10" t="n">
        <v>15.4</v>
      </c>
      <c r="I10" t="inlineStr">
        <is>
          <t>Deck building content</t>
        </is>
      </c>
    </row>
    <row r="11">
      <c r="A11" s="3" t="n">
        <v>45962</v>
      </c>
      <c r="B11" t="inlineStr">
        <is>
          <t>Modular Worlds</t>
        </is>
      </c>
      <c r="C11" t="inlineStr">
        <is>
          <t xml:space="preserve">Cdr precon the lost caverns of ixalan blood rites £80, booster packs x2 war of the spark £8.45, x2 innistrad remastered £6.99 </t>
        </is>
      </c>
      <c r="F11" t="n">
        <v>109.88</v>
      </c>
      <c r="I11" t="inlineStr">
        <is>
          <t>Deck building content</t>
        </is>
      </c>
    </row>
    <row r="12">
      <c r="A12" s="3" t="n">
        <v>45963</v>
      </c>
      <c r="B12" t="inlineStr">
        <is>
          <t>Retroblast Coffee</t>
        </is>
      </c>
      <c r="C12" t="inlineStr">
        <is>
          <t>Singles</t>
        </is>
      </c>
      <c r="F12" t="n">
        <v>3.4</v>
      </c>
      <c r="I12" t="inlineStr">
        <is>
          <t>Deck building content</t>
        </is>
      </c>
    </row>
    <row r="13">
      <c r="A13" s="3" t="n">
        <v>45969</v>
      </c>
      <c r="B13" t="inlineStr">
        <is>
          <t>Geek Retreat</t>
        </is>
      </c>
      <c r="C13" t="inlineStr">
        <is>
          <t>Singles</t>
        </is>
      </c>
      <c r="F13" t="n">
        <v>6.9</v>
      </c>
      <c r="I13" t="inlineStr">
        <is>
          <t>Deck building content</t>
        </is>
      </c>
    </row>
    <row r="14">
      <c r="A14" s="3" t="n">
        <v>45969</v>
      </c>
      <c r="B14" t="inlineStr">
        <is>
          <t>Geek Retreat</t>
        </is>
      </c>
      <c r="C14" t="inlineStr">
        <is>
          <t>Singles</t>
        </is>
      </c>
      <c r="F14" t="n">
        <v>9</v>
      </c>
      <c r="I14" t="inlineStr">
        <is>
          <t>Deck building content</t>
        </is>
      </c>
    </row>
    <row r="15">
      <c r="A15" s="3" t="n">
        <v>45969</v>
      </c>
      <c r="B15" t="inlineStr">
        <is>
          <t>Geek Retreat</t>
        </is>
      </c>
      <c r="C15" t="inlineStr">
        <is>
          <t>Singles</t>
        </is>
      </c>
      <c r="F15" t="n">
        <v>30.2</v>
      </c>
      <c r="I15" t="inlineStr">
        <is>
          <t>Deck building content</t>
        </is>
      </c>
    </row>
    <row r="16">
      <c r="A16" s="3" t="n">
        <v>45969</v>
      </c>
      <c r="B16" t="inlineStr">
        <is>
          <t>Chaos Cards</t>
        </is>
      </c>
      <c r="F16" t="n">
        <v>42.91</v>
      </c>
      <c r="I16" t="inlineStr">
        <is>
          <t>Deck building content</t>
        </is>
      </c>
    </row>
    <row r="17">
      <c r="A17" s="3" t="n">
        <v>45969</v>
      </c>
      <c r="B17" t="inlineStr">
        <is>
          <t>Magic Madhouse</t>
        </is>
      </c>
      <c r="F17" t="n">
        <v>66.09</v>
      </c>
      <c r="I17" t="inlineStr">
        <is>
          <t>Deck building content</t>
        </is>
      </c>
    </row>
    <row r="18">
      <c r="A18" s="3" t="n">
        <v>45972</v>
      </c>
      <c r="B18" t="inlineStr">
        <is>
          <t>The Scrum</t>
        </is>
      </c>
      <c r="C18" t="inlineStr">
        <is>
          <t>The Scrum - sleeves, pkm booster packs</t>
        </is>
      </c>
      <c r="F18" t="n">
        <v>72.52</v>
      </c>
      <c r="I18" t="inlineStr">
        <is>
          <t>Inventory management and boosters bought by egg</t>
        </is>
      </c>
    </row>
    <row r="19">
      <c r="A19" s="3" t="n">
        <v>45982</v>
      </c>
      <c r="B19" t="inlineStr">
        <is>
          <t>Chaos Cards</t>
        </is>
      </c>
      <c r="F19" t="n">
        <v>245.31</v>
      </c>
    </row>
    <row r="20">
      <c r="A20" s="3" t="n">
        <v>45982</v>
      </c>
      <c r="B20" t="inlineStr">
        <is>
          <t>Magic Madhouse</t>
        </is>
      </c>
      <c r="C20" t="inlineStr">
        <is>
          <t>Sold: 1, Used: 2</t>
        </is>
      </c>
      <c r="F20" t="n">
        <v>366.53</v>
      </c>
    </row>
    <row r="21">
      <c r="A21" s="3" t="n">
        <v>45982</v>
      </c>
      <c r="B21" t="inlineStr">
        <is>
          <t>Big Orbit Cards</t>
        </is>
      </c>
      <c r="C21" t="inlineStr">
        <is>
          <t>Singles</t>
        </is>
      </c>
      <c r="F21" t="n">
        <v>30</v>
      </c>
    </row>
    <row r="22">
      <c r="A22" s="3" t="n">
        <v>45984</v>
      </c>
      <c r="B22" t="inlineStr">
        <is>
          <t>The Scrum</t>
        </is>
      </c>
      <c r="C22" t="inlineStr">
        <is>
          <t>PKM booster packs</t>
        </is>
      </c>
      <c r="F22" t="n">
        <v>42.9</v>
      </c>
    </row>
    <row r="23" ht="121.5" customHeight="1" s="6">
      <c r="A23" s="3" t="n">
        <v>45984</v>
      </c>
      <c r="B23" t="inlineStr">
        <is>
          <t>Hokey Poke Games</t>
        </is>
      </c>
      <c r="C23" s="1" t="inlineStr">
        <is>
          <t>MTG AND PKM booster packs - 4x MTG Foundations Booster Pack £4.50, 4x MTG The Lost Caverns of Ixalan Booster Pack £5.95, 1x PKM Scarlet &amp; Violet Paradox Rift Booster Pack £5.50, 1x PKM Scarlet &amp; Violet Temporal Forces Booster Pack £5.50, 1x PKM Scarlet &amp; Violet Paldea Evolved Booster Pack £8, 1x PKM Mega Evolution Phatasmal Flames Premium Checklane £6.99</t>
        </is>
      </c>
      <c r="F23" t="n">
        <v>67.79000000000001</v>
      </c>
      <c r="I23" s="1" t="inlineStr">
        <is>
          <t>Deck building content (MTG) + Sales inventory (PKM)</t>
        </is>
      </c>
    </row>
    <row r="24">
      <c r="A24" s="3" t="n">
        <v>45989</v>
      </c>
      <c r="B24" t="inlineStr">
        <is>
          <t>The Scrum</t>
        </is>
      </c>
      <c r="C24" t="inlineStr">
        <is>
          <t>PKM booster packs</t>
        </is>
      </c>
      <c r="F24" t="n">
        <v>21.45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6594"/>
  <sheetViews>
    <sheetView topLeftCell="A57" workbookViewId="0">
      <selection activeCell="F64" sqref="F64"/>
    </sheetView>
  </sheetViews>
  <sheetFormatPr baseColWidth="8" defaultRowHeight="15"/>
  <cols>
    <col width="9.85546875" customWidth="1" style="6" min="1" max="1"/>
    <col width="10.85546875" bestFit="1" customWidth="1" style="6" min="3" max="3"/>
    <col width="36.5703125" bestFit="1" customWidth="1" style="6" min="6" max="6"/>
    <col width="32.140625" bestFit="1" customWidth="1" style="6" min="8" max="8"/>
    <col width="10.85546875" bestFit="1" customWidth="1" style="6" min="11" max="11"/>
  </cols>
  <sheetData>
    <row r="1">
      <c r="A1" t="inlineStr">
        <is>
          <t>Set Name</t>
        </is>
      </c>
      <c r="B1" t="inlineStr">
        <is>
          <t>Card Count</t>
        </is>
      </c>
      <c r="C1" t="inlineStr">
        <is>
          <t>Released On</t>
        </is>
      </c>
      <c r="D1" t="inlineStr">
        <is>
          <t>Type Name</t>
        </is>
      </c>
      <c r="E1" t="inlineStr">
        <is>
          <t>Language Codes</t>
        </is>
      </c>
      <c r="F1" t="inlineStr">
        <is>
          <t>Row number</t>
        </is>
      </c>
      <c r="I1" s="7" t="inlineStr">
        <is>
          <t>Name</t>
        </is>
      </c>
      <c r="J1" s="7" t="inlineStr">
        <is>
          <t>Cards</t>
        </is>
      </c>
      <c r="K1" s="7" t="inlineStr">
        <is>
          <t>Date</t>
        </is>
      </c>
      <c r="L1" s="7" t="inlineStr">
        <is>
          <t>Languages</t>
        </is>
      </c>
    </row>
    <row r="2" ht="57.75" customHeight="1" s="6">
      <c r="A2" s="1">
        <f t="array" ref="A2">INDIRECT(_xlfn.CONCAT("$I", $F2))</f>
        <v/>
      </c>
      <c r="B2" s="1">
        <f t="array" ref="B2">INDIRECT(_xlfn.CONCAT("$J", $F2))</f>
        <v/>
      </c>
      <c r="C2" s="1">
        <f t="array" ref="C2">INDIRECT(_xlfn.CONCAT("$K", $F2))</f>
        <v/>
      </c>
      <c r="D2" s="1" t="n"/>
      <c r="E2" s="1">
        <f t="array" ref="E2">INDIRECT(_xlfn.CONCAT("$L", $F2))</f>
        <v/>
      </c>
      <c r="F2" t="n">
        <v>2</v>
      </c>
      <c r="I2" s="8" t="inlineStr">
        <is>
          <t>Marvel Super Heroes MSH</t>
        </is>
      </c>
      <c r="J2" s="8" t="n">
        <v>20</v>
      </c>
      <c r="K2" s="9" t="n">
        <v>46199</v>
      </c>
      <c r="L2" s="8" t="inlineStr">
        <is>
          <t>en es fr de it pt ja ko ru 汉语 漢語</t>
        </is>
      </c>
    </row>
    <row r="3" ht="68.25" customHeight="1" s="6">
      <c r="A3" s="1">
        <f t="array" ref="A3">INDIRECT(_xlfn.CONCAT("$I", $F3))</f>
        <v/>
      </c>
      <c r="B3" s="1">
        <f t="array" ref="B3">INDIRECT(_xlfn.CONCAT("$J", $F3))</f>
        <v/>
      </c>
      <c r="C3" s="1">
        <f t="array" ref="C3">INDIRECT(_xlfn.CONCAT("$K", $F3))</f>
        <v/>
      </c>
      <c r="D3" s="1" t="n"/>
      <c r="E3" s="1">
        <f t="array" ref="E3">INDIRECT(_xlfn.CONCAT("$L", $F3))</f>
        <v/>
      </c>
      <c r="F3" s="1">
        <f t="array" ref="F3">IF(NOT(OR(ISERROR(INDIRECT(_xlfn.CONCAT("$I", $F2 + 1))), ISBLANK(INDIRECT(_xlfn.CONCAT("$I", $F2 + 1))))), $F2 + 1, IF(NOT(ISBLANK(INDIRECT(_xlfn.CONCAT("$I", $F2 + 2)))), $F2 + 2, ""))</f>
        <v/>
      </c>
      <c r="I3" s="8" t="inlineStr">
        <is>
          <t>Marvel Super Heroes Commander MSC</t>
        </is>
      </c>
      <c r="J3" s="8" t="n">
        <v>4</v>
      </c>
      <c r="K3" s="9" t="n">
        <v>46199</v>
      </c>
      <c r="L3" s="8" t="inlineStr">
        <is>
          <t>en es fr de it pt ja ko ru 汉语 漢語</t>
        </is>
      </c>
    </row>
    <row r="4" ht="68.25" customHeight="1" s="6">
      <c r="A4" s="1">
        <f t="array" ref="A4">INDIRECT(_xlfn.CONCAT("$I", $F4))</f>
        <v/>
      </c>
      <c r="B4" s="1">
        <f t="array" ref="B4">INDIRECT(_xlfn.CONCAT("$J", $F4))</f>
        <v/>
      </c>
      <c r="C4" s="1">
        <f t="array" ref="C4">INDIRECT(_xlfn.CONCAT("$K", $F4))</f>
        <v/>
      </c>
      <c r="D4" s="1" t="n"/>
      <c r="E4" s="1">
        <f t="array" ref="E4">INDIRECT(_xlfn.CONCAT("$L", $F4))</f>
        <v/>
      </c>
      <c r="F4" s="1">
        <f t="array" ref="F4">IF(NOT(OR(ISERROR(INDIRECT(_xlfn.CONCAT("$I", $F3 + 1))), ISBLANK(INDIRECT(_xlfn.CONCAT("$I", $F3 + 1))))), $F3 + 1, IF(NOT(ISBLANK(INDIRECT(_xlfn.CONCAT("$I", $F3 + 2)))), $F3 + 2, ""))</f>
        <v/>
      </c>
      <c r="I4" s="8" t="inlineStr">
        <is>
          <t>Teenage Mutant Ninja Turtles TMT</t>
        </is>
      </c>
      <c r="J4" s="8" t="n">
        <v>20</v>
      </c>
      <c r="K4" s="9" t="n">
        <v>46087</v>
      </c>
      <c r="L4" s="8" t="inlineStr">
        <is>
          <t>en es fr de it pt ja ko ru 汉语 漢語</t>
        </is>
      </c>
    </row>
    <row r="5" ht="94.5" customHeight="1" s="6">
      <c r="A5" s="1">
        <f t="array" ref="A5">INDIRECT(_xlfn.CONCAT("$I", $F5))</f>
        <v/>
      </c>
      <c r="B5" s="1">
        <f t="array" ref="B5">INDIRECT(_xlfn.CONCAT("$J", $F5))</f>
        <v/>
      </c>
      <c r="C5" s="1">
        <f t="array" ref="C5">INDIRECT(_xlfn.CONCAT("$K", $F5))</f>
        <v/>
      </c>
      <c r="D5" s="1" t="n"/>
      <c r="E5" s="1">
        <f t="array" ref="E5">INDIRECT(_xlfn.CONCAT("$L", $F5))</f>
        <v/>
      </c>
      <c r="F5" s="1">
        <f t="array" ref="F5">IF(NOT(OR(ISERROR(INDIRECT(_xlfn.CONCAT("$I", $F4 + 1))), ISBLANK(INDIRECT(_xlfn.CONCAT("$I", $F4 + 1))))), $F4 + 1, IF(NOT(ISBLANK(INDIRECT(_xlfn.CONCAT("$I", $F4 + 2)))), $F4 + 2, ""))</f>
        <v/>
      </c>
      <c r="I5" s="8" t="inlineStr">
        <is>
          <t>Teenage Mutant Ninja Turtles Source Material PZA</t>
        </is>
      </c>
      <c r="J5" s="8" t="n">
        <v>1</v>
      </c>
      <c r="K5" s="9" t="n">
        <v>46087</v>
      </c>
      <c r="L5" s="8" t="inlineStr">
        <is>
          <t>en es fr de it pt ja ko ru 汉语 漢語</t>
        </is>
      </c>
    </row>
    <row r="6" ht="81" customHeight="1" s="6">
      <c r="A6" s="1">
        <f t="array" ref="A6">INDIRECT(_xlfn.CONCAT("$I", $F6))</f>
        <v/>
      </c>
      <c r="B6" s="1">
        <f t="array" ref="B6">INDIRECT(_xlfn.CONCAT("$J", $F6))</f>
        <v/>
      </c>
      <c r="C6" s="1">
        <f t="array" ref="C6">INDIRECT(_xlfn.CONCAT("$K", $F6))</f>
        <v/>
      </c>
      <c r="D6" s="1" t="n"/>
      <c r="E6" s="1">
        <f t="array" ref="E6">INDIRECT(_xlfn.CONCAT("$L", $F6))</f>
        <v/>
      </c>
      <c r="F6" s="1">
        <f t="array" ref="F6">IF(NOT(OR(ISERROR(INDIRECT(_xlfn.CONCAT("$I", $F5 + 1))), ISBLANK(INDIRECT(_xlfn.CONCAT("$I", $F5 + 1))))), $F5 + 1, IF(NOT(ISBLANK(INDIRECT(_xlfn.CONCAT("$I", $F5 + 2)))), $F5 + 2, ""))</f>
        <v/>
      </c>
      <c r="I6" s="8" t="inlineStr">
        <is>
          <t>Teenage Mutant Ninja Turtles Tokens TTMT</t>
        </is>
      </c>
      <c r="J6" s="8" t="n">
        <v>1</v>
      </c>
      <c r="K6" s="9" t="n">
        <v>46087</v>
      </c>
      <c r="L6" s="8" t="inlineStr">
        <is>
          <t>en es fr de it pt ja ko ru 汉语 漢語</t>
        </is>
      </c>
    </row>
    <row r="7" ht="81" customHeight="1" s="6">
      <c r="A7" s="1">
        <f t="array" ref="A7">INDIRECT(_xlfn.CONCAT("$I", $F7))</f>
        <v/>
      </c>
      <c r="B7" s="1">
        <f t="array" ref="B7">INDIRECT(_xlfn.CONCAT("$J", $F7))</f>
        <v/>
      </c>
      <c r="C7" s="1">
        <f t="array" ref="C7">INDIRECT(_xlfn.CONCAT("$K", $F7))</f>
        <v/>
      </c>
      <c r="D7" s="1" t="n"/>
      <c r="E7" s="1">
        <f t="array" ref="E7">INDIRECT(_xlfn.CONCAT("$L", $F7))</f>
        <v/>
      </c>
      <c r="F7" s="1">
        <f t="array" ref="F7">IF(NOT(OR(ISERROR(INDIRECT(_xlfn.CONCAT("$I", $F6 + 1))), ISBLANK(INDIRECT(_xlfn.CONCAT("$I", $F6 + 1))))), $F6 + 1, IF(NOT(ISBLANK(INDIRECT(_xlfn.CONCAT("$I", $F6 + 2)))), $F6 + 2, ""))</f>
        <v/>
      </c>
      <c r="I7" s="8" t="inlineStr">
        <is>
          <t>Teenage Mutant Ninja Turtles Eternal TMC</t>
        </is>
      </c>
      <c r="J7" s="8" t="n">
        <v>12</v>
      </c>
      <c r="K7" s="9" t="n">
        <v>46087</v>
      </c>
      <c r="L7" s="8" t="inlineStr">
        <is>
          <t>en es fr de it pt ja ko ru 汉语 漢語</t>
        </is>
      </c>
    </row>
    <row r="8" ht="94.5" customHeight="1" s="6">
      <c r="A8" s="1">
        <f t="array" ref="A8">INDIRECT(_xlfn.CONCAT("$I", $F8))</f>
        <v/>
      </c>
      <c r="B8" s="1">
        <f t="array" ref="B8">INDIRECT(_xlfn.CONCAT("$J", $F8))</f>
        <v/>
      </c>
      <c r="C8" s="1">
        <f t="array" ref="C8">INDIRECT(_xlfn.CONCAT("$K", $F8))</f>
        <v/>
      </c>
      <c r="D8" s="1" t="n"/>
      <c r="E8" s="1">
        <f t="array" ref="E8">INDIRECT(_xlfn.CONCAT("$L", $F8))</f>
        <v/>
      </c>
      <c r="F8" s="1">
        <f t="array" ref="F8">IF(NOT(OR(ISERROR(INDIRECT(_xlfn.CONCAT("$I", $F7 + 1))), ISBLANK(INDIRECT(_xlfn.CONCAT("$I", $F7 + 1))))), $F7 + 1, IF(NOT(ISBLANK(INDIRECT(_xlfn.CONCAT("$I", $F7 + 2)))), $F7 + 2, ""))</f>
        <v/>
      </c>
      <c r="I8" s="8" t="inlineStr">
        <is>
          <t>Teenage Mutant Ninja Turtles Eternal Tokens TTMC</t>
        </is>
      </c>
      <c r="J8" s="8" t="n">
        <v>4</v>
      </c>
      <c r="K8" s="9" t="n">
        <v>46087</v>
      </c>
      <c r="L8" s="8" t="inlineStr">
        <is>
          <t>en es fr de it pt ja ko ru 汉语 漢語</t>
        </is>
      </c>
    </row>
    <row r="9" ht="57.75" customHeight="1" s="6">
      <c r="A9" s="1">
        <f t="array" ref="A9">INDIRECT(_xlfn.CONCAT("$I", $F9))</f>
        <v/>
      </c>
      <c r="B9" s="1">
        <f t="array" ref="B9">INDIRECT(_xlfn.CONCAT("$J", $F9))</f>
        <v/>
      </c>
      <c r="C9" s="1">
        <f t="array" ref="C9">INDIRECT(_xlfn.CONCAT("$K", $F9))</f>
        <v/>
      </c>
      <c r="D9" s="1" t="n"/>
      <c r="E9" s="1">
        <f t="array" ref="E9">INDIRECT(_xlfn.CONCAT("$L", $F9))</f>
        <v/>
      </c>
      <c r="F9" s="1">
        <f t="array" ref="F9">IF(NOT(OR(ISERROR(INDIRECT(_xlfn.CONCAT("$I", $F8 + 1))), ISBLANK(INDIRECT(_xlfn.CONCAT("$I", $F8 + 1))))), $F8 + 1, IF(NOT(ISBLANK(INDIRECT(_xlfn.CONCAT("$I", $F8 + 2)))), $F8 + 2, ""))</f>
        <v/>
      </c>
      <c r="I9" s="8" t="inlineStr">
        <is>
          <t>Lorwyn Eclipsed ECL</t>
        </is>
      </c>
      <c r="J9" s="8" t="n">
        <v>33</v>
      </c>
      <c r="K9" s="9" t="n">
        <v>46045</v>
      </c>
      <c r="L9" s="8" t="inlineStr">
        <is>
          <t>en es fr de it pt ja ko ru 汉语 漢語</t>
        </is>
      </c>
    </row>
    <row r="10" ht="57.75" customHeight="1" s="6">
      <c r="A10" s="1">
        <f t="array" ref="A10">INDIRECT(_xlfn.CONCAT("$I", $F10))</f>
        <v/>
      </c>
      <c r="B10" s="1">
        <f t="array" ref="B10">INDIRECT(_xlfn.CONCAT("$J", $F10))</f>
        <v/>
      </c>
      <c r="C10" s="1">
        <f t="array" ref="C10">INDIRECT(_xlfn.CONCAT("$K", $F10))</f>
        <v/>
      </c>
      <c r="D10" s="1" t="n"/>
      <c r="E10" s="1">
        <f t="array" ref="E10">INDIRECT(_xlfn.CONCAT("$L", $F10))</f>
        <v/>
      </c>
      <c r="F10" s="1">
        <f t="array" ref="F10">IF(NOT(OR(ISERROR(INDIRECT(_xlfn.CONCAT("$I", $F9 + 1))), ISBLANK(INDIRECT(_xlfn.CONCAT("$I", $F9 + 1))))), $F9 + 1, IF(NOT(ISBLANK(INDIRECT(_xlfn.CONCAT("$I", $F9 + 2)))), $F9 + 2, ""))</f>
        <v/>
      </c>
      <c r="I10" s="8" t="inlineStr">
        <is>
          <t>MagicFest 2026 PF26</t>
        </is>
      </c>
      <c r="J10" s="8" t="n">
        <v>1</v>
      </c>
      <c r="K10" s="9" t="n">
        <v>46023</v>
      </c>
      <c r="L10" s="8" t="inlineStr">
        <is>
          <t>en es fr de it pt ja ko ru 汉语 漢語</t>
        </is>
      </c>
    </row>
    <row r="11" ht="57.75" customHeight="1" s="6">
      <c r="A11" s="1">
        <f t="array" ref="A11">INDIRECT(_xlfn.CONCAT("$I", $F11))</f>
        <v/>
      </c>
      <c r="B11" s="1">
        <f t="array" ref="B11">INDIRECT(_xlfn.CONCAT("$J", $F11))</f>
        <v/>
      </c>
      <c r="C11" s="1">
        <f t="array" ref="C11">INDIRECT(_xlfn.CONCAT("$K", $F11))</f>
        <v/>
      </c>
      <c r="D11" s="1" t="n"/>
      <c r="E11" s="1">
        <f t="array" ref="E11">INDIRECT(_xlfn.CONCAT("$L", $F11))</f>
        <v/>
      </c>
      <c r="F11" s="1">
        <f t="array" ref="F11">IF(NOT(OR(ISERROR(INDIRECT(_xlfn.CONCAT("$I", $F10 + 1))), ISBLANK(INDIRECT(_xlfn.CONCAT("$I", $F10 + 1))))), $F10 + 1, IF(NOT(ISBLANK(INDIRECT(_xlfn.CONCAT("$I", $F10 + 2)))), $F10 + 2, ""))</f>
        <v/>
      </c>
      <c r="I11" s="8" t="inlineStr">
        <is>
          <t>Avatar: The Last Airbender TLA</t>
        </is>
      </c>
      <c r="J11" s="8" t="n">
        <v>394</v>
      </c>
      <c r="K11" s="9" t="n">
        <v>45982</v>
      </c>
      <c r="L11" s="8" t="inlineStr">
        <is>
          <t>en es fr de it pt ja ko ru 汉语 漢語</t>
        </is>
      </c>
    </row>
    <row r="12" ht="68.25" customHeight="1" s="6">
      <c r="A12" s="1">
        <f t="array" ref="A12">INDIRECT(_xlfn.CONCAT("$I", $F12))</f>
        <v/>
      </c>
      <c r="B12" s="1">
        <f t="array" ref="B12">INDIRECT(_xlfn.CONCAT("$J", $F12))</f>
        <v/>
      </c>
      <c r="C12" s="1">
        <f t="array" ref="C12">INDIRECT(_xlfn.CONCAT("$K", $F12))</f>
        <v/>
      </c>
      <c r="D12" s="1" t="n"/>
      <c r="E12" s="1">
        <f t="array" ref="E12">INDIRECT(_xlfn.CONCAT("$L", $F12))</f>
        <v/>
      </c>
      <c r="F12" s="1">
        <f t="array" ref="F12">IF(NOT(OR(ISERROR(INDIRECT(_xlfn.CONCAT("$I", $F11 + 1))), ISBLANK(INDIRECT(_xlfn.CONCAT("$I", $F11 + 1))))), $F11 + 1, IF(NOT(ISBLANK(INDIRECT(_xlfn.CONCAT("$I", $F11 + 2)))), $F11 + 2, ""))</f>
        <v/>
      </c>
      <c r="I12" s="8" t="inlineStr">
        <is>
          <t>Avatar: The Last Airbender Tokens TTLA</t>
        </is>
      </c>
      <c r="J12" s="8" t="n">
        <v>22</v>
      </c>
      <c r="K12" s="9" t="n">
        <v>45982</v>
      </c>
      <c r="L12" s="8" t="inlineStr">
        <is>
          <t>en es fr de it pt ja ko ru 汉语 漢語</t>
        </is>
      </c>
    </row>
    <row r="13" ht="81" customHeight="1" s="6">
      <c r="A13" s="1">
        <f t="array" ref="A13">INDIRECT(_xlfn.CONCAT("$I", $F13))</f>
        <v/>
      </c>
      <c r="B13" s="1">
        <f t="array" ref="B13">INDIRECT(_xlfn.CONCAT("$J", $F13))</f>
        <v/>
      </c>
      <c r="C13" s="1">
        <f t="array" ref="C13">INDIRECT(_xlfn.CONCAT("$K", $F13))</f>
        <v/>
      </c>
      <c r="D13" s="1" t="n"/>
      <c r="E13" s="1">
        <f t="array" ref="E13">INDIRECT(_xlfn.CONCAT("$L", $F13))</f>
        <v/>
      </c>
      <c r="F13" s="1">
        <f t="array" ref="F13">IF(NOT(OR(ISERROR(INDIRECT(_xlfn.CONCAT("$I", $F12 + 1))), ISBLANK(INDIRECT(_xlfn.CONCAT("$I", $F12 + 1))))), $F12 + 1, IF(NOT(ISBLANK(INDIRECT(_xlfn.CONCAT("$I", $F12 + 2)))), $F12 + 2, ""))</f>
        <v/>
      </c>
      <c r="I13" s="8" t="inlineStr">
        <is>
          <t>Avatar: The Last Airbender Beginner Box Front Cards FTLA</t>
        </is>
      </c>
      <c r="J13" s="8" t="n">
        <v>10</v>
      </c>
      <c r="K13" s="9" t="n">
        <v>45982</v>
      </c>
      <c r="L13" s="8" t="inlineStr">
        <is>
          <t>en es fr de it pt ja ko ru 汉语 漢語</t>
        </is>
      </c>
    </row>
    <row r="14" ht="81" customHeight="1" s="6">
      <c r="A14" s="1">
        <f t="array" ref="A14">INDIRECT(_xlfn.CONCAT("$I", $F14))</f>
        <v/>
      </c>
      <c r="B14" s="1">
        <f t="array" ref="B14">INDIRECT(_xlfn.CONCAT("$J", $F14))</f>
        <v/>
      </c>
      <c r="C14" s="1">
        <f t="array" ref="C14">INDIRECT(_xlfn.CONCAT("$K", $F14))</f>
        <v/>
      </c>
      <c r="D14" s="1" t="n"/>
      <c r="E14" s="1">
        <f t="array" ref="E14">INDIRECT(_xlfn.CONCAT("$L", $F14))</f>
        <v/>
      </c>
      <c r="F14" s="1">
        <f t="array" ref="F14">IF(NOT(OR(ISERROR(INDIRECT(_xlfn.CONCAT("$I", $F13 + 1))), ISBLANK(INDIRECT(_xlfn.CONCAT("$I", $F13 + 1))))), $F13 + 1, IF(NOT(ISBLANK(INDIRECT(_xlfn.CONCAT("$I", $F13 + 2)))), $F13 + 2, ""))</f>
        <v/>
      </c>
      <c r="I14" s="8" t="inlineStr">
        <is>
          <t>Avatar: The Last Airbender Jumpstart Front Cards JTLA</t>
        </is>
      </c>
      <c r="J14" s="8" t="n">
        <v>46</v>
      </c>
      <c r="K14" s="9" t="n">
        <v>45982</v>
      </c>
      <c r="L14" s="8" t="inlineStr">
        <is>
          <t>en es fr de it pt ja ko ru 汉语 漢語</t>
        </is>
      </c>
    </row>
    <row r="15" ht="57.75" customHeight="1" s="6">
      <c r="A15" s="1">
        <f t="array" ref="A15">INDIRECT(_xlfn.CONCAT("$I", $F15))</f>
        <v/>
      </c>
      <c r="B15" s="1">
        <f t="array" ref="B15">INDIRECT(_xlfn.CONCAT("$J", $F15))</f>
        <v/>
      </c>
      <c r="C15" s="1">
        <f t="array" ref="C15">INDIRECT(_xlfn.CONCAT("$K", $F15))</f>
        <v/>
      </c>
      <c r="D15" s="1" t="n"/>
      <c r="E15" s="1">
        <f t="array" ref="E15">INDIRECT(_xlfn.CONCAT("$L", $F15))</f>
        <v/>
      </c>
      <c r="F15" s="1">
        <f t="array" ref="F15">IF(NOT(OR(ISERROR(INDIRECT(_xlfn.CONCAT("$I", $F14 + 1))), ISBLANK(INDIRECT(_xlfn.CONCAT("$I", $F14 + 1))))), $F14 + 1, IF(NOT(ISBLANK(INDIRECT(_xlfn.CONCAT("$I", $F14 + 2)))), $F14 + 2, ""))</f>
        <v/>
      </c>
      <c r="I15" s="8" t="inlineStr">
        <is>
          <t>Avatar: The Last Airbender Eternal TLE</t>
        </is>
      </c>
      <c r="J15" s="8" t="n">
        <v>317</v>
      </c>
      <c r="K15" s="9" t="n">
        <v>45982</v>
      </c>
      <c r="L15" s="8" t="inlineStr">
        <is>
          <t>en es fr de it pt ja ko ru 汉语 漢語</t>
        </is>
      </c>
    </row>
    <row r="16" ht="81" customHeight="1" s="6">
      <c r="A16" s="1">
        <f t="array" ref="A16">INDIRECT(_xlfn.CONCAT("$I", $F16))</f>
        <v/>
      </c>
      <c r="B16" s="1">
        <f t="array" ref="B16">INDIRECT(_xlfn.CONCAT("$J", $F16))</f>
        <v/>
      </c>
      <c r="C16" s="1">
        <f t="array" ref="C16">INDIRECT(_xlfn.CONCAT("$K", $F16))</f>
        <v/>
      </c>
      <c r="D16" s="1" t="n"/>
      <c r="E16" s="1">
        <f t="array" ref="E16">INDIRECT(_xlfn.CONCAT("$L", $F16))</f>
        <v/>
      </c>
      <c r="F16" s="1">
        <f t="array" ref="F16">IF(NOT(OR(ISERROR(INDIRECT(_xlfn.CONCAT("$I", $F15 + 1))), ISBLANK(INDIRECT(_xlfn.CONCAT("$I", $F15 + 1))))), $F15 + 1, IF(NOT(ISBLANK(INDIRECT(_xlfn.CONCAT("$I", $F15 + 2)))), $F15 + 2, ""))</f>
        <v/>
      </c>
      <c r="I16" s="8" t="inlineStr">
        <is>
          <t>Avatar: The Last Airbender Eternal Tokens TTLE</t>
        </is>
      </c>
      <c r="J16" s="8" t="n">
        <v>2</v>
      </c>
      <c r="K16" s="9" t="n">
        <v>45982</v>
      </c>
      <c r="L16" s="8" t="inlineStr">
        <is>
          <t>en es fr de it pt ja ko ru 汉语 漢語</t>
        </is>
      </c>
    </row>
    <row r="17" ht="54.75" customHeight="1" s="6">
      <c r="A17" s="1">
        <f t="array" ref="A17">INDIRECT(_xlfn.CONCAT("$I", $F17))</f>
        <v/>
      </c>
      <c r="B17" s="1">
        <f t="array" ref="B17">INDIRECT(_xlfn.CONCAT("$J", $F17))</f>
        <v/>
      </c>
      <c r="C17" s="1">
        <f t="array" ref="C17">INDIRECT(_xlfn.CONCAT("$K", $F17))</f>
        <v/>
      </c>
      <c r="D17" s="1" t="n"/>
      <c r="E17" s="1">
        <f t="array" ref="E17">INDIRECT(_xlfn.CONCAT("$L", $F17))</f>
        <v/>
      </c>
      <c r="F17" s="1">
        <f t="array" ref="F17">IF(NOT(OR(ISERROR(INDIRECT(_xlfn.CONCAT("$I", $F16 + 1))), ISBLANK(INDIRECT(_xlfn.CONCAT("$I", $F16 + 1))))), $F16 + 1, IF(NOT(ISBLANK(INDIRECT(_xlfn.CONCAT("$I", $F16 + 2)))), $F16 + 2, ""))</f>
        <v/>
      </c>
      <c r="I17" s="8" t="inlineStr">
        <is>
          <t>Arena Powered Cube APCUBE</t>
        </is>
      </c>
      <c r="J17" s="8" t="n">
        <v>540</v>
      </c>
      <c r="K17" s="9" t="n">
        <v>45953</v>
      </c>
    </row>
    <row r="18" ht="57.75" customHeight="1" s="6">
      <c r="A18" s="1">
        <f t="array" ref="A18">INDIRECT(_xlfn.CONCAT("$I", $F18))</f>
        <v/>
      </c>
      <c r="B18" s="1">
        <f t="array" ref="B18">INDIRECT(_xlfn.CONCAT("$J", $F18))</f>
        <v/>
      </c>
      <c r="C18" s="1">
        <f t="array" ref="C18">INDIRECT(_xlfn.CONCAT("$K", $F18))</f>
        <v/>
      </c>
      <c r="D18" s="1" t="n"/>
      <c r="E18" s="1">
        <f t="array" ref="E18">INDIRECT(_xlfn.CONCAT("$L", $F18))</f>
        <v/>
      </c>
      <c r="F18" s="1">
        <f t="array" ref="F18">IF(NOT(OR(ISERROR(INDIRECT(_xlfn.CONCAT("$I", $F17 + 1))), ISBLANK(INDIRECT(_xlfn.CONCAT("$I", $F17 + 1))))), $F17 + 1, IF(NOT(ISBLANK(INDIRECT(_xlfn.CONCAT("$I", $F17 + 2)))), $F17 + 2, ""))</f>
        <v/>
      </c>
      <c r="I18" s="8" t="inlineStr">
        <is>
          <t>Marvel Universe MAR</t>
        </is>
      </c>
      <c r="J18" s="8" t="n">
        <v>53</v>
      </c>
      <c r="K18" s="9" t="n">
        <v>45926</v>
      </c>
      <c r="L18" t="inlineStr">
        <is>
          <t>en es fr de it pt ja ko ru 汉语 漢語</t>
        </is>
      </c>
    </row>
    <row r="19" ht="68.25" customHeight="1" s="6">
      <c r="A19" s="1">
        <f t="array" ref="A19">INDIRECT(_xlfn.CONCAT("$I", $F19))</f>
        <v/>
      </c>
      <c r="B19" s="1">
        <f t="array" ref="B19">INDIRECT(_xlfn.CONCAT("$J", $F19))</f>
        <v/>
      </c>
      <c r="C19" s="1">
        <f t="array" ref="C19">INDIRECT(_xlfn.CONCAT("$K", $F19))</f>
        <v/>
      </c>
      <c r="D19" s="1" t="n"/>
      <c r="E19" s="1">
        <f t="array" ref="E19">INDIRECT(_xlfn.CONCAT("$L", $F19))</f>
        <v/>
      </c>
      <c r="F19" s="1">
        <f t="array" ref="F19">IF(NOT(OR(ISERROR(INDIRECT(_xlfn.CONCAT("$I", $F18 + 1))), ISBLANK(INDIRECT(_xlfn.CONCAT("$I", $F18 + 1))))), $F18 + 1, IF(NOT(ISBLANK(INDIRECT(_xlfn.CONCAT("$I", $F18 + 2)))), $F18 + 2, ""))</f>
        <v/>
      </c>
      <c r="I19" s="8" t="inlineStr">
        <is>
          <t>Through the Omenpaths Bonus Sheet OMB</t>
        </is>
      </c>
      <c r="J19" s="8" t="n">
        <v>40</v>
      </c>
      <c r="K19" s="9" t="n">
        <v>45923</v>
      </c>
      <c r="L19" s="8" t="inlineStr">
        <is>
          <t>en es fr de it pt ja ko ru 汉语 漢語</t>
        </is>
      </c>
    </row>
    <row r="20" ht="68.25" customHeight="1" s="6">
      <c r="A20" s="1">
        <f t="array" ref="A20">INDIRECT(_xlfn.CONCAT("$I", $F20))</f>
        <v/>
      </c>
      <c r="B20" s="1">
        <f t="array" ref="B20">INDIRECT(_xlfn.CONCAT("$J", $F20))</f>
        <v/>
      </c>
      <c r="C20" s="1">
        <f t="array" ref="C20">INDIRECT(_xlfn.CONCAT("$K", $F20))</f>
        <v/>
      </c>
      <c r="D20" s="1" t="n"/>
      <c r="E20" s="1">
        <f t="array" ref="E20">INDIRECT(_xlfn.CONCAT("$L", $F20))</f>
        <v/>
      </c>
      <c r="F20" s="1">
        <f t="array" ref="F20">IF(NOT(OR(ISERROR(INDIRECT(_xlfn.CONCAT("$I", $F19 + 1))), ISBLANK(INDIRECT(_xlfn.CONCAT("$I", $F19 + 1))))), $F19 + 1, IF(NOT(ISBLANK(INDIRECT(_xlfn.CONCAT("$I", $F19 + 2)))), $F19 + 2, ""))</f>
        <v/>
      </c>
      <c r="I20" s="8" t="inlineStr">
        <is>
          <t>Marvel Legends Series Inserts LMAR</t>
        </is>
      </c>
      <c r="J20" s="8" t="n">
        <v>4</v>
      </c>
      <c r="K20" s="9" t="n">
        <v>45930</v>
      </c>
      <c r="L20" s="8" t="inlineStr">
        <is>
          <t>en es fr de it pt ja ko ru 汉语 漢語</t>
        </is>
      </c>
    </row>
    <row r="21" ht="57.75" customHeight="1" s="6">
      <c r="A21" s="1">
        <f t="array" ref="A21">INDIRECT(_xlfn.CONCAT("$I", $F21))</f>
        <v/>
      </c>
      <c r="B21" s="1">
        <f t="array" ref="B21">INDIRECT(_xlfn.CONCAT("$J", $F21))</f>
        <v/>
      </c>
      <c r="C21" s="1">
        <f t="array" ref="C21">INDIRECT(_xlfn.CONCAT("$K", $F21))</f>
        <v/>
      </c>
      <c r="D21" s="1" t="n"/>
      <c r="E21" s="1">
        <f t="array" ref="E21">INDIRECT(_xlfn.CONCAT("$L", $F21))</f>
        <v/>
      </c>
      <c r="F21" s="1">
        <f t="array" ref="F21">IF(NOT(OR(ISERROR(INDIRECT(_xlfn.CONCAT("$I", $F20 + 1))), ISBLANK(INDIRECT(_xlfn.CONCAT("$I", $F20 + 1))))), $F20 + 1, IF(NOT(ISBLANK(INDIRECT(_xlfn.CONCAT("$I", $F20 + 2)))), $F20 + 2, ""))</f>
        <v/>
      </c>
      <c r="I21" s="8" t="inlineStr">
        <is>
          <t>Marvel's Spider-Man SPM</t>
        </is>
      </c>
      <c r="J21" s="8" t="n">
        <v>286</v>
      </c>
      <c r="K21" s="9" t="n">
        <v>45926</v>
      </c>
      <c r="L21" t="inlineStr">
        <is>
          <t>en es fr de it pt ja ko ru 汉语 漢語</t>
        </is>
      </c>
    </row>
    <row r="22" ht="68.25" customHeight="1" s="6">
      <c r="A22" s="1">
        <f t="array" ref="A22">INDIRECT(_xlfn.CONCAT("$I", $F22))</f>
        <v/>
      </c>
      <c r="B22" s="1">
        <f t="array" ref="B22">INDIRECT(_xlfn.CONCAT("$J", $F22))</f>
        <v/>
      </c>
      <c r="C22" s="1">
        <f t="array" ref="C22">INDIRECT(_xlfn.CONCAT("$K", $F22))</f>
        <v/>
      </c>
      <c r="D22" s="1" t="n"/>
      <c r="E22" s="1">
        <f t="array" ref="E22">INDIRECT(_xlfn.CONCAT("$L", $F22))</f>
        <v/>
      </c>
      <c r="F22" s="1">
        <f t="array" ref="F22">IF(NOT(OR(ISERROR(INDIRECT(_xlfn.CONCAT("$I", $F21 + 1))), ISBLANK(INDIRECT(_xlfn.CONCAT("$I", $F21 + 1))))), $F21 + 1, IF(NOT(ISBLANK(INDIRECT(_xlfn.CONCAT("$I", $F21 + 2)))), $F21 + 2, ""))</f>
        <v/>
      </c>
      <c r="I22" s="8" t="inlineStr">
        <is>
          <t>Marvel's Spider-Man Promos PSPM</t>
        </is>
      </c>
      <c r="J22" s="8" t="n">
        <v>68</v>
      </c>
      <c r="K22" s="9" t="n">
        <v>45926</v>
      </c>
      <c r="L22" s="8" t="inlineStr">
        <is>
          <t>en es fr de it pt ja ko ru 汉语 漢語</t>
        </is>
      </c>
    </row>
    <row r="23" ht="68.25" customHeight="1" s="6">
      <c r="A23" s="1">
        <f t="array" ref="A23">INDIRECT(_xlfn.CONCAT("$I", $F23))</f>
        <v/>
      </c>
      <c r="B23" s="1">
        <f t="array" ref="B23">INDIRECT(_xlfn.CONCAT("$J", $F23))</f>
        <v/>
      </c>
      <c r="C23" s="1">
        <f t="array" ref="C23">INDIRECT(_xlfn.CONCAT("$K", $F23))</f>
        <v/>
      </c>
      <c r="D23" s="1" t="n"/>
      <c r="E23" s="1">
        <f t="array" ref="E23">INDIRECT(_xlfn.CONCAT("$L", $F23))</f>
        <v/>
      </c>
      <c r="F23" s="1">
        <f t="array" ref="F23">IF(NOT(OR(ISERROR(INDIRECT(_xlfn.CONCAT("$I", $F22 + 1))), ISBLANK(INDIRECT(_xlfn.CONCAT("$I", $F22 + 1))))), $F22 + 1, IF(NOT(ISBLANK(INDIRECT(_xlfn.CONCAT("$I", $F22 + 2)))), $F22 + 2, ""))</f>
        <v/>
      </c>
      <c r="I23" s="8" t="inlineStr">
        <is>
          <t>Marvel's Spider-Man Tokens TSPM</t>
        </is>
      </c>
      <c r="J23" s="8" t="n">
        <v>7</v>
      </c>
      <c r="K23" s="9" t="n">
        <v>45926</v>
      </c>
      <c r="L23" s="8" t="inlineStr">
        <is>
          <t>en es fr de it pt ja ko ru 汉语 漢語</t>
        </is>
      </c>
    </row>
    <row r="24" ht="68.25" customHeight="1" s="6">
      <c r="A24" s="1">
        <f t="array" ref="A24">INDIRECT(_xlfn.CONCAT("$I", $F24))</f>
        <v/>
      </c>
      <c r="B24" s="1">
        <f t="array" ref="B24">INDIRECT(_xlfn.CONCAT("$J", $F24))</f>
        <v/>
      </c>
      <c r="C24" s="1">
        <f t="array" ref="C24">INDIRECT(_xlfn.CONCAT("$K", $F24))</f>
        <v/>
      </c>
      <c r="D24" s="1" t="n"/>
      <c r="E24" s="1">
        <f t="array" ref="E24">INDIRECT(_xlfn.CONCAT("$L", $F24))</f>
        <v/>
      </c>
      <c r="F24" s="1">
        <f t="array" ref="F24">IF(NOT(OR(ISERROR(INDIRECT(_xlfn.CONCAT("$I", $F23 + 1))), ISBLANK(INDIRECT(_xlfn.CONCAT("$I", $F23 + 1))))), $F23 + 1, IF(NOT(ISBLANK(INDIRECT(_xlfn.CONCAT("$I", $F23 + 2)))), $F23 + 2, ""))</f>
        <v/>
      </c>
      <c r="I24" s="8" t="inlineStr">
        <is>
          <t>Marvel's Spider-Man Eternal SPE</t>
        </is>
      </c>
      <c r="J24" s="8" t="n">
        <v>26</v>
      </c>
      <c r="K24" s="9" t="n">
        <v>45926</v>
      </c>
      <c r="L24" t="inlineStr">
        <is>
          <t>en es fr de it pt ja ko ru 汉语 漢語</t>
        </is>
      </c>
    </row>
    <row r="25" ht="57.75" customHeight="1" s="6">
      <c r="A25" s="1">
        <f t="array" ref="A25">INDIRECT(_xlfn.CONCAT("$I", $F25))</f>
        <v/>
      </c>
      <c r="B25" s="1">
        <f t="array" ref="B25">INDIRECT(_xlfn.CONCAT("$J", $F25))</f>
        <v/>
      </c>
      <c r="C25" s="1">
        <f t="array" ref="C25">INDIRECT(_xlfn.CONCAT("$K", $F25))</f>
        <v/>
      </c>
      <c r="D25" s="1" t="n"/>
      <c r="E25" s="1">
        <f t="array" ref="E25">INDIRECT(_xlfn.CONCAT("$L", $F25))</f>
        <v/>
      </c>
      <c r="F25" s="1">
        <f t="array" ref="F25">IF(NOT(OR(ISERROR(INDIRECT(_xlfn.CONCAT("$I", $F24 + 1))), ISBLANK(INDIRECT(_xlfn.CONCAT("$I", $F24 + 1))))), $F24 + 1, IF(NOT(ISBLANK(INDIRECT(_xlfn.CONCAT("$I", $F24 + 2)))), $F24 + 2, ""))</f>
        <v/>
      </c>
      <c r="I25" s="8" t="inlineStr">
        <is>
          <t>Through the Omenpaths OM1</t>
        </is>
      </c>
      <c r="J25" s="8" t="n">
        <v>189</v>
      </c>
      <c r="K25" s="9" t="n">
        <v>45923</v>
      </c>
      <c r="L25" s="8" t="inlineStr">
        <is>
          <t>en es fr de it pt ja ko ru 汉语 漢語</t>
        </is>
      </c>
    </row>
    <row r="26" ht="57.75" customHeight="1" s="6">
      <c r="A26" s="1">
        <f t="array" ref="A26">INDIRECT(_xlfn.CONCAT("$I", $F26))</f>
        <v/>
      </c>
      <c r="B26" s="1">
        <f t="array" ref="B26">INDIRECT(_xlfn.CONCAT("$J", $F26))</f>
        <v/>
      </c>
      <c r="C26" s="1">
        <f t="array" ref="C26">INDIRECT(_xlfn.CONCAT("$K", $F26))</f>
        <v/>
      </c>
      <c r="D26" s="1" t="n"/>
      <c r="E26" s="1">
        <f t="array" ref="E26">INDIRECT(_xlfn.CONCAT("$L", $F26))</f>
        <v/>
      </c>
      <c r="F26" s="1">
        <f t="array" ref="F26">IF(NOT(OR(ISERROR(INDIRECT(_xlfn.CONCAT("$I", $F25 + 1))), ISBLANK(INDIRECT(_xlfn.CONCAT("$I", $F25 + 1))))), $F25 + 1, IF(NOT(ISBLANK(INDIRECT(_xlfn.CONCAT("$I", $F25 + 2)))), $F25 + 2, ""))</f>
        <v/>
      </c>
      <c r="I26" s="8" t="inlineStr">
        <is>
          <t>Arena Anthology 4 AA4</t>
        </is>
      </c>
      <c r="J26" s="8" t="n">
        <v>28</v>
      </c>
      <c r="K26" s="9" t="n">
        <v>45923</v>
      </c>
      <c r="L26" s="8" t="inlineStr">
        <is>
          <t>en es fr de it pt ja ko ru 汉语 漢語</t>
        </is>
      </c>
    </row>
    <row r="27" ht="57.75" customHeight="1" s="6">
      <c r="A27" s="1">
        <f t="array" ref="A27">INDIRECT(_xlfn.CONCAT("$I", $F27))</f>
        <v/>
      </c>
      <c r="B27" s="1">
        <f t="array" ref="B27">INDIRECT(_xlfn.CONCAT("$J", $F27))</f>
        <v/>
      </c>
      <c r="C27" s="1">
        <f t="array" ref="C27">INDIRECT(_xlfn.CONCAT("$K", $F27))</f>
        <v/>
      </c>
      <c r="D27" s="1" t="n"/>
      <c r="E27" s="1">
        <f t="array" ref="E27">INDIRECT(_xlfn.CONCAT("$L", $F27))</f>
        <v/>
      </c>
      <c r="F27" s="1">
        <f t="array" ref="F27">IF(NOT(OR(ISERROR(INDIRECT(_xlfn.CONCAT("$I", $F26 + 1))), ISBLANK(INDIRECT(_xlfn.CONCAT("$I", $F26 + 1))))), $F26 + 1, IF(NOT(ISBLANK(INDIRECT(_xlfn.CONCAT("$I", $F26 + 2)))), $F26 + 2, ""))</f>
        <v/>
      </c>
      <c r="I27" s="8" t="inlineStr">
        <is>
          <t>Arena Anthology 3 AA3</t>
        </is>
      </c>
      <c r="J27" s="8" t="n">
        <v>25</v>
      </c>
      <c r="K27" s="9" t="n">
        <v>45923</v>
      </c>
      <c r="L27" s="8" t="inlineStr">
        <is>
          <t>en es fr de it pt ja ko ru 汉语 漢語</t>
        </is>
      </c>
    </row>
    <row r="28" ht="57.75" customHeight="1" s="6">
      <c r="A28" s="1">
        <f t="array" ref="A28">INDIRECT(_xlfn.CONCAT("$I", $F28))</f>
        <v/>
      </c>
      <c r="B28" s="1">
        <f t="array" ref="B28">INDIRECT(_xlfn.CONCAT("$J", $F28))</f>
        <v/>
      </c>
      <c r="C28" s="1">
        <f t="array" ref="C28">INDIRECT(_xlfn.CONCAT("$K", $F28))</f>
        <v/>
      </c>
      <c r="D28" s="1" t="n"/>
      <c r="E28" s="1">
        <f t="array" ref="E28">INDIRECT(_xlfn.CONCAT("$L", $F28))</f>
        <v/>
      </c>
      <c r="F28" s="1">
        <f t="array" ref="F28">IF(NOT(OR(ISERROR(INDIRECT(_xlfn.CONCAT("$I", $F27 + 1))), ISBLANK(INDIRECT(_xlfn.CONCAT("$I", $F27 + 1))))), $F27 + 1, IF(NOT(ISBLANK(INDIRECT(_xlfn.CONCAT("$I", $F27 + 2)))), $F27 + 2, ""))</f>
        <v/>
      </c>
      <c r="I28" s="8" t="inlineStr">
        <is>
          <t>2023 Heroes of the Realm PH23</t>
        </is>
      </c>
      <c r="J28" s="8" t="n">
        <v>1</v>
      </c>
      <c r="K28" s="9" t="n">
        <v>45893</v>
      </c>
      <c r="L28" s="8" t="inlineStr">
        <is>
          <t>en es fr de it pt ja ko ru 汉语 漢語</t>
        </is>
      </c>
    </row>
    <row r="29" ht="57.75" customHeight="1" s="6">
      <c r="A29" s="1">
        <f t="array" ref="A29">INDIRECT(_xlfn.CONCAT("$I", $F29))</f>
        <v/>
      </c>
      <c r="B29" s="1">
        <f t="array" ref="B29">INDIRECT(_xlfn.CONCAT("$J", $F29))</f>
        <v/>
      </c>
      <c r="C29" s="1">
        <f t="array" ref="C29">INDIRECT(_xlfn.CONCAT("$K", $F29))</f>
        <v/>
      </c>
      <c r="D29" s="1" t="n"/>
      <c r="E29" s="1">
        <f t="array" ref="E29">INDIRECT(_xlfn.CONCAT("$L", $F29))</f>
        <v/>
      </c>
      <c r="F29" s="1">
        <f t="array" ref="F29">IF(NOT(OR(ISERROR(INDIRECT(_xlfn.CONCAT("$I", $F28 + 1))), ISBLANK(INDIRECT(_xlfn.CONCAT("$I", $F28 + 1))))), $F28 + 1, IF(NOT(ISBLANK(INDIRECT(_xlfn.CONCAT("$I", $F28 + 2)))), $F28 + 2, ""))</f>
        <v/>
      </c>
      <c r="I29" s="8" t="inlineStr">
        <is>
          <t>Arena Anthology 2 AA2</t>
        </is>
      </c>
      <c r="J29" s="8" t="n">
        <v>25</v>
      </c>
      <c r="K29" s="9" t="n">
        <v>45888</v>
      </c>
      <c r="L29" s="8" t="inlineStr">
        <is>
          <t>en es fr de it pt ja ko ru 汉语 漢語</t>
        </is>
      </c>
    </row>
    <row r="30" ht="57.75" customHeight="1" s="6">
      <c r="A30" s="1">
        <f t="array" ref="A30">INDIRECT(_xlfn.CONCAT("$I", $F30))</f>
        <v/>
      </c>
      <c r="B30" s="1">
        <f t="array" ref="B30">INDIRECT(_xlfn.CONCAT("$J", $F30))</f>
        <v/>
      </c>
      <c r="C30" s="1">
        <f t="array" ref="C30">INDIRECT(_xlfn.CONCAT("$K", $F30))</f>
        <v/>
      </c>
      <c r="D30" s="1" t="n"/>
      <c r="E30" s="1">
        <f t="array" ref="E30">INDIRECT(_xlfn.CONCAT("$L", $F30))</f>
        <v/>
      </c>
      <c r="F30" s="1">
        <f t="array" ref="F30">IF(NOT(OR(ISERROR(INDIRECT(_xlfn.CONCAT("$I", $F29 + 1))), ISBLANK(INDIRECT(_xlfn.CONCAT("$I", $F29 + 1))))), $F29 + 1, IF(NOT(ISBLANK(INDIRECT(_xlfn.CONCAT("$I", $F29 + 2)))), $F29 + 2, ""))</f>
        <v/>
      </c>
      <c r="I30" s="8" t="inlineStr">
        <is>
          <t>Arena Anthology 1 AA1</t>
        </is>
      </c>
      <c r="J30" s="8" t="n">
        <v>26</v>
      </c>
      <c r="K30" s="9" t="n">
        <v>45888</v>
      </c>
      <c r="L30" s="8" t="inlineStr">
        <is>
          <t>en es fr de it pt ja ko ru 汉语 漢語</t>
        </is>
      </c>
    </row>
    <row r="31" ht="57.75" customHeight="1" s="6">
      <c r="A31" s="1">
        <f t="array" ref="A31">INDIRECT(_xlfn.CONCAT("$I", $F31))</f>
        <v/>
      </c>
      <c r="B31" s="1">
        <f t="array" ref="B31">INDIRECT(_xlfn.CONCAT("$J", $F31))</f>
        <v/>
      </c>
      <c r="C31" s="1">
        <f t="array" ref="C31">INDIRECT(_xlfn.CONCAT("$K", $F31))</f>
        <v/>
      </c>
      <c r="D31" s="1" t="n"/>
      <c r="E31" s="1">
        <f t="array" ref="E31">INDIRECT(_xlfn.CONCAT("$L", $F31))</f>
        <v/>
      </c>
      <c r="F31" s="1">
        <f t="array" ref="F31">IF(NOT(OR(ISERROR(INDIRECT(_xlfn.CONCAT("$I", $F30 + 1))), ISBLANK(INDIRECT(_xlfn.CONCAT("$I", $F30 + 1))))), $F30 + 1, IF(NOT(ISBLANK(INDIRECT(_xlfn.CONCAT("$I", $F30 + 2)))), $F30 + 2, ""))</f>
        <v/>
      </c>
      <c r="I31" s="8" t="inlineStr">
        <is>
          <t>Edge of Eternities EOE</t>
        </is>
      </c>
      <c r="J31" s="8" t="n">
        <v>399</v>
      </c>
      <c r="K31" s="9" t="n">
        <v>45870</v>
      </c>
      <c r="L31" t="inlineStr">
        <is>
          <t>en es fr de it pt ja ko ru 汉语 漢語</t>
        </is>
      </c>
    </row>
    <row r="32" ht="57.75" customHeight="1" s="6">
      <c r="A32" s="1">
        <f t="array" ref="A32">INDIRECT(_xlfn.CONCAT("$I", $F32))</f>
        <v/>
      </c>
      <c r="B32" s="1">
        <f t="array" ref="B32">INDIRECT(_xlfn.CONCAT("$J", $F32))</f>
        <v/>
      </c>
      <c r="C32" s="1">
        <f t="array" ref="C32">INDIRECT(_xlfn.CONCAT("$K", $F32))</f>
        <v/>
      </c>
      <c r="D32" s="1" t="n"/>
      <c r="E32" s="1">
        <f t="array" ref="E32">INDIRECT(_xlfn.CONCAT("$L", $F32))</f>
        <v/>
      </c>
      <c r="F32" s="1">
        <f t="array" ref="F32">IF(NOT(OR(ISERROR(INDIRECT(_xlfn.CONCAT("$I", $F31 + 1))), ISBLANK(INDIRECT(_xlfn.CONCAT("$I", $F31 + 1))))), $F31 + 1, IF(NOT(ISBLANK(INDIRECT(_xlfn.CONCAT("$I", $F31 + 2)))), $F31 + 2, ""))</f>
        <v/>
      </c>
      <c r="I32" s="8" t="inlineStr">
        <is>
          <t>Edge of Eternities: Stellar Sights EOS</t>
        </is>
      </c>
      <c r="J32" s="8" t="n">
        <v>180</v>
      </c>
      <c r="K32" s="9" t="n">
        <v>45870</v>
      </c>
      <c r="L32" s="8" t="inlineStr">
        <is>
          <t>en es fr de it pt ja ko ru 汉语 漢語</t>
        </is>
      </c>
    </row>
    <row r="33" ht="57.75" customHeight="1" s="6">
      <c r="A33" s="1">
        <f t="array" ref="A33">INDIRECT(_xlfn.CONCAT("$I", $F33))</f>
        <v/>
      </c>
      <c r="B33" s="1">
        <f t="array" ref="B33">INDIRECT(_xlfn.CONCAT("$J", $F33))</f>
        <v/>
      </c>
      <c r="C33" s="1">
        <f t="array" ref="C33">INDIRECT(_xlfn.CONCAT("$K", $F33))</f>
        <v/>
      </c>
      <c r="D33" s="1" t="n"/>
      <c r="E33" s="1">
        <f t="array" ref="E33">INDIRECT(_xlfn.CONCAT("$L", $F33))</f>
        <v/>
      </c>
      <c r="F33" s="1">
        <f t="array" ref="F33">IF(NOT(OR(ISERROR(INDIRECT(_xlfn.CONCAT("$I", $F32 + 1))), ISBLANK(INDIRECT(_xlfn.CONCAT("$I", $F32 + 1))))), $F32 + 1, IF(NOT(ISBLANK(INDIRECT(_xlfn.CONCAT("$I", $F32 + 2)))), $F32 + 2, ""))</f>
        <v/>
      </c>
      <c r="I33" s="8" t="inlineStr">
        <is>
          <t>Edge of Eternities Promos PEOE</t>
        </is>
      </c>
      <c r="J33" s="8" t="n">
        <v>160</v>
      </c>
      <c r="K33" s="9" t="n">
        <v>45870</v>
      </c>
      <c r="L33" s="8" t="inlineStr">
        <is>
          <t>en es fr de it pt ja ko ru 汉语 漢語</t>
        </is>
      </c>
    </row>
    <row r="34" ht="57.75" customHeight="1" s="6">
      <c r="A34" s="1">
        <f t="array" ref="A34">INDIRECT(_xlfn.CONCAT("$I", $F34))</f>
        <v/>
      </c>
      <c r="B34" s="1">
        <f t="array" ref="B34">INDIRECT(_xlfn.CONCAT("$J", $F34))</f>
        <v/>
      </c>
      <c r="C34" s="1">
        <f t="array" ref="C34">INDIRECT(_xlfn.CONCAT("$K", $F34))</f>
        <v/>
      </c>
      <c r="D34" s="1" t="n"/>
      <c r="E34" s="1">
        <f t="array" ref="E34">INDIRECT(_xlfn.CONCAT("$L", $F34))</f>
        <v/>
      </c>
      <c r="F34" s="1">
        <f t="array" ref="F34">IF(NOT(OR(ISERROR(INDIRECT(_xlfn.CONCAT("$I", $F33 + 1))), ISBLANK(INDIRECT(_xlfn.CONCAT("$I", $F33 + 1))))), $F33 + 1, IF(NOT(ISBLANK(INDIRECT(_xlfn.CONCAT("$I", $F33 + 2)))), $F33 + 2, ""))</f>
        <v/>
      </c>
      <c r="I34" s="8" t="inlineStr">
        <is>
          <t>Edge of Eternities Tokens TEOE</t>
        </is>
      </c>
      <c r="J34" s="8" t="n">
        <v>12</v>
      </c>
      <c r="K34" s="9" t="n">
        <v>45870</v>
      </c>
      <c r="L34" s="8" t="inlineStr">
        <is>
          <t>en es fr de it pt ja ko ru 汉语 漢語</t>
        </is>
      </c>
    </row>
    <row r="35" ht="57.75" customHeight="1" s="6">
      <c r="A35" s="1">
        <f t="array" ref="A35">INDIRECT(_xlfn.CONCAT("$I", $F35))</f>
        <v/>
      </c>
      <c r="B35" s="1">
        <f t="array" ref="B35">INDIRECT(_xlfn.CONCAT("$J", $F35))</f>
        <v/>
      </c>
      <c r="C35" s="1">
        <f t="array" ref="C35">INDIRECT(_xlfn.CONCAT("$K", $F35))</f>
        <v/>
      </c>
      <c r="D35" s="1" t="n"/>
      <c r="E35" s="1">
        <f t="array" ref="E35">INDIRECT(_xlfn.CONCAT("$L", $F35))</f>
        <v/>
      </c>
      <c r="F35" s="1">
        <f t="array" ref="F35">IF(NOT(OR(ISERROR(INDIRECT(_xlfn.CONCAT("$I", $F34 + 1))), ISBLANK(INDIRECT(_xlfn.CONCAT("$I", $F34 + 1))))), $F34 + 1, IF(NOT(ISBLANK(INDIRECT(_xlfn.CONCAT("$I", $F34 + 2)))), $F34 + 2, ""))</f>
        <v/>
      </c>
      <c r="I35" s="8" t="inlineStr">
        <is>
          <t>Alchemy: Edge of Eternities YEOE</t>
        </is>
      </c>
      <c r="J35" s="8" t="n">
        <v>40</v>
      </c>
      <c r="K35" s="9" t="n">
        <v>45888</v>
      </c>
      <c r="L35" s="8" t="inlineStr">
        <is>
          <t>en es fr de it pt ja ko ru 汉语 漢語</t>
        </is>
      </c>
    </row>
    <row r="36" ht="57.75" customHeight="1" s="6">
      <c r="A36" s="1">
        <f t="array" ref="A36">INDIRECT(_xlfn.CONCAT("$I", $F36))</f>
        <v/>
      </c>
      <c r="B36" s="1">
        <f t="array" ref="B36">INDIRECT(_xlfn.CONCAT("$J", $F36))</f>
        <v/>
      </c>
      <c r="C36" s="1">
        <f t="array" ref="C36">INDIRECT(_xlfn.CONCAT("$K", $F36))</f>
        <v/>
      </c>
      <c r="D36" s="1" t="n"/>
      <c r="E36" s="1">
        <f t="array" ref="E36">INDIRECT(_xlfn.CONCAT("$L", $F36))</f>
        <v/>
      </c>
      <c r="F36" s="1">
        <f t="array" ref="F36">IF(NOT(OR(ISERROR(INDIRECT(_xlfn.CONCAT("$I", $F35 + 1))), ISBLANK(INDIRECT(_xlfn.CONCAT("$I", $F35 + 1))))), $F35 + 1, IF(NOT(ISBLANK(INDIRECT(_xlfn.CONCAT("$I", $F35 + 2)))), $F35 + 2, ""))</f>
        <v/>
      </c>
      <c r="I36" s="8" t="inlineStr">
        <is>
          <t>Edge of Eternities Art Series AEOE</t>
        </is>
      </c>
      <c r="J36" s="8" t="n">
        <v>54</v>
      </c>
      <c r="K36" s="9" t="n">
        <v>45870</v>
      </c>
      <c r="L36" s="8" t="inlineStr">
        <is>
          <t>en es fr de it pt ja ko ru 汉语 漢語</t>
        </is>
      </c>
    </row>
    <row r="37" ht="57.75" customHeight="1" s="6">
      <c r="A37" s="1">
        <f t="array" ref="A37">INDIRECT(_xlfn.CONCAT("$I", $F37))</f>
        <v/>
      </c>
      <c r="B37" s="1">
        <f t="array" ref="B37">INDIRECT(_xlfn.CONCAT("$J", $F37))</f>
        <v/>
      </c>
      <c r="C37" s="1">
        <f t="array" ref="C37">INDIRECT(_xlfn.CONCAT("$K", $F37))</f>
        <v/>
      </c>
      <c r="D37" s="1" t="n"/>
      <c r="E37" s="1">
        <f t="array" ref="E37">INDIRECT(_xlfn.CONCAT("$L", $F37))</f>
        <v/>
      </c>
      <c r="F37" s="1">
        <f t="array" ref="F37">IF(NOT(OR(ISERROR(INDIRECT(_xlfn.CONCAT("$I", $F36 + 1))), ISBLANK(INDIRECT(_xlfn.CONCAT("$I", $F36 + 1))))), $F36 + 1, IF(NOT(ISBLANK(INDIRECT(_xlfn.CONCAT("$I", $F36 + 2)))), $F36 + 2, ""))</f>
        <v/>
      </c>
      <c r="I37" s="8" t="inlineStr">
        <is>
          <t>Edge of Eternities Commander EOC</t>
        </is>
      </c>
      <c r="J37" s="8" t="n">
        <v>191</v>
      </c>
      <c r="K37" s="9" t="n">
        <v>45870</v>
      </c>
      <c r="L37" t="inlineStr">
        <is>
          <t>en es fr de it pt ja ko ru 汉语 漢語</t>
        </is>
      </c>
    </row>
    <row r="38" ht="68.25" customHeight="1" s="6">
      <c r="A38" s="1">
        <f t="array" ref="A38">INDIRECT(_xlfn.CONCAT("$I", $F38))</f>
        <v/>
      </c>
      <c r="B38" s="1">
        <f t="array" ref="B38">INDIRECT(_xlfn.CONCAT("$J", $F38))</f>
        <v/>
      </c>
      <c r="C38" s="1">
        <f t="array" ref="C38">INDIRECT(_xlfn.CONCAT("$K", $F38))</f>
        <v/>
      </c>
      <c r="D38" s="1" t="n"/>
      <c r="E38" s="1">
        <f t="array" ref="E38">INDIRECT(_xlfn.CONCAT("$L", $F38))</f>
        <v/>
      </c>
      <c r="F38" s="1">
        <f t="array" ref="F38">IF(NOT(OR(ISERROR(INDIRECT(_xlfn.CONCAT("$I", $F37 + 1))), ISBLANK(INDIRECT(_xlfn.CONCAT("$I", $F37 + 1))))), $F37 + 1, IF(NOT(ISBLANK(INDIRECT(_xlfn.CONCAT("$I", $F37 + 2)))), $F37 + 2, ""))</f>
        <v/>
      </c>
      <c r="I38" s="8" t="inlineStr">
        <is>
          <t>Edge of Eternities Commander Tokens TEOC</t>
        </is>
      </c>
      <c r="J38" s="8" t="n">
        <v>16</v>
      </c>
      <c r="K38" s="9" t="n">
        <v>45870</v>
      </c>
      <c r="L38" s="8" t="inlineStr">
        <is>
          <t>en es fr de it pt ja ko ru 汉语 漢語</t>
        </is>
      </c>
    </row>
    <row r="39" ht="57.75" customHeight="1" s="6">
      <c r="A39" s="1">
        <f t="array" ref="A39">INDIRECT(_xlfn.CONCAT("$I", $F39))</f>
        <v/>
      </c>
      <c r="B39" s="1">
        <f t="array" ref="B39">INDIRECT(_xlfn.CONCAT("$J", $F39))</f>
        <v/>
      </c>
      <c r="C39" s="1">
        <f t="array" ref="C39">INDIRECT(_xlfn.CONCAT("$K", $F39))</f>
        <v/>
      </c>
      <c r="D39" s="1" t="n"/>
      <c r="E39" s="1">
        <f t="array" ref="E39">INDIRECT(_xlfn.CONCAT("$L", $F39))</f>
        <v/>
      </c>
      <c r="F39" s="1">
        <f t="array" ref="F39">IF(NOT(OR(ISERROR(INDIRECT(_xlfn.CONCAT("$I", $F38 + 1))), ISBLANK(INDIRECT(_xlfn.CONCAT("$I", $F38 + 1))))), $F38 + 1, IF(NOT(ISBLANK(INDIRECT(_xlfn.CONCAT("$I", $F38 + 2)))), $F38 + 2, ""))</f>
        <v/>
      </c>
      <c r="I39" s="8" t="inlineStr">
        <is>
          <t>Final Fantasy FIN</t>
        </is>
      </c>
      <c r="J39" s="8" t="n">
        <v>599</v>
      </c>
      <c r="K39" s="9" t="n">
        <v>45821</v>
      </c>
      <c r="L39" t="inlineStr">
        <is>
          <t>en es fr de it pt ja ko ru 汉语 漢語</t>
        </is>
      </c>
    </row>
    <row r="40" ht="68.25" customHeight="1" s="6">
      <c r="A40" s="1">
        <f t="array" ref="A40">INDIRECT(_xlfn.CONCAT("$I", $F40))</f>
        <v/>
      </c>
      <c r="B40" s="1">
        <f t="array" ref="B40">INDIRECT(_xlfn.CONCAT("$J", $F40))</f>
        <v/>
      </c>
      <c r="C40" s="1">
        <f t="array" ref="C40">INDIRECT(_xlfn.CONCAT("$K", $F40))</f>
        <v/>
      </c>
      <c r="D40" s="1" t="n"/>
      <c r="E40" s="1">
        <f t="array" ref="E40">INDIRECT(_xlfn.CONCAT("$L", $F40))</f>
        <v/>
      </c>
      <c r="F40" s="1">
        <f t="array" ref="F40">IF(NOT(OR(ISERROR(INDIRECT(_xlfn.CONCAT("$I", $F39 + 1))), ISBLANK(INDIRECT(_xlfn.CONCAT("$I", $F39 + 1))))), $F39 + 1, IF(NOT(ISBLANK(INDIRECT(_xlfn.CONCAT("$I", $F39 + 2)))), $F39 + 2, ""))</f>
        <v/>
      </c>
      <c r="I40" s="8" t="inlineStr">
        <is>
          <t>Final Fantasy: Through the Ages FCA</t>
        </is>
      </c>
      <c r="J40" s="8" t="n">
        <v>66</v>
      </c>
      <c r="K40" s="9" t="n">
        <v>45821</v>
      </c>
      <c r="L40" t="inlineStr">
        <is>
          <t>en es fr de it pt ja ko ru 汉语 漢語</t>
        </is>
      </c>
    </row>
    <row r="41" ht="57.75" customHeight="1" s="6">
      <c r="A41" s="1">
        <f t="array" ref="A41">INDIRECT(_xlfn.CONCAT("$I", $F41))</f>
        <v/>
      </c>
      <c r="B41" s="1">
        <f t="array" ref="B41">INDIRECT(_xlfn.CONCAT("$J", $F41))</f>
        <v/>
      </c>
      <c r="C41" s="1">
        <f t="array" ref="C41">INDIRECT(_xlfn.CONCAT("$K", $F41))</f>
        <v/>
      </c>
      <c r="D41" s="1" t="n"/>
      <c r="E41" s="1">
        <f t="array" ref="E41">INDIRECT(_xlfn.CONCAT("$L", $F41))</f>
        <v/>
      </c>
      <c r="F41" s="1">
        <f t="array" ref="F41">IF(NOT(OR(ISERROR(INDIRECT(_xlfn.CONCAT("$I", $F40 + 1))), ISBLANK(INDIRECT(_xlfn.CONCAT("$I", $F40 + 1))))), $F40 + 1, IF(NOT(ISBLANK(INDIRECT(_xlfn.CONCAT("$I", $F40 + 2)))), $F40 + 2, ""))</f>
        <v/>
      </c>
      <c r="I41" s="8" t="inlineStr">
        <is>
          <t>Final Fantasy Promos PFIN</t>
        </is>
      </c>
      <c r="J41" s="8" t="n">
        <v>94</v>
      </c>
      <c r="K41" s="9" t="n">
        <v>45821</v>
      </c>
      <c r="L41" s="8" t="inlineStr">
        <is>
          <t>en es fr de it pt ja ko ru 汉语 漢語</t>
        </is>
      </c>
    </row>
    <row r="42" ht="57.75" customHeight="1" s="6">
      <c r="A42" s="1">
        <f t="array" ref="A42">INDIRECT(_xlfn.CONCAT("$I", $F42))</f>
        <v/>
      </c>
      <c r="B42" s="1">
        <f t="array" ref="B42">INDIRECT(_xlfn.CONCAT("$J", $F42))</f>
        <v/>
      </c>
      <c r="C42" s="1">
        <f t="array" ref="C42">INDIRECT(_xlfn.CONCAT("$K", $F42))</f>
        <v/>
      </c>
      <c r="D42" s="1" t="n"/>
      <c r="E42" s="1">
        <f t="array" ref="E42">INDIRECT(_xlfn.CONCAT("$L", $F42))</f>
        <v/>
      </c>
      <c r="F42" s="1">
        <f t="array" ref="F42">IF(NOT(OR(ISERROR(INDIRECT(_xlfn.CONCAT("$I", $F41 + 1))), ISBLANK(INDIRECT(_xlfn.CONCAT("$I", $F41 + 1))))), $F41 + 1, IF(NOT(ISBLANK(INDIRECT(_xlfn.CONCAT("$I", $F41 + 2)))), $F41 + 2, ""))</f>
        <v/>
      </c>
      <c r="I42" s="8" t="inlineStr">
        <is>
          <t>Final Fantasy Tokens TFIN</t>
        </is>
      </c>
      <c r="J42" s="8" t="n">
        <v>37</v>
      </c>
      <c r="K42" s="9" t="n">
        <v>45821</v>
      </c>
      <c r="L42" s="8" t="inlineStr">
        <is>
          <t>en es fr de it pt ja ko ru 汉语 漢語</t>
        </is>
      </c>
    </row>
    <row r="43" ht="68.25" customHeight="1" s="6">
      <c r="A43" s="1">
        <f t="array" ref="A43">INDIRECT(_xlfn.CONCAT("$I", $F43))</f>
        <v/>
      </c>
      <c r="B43" s="1">
        <f t="array" ref="B43">INDIRECT(_xlfn.CONCAT("$J", $F43))</f>
        <v/>
      </c>
      <c r="C43" s="1">
        <f t="array" ref="C43">INDIRECT(_xlfn.CONCAT("$K", $F43))</f>
        <v/>
      </c>
      <c r="D43" s="1" t="n"/>
      <c r="E43" s="1">
        <f t="array" ref="E43">INDIRECT(_xlfn.CONCAT("$L", $F43))</f>
        <v/>
      </c>
      <c r="F43" s="1">
        <f t="array" ref="F43">IF(NOT(OR(ISERROR(INDIRECT(_xlfn.CONCAT("$I", $F42 + 1))), ISBLANK(INDIRECT(_xlfn.CONCAT("$I", $F42 + 1))))), $F42 + 1, IF(NOT(ISBLANK(INDIRECT(_xlfn.CONCAT("$I", $F42 + 2)))), $F42 + 2, ""))</f>
        <v/>
      </c>
      <c r="I43" s="8" t="inlineStr">
        <is>
          <t>Final Fantasy Regional Promos RFIN</t>
        </is>
      </c>
      <c r="J43" s="8" t="n">
        <v>2</v>
      </c>
      <c r="K43" s="9" t="n">
        <v>45821</v>
      </c>
      <c r="L43" s="8" t="inlineStr">
        <is>
          <t>en es fr de it pt ja ko ru 汉语 漢語</t>
        </is>
      </c>
    </row>
    <row r="44" ht="57.75" customHeight="1" s="6">
      <c r="A44" s="1">
        <f t="array" ref="A44">INDIRECT(_xlfn.CONCAT("$I", $F44))</f>
        <v/>
      </c>
      <c r="B44" s="1">
        <f t="array" ref="B44">INDIRECT(_xlfn.CONCAT("$J", $F44))</f>
        <v/>
      </c>
      <c r="C44" s="1">
        <f t="array" ref="C44">INDIRECT(_xlfn.CONCAT("$K", $F44))</f>
        <v/>
      </c>
      <c r="D44" s="1" t="n"/>
      <c r="E44" s="1">
        <f t="array" ref="E44">INDIRECT(_xlfn.CONCAT("$L", $F44))</f>
        <v/>
      </c>
      <c r="F44" s="1">
        <f t="array" ref="F44">IF(NOT(OR(ISERROR(INDIRECT(_xlfn.CONCAT("$I", $F43 + 1))), ISBLANK(INDIRECT(_xlfn.CONCAT("$I", $F43 + 1))))), $F43 + 1, IF(NOT(ISBLANK(INDIRECT(_xlfn.CONCAT("$I", $F43 + 2)))), $F43 + 2, ""))</f>
        <v/>
      </c>
      <c r="I44" s="8" t="inlineStr">
        <is>
          <t>Final Fantasy Art Series AFIN</t>
        </is>
      </c>
      <c r="J44" s="8" t="n">
        <v>53</v>
      </c>
      <c r="K44" s="9" t="n">
        <v>45821</v>
      </c>
      <c r="L44" s="8" t="inlineStr">
        <is>
          <t>en es fr de it pt ja ko ru 汉语 漢語</t>
        </is>
      </c>
    </row>
    <row r="45" ht="57.75" customHeight="1" s="6">
      <c r="A45" s="1">
        <f t="array" ref="A45">INDIRECT(_xlfn.CONCAT("$I", $F45))</f>
        <v/>
      </c>
      <c r="B45" s="1">
        <f t="array" ref="B45">INDIRECT(_xlfn.CONCAT("$J", $F45))</f>
        <v/>
      </c>
      <c r="C45" s="1">
        <f t="array" ref="C45">INDIRECT(_xlfn.CONCAT("$K", $F45))</f>
        <v/>
      </c>
      <c r="D45" s="1" t="n"/>
      <c r="E45" s="1">
        <f t="array" ref="E45">INDIRECT(_xlfn.CONCAT("$L", $F45))</f>
        <v/>
      </c>
      <c r="F45" s="1">
        <f t="array" ref="F45">IF(NOT(OR(ISERROR(INDIRECT(_xlfn.CONCAT("$I", $F44 + 1))), ISBLANK(INDIRECT(_xlfn.CONCAT("$I", $F44 + 1))))), $F44 + 1, IF(NOT(ISBLANK(INDIRECT(_xlfn.CONCAT("$I", $F44 + 2)))), $F44 + 2, ""))</f>
        <v/>
      </c>
      <c r="I45" s="8" t="inlineStr">
        <is>
          <t>Final Fantasy Commander FIC</t>
        </is>
      </c>
      <c r="J45" s="8" t="n">
        <v>486</v>
      </c>
      <c r="K45" s="9" t="n">
        <v>45821</v>
      </c>
      <c r="L45" t="inlineStr">
        <is>
          <t>en es fr de it pt ja ko ru 汉语 漢語</t>
        </is>
      </c>
    </row>
    <row r="46" ht="68.25" customHeight="1" s="6">
      <c r="A46" s="1">
        <f t="array" ref="A46">INDIRECT(_xlfn.CONCAT("$I", $F46))</f>
        <v/>
      </c>
      <c r="B46" s="1">
        <f t="array" ref="B46">INDIRECT(_xlfn.CONCAT("$J", $F46))</f>
        <v/>
      </c>
      <c r="C46" s="1">
        <f t="array" ref="C46">INDIRECT(_xlfn.CONCAT("$K", $F46))</f>
        <v/>
      </c>
      <c r="D46" s="1" t="n"/>
      <c r="E46" s="1">
        <f t="array" ref="E46">INDIRECT(_xlfn.CONCAT("$L", $F46))</f>
        <v/>
      </c>
      <c r="F46" s="1">
        <f t="array" ref="F46">IF(NOT(OR(ISERROR(INDIRECT(_xlfn.CONCAT("$I", $F45 + 1))), ISBLANK(INDIRECT(_xlfn.CONCAT("$I", $F45 + 1))))), $F45 + 1, IF(NOT(ISBLANK(INDIRECT(_xlfn.CONCAT("$I", $F45 + 2)))), $F45 + 2, ""))</f>
        <v/>
      </c>
      <c r="I46" s="8" t="inlineStr">
        <is>
          <t>Final Fantasy Commander Tokens TFIC</t>
        </is>
      </c>
      <c r="J46" s="8" t="n">
        <v>11</v>
      </c>
      <c r="K46" s="9" t="n">
        <v>45821</v>
      </c>
      <c r="L46" s="8" t="inlineStr">
        <is>
          <t>en es fr de it pt ja ko ru 汉语 漢語</t>
        </is>
      </c>
    </row>
    <row r="47" ht="68.25" customHeight="1" s="6">
      <c r="A47" s="1">
        <f t="array" ref="A47">INDIRECT(_xlfn.CONCAT("$I", $F47))</f>
        <v/>
      </c>
      <c r="B47" s="1">
        <f t="array" ref="B47">INDIRECT(_xlfn.CONCAT("$J", $F47))</f>
        <v/>
      </c>
      <c r="C47" s="1">
        <f t="array" ref="C47">INDIRECT(_xlfn.CONCAT("$K", $F47))</f>
        <v/>
      </c>
      <c r="D47" s="1" t="n"/>
      <c r="E47" s="1">
        <f t="array" ref="E47">INDIRECT(_xlfn.CONCAT("$L", $F47))</f>
        <v/>
      </c>
      <c r="F47" s="1">
        <f t="array" ref="F47">IF(NOT(OR(ISERROR(INDIRECT(_xlfn.CONCAT("$I", $F46 + 1))), ISBLANK(INDIRECT(_xlfn.CONCAT("$I", $F46 + 1))))), $F46 + 1, IF(NOT(ISBLANK(INDIRECT(_xlfn.CONCAT("$I", $F46 + 2)))), $F46 + 2, ""))</f>
        <v/>
      </c>
      <c r="I47" s="8" t="inlineStr">
        <is>
          <t>FIN Asia WPN Promo Tokens WFIN</t>
        </is>
      </c>
      <c r="J47" s="8" t="n">
        <v>3</v>
      </c>
      <c r="K47" s="9" t="n">
        <v>45821</v>
      </c>
      <c r="L47" s="8" t="inlineStr">
        <is>
          <t>en es fr de it pt ja ko ru 汉语 漢語</t>
        </is>
      </c>
    </row>
    <row r="48" ht="57.75" customHeight="1" s="6">
      <c r="A48" s="1">
        <f t="array" ref="A48">INDIRECT(_xlfn.CONCAT("$I", $F48))</f>
        <v/>
      </c>
      <c r="B48" s="1">
        <f t="array" ref="B48">INDIRECT(_xlfn.CONCAT("$J", $F48))</f>
        <v/>
      </c>
      <c r="C48" s="1">
        <f t="array" ref="C48">INDIRECT(_xlfn.CONCAT("$K", $F48))</f>
        <v/>
      </c>
      <c r="D48" s="1" t="n"/>
      <c r="E48" s="1">
        <f t="array" ref="E48">INDIRECT(_xlfn.CONCAT("$L", $F48))</f>
        <v/>
      </c>
      <c r="F48" s="1">
        <f t="array" ref="F48">IF(NOT(OR(ISERROR(INDIRECT(_xlfn.CONCAT("$I", $F47 + 1))), ISBLANK(INDIRECT(_xlfn.CONCAT("$I", $F47 + 1))))), $F47 + 1, IF(NOT(ISBLANK(INDIRECT(_xlfn.CONCAT("$I", $F47 + 2)))), $F47 + 2, ""))</f>
        <v/>
      </c>
      <c r="I48" s="8" t="inlineStr">
        <is>
          <t>FIN Standard Showdown PSS5</t>
        </is>
      </c>
      <c r="J48" s="8" t="n">
        <v>2</v>
      </c>
      <c r="K48" s="9" t="n">
        <v>45821</v>
      </c>
      <c r="L48" s="8" t="inlineStr">
        <is>
          <t>en es fr de it pt ja ko ru 汉语 漢語</t>
        </is>
      </c>
    </row>
    <row r="49" ht="57.75" customHeight="1" s="6">
      <c r="A49" s="1">
        <f t="array" ref="A49">INDIRECT(_xlfn.CONCAT("$I", $F49))</f>
        <v/>
      </c>
      <c r="B49" s="1">
        <f t="array" ref="B49">INDIRECT(_xlfn.CONCAT("$J", $F49))</f>
        <v/>
      </c>
      <c r="C49" s="1">
        <f t="array" ref="C49">INDIRECT(_xlfn.CONCAT("$K", $F49))</f>
        <v/>
      </c>
      <c r="D49" s="1" t="n"/>
      <c r="E49" s="1">
        <f t="array" ref="E49">INDIRECT(_xlfn.CONCAT("$L", $F49))</f>
        <v/>
      </c>
      <c r="F49" s="1">
        <f t="array" ref="F49">IF(NOT(OR(ISERROR(INDIRECT(_xlfn.CONCAT("$I", $F48 + 1))), ISBLANK(INDIRECT(_xlfn.CONCAT("$I", $F48 + 1))))), $F48 + 1, IF(NOT(ISBLANK(INDIRECT(_xlfn.CONCAT("$I", $F48 + 2)))), $F48 + 2, ""))</f>
        <v/>
      </c>
      <c r="I49" s="8" t="inlineStr">
        <is>
          <t>Pioneer Anthology 1 PA1</t>
        </is>
      </c>
      <c r="J49" s="8" t="n">
        <v>11</v>
      </c>
      <c r="K49" s="9" t="n">
        <v>45782</v>
      </c>
      <c r="L49" s="8" t="inlineStr">
        <is>
          <t>en es fr de it pt ja ko ru 汉语 漢語</t>
        </is>
      </c>
    </row>
    <row r="50" ht="57.75" customHeight="1" s="6">
      <c r="A50" s="1">
        <f t="array" ref="A50">INDIRECT(_xlfn.CONCAT("$I", $F50))</f>
        <v/>
      </c>
      <c r="B50" s="1">
        <f t="array" ref="B50">INDIRECT(_xlfn.CONCAT("$J", $F50))</f>
        <v/>
      </c>
      <c r="C50" s="1">
        <f t="array" ref="C50">INDIRECT(_xlfn.CONCAT("$K", $F50))</f>
        <v/>
      </c>
      <c r="D50" s="1" t="n"/>
      <c r="E50" s="1">
        <f t="array" ref="E50">INDIRECT(_xlfn.CONCAT("$L", $F50))</f>
        <v/>
      </c>
      <c r="F50" s="1">
        <f t="array" ref="F50">IF(NOT(OR(ISERROR(INDIRECT(_xlfn.CONCAT("$I", $F49 + 1))), ISBLANK(INDIRECT(_xlfn.CONCAT("$I", $F49 + 1))))), $F49 + 1, IF(NOT(ISBLANK(INDIRECT(_xlfn.CONCAT("$I", $F49 + 2)))), $F49 + 2, ""))</f>
        <v/>
      </c>
      <c r="I50" s="8" t="inlineStr">
        <is>
          <t>Tarkir: Dragonstorm TDM</t>
        </is>
      </c>
      <c r="J50" s="8" t="n">
        <v>427</v>
      </c>
      <c r="K50" s="9" t="n">
        <v>45758</v>
      </c>
      <c r="L50" t="inlineStr">
        <is>
          <t>en es fr de it pt ja ko ru 汉语 漢語</t>
        </is>
      </c>
    </row>
    <row r="51" ht="57.75" customHeight="1" s="6">
      <c r="A51" s="1">
        <f t="array" ref="A51">INDIRECT(_xlfn.CONCAT("$I", $F51))</f>
        <v/>
      </c>
      <c r="B51" s="1">
        <f t="array" ref="B51">INDIRECT(_xlfn.CONCAT("$J", $F51))</f>
        <v/>
      </c>
      <c r="C51" s="1">
        <f t="array" ref="C51">INDIRECT(_xlfn.CONCAT("$K", $F51))</f>
        <v/>
      </c>
      <c r="D51" s="1" t="n"/>
      <c r="E51" s="1">
        <f t="array" ref="E51">INDIRECT(_xlfn.CONCAT("$L", $F51))</f>
        <v/>
      </c>
      <c r="F51" s="1">
        <f t="array" ref="F51">IF(NOT(OR(ISERROR(INDIRECT(_xlfn.CONCAT("$I", $F50 + 1))), ISBLANK(INDIRECT(_xlfn.CONCAT("$I", $F50 + 1))))), $F50 + 1, IF(NOT(ISBLANK(INDIRECT(_xlfn.CONCAT("$I", $F50 + 2)))), $F50 + 2, ""))</f>
        <v/>
      </c>
      <c r="I51" s="8" t="inlineStr">
        <is>
          <t>Tarkir: Dragonstorm Promos PTDM</t>
        </is>
      </c>
      <c r="J51" s="8" t="n">
        <v>160</v>
      </c>
      <c r="K51" s="9" t="n">
        <v>45758</v>
      </c>
      <c r="L51" s="8" t="inlineStr">
        <is>
          <t>en es fr de it pt ja ko ru 汉语 漢語</t>
        </is>
      </c>
    </row>
    <row r="52" ht="57.75" customHeight="1" s="6">
      <c r="A52" s="1">
        <f t="array" ref="A52">INDIRECT(_xlfn.CONCAT("$I", $F52))</f>
        <v/>
      </c>
      <c r="B52" s="1">
        <f t="array" ref="B52">INDIRECT(_xlfn.CONCAT("$J", $F52))</f>
        <v/>
      </c>
      <c r="C52" s="1">
        <f t="array" ref="C52">INDIRECT(_xlfn.CONCAT("$K", $F52))</f>
        <v/>
      </c>
      <c r="D52" s="1" t="n"/>
      <c r="E52" s="1">
        <f t="array" ref="E52">INDIRECT(_xlfn.CONCAT("$L", $F52))</f>
        <v/>
      </c>
      <c r="F52" s="1">
        <f t="array" ref="F52">IF(NOT(OR(ISERROR(INDIRECT(_xlfn.CONCAT("$I", $F51 + 1))), ISBLANK(INDIRECT(_xlfn.CONCAT("$I", $F51 + 1))))), $F51 + 1, IF(NOT(ISBLANK(INDIRECT(_xlfn.CONCAT("$I", $F51 + 2)))), $F51 + 2, ""))</f>
        <v/>
      </c>
      <c r="I52" s="8" t="inlineStr">
        <is>
          <t>Tarkir: Dragonstorm Tokens TTDM</t>
        </is>
      </c>
      <c r="J52" s="8" t="n">
        <v>16</v>
      </c>
      <c r="K52" s="9" t="n">
        <v>45758</v>
      </c>
      <c r="L52" s="8" t="inlineStr">
        <is>
          <t>en es fr de it pt ja ko ru 汉语 漢語</t>
        </is>
      </c>
    </row>
    <row r="53" ht="57.75" customHeight="1" s="6">
      <c r="A53" s="1">
        <f t="array" ref="A53">INDIRECT(_xlfn.CONCAT("$I", $F53))</f>
        <v/>
      </c>
      <c r="B53" s="1">
        <f t="array" ref="B53">INDIRECT(_xlfn.CONCAT("$J", $F53))</f>
        <v/>
      </c>
      <c r="C53" s="1">
        <f t="array" ref="C53">INDIRECT(_xlfn.CONCAT("$K", $F53))</f>
        <v/>
      </c>
      <c r="D53" s="1" t="n"/>
      <c r="E53" s="1">
        <f t="array" ref="E53">INDIRECT(_xlfn.CONCAT("$L", $F53))</f>
        <v/>
      </c>
      <c r="F53" s="1">
        <f t="array" ref="F53">IF(NOT(OR(ISERROR(INDIRECT(_xlfn.CONCAT("$I", $F52 + 1))), ISBLANK(INDIRECT(_xlfn.CONCAT("$I", $F52 + 1))))), $F52 + 1, IF(NOT(ISBLANK(INDIRECT(_xlfn.CONCAT("$I", $F52 + 2)))), $F52 + 2, ""))</f>
        <v/>
      </c>
      <c r="I53" s="8" t="inlineStr">
        <is>
          <t>Alchemy: Tarkir YTDM</t>
        </is>
      </c>
      <c r="J53" s="8" t="n">
        <v>30</v>
      </c>
      <c r="K53" s="9" t="n">
        <v>45776</v>
      </c>
      <c r="L53" s="8" t="inlineStr">
        <is>
          <t>en es fr de it pt ja ko ru 汉语 漢語</t>
        </is>
      </c>
    </row>
    <row r="54" ht="68.25" customHeight="1" s="6">
      <c r="A54" s="1">
        <f t="array" ref="A54">INDIRECT(_xlfn.CONCAT("$I", $F54))</f>
        <v/>
      </c>
      <c r="B54" s="1">
        <f t="array" ref="B54">INDIRECT(_xlfn.CONCAT("$J", $F54))</f>
        <v/>
      </c>
      <c r="C54" s="1">
        <f t="array" ref="C54">INDIRECT(_xlfn.CONCAT("$K", $F54))</f>
        <v/>
      </c>
      <c r="D54" s="1" t="n"/>
      <c r="E54" s="1">
        <f t="array" ref="E54">INDIRECT(_xlfn.CONCAT("$L", $F54))</f>
        <v/>
      </c>
      <c r="F54" s="1">
        <f t="array" ref="F54">IF(NOT(OR(ISERROR(INDIRECT(_xlfn.CONCAT("$I", $F53 + 1))), ISBLANK(INDIRECT(_xlfn.CONCAT("$I", $F53 + 1))))), $F53 + 1, IF(NOT(ISBLANK(INDIRECT(_xlfn.CONCAT("$I", $F53 + 2)))), $F53 + 2, ""))</f>
        <v/>
      </c>
      <c r="I54" s="8" t="inlineStr">
        <is>
          <t>Tarkir: Dragonstorm Art Series ATDM</t>
        </is>
      </c>
      <c r="J54" s="8" t="n">
        <v>54</v>
      </c>
      <c r="K54" s="9" t="n">
        <v>45758</v>
      </c>
      <c r="L54" s="8" t="inlineStr">
        <is>
          <t>en es fr de it pt ja ko ru 汉语 漢語</t>
        </is>
      </c>
    </row>
    <row r="55" ht="68.25" customHeight="1" s="6">
      <c r="A55" s="1">
        <f t="array" ref="A55">INDIRECT(_xlfn.CONCAT("$I", $F55))</f>
        <v/>
      </c>
      <c r="B55" s="1">
        <f t="array" ref="B55">INDIRECT(_xlfn.CONCAT("$J", $F55))</f>
        <v/>
      </c>
      <c r="C55" s="1">
        <f t="array" ref="C55">INDIRECT(_xlfn.CONCAT("$K", $F55))</f>
        <v/>
      </c>
      <c r="D55" s="1" t="n"/>
      <c r="E55" s="1">
        <f t="array" ref="E55">INDIRECT(_xlfn.CONCAT("$L", $F55))</f>
        <v/>
      </c>
      <c r="F55" s="1">
        <f t="array" ref="F55">IF(NOT(OR(ISERROR(INDIRECT(_xlfn.CONCAT("$I", $F54 + 1))), ISBLANK(INDIRECT(_xlfn.CONCAT("$I", $F54 + 1))))), $F54 + 1, IF(NOT(ISBLANK(INDIRECT(_xlfn.CONCAT("$I", $F54 + 2)))), $F54 + 2, ""))</f>
        <v/>
      </c>
      <c r="I55" s="8" t="inlineStr">
        <is>
          <t>Tarkir: Dragonstorm Commander TDC</t>
        </is>
      </c>
      <c r="J55" s="8" t="n">
        <v>413</v>
      </c>
      <c r="K55" s="9" t="n">
        <v>45758</v>
      </c>
      <c r="L55" t="inlineStr">
        <is>
          <t>en es fr de it pt ja ko ru 汉语 漢語</t>
        </is>
      </c>
    </row>
    <row r="56" ht="81" customHeight="1" s="6">
      <c r="A56" s="1">
        <f t="array" ref="A56">INDIRECT(_xlfn.CONCAT("$I", $F56))</f>
        <v/>
      </c>
      <c r="B56" s="1">
        <f t="array" ref="B56">INDIRECT(_xlfn.CONCAT("$J", $F56))</f>
        <v/>
      </c>
      <c r="C56" s="1">
        <f t="array" ref="C56">INDIRECT(_xlfn.CONCAT("$K", $F56))</f>
        <v/>
      </c>
      <c r="D56" s="1" t="n"/>
      <c r="E56" s="1">
        <f t="array" ref="E56">INDIRECT(_xlfn.CONCAT("$L", $F56))</f>
        <v/>
      </c>
      <c r="F56" s="1">
        <f t="array" ref="F56">IF(NOT(OR(ISERROR(INDIRECT(_xlfn.CONCAT("$I", $F55 + 1))), ISBLANK(INDIRECT(_xlfn.CONCAT("$I", $F55 + 1))))), $F55 + 1, IF(NOT(ISBLANK(INDIRECT(_xlfn.CONCAT("$I", $F55 + 2)))), $F55 + 2, ""))</f>
        <v/>
      </c>
      <c r="I56" s="8" t="inlineStr">
        <is>
          <t>Tarkir: Dragonstorm Commander Tokens TTDC</t>
        </is>
      </c>
      <c r="J56" s="8" t="n">
        <v>34</v>
      </c>
      <c r="K56" s="9" t="n">
        <v>45758</v>
      </c>
      <c r="L56" s="8" t="inlineStr">
        <is>
          <t>en es fr de it pt ja ko ru 汉语 漢語</t>
        </is>
      </c>
    </row>
    <row r="57" ht="57.75" customHeight="1" s="6">
      <c r="A57" s="1">
        <f t="array" ref="A57">INDIRECT(_xlfn.CONCAT("$I", $F57))</f>
        <v/>
      </c>
      <c r="B57" s="1">
        <f t="array" ref="B57">INDIRECT(_xlfn.CONCAT("$J", $F57))</f>
        <v/>
      </c>
      <c r="C57" s="1">
        <f t="array" ref="C57">INDIRECT(_xlfn.CONCAT("$K", $F57))</f>
        <v/>
      </c>
      <c r="D57" s="1" t="n"/>
      <c r="E57" s="1">
        <f t="array" ref="E57">INDIRECT(_xlfn.CONCAT("$L", $F57))</f>
        <v/>
      </c>
      <c r="F57" s="1">
        <f t="array" ref="F57">IF(NOT(OR(ISERROR(INDIRECT(_xlfn.CONCAT("$I", $F56 + 1))), ISBLANK(INDIRECT(_xlfn.CONCAT("$I", $F56 + 1))))), $F56 + 1, IF(NOT(ISBLANK(INDIRECT(_xlfn.CONCAT("$I", $F56 + 2)))), $F56 + 2, ""))</f>
        <v/>
      </c>
    </row>
    <row r="58" ht="57.75" customHeight="1" s="6">
      <c r="A58" s="1">
        <f t="array" ref="A58">INDIRECT(_xlfn.CONCAT("$I", $F58))</f>
        <v/>
      </c>
      <c r="B58" s="1">
        <f t="array" ref="B58">INDIRECT(_xlfn.CONCAT("$J", $F58))</f>
        <v/>
      </c>
      <c r="C58" s="1">
        <f t="array" ref="C58">INDIRECT(_xlfn.CONCAT("$K", $F58))</f>
        <v/>
      </c>
      <c r="D58" s="1" t="n"/>
      <c r="E58" s="1">
        <f t="array" ref="E58">INDIRECT(_xlfn.CONCAT("$L", $F58))</f>
        <v/>
      </c>
      <c r="F58" s="1">
        <f t="array" ref="F58">IF(NOT(OR(ISERROR(INDIRECT(_xlfn.CONCAT("$I", $F57 + 1))), ISBLANK(INDIRECT(_xlfn.CONCAT("$I", $F57 + 1))))), $F57 + 1, IF(NOT(ISBLANK(INDIRECT(_xlfn.CONCAT("$I", $F57 + 2)))), $F57 + 2, ""))</f>
        <v/>
      </c>
      <c r="I58" s="8" t="inlineStr">
        <is>
          <t>Love Your LGS 2025 PLG25</t>
        </is>
      </c>
      <c r="J58" s="8" t="n">
        <v>2</v>
      </c>
      <c r="K58" s="9" t="n">
        <v>45742</v>
      </c>
      <c r="L58" s="8" t="inlineStr">
        <is>
          <t>en es fr de it pt ja ko ru 汉语 漢語</t>
        </is>
      </c>
    </row>
    <row r="59" ht="57.75" customHeight="1" s="6">
      <c r="A59" s="1">
        <f t="array" ref="A59">INDIRECT(_xlfn.CONCAT("$I", $F59))</f>
        <v/>
      </c>
      <c r="B59" s="1">
        <f t="array" ref="B59">INDIRECT(_xlfn.CONCAT("$J", $F59))</f>
        <v/>
      </c>
      <c r="C59" s="1">
        <f t="array" ref="C59">INDIRECT(_xlfn.CONCAT("$K", $F59))</f>
        <v/>
      </c>
      <c r="D59" s="1" t="n"/>
      <c r="E59" s="1">
        <f t="array" ref="E59">INDIRECT(_xlfn.CONCAT("$L", $F59))</f>
        <v/>
      </c>
      <c r="F59" s="1">
        <f t="array" ref="F59">IF(NOT(OR(ISERROR(INDIRECT(_xlfn.CONCAT("$I", $F58 + 1))), ISBLANK(INDIRECT(_xlfn.CONCAT("$I", $F58 + 1))))), $F58 + 1, IF(NOT(ISBLANK(INDIRECT(_xlfn.CONCAT("$I", $F58 + 2)))), $F58 + 2, ""))</f>
        <v/>
      </c>
    </row>
    <row r="60" ht="57.75" customHeight="1" s="6">
      <c r="A60" s="1">
        <f t="array" ref="A60">INDIRECT(_xlfn.CONCAT("$I", $F60))</f>
        <v/>
      </c>
      <c r="B60" s="1">
        <f t="array" ref="B60">INDIRECT(_xlfn.CONCAT("$J", $F60))</f>
        <v/>
      </c>
      <c r="C60" s="1">
        <f t="array" ref="C60">INDIRECT(_xlfn.CONCAT("$K", $F60))</f>
        <v/>
      </c>
      <c r="D60" s="1" t="n"/>
      <c r="E60" s="1">
        <f t="array" ref="E60">INDIRECT(_xlfn.CONCAT("$L", $F60))</f>
        <v/>
      </c>
      <c r="F60" s="1">
        <f t="array" ref="F60">IF(NOT(OR(ISERROR(INDIRECT(_xlfn.CONCAT("$I", $F59 + 1))), ISBLANK(INDIRECT(_xlfn.CONCAT("$I", $F59 + 1))))), $F59 + 1, IF(NOT(ISBLANK(INDIRECT(_xlfn.CONCAT("$I", $F59 + 2)))), $F59 + 2, ""))</f>
        <v/>
      </c>
      <c r="I60" s="8" t="inlineStr">
        <is>
          <t>Year of the Snake 2025 PL25</t>
        </is>
      </c>
      <c r="J60" s="8" t="n">
        <v>6</v>
      </c>
      <c r="K60" s="9" t="n">
        <v>45702</v>
      </c>
      <c r="L60" s="8" t="inlineStr">
        <is>
          <t>en es fr de it pt ja ko ru 汉语 漢語</t>
        </is>
      </c>
    </row>
    <row r="61" ht="57.75" customHeight="1" s="6">
      <c r="A61" s="1">
        <f t="array" ref="A61">INDIRECT(_xlfn.CONCAT("$I", $F61))</f>
        <v/>
      </c>
      <c r="B61" s="1">
        <f t="array" ref="B61">INDIRECT(_xlfn.CONCAT("$J", $F61))</f>
        <v/>
      </c>
      <c r="C61" s="1">
        <f t="array" ref="C61">INDIRECT(_xlfn.CONCAT("$K", $F61))</f>
        <v/>
      </c>
      <c r="D61" s="1" t="n"/>
      <c r="E61" s="1">
        <f t="array" ref="E61">INDIRECT(_xlfn.CONCAT("$L", $F61))</f>
        <v/>
      </c>
      <c r="F61" s="1">
        <f t="array" ref="F61">IF(NOT(OR(ISERROR(INDIRECT(_xlfn.CONCAT("$I", $F60 + 1))), ISBLANK(INDIRECT(_xlfn.CONCAT("$I", $F60 + 1))))), $F60 + 1, IF(NOT(ISBLANK(INDIRECT(_xlfn.CONCAT("$I", $F60 + 2)))), $F60 + 2, ""))</f>
        <v/>
      </c>
    </row>
    <row r="62" ht="57.75" customHeight="1" s="6">
      <c r="A62" s="1">
        <f t="array" ref="A62">INDIRECT(_xlfn.CONCAT("$I", $F62))</f>
        <v/>
      </c>
      <c r="B62" s="1">
        <f t="array" ref="B62">INDIRECT(_xlfn.CONCAT("$J", $F62))</f>
        <v/>
      </c>
      <c r="C62" s="1">
        <f t="array" ref="C62">INDIRECT(_xlfn.CONCAT("$K", $F62))</f>
        <v/>
      </c>
      <c r="D62" s="1" t="n"/>
      <c r="E62" s="1">
        <f t="array" ref="E62">INDIRECT(_xlfn.CONCAT("$L", $F62))</f>
        <v/>
      </c>
      <c r="F62" s="1">
        <f t="array" ref="F62">IF(NOT(OR(ISERROR(INDIRECT(_xlfn.CONCAT("$I", $F61 + 1))), ISBLANK(INDIRECT(_xlfn.CONCAT("$I", $F61 + 1))))), $F61 + 1, IF(NOT(ISBLANK(INDIRECT(_xlfn.CONCAT("$I", $F61 + 2)))), $F61 + 2, ""))</f>
        <v/>
      </c>
      <c r="I62" s="8" t="inlineStr">
        <is>
          <t>Aetherdrift DFT</t>
        </is>
      </c>
      <c r="J62" s="8" t="n">
        <v>553</v>
      </c>
      <c r="K62" s="9" t="n">
        <v>45702</v>
      </c>
      <c r="L62" t="inlineStr">
        <is>
          <t>en es fr de it pt ja ko ru 汉语 漢語</t>
        </is>
      </c>
    </row>
    <row r="63" ht="57.75" customHeight="1" s="6">
      <c r="A63" s="1">
        <f t="array" ref="A63">INDIRECT(_xlfn.CONCAT("$I", $F63))</f>
        <v/>
      </c>
      <c r="B63" s="1">
        <f t="array" ref="B63">INDIRECT(_xlfn.CONCAT("$J", $F63))</f>
        <v/>
      </c>
      <c r="C63" s="1">
        <f t="array" ref="C63">INDIRECT(_xlfn.CONCAT("$K", $F63))</f>
        <v/>
      </c>
      <c r="D63" s="1" t="n"/>
      <c r="E63" s="1">
        <f t="array" ref="E63">INDIRECT(_xlfn.CONCAT("$L", $F63))</f>
        <v/>
      </c>
      <c r="F63" s="1">
        <f t="array" ref="F63">IF(NOT(OR(ISERROR(INDIRECT(_xlfn.CONCAT("$I", $F62 + 1))), ISBLANK(INDIRECT(_xlfn.CONCAT("$I", $F62 + 1))))), $F62 + 1, IF(NOT(ISBLANK(INDIRECT(_xlfn.CONCAT("$I", $F62 + 2)))), $F62 + 2, ""))</f>
        <v/>
      </c>
    </row>
    <row r="64" ht="57.75" customHeight="1" s="6">
      <c r="A64" s="1">
        <f t="array" ref="A64">INDIRECT(_xlfn.CONCAT("$I", $F64))</f>
        <v/>
      </c>
      <c r="B64" s="1">
        <f t="array" ref="B64">INDIRECT(_xlfn.CONCAT("$J", $F64))</f>
        <v/>
      </c>
      <c r="C64" s="1">
        <f t="array" ref="C64">INDIRECT(_xlfn.CONCAT("$K", $F64))</f>
        <v/>
      </c>
      <c r="D64" s="1" t="n"/>
      <c r="E64" s="1">
        <f t="array" ref="E64">INDIRECT(_xlfn.CONCAT("$L", $F64))</f>
        <v/>
      </c>
      <c r="F64" s="1">
        <f t="array" ref="F64">IF(NOT(OR(ISERROR(INDIRECT(_xlfn.CONCAT("$I", $F63 + 1))), ISBLANK(INDIRECT(_xlfn.CONCAT("$I", $F63 + 1))))), $F63 + 1, IF(NOT(ISBLANK(INDIRECT(_xlfn.CONCAT("$I", $F63 + 2)))), $F63 + 2, ""))</f>
        <v/>
      </c>
      <c r="I64" s="8" t="inlineStr">
        <is>
          <t>Aetherdrift Promos PDFT</t>
        </is>
      </c>
      <c r="J64" s="8" t="n">
        <v>160</v>
      </c>
      <c r="K64" s="9" t="n">
        <v>45702</v>
      </c>
      <c r="L64" s="8" t="inlineStr">
        <is>
          <t>en es fr de it pt ja ko ru 汉语 漢語</t>
        </is>
      </c>
    </row>
    <row r="65" ht="57.75" customHeight="1" s="6">
      <c r="A65" s="1">
        <f t="array" ref="A65">INDIRECT(_xlfn.CONCAT("$I", $F65))</f>
        <v/>
      </c>
      <c r="B65" s="1">
        <f t="array" ref="B65">INDIRECT(_xlfn.CONCAT("$J", $F65))</f>
        <v/>
      </c>
      <c r="C65" s="1">
        <f t="array" ref="C65">INDIRECT(_xlfn.CONCAT("$K", $F65))</f>
        <v/>
      </c>
      <c r="D65" s="1" t="n"/>
      <c r="E65" s="1">
        <f t="array" ref="E65">INDIRECT(_xlfn.CONCAT("$L", $F65))</f>
        <v/>
      </c>
      <c r="F65" s="1">
        <f t="array" ref="F65">IF(NOT(OR(ISERROR(INDIRECT(_xlfn.CONCAT("$I", $F64 + 1))), ISBLANK(INDIRECT(_xlfn.CONCAT("$I", $F64 + 1))))), $F64 + 1, IF(NOT(ISBLANK(INDIRECT(_xlfn.CONCAT("$I", $F64 + 2)))), $F64 + 2, ""))</f>
        <v/>
      </c>
    </row>
    <row r="66" ht="57.75" customHeight="1" s="6">
      <c r="A66" s="1">
        <f t="array" ref="A66">INDIRECT(_xlfn.CONCAT("$I", $F66))</f>
        <v/>
      </c>
      <c r="B66" s="1">
        <f t="array" ref="B66">INDIRECT(_xlfn.CONCAT("$J", $F66))</f>
        <v/>
      </c>
      <c r="C66" s="1">
        <f t="array" ref="C66">INDIRECT(_xlfn.CONCAT("$K", $F66))</f>
        <v/>
      </c>
      <c r="D66" s="1" t="n"/>
      <c r="E66" s="1">
        <f t="array" ref="E66">INDIRECT(_xlfn.CONCAT("$L", $F66))</f>
        <v/>
      </c>
      <c r="F66" s="1">
        <f t="array" ref="F66">IF(NOT(OR(ISERROR(INDIRECT(_xlfn.CONCAT("$I", $F65 + 1))), ISBLANK(INDIRECT(_xlfn.CONCAT("$I", $F65 + 1))))), $F65 + 1, IF(NOT(ISBLANK(INDIRECT(_xlfn.CONCAT("$I", $F65 + 2)))), $F65 + 2, ""))</f>
        <v/>
      </c>
      <c r="I66" s="8" t="inlineStr">
        <is>
          <t>Aetherdrift Tokens TDFT</t>
        </is>
      </c>
      <c r="J66" s="8" t="n">
        <v>14</v>
      </c>
      <c r="K66" s="9" t="n">
        <v>45702</v>
      </c>
      <c r="L66" s="8" t="inlineStr">
        <is>
          <t>en es fr de it pt ja ko ru 汉语 漢語</t>
        </is>
      </c>
    </row>
    <row r="67" ht="57.75" customHeight="1" s="6">
      <c r="A67" s="1">
        <f t="array" ref="A67">INDIRECT(_xlfn.CONCAT("$I", $F67))</f>
        <v/>
      </c>
      <c r="B67" s="1">
        <f t="array" ref="B67">INDIRECT(_xlfn.CONCAT("$J", $F67))</f>
        <v/>
      </c>
      <c r="C67" s="1">
        <f t="array" ref="C67">INDIRECT(_xlfn.CONCAT("$K", $F67))</f>
        <v/>
      </c>
      <c r="D67" s="1" t="n"/>
      <c r="E67" s="1">
        <f t="array" ref="E67">INDIRECT(_xlfn.CONCAT("$L", $F67))</f>
        <v/>
      </c>
      <c r="F67" s="1">
        <f t="array" ref="F67">IF(NOT(OR(ISERROR(INDIRECT(_xlfn.CONCAT("$I", $F66 + 1))), ISBLANK(INDIRECT(_xlfn.CONCAT("$I", $F66 + 1))))), $F66 + 1, IF(NOT(ISBLANK(INDIRECT(_xlfn.CONCAT("$I", $F66 + 2)))), $F66 + 2, ""))</f>
        <v/>
      </c>
    </row>
    <row r="68" ht="57.75" customHeight="1" s="6">
      <c r="A68" s="1">
        <f t="array" ref="A68">INDIRECT(_xlfn.CONCAT("$I", $F68))</f>
        <v/>
      </c>
      <c r="B68" s="1">
        <f t="array" ref="B68">INDIRECT(_xlfn.CONCAT("$J", $F68))</f>
        <v/>
      </c>
      <c r="C68" s="1">
        <f t="array" ref="C68">INDIRECT(_xlfn.CONCAT("$K", $F68))</f>
        <v/>
      </c>
      <c r="D68" s="1" t="n"/>
      <c r="E68" s="1">
        <f t="array" ref="E68">INDIRECT(_xlfn.CONCAT("$L", $F68))</f>
        <v/>
      </c>
      <c r="F68" s="1">
        <f t="array" ref="F68">IF(NOT(OR(ISERROR(INDIRECT(_xlfn.CONCAT("$I", $F67 + 1))), ISBLANK(INDIRECT(_xlfn.CONCAT("$I", $F67 + 1))))), $F67 + 1, IF(NOT(ISBLANK(INDIRECT(_xlfn.CONCAT("$I", $F67 + 2)))), $F67 + 2, ""))</f>
        <v/>
      </c>
      <c r="I68" s="8" t="inlineStr">
        <is>
          <t>Alchemy: Aetherdrift YDFT</t>
        </is>
      </c>
      <c r="J68" s="8" t="n">
        <v>30</v>
      </c>
      <c r="K68" s="9" t="n">
        <v>45720</v>
      </c>
      <c r="L68" s="8" t="inlineStr">
        <is>
          <t>en es fr de it pt ja ko ru 汉语 漢語</t>
        </is>
      </c>
    </row>
    <row r="69" ht="57.75" customHeight="1" s="6">
      <c r="A69" s="1">
        <f t="array" ref="A69">INDIRECT(_xlfn.CONCAT("$I", $F69))</f>
        <v/>
      </c>
      <c r="B69" s="1">
        <f t="array" ref="B69">INDIRECT(_xlfn.CONCAT("$J", $F69))</f>
        <v/>
      </c>
      <c r="C69" s="1">
        <f t="array" ref="C69">INDIRECT(_xlfn.CONCAT("$K", $F69))</f>
        <v/>
      </c>
      <c r="D69" s="1" t="n"/>
      <c r="E69" s="1">
        <f t="array" ref="E69">INDIRECT(_xlfn.CONCAT("$L", $F69))</f>
        <v/>
      </c>
      <c r="F69" s="1">
        <f t="array" ref="F69">IF(NOT(OR(ISERROR(INDIRECT(_xlfn.CONCAT("$I", $F68 + 1))), ISBLANK(INDIRECT(_xlfn.CONCAT("$I", $F68 + 1))))), $F68 + 1, IF(NOT(ISBLANK(INDIRECT(_xlfn.CONCAT("$I", $F68 + 2)))), $F68 + 2, ""))</f>
        <v/>
      </c>
    </row>
    <row r="70" ht="57.75" customHeight="1" s="6">
      <c r="A70" s="1">
        <f t="array" ref="A70">INDIRECT(_xlfn.CONCAT("$I", $F70))</f>
        <v/>
      </c>
      <c r="B70" s="1">
        <f t="array" ref="B70">INDIRECT(_xlfn.CONCAT("$J", $F70))</f>
        <v/>
      </c>
      <c r="C70" s="1">
        <f t="array" ref="C70">INDIRECT(_xlfn.CONCAT("$K", $F70))</f>
        <v/>
      </c>
      <c r="D70" s="1" t="n"/>
      <c r="E70" s="1">
        <f t="array" ref="E70">INDIRECT(_xlfn.CONCAT("$L", $F70))</f>
        <v/>
      </c>
      <c r="F70" s="1">
        <f t="array" ref="F70">IF(NOT(OR(ISERROR(INDIRECT(_xlfn.CONCAT("$I", $F69 + 1))), ISBLANK(INDIRECT(_xlfn.CONCAT("$I", $F69 + 1))))), $F69 + 1, IF(NOT(ISBLANK(INDIRECT(_xlfn.CONCAT("$I", $F69 + 2)))), $F69 + 2, ""))</f>
        <v/>
      </c>
      <c r="I70" s="8" t="inlineStr">
        <is>
          <t>Aetherdrift Art Series ADFT</t>
        </is>
      </c>
      <c r="J70" s="8" t="n">
        <v>54</v>
      </c>
      <c r="K70" s="9" t="n">
        <v>45702</v>
      </c>
      <c r="L70" s="8" t="inlineStr">
        <is>
          <t>en es fr de it pt ja ko ru 汉语 漢語</t>
        </is>
      </c>
    </row>
    <row r="71" ht="57.75" customHeight="1" s="6">
      <c r="A71" s="1">
        <f t="array" ref="A71">INDIRECT(_xlfn.CONCAT("$I", $F71))</f>
        <v/>
      </c>
      <c r="B71" s="1">
        <f t="array" ref="B71">INDIRECT(_xlfn.CONCAT("$J", $F71))</f>
        <v/>
      </c>
      <c r="C71" s="1">
        <f t="array" ref="C71">INDIRECT(_xlfn.CONCAT("$K", $F71))</f>
        <v/>
      </c>
      <c r="D71" s="1" t="n"/>
      <c r="E71" s="1">
        <f t="array" ref="E71">INDIRECT(_xlfn.CONCAT("$L", $F71))</f>
        <v/>
      </c>
      <c r="F71" s="1">
        <f t="array" ref="F71">IF(NOT(OR(ISERROR(INDIRECT(_xlfn.CONCAT("$I", $F70 + 1))), ISBLANK(INDIRECT(_xlfn.CONCAT("$I", $F70 + 1))))), $F70 + 1, IF(NOT(ISBLANK(INDIRECT(_xlfn.CONCAT("$I", $F70 + 2)))), $F70 + 2, ""))</f>
        <v/>
      </c>
    </row>
    <row r="72" ht="68.25" customHeight="1" s="6">
      <c r="A72" s="1">
        <f t="array" ref="A72">INDIRECT(_xlfn.CONCAT("$I", $F72))</f>
        <v/>
      </c>
      <c r="B72" s="1">
        <f t="array" ref="B72">INDIRECT(_xlfn.CONCAT("$J", $F72))</f>
        <v/>
      </c>
      <c r="C72" s="1">
        <f t="array" ref="C72">INDIRECT(_xlfn.CONCAT("$K", $F72))</f>
        <v/>
      </c>
      <c r="D72" s="1" t="n"/>
      <c r="E72" s="1">
        <f t="array" ref="E72">INDIRECT(_xlfn.CONCAT("$L", $F72))</f>
        <v/>
      </c>
      <c r="F72" s="1">
        <f t="array" ref="F72">IF(NOT(OR(ISERROR(INDIRECT(_xlfn.CONCAT("$I", $F71 + 1))), ISBLANK(INDIRECT(_xlfn.CONCAT("$I", $F71 + 1))))), $F71 + 1, IF(NOT(ISBLANK(INDIRECT(_xlfn.CONCAT("$I", $F71 + 2)))), $F71 + 2, ""))</f>
        <v/>
      </c>
      <c r="I72" s="8" t="inlineStr">
        <is>
          <t>Aetherdrift Commander DRC</t>
        </is>
      </c>
      <c r="J72" s="8" t="n">
        <v>184</v>
      </c>
      <c r="K72" s="9" t="n">
        <v>45702</v>
      </c>
      <c r="L72" t="inlineStr">
        <is>
          <t>en es fr de it pt ja ko ru 汉语 漢語</t>
        </is>
      </c>
    </row>
    <row r="73" ht="57.75" customHeight="1" s="6">
      <c r="A73" s="1">
        <f t="array" ref="A73">INDIRECT(_xlfn.CONCAT("$I", $F73))</f>
        <v/>
      </c>
      <c r="B73" s="1">
        <f t="array" ref="B73">INDIRECT(_xlfn.CONCAT("$J", $F73))</f>
        <v/>
      </c>
      <c r="C73" s="1">
        <f t="array" ref="C73">INDIRECT(_xlfn.CONCAT("$K", $F73))</f>
        <v/>
      </c>
      <c r="D73" s="1" t="n"/>
      <c r="E73" s="1">
        <f t="array" ref="E73">INDIRECT(_xlfn.CONCAT("$L", $F73))</f>
        <v/>
      </c>
      <c r="F73" s="1">
        <f t="array" ref="F73">IF(NOT(OR(ISERROR(INDIRECT(_xlfn.CONCAT("$I", $F72 + 1))), ISBLANK(INDIRECT(_xlfn.CONCAT("$I", $F72 + 1))))), $F72 + 1, IF(NOT(ISBLANK(INDIRECT(_xlfn.CONCAT("$I", $F72 + 2)))), $F72 + 2, ""))</f>
        <v/>
      </c>
    </row>
    <row r="74" ht="57.75" customHeight="1" s="6">
      <c r="A74" s="1">
        <f t="array" ref="A74">INDIRECT(_xlfn.CONCAT("$I", $F74))</f>
        <v/>
      </c>
      <c r="B74" s="1">
        <f t="array" ref="B74">INDIRECT(_xlfn.CONCAT("$J", $F74))</f>
        <v/>
      </c>
      <c r="C74" s="1">
        <f t="array" ref="C74">INDIRECT(_xlfn.CONCAT("$K", $F74))</f>
        <v/>
      </c>
      <c r="D74" s="1" t="n"/>
      <c r="E74" s="1">
        <f t="array" ref="E74">INDIRECT(_xlfn.CONCAT("$L", $F74))</f>
        <v/>
      </c>
      <c r="F74" s="1">
        <f t="array" ref="F74">IF(NOT(OR(ISERROR(INDIRECT(_xlfn.CONCAT("$I", $F73 + 1))), ISBLANK(INDIRECT(_xlfn.CONCAT("$I", $F73 + 1))))), $F73 + 1, IF(NOT(ISBLANK(INDIRECT(_xlfn.CONCAT("$I", $F73 + 2)))), $F73 + 2, ""))</f>
        <v/>
      </c>
      <c r="I74" s="8" t="inlineStr">
        <is>
          <t>Aetherdrift Commander Tokens TDRC</t>
        </is>
      </c>
      <c r="J74" s="8" t="n">
        <v>17</v>
      </c>
      <c r="K74" s="9" t="n">
        <v>45702</v>
      </c>
      <c r="L74" s="8" t="inlineStr">
        <is>
          <t>en es fr de it pt ja ko ru 汉语 漢語</t>
        </is>
      </c>
    </row>
    <row r="75" ht="57.75" customHeight="1" s="6">
      <c r="A75" s="1">
        <f t="array" ref="A75">INDIRECT(_xlfn.CONCAT("$I", $F75))</f>
        <v/>
      </c>
      <c r="B75" s="1">
        <f t="array" ref="B75">INDIRECT(_xlfn.CONCAT("$J", $F75))</f>
        <v/>
      </c>
      <c r="C75" s="1">
        <f t="array" ref="C75">INDIRECT(_xlfn.CONCAT("$K", $F75))</f>
        <v/>
      </c>
      <c r="D75" s="1" t="n"/>
      <c r="E75" s="1">
        <f t="array" ref="E75">INDIRECT(_xlfn.CONCAT("$L", $F75))</f>
        <v/>
      </c>
      <c r="F75" s="1">
        <f t="array" ref="F75">IF(NOT(OR(ISERROR(INDIRECT(_xlfn.CONCAT("$I", $F74 + 1))), ISBLANK(INDIRECT(_xlfn.CONCAT("$I", $F74 + 1))))), $F74 + 1, IF(NOT(ISBLANK(INDIRECT(_xlfn.CONCAT("$I", $F74 + 2)))), $F74 + 2, ""))</f>
        <v/>
      </c>
    </row>
    <row r="76" ht="57.75" customHeight="1" s="6">
      <c r="A76" s="1">
        <f t="array" ref="A76">INDIRECT(_xlfn.CONCAT("$I", $F76))</f>
        <v/>
      </c>
      <c r="B76" s="1">
        <f t="array" ref="B76">INDIRECT(_xlfn.CONCAT("$J", $F76))</f>
        <v/>
      </c>
      <c r="C76" s="1">
        <f t="array" ref="C76">INDIRECT(_xlfn.CONCAT("$K", $F76))</f>
        <v/>
      </c>
      <c r="D76" s="1" t="n"/>
      <c r="E76" s="1">
        <f t="array" ref="E76">INDIRECT(_xlfn.CONCAT("$L", $F76))</f>
        <v/>
      </c>
      <c r="F76" s="1">
        <f t="array" ref="F76">IF(NOT(OR(ISERROR(INDIRECT(_xlfn.CONCAT("$I", $F75 + 1))), ISBLANK(INDIRECT(_xlfn.CONCAT("$I", $F75 + 1))))), $F75 + 1, IF(NOT(ISBLANK(INDIRECT(_xlfn.CONCAT("$I", $F75 + 2)))), $F75 + 2, ""))</f>
        <v/>
      </c>
      <c r="I76" s="8" t="inlineStr">
        <is>
          <t>Japan Standard Cup PJSC</t>
        </is>
      </c>
      <c r="J76" s="8" t="n">
        <v>2</v>
      </c>
      <c r="K76" s="9" t="n">
        <v>45697</v>
      </c>
      <c r="L76" s="8" t="inlineStr">
        <is>
          <t>en es fr de it pt ja ko ru 汉语 漢語</t>
        </is>
      </c>
    </row>
    <row r="77" ht="57.75" customHeight="1" s="6">
      <c r="A77" s="1">
        <f t="array" ref="A77">INDIRECT(_xlfn.CONCAT("$I", $F77))</f>
        <v/>
      </c>
      <c r="B77" s="1">
        <f t="array" ref="B77">INDIRECT(_xlfn.CONCAT("$J", $F77))</f>
        <v/>
      </c>
      <c r="C77" s="1">
        <f t="array" ref="C77">INDIRECT(_xlfn.CONCAT("$K", $F77))</f>
        <v/>
      </c>
      <c r="D77" s="1" t="n"/>
      <c r="E77" s="1">
        <f t="array" ref="E77">INDIRECT(_xlfn.CONCAT("$L", $F77))</f>
        <v/>
      </c>
      <c r="F77" s="1">
        <f t="array" ref="F77">IF(NOT(OR(ISERROR(INDIRECT(_xlfn.CONCAT("$I", $F76 + 1))), ISBLANK(INDIRECT(_xlfn.CONCAT("$I", $F76 + 1))))), $F76 + 1, IF(NOT(ISBLANK(INDIRECT(_xlfn.CONCAT("$I", $F76 + 2)))), $F76 + 2, ""))</f>
        <v/>
      </c>
    </row>
    <row r="78" ht="57.75" customHeight="1" s="6">
      <c r="A78" s="1">
        <f t="array" ref="A78">INDIRECT(_xlfn.CONCAT("$I", $F78))</f>
        <v/>
      </c>
      <c r="B78" s="1">
        <f t="array" ref="B78">INDIRECT(_xlfn.CONCAT("$J", $F78))</f>
        <v/>
      </c>
      <c r="C78" s="1">
        <f t="array" ref="C78">INDIRECT(_xlfn.CONCAT("$K", $F78))</f>
        <v/>
      </c>
      <c r="D78" s="1" t="n"/>
      <c r="E78" s="1">
        <f t="array" ref="E78">INDIRECT(_xlfn.CONCAT("$L", $F78))</f>
        <v/>
      </c>
      <c r="F78" s="1">
        <f t="array" ref="F78">IF(NOT(OR(ISERROR(INDIRECT(_xlfn.CONCAT("$I", $F77 + 1))), ISBLANK(INDIRECT(_xlfn.CONCAT("$I", $F77 + 1))))), $F77 + 1, IF(NOT(ISBLANK(INDIRECT(_xlfn.CONCAT("$I", $F77 + 2)))), $F77 + 2, ""))</f>
        <v/>
      </c>
      <c r="I78" s="8" t="inlineStr">
        <is>
          <t>Innistrad Remastered INR</t>
        </is>
      </c>
      <c r="J78" s="8" t="n">
        <v>495</v>
      </c>
      <c r="K78" s="9" t="n">
        <v>45681</v>
      </c>
      <c r="L78" s="8" t="inlineStr">
        <is>
          <t>en es fr de it pt ja ko ru 汉语 漢語</t>
        </is>
      </c>
    </row>
    <row r="79" ht="57.75" customHeight="1" s="6">
      <c r="A79" s="1">
        <f t="array" ref="A79">INDIRECT(_xlfn.CONCAT("$I", $F79))</f>
        <v/>
      </c>
      <c r="B79" s="1">
        <f t="array" ref="B79">INDIRECT(_xlfn.CONCAT("$J", $F79))</f>
        <v/>
      </c>
      <c r="C79" s="1">
        <f t="array" ref="C79">INDIRECT(_xlfn.CONCAT("$K", $F79))</f>
        <v/>
      </c>
      <c r="D79" s="1" t="n"/>
      <c r="E79" s="1">
        <f t="array" ref="E79">INDIRECT(_xlfn.CONCAT("$L", $F79))</f>
        <v/>
      </c>
      <c r="F79" s="1">
        <f t="array" ref="F79">IF(NOT(OR(ISERROR(INDIRECT(_xlfn.CONCAT("$I", $F78 + 1))), ISBLANK(INDIRECT(_xlfn.CONCAT("$I", $F78 + 1))))), $F78 + 1, IF(NOT(ISBLANK(INDIRECT(_xlfn.CONCAT("$I", $F78 + 2)))), $F78 + 2, ""))</f>
        <v/>
      </c>
    </row>
    <row r="80" ht="68.25" customHeight="1" s="6">
      <c r="A80" s="1">
        <f t="array" ref="A80">INDIRECT(_xlfn.CONCAT("$I", $F80))</f>
        <v/>
      </c>
      <c r="B80" s="1">
        <f t="array" ref="B80">INDIRECT(_xlfn.CONCAT("$J", $F80))</f>
        <v/>
      </c>
      <c r="C80" s="1">
        <f t="array" ref="C80">INDIRECT(_xlfn.CONCAT("$K", $F80))</f>
        <v/>
      </c>
      <c r="D80" s="1" t="n"/>
      <c r="E80" s="1">
        <f t="array" ref="E80">INDIRECT(_xlfn.CONCAT("$L", $F80))</f>
        <v/>
      </c>
      <c r="F80" s="1">
        <f t="array" ref="F80">IF(NOT(OR(ISERROR(INDIRECT(_xlfn.CONCAT("$I", $F79 + 1))), ISBLANK(INDIRECT(_xlfn.CONCAT("$I", $F79 + 1))))), $F79 + 1, IF(NOT(ISBLANK(INDIRECT(_xlfn.CONCAT("$I", $F79 + 2)))), $F79 + 2, ""))</f>
        <v/>
      </c>
      <c r="I80" s="8" t="inlineStr">
        <is>
          <t>Innistrad Remastered Tokens TINR</t>
        </is>
      </c>
      <c r="J80" s="8" t="n">
        <v>27</v>
      </c>
      <c r="K80" s="9" t="n">
        <v>45681</v>
      </c>
      <c r="L80" s="8" t="inlineStr">
        <is>
          <t>en es fr de it pt ja ko ru 汉语 漢語</t>
        </is>
      </c>
    </row>
    <row r="81" ht="57.75" customHeight="1" s="6">
      <c r="A81" s="1">
        <f t="array" ref="A81">INDIRECT(_xlfn.CONCAT("$I", $F81))</f>
        <v/>
      </c>
      <c r="B81" s="1">
        <f t="array" ref="B81">INDIRECT(_xlfn.CONCAT("$J", $F81))</f>
        <v/>
      </c>
      <c r="C81" s="1">
        <f t="array" ref="C81">INDIRECT(_xlfn.CONCAT("$K", $F81))</f>
        <v/>
      </c>
      <c r="D81" s="1" t="n"/>
      <c r="E81" s="1">
        <f t="array" ref="E81">INDIRECT(_xlfn.CONCAT("$L", $F81))</f>
        <v/>
      </c>
      <c r="F81" s="1">
        <f t="array" ref="F81">IF(NOT(OR(ISERROR(INDIRECT(_xlfn.CONCAT("$I", $F80 + 1))), ISBLANK(INDIRECT(_xlfn.CONCAT("$I", $F80 + 1))))), $F80 + 1, IF(NOT(ISBLANK(INDIRECT(_xlfn.CONCAT("$I", $F80 + 2)))), $F80 + 2, ""))</f>
        <v/>
      </c>
    </row>
    <row r="82" ht="57.75" customHeight="1" s="6">
      <c r="A82" s="1">
        <f t="array" ref="A82">INDIRECT(_xlfn.CONCAT("$I", $F82))</f>
        <v/>
      </c>
      <c r="B82" s="1">
        <f t="array" ref="B82">INDIRECT(_xlfn.CONCAT("$J", $F82))</f>
        <v/>
      </c>
      <c r="C82" s="1">
        <f t="array" ref="C82">INDIRECT(_xlfn.CONCAT("$K", $F82))</f>
        <v/>
      </c>
      <c r="D82" s="1" t="n"/>
      <c r="E82" s="1">
        <f t="array" ref="E82">INDIRECT(_xlfn.CONCAT("$L", $F82))</f>
        <v/>
      </c>
      <c r="F82" s="1">
        <f t="array" ref="F82">IF(NOT(OR(ISERROR(INDIRECT(_xlfn.CONCAT("$I", $F81 + 1))), ISBLANK(INDIRECT(_xlfn.CONCAT("$I", $F81 + 1))))), $F81 + 1, IF(NOT(ISBLANK(INDIRECT(_xlfn.CONCAT("$I", $F81 + 2)))), $F81 + 2, ""))</f>
        <v/>
      </c>
      <c r="I82" s="8" t="inlineStr">
        <is>
          <t>Innistrad Remastered Art Series AINR</t>
        </is>
      </c>
      <c r="J82" s="8" t="n">
        <v>25</v>
      </c>
      <c r="K82" s="9" t="n">
        <v>45681</v>
      </c>
      <c r="L82" s="8" t="inlineStr">
        <is>
          <t>en es fr de it pt ja ko ru 汉语 漢語</t>
        </is>
      </c>
    </row>
    <row r="83" ht="68.25" customHeight="1" s="6">
      <c r="A83" s="1">
        <f t="array" ref="A83">INDIRECT(_xlfn.CONCAT("$I", $F83))</f>
        <v/>
      </c>
      <c r="B83" s="1">
        <f t="array" ref="B83">INDIRECT(_xlfn.CONCAT("$J", $F83))</f>
        <v/>
      </c>
      <c r="C83" s="1">
        <f t="array" ref="C83">INDIRECT(_xlfn.CONCAT("$K", $F83))</f>
        <v/>
      </c>
      <c r="D83" s="1" t="n"/>
      <c r="E83" s="1">
        <f t="array" ref="E83">INDIRECT(_xlfn.CONCAT("$L", $F83))</f>
        <v/>
      </c>
      <c r="F83" s="1">
        <f t="array" ref="F83">IF(NOT(OR(ISERROR(INDIRECT(_xlfn.CONCAT("$I", $F82 + 1))), ISBLANK(INDIRECT(_xlfn.CONCAT("$I", $F82 + 1))))), $F82 + 1, IF(NOT(ISBLANK(INDIRECT(_xlfn.CONCAT("$I", $F82 + 2)))), $F82 + 2, ""))</f>
        <v/>
      </c>
    </row>
    <row r="84" ht="68.25" customHeight="1" s="6">
      <c r="A84" s="1">
        <f t="array" ref="A84">INDIRECT(_xlfn.CONCAT("$I", $F84))</f>
        <v/>
      </c>
      <c r="B84" s="1">
        <f t="array" ref="B84">INDIRECT(_xlfn.CONCAT("$J", $F84))</f>
        <v/>
      </c>
      <c r="C84" s="1">
        <f t="array" ref="C84">INDIRECT(_xlfn.CONCAT("$K", $F84))</f>
        <v/>
      </c>
      <c r="D84" s="1" t="n"/>
      <c r="E84" s="1">
        <f t="array" ref="E84">INDIRECT(_xlfn.CONCAT("$L", $F84))</f>
        <v/>
      </c>
      <c r="F84" s="1">
        <f t="array" ref="F84">IF(NOT(OR(ISERROR(INDIRECT(_xlfn.CONCAT("$I", $F83 + 1))), ISBLANK(INDIRECT(_xlfn.CONCAT("$I", $F83 + 1))))), $F83 + 1, IF(NOT(ISBLANK(INDIRECT(_xlfn.CONCAT("$I", $F83 + 2)))), $F83 + 2, ""))</f>
        <v/>
      </c>
      <c r="I84" s="8" t="inlineStr">
        <is>
          <t>Spotlight Series PSPL</t>
        </is>
      </c>
      <c r="J84" s="8" t="n">
        <v>8</v>
      </c>
      <c r="K84" s="9" t="n">
        <v>45660</v>
      </c>
      <c r="L84" t="inlineStr">
        <is>
          <t>en es fr de it pt ja ko ru 汉语 漢語</t>
        </is>
      </c>
    </row>
    <row r="85" ht="57.75" customHeight="1" s="6">
      <c r="A85" s="1">
        <f t="array" ref="A85">INDIRECT(_xlfn.CONCAT("$I", $F85))</f>
        <v/>
      </c>
      <c r="B85" s="1">
        <f t="array" ref="B85">INDIRECT(_xlfn.CONCAT("$J", $F85))</f>
        <v/>
      </c>
      <c r="C85" s="1">
        <f t="array" ref="C85">INDIRECT(_xlfn.CONCAT("$K", $F85))</f>
        <v/>
      </c>
      <c r="D85" s="1" t="n"/>
      <c r="E85" s="1">
        <f t="array" ref="E85">INDIRECT(_xlfn.CONCAT("$L", $F85))</f>
        <v/>
      </c>
      <c r="F85" s="1">
        <f t="array" ref="F85">IF(NOT(OR(ISERROR(INDIRECT(_xlfn.CONCAT("$I", $F84 + 1))), ISBLANK(INDIRECT(_xlfn.CONCAT("$I", $F84 + 1))))), $F84 + 1, IF(NOT(ISBLANK(INDIRECT(_xlfn.CONCAT("$I", $F84 + 2)))), $F84 + 2, ""))</f>
        <v/>
      </c>
    </row>
    <row r="86" ht="68.25" customHeight="1" s="6">
      <c r="A86" s="1">
        <f t="array" ref="A86">INDIRECT(_xlfn.CONCAT("$I", $F86))</f>
        <v/>
      </c>
      <c r="B86" s="1">
        <f t="array" ref="B86">INDIRECT(_xlfn.CONCAT("$J", $F86))</f>
        <v/>
      </c>
      <c r="C86" s="1">
        <f t="array" ref="C86">INDIRECT(_xlfn.CONCAT("$K", $F86))</f>
        <v/>
      </c>
      <c r="D86" s="1" t="n"/>
      <c r="E86" s="1">
        <f t="array" ref="E86">INDIRECT(_xlfn.CONCAT("$L", $F86))</f>
        <v/>
      </c>
      <c r="F86" s="1">
        <f t="array" ref="F86">IF(NOT(OR(ISERROR(INDIRECT(_xlfn.CONCAT("$I", $F85 + 1))), ISBLANK(INDIRECT(_xlfn.CONCAT("$I", $F85 + 1))))), $F85 + 1, IF(NOT(ISBLANK(INDIRECT(_xlfn.CONCAT("$I", $F85 + 2)))), $F85 + 2, ""))</f>
        <v/>
      </c>
      <c r="I86" s="8" t="inlineStr">
        <is>
          <t>MagicFest 2025 PF25</t>
        </is>
      </c>
      <c r="J86" s="8" t="n">
        <v>19</v>
      </c>
      <c r="K86" s="9" t="n">
        <v>45658</v>
      </c>
      <c r="L86" t="inlineStr">
        <is>
          <t>en es fr de it pt ja ko ru 汉语 漢語</t>
        </is>
      </c>
    </row>
    <row r="87" ht="68.25" customHeight="1" s="6">
      <c r="A87" s="1">
        <f t="array" ref="A87">INDIRECT(_xlfn.CONCAT("$I", $F87))</f>
        <v/>
      </c>
      <c r="B87" s="1">
        <f t="array" ref="B87">INDIRECT(_xlfn.CONCAT("$J", $F87))</f>
        <v/>
      </c>
      <c r="C87" s="1">
        <f t="array" ref="C87">INDIRECT(_xlfn.CONCAT("$K", $F87))</f>
        <v/>
      </c>
      <c r="D87" s="1" t="n"/>
      <c r="E87" s="1">
        <f t="array" ref="E87">INDIRECT(_xlfn.CONCAT("$L", $F87))</f>
        <v/>
      </c>
      <c r="F87" s="1">
        <f t="array" ref="F87">IF(NOT(OR(ISERROR(INDIRECT(_xlfn.CONCAT("$I", $F86 + 1))), ISBLANK(INDIRECT(_xlfn.CONCAT("$I", $F86 + 1))))), $F86 + 1, IF(NOT(ISBLANK(INDIRECT(_xlfn.CONCAT("$I", $F86 + 2)))), $F86 + 2, ""))</f>
        <v/>
      </c>
    </row>
    <row r="88" ht="68.25" customHeight="1" s="6">
      <c r="A88" s="1">
        <f t="array" ref="A88">INDIRECT(_xlfn.CONCAT("$I", $F88))</f>
        <v/>
      </c>
      <c r="B88" s="1">
        <f t="array" ref="B88">INDIRECT(_xlfn.CONCAT("$J", $F88))</f>
        <v/>
      </c>
      <c r="C88" s="1">
        <f t="array" ref="C88">INDIRECT(_xlfn.CONCAT("$K", $F88))</f>
        <v/>
      </c>
      <c r="D88" s="1" t="n"/>
      <c r="E88" s="1">
        <f t="array" ref="E88">INDIRECT(_xlfn.CONCAT("$L", $F88))</f>
        <v/>
      </c>
      <c r="F88" s="1">
        <f t="array" ref="F88">IF(NOT(OR(ISERROR(INDIRECT(_xlfn.CONCAT("$I", $F87 + 1))), ISBLANK(INDIRECT(_xlfn.CONCAT("$I", $F87 + 1))))), $F87 + 1, IF(NOT(ISBLANK(INDIRECT(_xlfn.CONCAT("$I", $F87 + 2)))), $F87 + 2, ""))</f>
        <v/>
      </c>
      <c r="I88" s="8" t="inlineStr">
        <is>
          <t>Wizards Play Network 2025 PW25</t>
        </is>
      </c>
      <c r="J88" s="8" t="n">
        <v>17</v>
      </c>
      <c r="K88" s="9" t="n">
        <v>45658</v>
      </c>
      <c r="L88" s="8" t="inlineStr">
        <is>
          <t>en es fr de it pt ja ko ru 汉语 漢語</t>
        </is>
      </c>
    </row>
    <row r="89" ht="57.75" customHeight="1" s="6">
      <c r="A89" s="1">
        <f t="array" ref="A89">INDIRECT(_xlfn.CONCAT("$I", $F89))</f>
        <v/>
      </c>
      <c r="B89" s="1">
        <f t="array" ref="B89">INDIRECT(_xlfn.CONCAT("$J", $F89))</f>
        <v/>
      </c>
      <c r="C89" s="1">
        <f t="array" ref="C89">INDIRECT(_xlfn.CONCAT("$K", $F89))</f>
        <v/>
      </c>
      <c r="D89" s="1" t="n"/>
      <c r="E89" s="1">
        <f t="array" ref="E89">INDIRECT(_xlfn.CONCAT("$L", $F89))</f>
        <v/>
      </c>
      <c r="F89" s="1">
        <f t="array" ref="F89">IF(NOT(OR(ISERROR(INDIRECT(_xlfn.CONCAT("$I", $F88 + 1))), ISBLANK(INDIRECT(_xlfn.CONCAT("$I", $F88 + 1))))), $F88 + 1, IF(NOT(ISBLANK(INDIRECT(_xlfn.CONCAT("$I", $F88 + 2)))), $F88 + 2, ""))</f>
        <v/>
      </c>
    </row>
    <row r="90" ht="57.75" customHeight="1" s="6">
      <c r="A90" s="1">
        <f t="array" ref="A90">INDIRECT(_xlfn.CONCAT("$I", $F90))</f>
        <v/>
      </c>
      <c r="B90" s="1">
        <f t="array" ref="B90">INDIRECT(_xlfn.CONCAT("$J", $F90))</f>
        <v/>
      </c>
      <c r="C90" s="1">
        <f t="array" ref="C90">INDIRECT(_xlfn.CONCAT("$K", $F90))</f>
        <v/>
      </c>
      <c r="D90" s="1" t="n"/>
      <c r="E90" s="1">
        <f t="array" ref="E90">INDIRECT(_xlfn.CONCAT("$L", $F90))</f>
        <v/>
      </c>
      <c r="F90" s="1">
        <f t="array" ref="F90">IF(NOT(OR(ISERROR(INDIRECT(_xlfn.CONCAT("$I", $F89 + 1))), ISBLANK(INDIRECT(_xlfn.CONCAT("$I", $F89 + 1))))), $F89 + 1, IF(NOT(ISBLANK(INDIRECT(_xlfn.CONCAT("$I", $F89 + 2)))), $F89 + 2, ""))</f>
        <v/>
      </c>
      <c r="I90" s="8" t="inlineStr">
        <is>
          <t>Pioneer Masters PIO</t>
        </is>
      </c>
      <c r="J90" s="8" t="n">
        <v>398</v>
      </c>
      <c r="K90" s="9" t="n">
        <v>45636</v>
      </c>
      <c r="L90" s="8" t="inlineStr">
        <is>
          <t>en es fr de it pt ja ko ru 汉语 漢語</t>
        </is>
      </c>
    </row>
    <row r="91" ht="57.75" customHeight="1" s="6">
      <c r="A91" s="1">
        <f t="array" ref="A91">INDIRECT(_xlfn.CONCAT("$I", $F91))</f>
        <v/>
      </c>
      <c r="B91" s="1">
        <f t="array" ref="B91">INDIRECT(_xlfn.CONCAT("$J", $F91))</f>
        <v/>
      </c>
      <c r="C91" s="1">
        <f t="array" ref="C91">INDIRECT(_xlfn.CONCAT("$K", $F91))</f>
        <v/>
      </c>
      <c r="D91" s="1" t="n"/>
      <c r="E91" s="1">
        <f t="array" ref="E91">INDIRECT(_xlfn.CONCAT("$L", $F91))</f>
        <v/>
      </c>
      <c r="F91" s="1">
        <f t="array" ref="F91">IF(NOT(OR(ISERROR(INDIRECT(_xlfn.CONCAT("$I", $F90 + 1))), ISBLANK(INDIRECT(_xlfn.CONCAT("$I", $F90 + 1))))), $F90 + 1, IF(NOT(ISBLANK(INDIRECT(_xlfn.CONCAT("$I", $F90 + 2)))), $F90 + 2, ""))</f>
        <v/>
      </c>
    </row>
    <row r="92" ht="57.75" customHeight="1" s="6">
      <c r="A92" s="1">
        <f t="array" ref="A92">INDIRECT(_xlfn.CONCAT("$I", $F92))</f>
        <v/>
      </c>
      <c r="B92" s="1">
        <f t="array" ref="B92">INDIRECT(_xlfn.CONCAT("$J", $F92))</f>
        <v/>
      </c>
      <c r="C92" s="1">
        <f t="array" ref="C92">INDIRECT(_xlfn.CONCAT("$K", $F92))</f>
        <v/>
      </c>
      <c r="D92" s="1" t="n"/>
      <c r="E92" s="1">
        <f t="array" ref="E92">INDIRECT(_xlfn.CONCAT("$L", $F92))</f>
        <v/>
      </c>
      <c r="F92" s="1">
        <f t="array" ref="F92">IF(NOT(OR(ISERROR(INDIRECT(_xlfn.CONCAT("$I", $F91 + 1))), ISBLANK(INDIRECT(_xlfn.CONCAT("$I", $F91 + 1))))), $F91 + 1, IF(NOT(ISBLANK(INDIRECT(_xlfn.CONCAT("$I", $F91 + 2)))), $F91 + 2, ""))</f>
        <v/>
      </c>
      <c r="I92" s="8" t="inlineStr">
        <is>
          <t>Foundations FDN</t>
        </is>
      </c>
      <c r="J92" s="8" t="n">
        <v>730</v>
      </c>
      <c r="K92" s="9" t="n">
        <v>45611</v>
      </c>
      <c r="L92" t="inlineStr">
        <is>
          <t>en es fr de it pt ja ko ru 汉语 漢語</t>
        </is>
      </c>
    </row>
    <row r="93" ht="57.75" customHeight="1" s="6">
      <c r="A93" s="1">
        <f t="array" ref="A93">INDIRECT(_xlfn.CONCAT("$I", $F93))</f>
        <v/>
      </c>
      <c r="B93" s="1">
        <f t="array" ref="B93">INDIRECT(_xlfn.CONCAT("$J", $F93))</f>
        <v/>
      </c>
      <c r="C93" s="1">
        <f t="array" ref="C93">INDIRECT(_xlfn.CONCAT("$K", $F93))</f>
        <v/>
      </c>
      <c r="D93" s="1" t="n"/>
      <c r="E93" s="1">
        <f t="array" ref="E93">INDIRECT(_xlfn.CONCAT("$L", $F93))</f>
        <v/>
      </c>
      <c r="F93" s="1">
        <f t="array" ref="F93">IF(NOT(OR(ISERROR(INDIRECT(_xlfn.CONCAT("$I", $F92 + 1))), ISBLANK(INDIRECT(_xlfn.CONCAT("$I", $F92 + 1))))), $F92 + 1, IF(NOT(ISBLANK(INDIRECT(_xlfn.CONCAT("$I", $F92 + 2)))), $F92 + 2, ""))</f>
        <v/>
      </c>
    </row>
    <row r="94" ht="57.75" customHeight="1" s="6">
      <c r="A94" s="1">
        <f t="array" ref="A94">INDIRECT(_xlfn.CONCAT("$I", $F94))</f>
        <v/>
      </c>
      <c r="B94" s="1">
        <f t="array" ref="B94">INDIRECT(_xlfn.CONCAT("$J", $F94))</f>
        <v/>
      </c>
      <c r="C94" s="1">
        <f t="array" ref="C94">INDIRECT(_xlfn.CONCAT("$K", $F94))</f>
        <v/>
      </c>
      <c r="D94" s="1" t="n"/>
      <c r="E94" s="1">
        <f t="array" ref="E94">INDIRECT(_xlfn.CONCAT("$L", $F94))</f>
        <v/>
      </c>
      <c r="F94" s="1">
        <f t="array" ref="F94">IF(NOT(OR(ISERROR(INDIRECT(_xlfn.CONCAT("$I", $F93 + 1))), ISBLANK(INDIRECT(_xlfn.CONCAT("$I", $F93 + 1))))), $F93 + 1, IF(NOT(ISBLANK(INDIRECT(_xlfn.CONCAT("$I", $F93 + 2)))), $F93 + 2, ""))</f>
        <v/>
      </c>
      <c r="I94" s="8" t="inlineStr">
        <is>
          <t>Foundations Promos PFDN</t>
        </is>
      </c>
      <c r="J94" s="8" t="n">
        <v>93</v>
      </c>
      <c r="K94" s="9" t="n">
        <v>45611</v>
      </c>
      <c r="L94" s="8" t="inlineStr">
        <is>
          <t>en es fr de it pt ja ko ru 汉语 漢語</t>
        </is>
      </c>
    </row>
    <row r="95" ht="57.75" customHeight="1" s="6">
      <c r="A95" s="1">
        <f t="array" ref="A95">INDIRECT(_xlfn.CONCAT("$I", $F95))</f>
        <v/>
      </c>
      <c r="B95" s="1">
        <f t="array" ref="B95">INDIRECT(_xlfn.CONCAT("$J", $F95))</f>
        <v/>
      </c>
      <c r="C95" s="1">
        <f t="array" ref="C95">INDIRECT(_xlfn.CONCAT("$K", $F95))</f>
        <v/>
      </c>
      <c r="D95" s="1" t="n"/>
      <c r="E95" s="1">
        <f t="array" ref="E95">INDIRECT(_xlfn.CONCAT("$L", $F95))</f>
        <v/>
      </c>
      <c r="F95" s="1">
        <f t="array" ref="F95">IF(NOT(OR(ISERROR(INDIRECT(_xlfn.CONCAT("$I", $F94 + 1))), ISBLANK(INDIRECT(_xlfn.CONCAT("$I", $F94 + 1))))), $F94 + 1, IF(NOT(ISBLANK(INDIRECT(_xlfn.CONCAT("$I", $F94 + 2)))), $F94 + 2, ""))</f>
        <v/>
      </c>
    </row>
    <row r="96" ht="57.75" customHeight="1" s="6">
      <c r="A96" s="1">
        <f t="array" ref="A96">INDIRECT(_xlfn.CONCAT("$I", $F96))</f>
        <v/>
      </c>
      <c r="B96" s="1">
        <f t="array" ref="B96">INDIRECT(_xlfn.CONCAT("$J", $F96))</f>
        <v/>
      </c>
      <c r="C96" s="1">
        <f t="array" ref="C96">INDIRECT(_xlfn.CONCAT("$K", $F96))</f>
        <v/>
      </c>
      <c r="D96" s="1" t="n"/>
      <c r="E96" s="1">
        <f t="array" ref="E96">INDIRECT(_xlfn.CONCAT("$L", $F96))</f>
        <v/>
      </c>
      <c r="F96" s="1">
        <f t="array" ref="F96">IF(NOT(OR(ISERROR(INDIRECT(_xlfn.CONCAT("$I", $F95 + 1))), ISBLANK(INDIRECT(_xlfn.CONCAT("$I", $F95 + 1))))), $F95 + 1, IF(NOT(ISBLANK(INDIRECT(_xlfn.CONCAT("$I", $F95 + 2)))), $F95 + 2, ""))</f>
        <v/>
      </c>
      <c r="I96" s="8" t="inlineStr">
        <is>
          <t>Foundations Tokens TFDN</t>
        </is>
      </c>
      <c r="J96" s="8" t="n">
        <v>33</v>
      </c>
      <c r="K96" s="9" t="n">
        <v>45611</v>
      </c>
      <c r="L96" s="8" t="inlineStr">
        <is>
          <t>en es fr de it pt ja ko ru 汉语 漢語</t>
        </is>
      </c>
    </row>
    <row r="97" ht="68.25" customHeight="1" s="6">
      <c r="A97" s="1">
        <f t="array" ref="A97">INDIRECT(_xlfn.CONCAT("$I", $F97))</f>
        <v/>
      </c>
      <c r="B97" s="1">
        <f t="array" ref="B97">INDIRECT(_xlfn.CONCAT("$J", $F97))</f>
        <v/>
      </c>
      <c r="C97" s="1">
        <f t="array" ref="C97">INDIRECT(_xlfn.CONCAT("$K", $F97))</f>
        <v/>
      </c>
      <c r="D97" s="1" t="n"/>
      <c r="E97" s="1">
        <f t="array" ref="E97">INDIRECT(_xlfn.CONCAT("$L", $F97))</f>
        <v/>
      </c>
      <c r="F97" s="1">
        <f t="array" ref="F97">IF(NOT(OR(ISERROR(INDIRECT(_xlfn.CONCAT("$I", $F96 + 1))), ISBLANK(INDIRECT(_xlfn.CONCAT("$I", $F96 + 1))))), $F96 + 1, IF(NOT(ISBLANK(INDIRECT(_xlfn.CONCAT("$I", $F96 + 2)))), $F96 + 2, ""))</f>
        <v/>
      </c>
    </row>
    <row r="98" ht="57.75" customHeight="1" s="6">
      <c r="A98" s="1">
        <f t="array" ref="A98">INDIRECT(_xlfn.CONCAT("$I", $F98))</f>
        <v/>
      </c>
      <c r="B98" s="1">
        <f t="array" ref="B98">INDIRECT(_xlfn.CONCAT("$J", $F98))</f>
        <v/>
      </c>
      <c r="C98" s="1">
        <f t="array" ref="C98">INDIRECT(_xlfn.CONCAT("$K", $F98))</f>
        <v/>
      </c>
      <c r="D98" s="1" t="n"/>
      <c r="E98" s="1">
        <f t="array" ref="E98">INDIRECT(_xlfn.CONCAT("$L", $F98))</f>
        <v/>
      </c>
      <c r="F98" s="1">
        <f t="array" ref="F98">IF(NOT(OR(ISERROR(INDIRECT(_xlfn.CONCAT("$I", $F97 + 1))), ISBLANK(INDIRECT(_xlfn.CONCAT("$I", $F97 + 1))))), $F97 + 1, IF(NOT(ISBLANK(INDIRECT(_xlfn.CONCAT("$I", $F97 + 2)))), $F97 + 2, ""))</f>
        <v/>
      </c>
      <c r="I98" s="8" t="inlineStr">
        <is>
          <t>Foundations Art Series AFDN</t>
        </is>
      </c>
      <c r="J98" s="8" t="n">
        <v>55</v>
      </c>
      <c r="K98" s="9" t="n">
        <v>45611</v>
      </c>
      <c r="L98" s="8" t="inlineStr">
        <is>
          <t>en es fr de it pt ja ko ru 汉语 漢語</t>
        </is>
      </c>
    </row>
    <row r="99" ht="57.75" customHeight="1" s="6">
      <c r="A99" s="1">
        <f t="array" ref="A99">INDIRECT(_xlfn.CONCAT("$I", $F99))</f>
        <v/>
      </c>
      <c r="B99" s="1">
        <f t="array" ref="B99">INDIRECT(_xlfn.CONCAT("$J", $F99))</f>
        <v/>
      </c>
      <c r="C99" s="1">
        <f t="array" ref="C99">INDIRECT(_xlfn.CONCAT("$K", $F99))</f>
        <v/>
      </c>
      <c r="D99" s="1" t="n"/>
      <c r="E99" s="1">
        <f t="array" ref="E99">INDIRECT(_xlfn.CONCAT("$L", $F99))</f>
        <v/>
      </c>
      <c r="F99" s="1">
        <f t="array" ref="F99">IF(NOT(OR(ISERROR(INDIRECT(_xlfn.CONCAT("$I", $F98 + 1))), ISBLANK(INDIRECT(_xlfn.CONCAT("$I", $F98 + 1))))), $F98 + 1, IF(NOT(ISBLANK(INDIRECT(_xlfn.CONCAT("$I", $F98 + 2)))), $F98 + 2, ""))</f>
        <v/>
      </c>
    </row>
    <row r="100" ht="57.75" customHeight="1" s="6">
      <c r="A100" s="1">
        <f t="array" ref="A100">INDIRECT(_xlfn.CONCAT("$I", $F100))</f>
        <v/>
      </c>
      <c r="B100" s="1">
        <f t="array" ref="B100">INDIRECT(_xlfn.CONCAT("$J", $F100))</f>
        <v/>
      </c>
      <c r="C100" s="1">
        <f t="array" ref="C100">INDIRECT(_xlfn.CONCAT("$K", $F100))</f>
        <v/>
      </c>
      <c r="D100" s="1" t="n"/>
      <c r="E100" s="1">
        <f t="array" ref="E100">INDIRECT(_xlfn.CONCAT("$L", $F100))</f>
        <v/>
      </c>
      <c r="F100" s="1">
        <f t="array" ref="F100">IF(NOT(OR(ISERROR(INDIRECT(_xlfn.CONCAT("$I", $F99 + 1))), ISBLANK(INDIRECT(_xlfn.CONCAT("$I", $F99 + 1))))), $F99 + 1, IF(NOT(ISBLANK(INDIRECT(_xlfn.CONCAT("$I", $F99 + 2)))), $F99 + 2, ""))</f>
        <v/>
      </c>
      <c r="I100" s="8" t="inlineStr">
        <is>
          <t>Foundations Commander FDC</t>
        </is>
      </c>
      <c r="J100" s="8" t="n">
        <v>3</v>
      </c>
      <c r="K100" s="9" t="n">
        <v>45611</v>
      </c>
      <c r="L100" s="8" t="inlineStr">
        <is>
          <t>en es fr de it pt ja ko ru 汉语 漢語</t>
        </is>
      </c>
    </row>
    <row r="101" ht="57.75" customHeight="1" s="6">
      <c r="A101" s="1">
        <f t="array" ref="A101">INDIRECT(_xlfn.CONCAT("$I", $F101))</f>
        <v/>
      </c>
      <c r="B101" s="1">
        <f t="array" ref="B101">INDIRECT(_xlfn.CONCAT("$J", $F101))</f>
        <v/>
      </c>
      <c r="C101" s="1">
        <f t="array" ref="C101">INDIRECT(_xlfn.CONCAT("$K", $F101))</f>
        <v/>
      </c>
      <c r="D101" s="1" t="n"/>
      <c r="E101" s="1">
        <f t="array" ref="E101">INDIRECT(_xlfn.CONCAT("$L", $F101))</f>
        <v/>
      </c>
      <c r="F101" s="1">
        <f t="array" ref="F101">IF(NOT(OR(ISERROR(INDIRECT(_xlfn.CONCAT("$I", $F100 + 1))), ISBLANK(INDIRECT(_xlfn.CONCAT("$I", $F100 + 1))))), $F100 + 1, IF(NOT(ISBLANK(INDIRECT(_xlfn.CONCAT("$I", $F100 + 2)))), $F100 + 2, ""))</f>
        <v/>
      </c>
    </row>
    <row r="102" ht="57.75" customHeight="1" s="6">
      <c r="A102" s="1">
        <f t="array" ref="A102">INDIRECT(_xlfn.CONCAT("$I", $F102))</f>
        <v/>
      </c>
      <c r="B102" s="1">
        <f t="array" ref="B102">INDIRECT(_xlfn.CONCAT("$J", $F102))</f>
        <v/>
      </c>
      <c r="C102" s="1">
        <f t="array" ref="C102">INDIRECT(_xlfn.CONCAT("$K", $F102))</f>
        <v/>
      </c>
      <c r="D102" s="1" t="n"/>
      <c r="E102" s="1">
        <f t="array" ref="E102">INDIRECT(_xlfn.CONCAT("$L", $F102))</f>
        <v/>
      </c>
      <c r="F102" s="1">
        <f t="array" ref="F102">IF(NOT(OR(ISERROR(INDIRECT(_xlfn.CONCAT("$I", $F101 + 1))), ISBLANK(INDIRECT(_xlfn.CONCAT("$I", $F101 + 1))))), $F101 + 1, IF(NOT(ISBLANK(INDIRECT(_xlfn.CONCAT("$I", $F101 + 2)))), $F101 + 2, ""))</f>
        <v/>
      </c>
      <c r="I102" s="8" t="inlineStr">
        <is>
          <t>Foundations Jumpstart J25</t>
        </is>
      </c>
      <c r="J102" s="8" t="n">
        <v>779</v>
      </c>
      <c r="K102" s="9" t="n">
        <v>45611</v>
      </c>
      <c r="L102" t="inlineStr">
        <is>
          <t>en es fr de it pt ja ko ru 汉语 漢語</t>
        </is>
      </c>
    </row>
    <row r="103" ht="57.75" customHeight="1" s="6">
      <c r="A103" s="1">
        <f t="array" ref="A103">INDIRECT(_xlfn.CONCAT("$I", $F103))</f>
        <v/>
      </c>
      <c r="B103" s="1">
        <f t="array" ref="B103">INDIRECT(_xlfn.CONCAT("$J", $F103))</f>
        <v/>
      </c>
      <c r="C103" s="1">
        <f t="array" ref="C103">INDIRECT(_xlfn.CONCAT("$K", $F103))</f>
        <v/>
      </c>
      <c r="D103" s="1" t="n"/>
      <c r="E103" s="1">
        <f t="array" ref="E103">INDIRECT(_xlfn.CONCAT("$L", $F103))</f>
        <v/>
      </c>
      <c r="F103" s="1">
        <f t="array" ref="F103">IF(NOT(OR(ISERROR(INDIRECT(_xlfn.CONCAT("$I", $F102 + 1))), ISBLANK(INDIRECT(_xlfn.CONCAT("$I", $F102 + 1))))), $F102 + 1, IF(NOT(ISBLANK(INDIRECT(_xlfn.CONCAT("$I", $F102 + 2)))), $F102 + 2, ""))</f>
        <v/>
      </c>
    </row>
    <row r="104" ht="57.75" customHeight="1" s="6">
      <c r="A104" s="1">
        <f t="array" ref="A104">INDIRECT(_xlfn.CONCAT("$I", $F104))</f>
        <v/>
      </c>
      <c r="B104" s="1">
        <f t="array" ref="B104">INDIRECT(_xlfn.CONCAT("$J", $F104))</f>
        <v/>
      </c>
      <c r="C104" s="1">
        <f t="array" ref="C104">INDIRECT(_xlfn.CONCAT("$K", $F104))</f>
        <v/>
      </c>
      <c r="D104" s="1" t="n"/>
      <c r="E104" s="1">
        <f t="array" ref="E104">INDIRECT(_xlfn.CONCAT("$L", $F104))</f>
        <v/>
      </c>
      <c r="F104" s="1">
        <f t="array" ref="F104">IF(NOT(OR(ISERROR(INDIRECT(_xlfn.CONCAT("$I", $F103 + 1))), ISBLANK(INDIRECT(_xlfn.CONCAT("$I", $F103 + 1))))), $F103 + 1, IF(NOT(ISBLANK(INDIRECT(_xlfn.CONCAT("$I", $F103 + 2)))), $F103 + 2, ""))</f>
        <v/>
      </c>
      <c r="I104" s="8" t="inlineStr">
        <is>
          <t>Foundations Jumpstart Front Cards FJ25</t>
        </is>
      </c>
      <c r="J104" s="8" t="n">
        <v>46</v>
      </c>
      <c r="K104" s="9" t="n">
        <v>45611</v>
      </c>
      <c r="L104" s="8" t="inlineStr">
        <is>
          <t>en es fr de it pt ja ko ru 汉语 漢語</t>
        </is>
      </c>
    </row>
    <row r="105" ht="57.75" customHeight="1" s="6">
      <c r="A105" s="1">
        <f t="array" ref="A105">INDIRECT(_xlfn.CONCAT("$I", $F105))</f>
        <v/>
      </c>
      <c r="B105" s="1">
        <f t="array" ref="B105">INDIRECT(_xlfn.CONCAT("$J", $F105))</f>
        <v/>
      </c>
      <c r="C105" s="1">
        <f t="array" ref="C105">INDIRECT(_xlfn.CONCAT("$K", $F105))</f>
        <v/>
      </c>
      <c r="D105" s="1" t="n"/>
      <c r="E105" s="1">
        <f t="array" ref="E105">INDIRECT(_xlfn.CONCAT("$L", $F105))</f>
        <v/>
      </c>
      <c r="F105" s="1">
        <f t="array" ref="F105">IF(NOT(OR(ISERROR(INDIRECT(_xlfn.CONCAT("$I", $F104 + 1))), ISBLANK(INDIRECT(_xlfn.CONCAT("$I", $F104 + 1))))), $F104 + 1, IF(NOT(ISBLANK(INDIRECT(_xlfn.CONCAT("$I", $F104 + 2)))), $F104 + 2, ""))</f>
        <v/>
      </c>
    </row>
    <row r="106" ht="68.25" customHeight="1" s="6">
      <c r="A106" s="1">
        <f t="array" ref="A106">INDIRECT(_xlfn.CONCAT("$I", $F106))</f>
        <v/>
      </c>
      <c r="B106" s="1">
        <f t="array" ref="B106">INDIRECT(_xlfn.CONCAT("$J", $F106))</f>
        <v/>
      </c>
      <c r="C106" s="1">
        <f t="array" ref="C106">INDIRECT(_xlfn.CONCAT("$K", $F106))</f>
        <v/>
      </c>
      <c r="D106" s="1" t="n"/>
      <c r="E106" s="1">
        <f t="array" ref="E106">INDIRECT(_xlfn.CONCAT("$L", $F106))</f>
        <v/>
      </c>
      <c r="F106" s="1">
        <f t="array" ref="F106">IF(NOT(OR(ISERROR(INDIRECT(_xlfn.CONCAT("$I", $F105 + 1))), ISBLANK(INDIRECT(_xlfn.CONCAT("$I", $F105 + 1))))), $F105 + 1, IF(NOT(ISBLANK(INDIRECT(_xlfn.CONCAT("$I", $F105 + 2)))), $F105 + 2, ""))</f>
        <v/>
      </c>
      <c r="I106" s="8" t="inlineStr">
        <is>
          <t>Foundations Front Cards FFDN</t>
        </is>
      </c>
      <c r="J106" s="8" t="n">
        <v>10</v>
      </c>
      <c r="K106" s="9" t="n">
        <v>45611</v>
      </c>
      <c r="L106" t="inlineStr">
        <is>
          <t>en es fr de it pt ja ko ru 汉语 漢語</t>
        </is>
      </c>
    </row>
    <row r="107" ht="57.75" customHeight="1" s="6">
      <c r="A107" s="1">
        <f t="array" ref="A107">INDIRECT(_xlfn.CONCAT("$I", $F107))</f>
        <v/>
      </c>
      <c r="B107" s="1">
        <f t="array" ref="B107">INDIRECT(_xlfn.CONCAT("$J", $F107))</f>
        <v/>
      </c>
      <c r="C107" s="1">
        <f t="array" ref="C107">INDIRECT(_xlfn.CONCAT("$K", $F107))</f>
        <v/>
      </c>
      <c r="D107" s="1" t="n"/>
      <c r="E107" s="1">
        <f t="array" ref="E107">INDIRECT(_xlfn.CONCAT("$L", $F107))</f>
        <v/>
      </c>
      <c r="F107" s="1">
        <f t="array" ref="F107">IF(NOT(OR(ISERROR(INDIRECT(_xlfn.CONCAT("$I", $F106 + 1))), ISBLANK(INDIRECT(_xlfn.CONCAT("$I", $F106 + 1))))), $F106 + 1, IF(NOT(ISBLANK(INDIRECT(_xlfn.CONCAT("$I", $F106 + 2)))), $F106 + 2, ""))</f>
        <v/>
      </c>
    </row>
    <row r="108" ht="68.25" customHeight="1" s="6">
      <c r="A108" s="1">
        <f t="array" ref="A108">INDIRECT(_xlfn.CONCAT("$I", $F108))</f>
        <v/>
      </c>
      <c r="B108" s="1">
        <f t="array" ref="B108">INDIRECT(_xlfn.CONCAT("$J", $F108))</f>
        <v/>
      </c>
      <c r="C108" s="1">
        <f t="array" ref="C108">INDIRECT(_xlfn.CONCAT("$K", $F108))</f>
        <v/>
      </c>
      <c r="D108" s="1" t="n"/>
      <c r="E108" s="1">
        <f t="array" ref="E108">INDIRECT(_xlfn.CONCAT("$L", $F108))</f>
        <v/>
      </c>
      <c r="F108" s="1">
        <f t="array" ref="F108">IF(NOT(OR(ISERROR(INDIRECT(_xlfn.CONCAT("$I", $F107 + 1))), ISBLANK(INDIRECT(_xlfn.CONCAT("$I", $F107 + 1))))), $F107 + 1, IF(NOT(ISBLANK(INDIRECT(_xlfn.CONCAT("$I", $F107 + 2)))), $F107 + 2, ""))</f>
        <v/>
      </c>
      <c r="I108" s="8" t="inlineStr">
        <is>
          <t>Duskmourn: House of Horror DSK</t>
        </is>
      </c>
      <c r="J108" s="8" t="n">
        <v>418</v>
      </c>
      <c r="K108" s="9" t="n">
        <v>45562</v>
      </c>
      <c r="L108" t="inlineStr">
        <is>
          <t>en es fr de it pt ja ko ru 汉语 漢語</t>
        </is>
      </c>
    </row>
    <row r="109" ht="57.75" customHeight="1" s="6">
      <c r="A109" s="1">
        <f t="array" ref="A109">INDIRECT(_xlfn.CONCAT("$I", $F109))</f>
        <v/>
      </c>
      <c r="B109" s="1">
        <f t="array" ref="B109">INDIRECT(_xlfn.CONCAT("$J", $F109))</f>
        <v/>
      </c>
      <c r="C109" s="1">
        <f t="array" ref="C109">INDIRECT(_xlfn.CONCAT("$K", $F109))</f>
        <v/>
      </c>
      <c r="D109" s="1" t="n"/>
      <c r="E109" s="1">
        <f t="array" ref="E109">INDIRECT(_xlfn.CONCAT("$L", $F109))</f>
        <v/>
      </c>
      <c r="F109" s="1">
        <f t="array" ref="F109">IF(NOT(OR(ISERROR(INDIRECT(_xlfn.CONCAT("$I", $F108 + 1))), ISBLANK(INDIRECT(_xlfn.CONCAT("$I", $F108 + 1))))), $F108 + 1, IF(NOT(ISBLANK(INDIRECT(_xlfn.CONCAT("$I", $F108 + 2)))), $F108 + 2, ""))</f>
        <v/>
      </c>
    </row>
    <row r="110" ht="57.75" customHeight="1" s="6">
      <c r="A110" s="1">
        <f t="array" ref="A110">INDIRECT(_xlfn.CONCAT("$I", $F110))</f>
        <v/>
      </c>
      <c r="B110" s="1">
        <f t="array" ref="B110">INDIRECT(_xlfn.CONCAT("$J", $F110))</f>
        <v/>
      </c>
      <c r="C110" s="1">
        <f t="array" ref="C110">INDIRECT(_xlfn.CONCAT("$K", $F110))</f>
        <v/>
      </c>
      <c r="D110" s="1" t="n"/>
      <c r="E110" s="1">
        <f t="array" ref="E110">INDIRECT(_xlfn.CONCAT("$L", $F110))</f>
        <v/>
      </c>
      <c r="F110" s="1">
        <f t="array" ref="F110">IF(NOT(OR(ISERROR(INDIRECT(_xlfn.CONCAT("$I", $F109 + 1))), ISBLANK(INDIRECT(_xlfn.CONCAT("$I", $F109 + 1))))), $F109 + 1, IF(NOT(ISBLANK(INDIRECT(_xlfn.CONCAT("$I", $F109 + 2)))), $F109 + 2, ""))</f>
        <v/>
      </c>
      <c r="I110" s="8" t="inlineStr">
        <is>
          <t>Duskmourn: House of Horror Promos PDSK</t>
        </is>
      </c>
      <c r="J110" s="8" t="n">
        <v>160</v>
      </c>
      <c r="K110" s="9" t="n">
        <v>45562</v>
      </c>
      <c r="L110" s="8" t="inlineStr">
        <is>
          <t>en es fr de it pt ja ko ru 汉语 漢語</t>
        </is>
      </c>
    </row>
    <row r="111" ht="57.75" customHeight="1" s="6">
      <c r="A111" s="1">
        <f t="array" ref="A111">INDIRECT(_xlfn.CONCAT("$I", $F111))</f>
        <v/>
      </c>
      <c r="B111" s="1">
        <f t="array" ref="B111">INDIRECT(_xlfn.CONCAT("$J", $F111))</f>
        <v/>
      </c>
      <c r="C111" s="1">
        <f t="array" ref="C111">INDIRECT(_xlfn.CONCAT("$K", $F111))</f>
        <v/>
      </c>
      <c r="D111" s="1" t="n"/>
      <c r="E111" s="1">
        <f t="array" ref="E111">INDIRECT(_xlfn.CONCAT("$L", $F111))</f>
        <v/>
      </c>
      <c r="F111" s="1">
        <f t="array" ref="F111">IF(NOT(OR(ISERROR(INDIRECT(_xlfn.CONCAT("$I", $F110 + 1))), ISBLANK(INDIRECT(_xlfn.CONCAT("$I", $F110 + 1))))), $F110 + 1, IF(NOT(ISBLANK(INDIRECT(_xlfn.CONCAT("$I", $F110 + 2)))), $F110 + 2, ""))</f>
        <v/>
      </c>
    </row>
    <row r="112" ht="57.75" customHeight="1" s="6">
      <c r="A112" s="1">
        <f t="array" ref="A112">INDIRECT(_xlfn.CONCAT("$I", $F112))</f>
        <v/>
      </c>
      <c r="B112" s="1">
        <f t="array" ref="B112">INDIRECT(_xlfn.CONCAT("$J", $F112))</f>
        <v/>
      </c>
      <c r="C112" s="1">
        <f t="array" ref="C112">INDIRECT(_xlfn.CONCAT("$K", $F112))</f>
        <v/>
      </c>
      <c r="D112" s="1" t="n"/>
      <c r="E112" s="1">
        <f t="array" ref="E112">INDIRECT(_xlfn.CONCAT("$L", $F112))</f>
        <v/>
      </c>
      <c r="F112" s="1">
        <f t="array" ref="F112">IF(NOT(OR(ISERROR(INDIRECT(_xlfn.CONCAT("$I", $F111 + 1))), ISBLANK(INDIRECT(_xlfn.CONCAT("$I", $F111 + 1))))), $F111 + 1, IF(NOT(ISBLANK(INDIRECT(_xlfn.CONCAT("$I", $F111 + 2)))), $F111 + 2, ""))</f>
        <v/>
      </c>
      <c r="I112" s="8" t="inlineStr">
        <is>
          <t>Duskmourn: House of Horror Tokens TDSK</t>
        </is>
      </c>
      <c r="J112" s="8" t="n">
        <v>19</v>
      </c>
      <c r="K112" s="9" t="n">
        <v>45562</v>
      </c>
      <c r="L112" s="8" t="inlineStr">
        <is>
          <t>en es fr de it pt ja ko ru 汉语 漢語</t>
        </is>
      </c>
    </row>
    <row r="113" ht="57.75" customHeight="1" s="6">
      <c r="A113" s="1">
        <f t="array" ref="A113">INDIRECT(_xlfn.CONCAT("$I", $F113))</f>
        <v/>
      </c>
      <c r="B113" s="1">
        <f t="array" ref="B113">INDIRECT(_xlfn.CONCAT("$J", $F113))</f>
        <v/>
      </c>
      <c r="C113" s="1">
        <f t="array" ref="C113">INDIRECT(_xlfn.CONCAT("$K", $F113))</f>
        <v/>
      </c>
      <c r="D113" s="1" t="n"/>
      <c r="E113" s="1">
        <f t="array" ref="E113">INDIRECT(_xlfn.CONCAT("$L", $F113))</f>
        <v/>
      </c>
      <c r="F113" s="1">
        <f t="array" ref="F113">IF(NOT(OR(ISERROR(INDIRECT(_xlfn.CONCAT("$I", $F112 + 1))), ISBLANK(INDIRECT(_xlfn.CONCAT("$I", $F112 + 1))))), $F112 + 1, IF(NOT(ISBLANK(INDIRECT(_xlfn.CONCAT("$I", $F112 + 2)))), $F112 + 2, ""))</f>
        <v/>
      </c>
    </row>
    <row r="114" ht="68.25" customHeight="1" s="6">
      <c r="A114" s="1">
        <f t="array" ref="A114">INDIRECT(_xlfn.CONCAT("$I", $F114))</f>
        <v/>
      </c>
      <c r="B114" s="1">
        <f t="array" ref="B114">INDIRECT(_xlfn.CONCAT("$J", $F114))</f>
        <v/>
      </c>
      <c r="C114" s="1">
        <f t="array" ref="C114">INDIRECT(_xlfn.CONCAT("$K", $F114))</f>
        <v/>
      </c>
      <c r="D114" s="1" t="n"/>
      <c r="E114" s="1">
        <f t="array" ref="E114">INDIRECT(_xlfn.CONCAT("$L", $F114))</f>
        <v/>
      </c>
      <c r="F114" s="1">
        <f t="array" ref="F114">IF(NOT(OR(ISERROR(INDIRECT(_xlfn.CONCAT("$I", $F113 + 1))), ISBLANK(INDIRECT(_xlfn.CONCAT("$I", $F113 + 1))))), $F113 + 1, IF(NOT(ISBLANK(INDIRECT(_xlfn.CONCAT("$I", $F113 + 2)))), $F113 + 2, ""))</f>
        <v/>
      </c>
      <c r="I114" s="8" t="inlineStr">
        <is>
          <t>Alchemy: Duskmourn YDSK</t>
        </is>
      </c>
      <c r="J114" s="8" t="n">
        <v>30</v>
      </c>
      <c r="K114" s="9" t="n">
        <v>45580</v>
      </c>
      <c r="L114" s="8" t="inlineStr">
        <is>
          <t>en es fr de it pt ja ko ru 汉语 漢語</t>
        </is>
      </c>
    </row>
    <row r="115" ht="68.25" customHeight="1" s="6">
      <c r="A115" s="1">
        <f t="array" ref="A115">INDIRECT(_xlfn.CONCAT("$I", $F115))</f>
        <v/>
      </c>
      <c r="B115" s="1">
        <f t="array" ref="B115">INDIRECT(_xlfn.CONCAT("$J", $F115))</f>
        <v/>
      </c>
      <c r="C115" s="1">
        <f t="array" ref="C115">INDIRECT(_xlfn.CONCAT("$K", $F115))</f>
        <v/>
      </c>
      <c r="D115" s="1" t="n"/>
      <c r="E115" s="1">
        <f t="array" ref="E115">INDIRECT(_xlfn.CONCAT("$L", $F115))</f>
        <v/>
      </c>
      <c r="F115" s="1">
        <f t="array" ref="F115">IF(NOT(OR(ISERROR(INDIRECT(_xlfn.CONCAT("$I", $F114 + 1))), ISBLANK(INDIRECT(_xlfn.CONCAT("$I", $F114 + 1))))), $F114 + 1, IF(NOT(ISBLANK(INDIRECT(_xlfn.CONCAT("$I", $F114 + 2)))), $F114 + 2, ""))</f>
        <v/>
      </c>
    </row>
    <row r="116" ht="68.25" customHeight="1" s="6">
      <c r="A116" s="1">
        <f t="array" ref="A116">INDIRECT(_xlfn.CONCAT("$I", $F116))</f>
        <v/>
      </c>
      <c r="B116" s="1">
        <f t="array" ref="B116">INDIRECT(_xlfn.CONCAT("$J", $F116))</f>
        <v/>
      </c>
      <c r="C116" s="1">
        <f t="array" ref="C116">INDIRECT(_xlfn.CONCAT("$K", $F116))</f>
        <v/>
      </c>
      <c r="D116" s="1" t="n"/>
      <c r="E116" s="1">
        <f t="array" ref="E116">INDIRECT(_xlfn.CONCAT("$L", $F116))</f>
        <v/>
      </c>
      <c r="F116" s="1">
        <f t="array" ref="F116">IF(NOT(OR(ISERROR(INDIRECT(_xlfn.CONCAT("$I", $F115 + 1))), ISBLANK(INDIRECT(_xlfn.CONCAT("$I", $F115 + 1))))), $F115 + 1, IF(NOT(ISBLANK(INDIRECT(_xlfn.CONCAT("$I", $F115 + 2)))), $F115 + 2, ""))</f>
        <v/>
      </c>
      <c r="I116" s="8" t="inlineStr">
        <is>
          <t>Duskmourn: House of Horror Commander DSC</t>
        </is>
      </c>
      <c r="J116" s="8" t="n">
        <v>373</v>
      </c>
      <c r="K116" s="9" t="n">
        <v>45562</v>
      </c>
      <c r="L116" t="inlineStr">
        <is>
          <t>en es fr de it pt ja ko ru 汉语 漢語</t>
        </is>
      </c>
    </row>
    <row r="117" ht="68.25" customHeight="1" s="6">
      <c r="A117" s="1">
        <f t="array" ref="A117">INDIRECT(_xlfn.CONCAT("$I", $F117))</f>
        <v/>
      </c>
      <c r="B117" s="1">
        <f t="array" ref="B117">INDIRECT(_xlfn.CONCAT("$J", $F117))</f>
        <v/>
      </c>
      <c r="C117" s="1">
        <f t="array" ref="C117">INDIRECT(_xlfn.CONCAT("$K", $F117))</f>
        <v/>
      </c>
      <c r="D117" s="1" t="n"/>
      <c r="E117" s="1">
        <f t="array" ref="E117">INDIRECT(_xlfn.CONCAT("$L", $F117))</f>
        <v/>
      </c>
      <c r="F117" s="1">
        <f t="array" ref="F117">IF(NOT(OR(ISERROR(INDIRECT(_xlfn.CONCAT("$I", $F116 + 1))), ISBLANK(INDIRECT(_xlfn.CONCAT("$I", $F116 + 1))))), $F116 + 1, IF(NOT(ISBLANK(INDIRECT(_xlfn.CONCAT("$I", $F116 + 2)))), $F116 + 2, ""))</f>
        <v/>
      </c>
    </row>
    <row r="118" ht="57.75" customHeight="1" s="6">
      <c r="A118" s="1">
        <f t="array" ref="A118">INDIRECT(_xlfn.CONCAT("$I", $F118))</f>
        <v/>
      </c>
      <c r="B118" s="1">
        <f t="array" ref="B118">INDIRECT(_xlfn.CONCAT("$J", $F118))</f>
        <v/>
      </c>
      <c r="C118" s="1">
        <f t="array" ref="C118">INDIRECT(_xlfn.CONCAT("$K", $F118))</f>
        <v/>
      </c>
      <c r="D118" s="1" t="n"/>
      <c r="E118" s="1">
        <f t="array" ref="E118">INDIRECT(_xlfn.CONCAT("$L", $F118))</f>
        <v/>
      </c>
      <c r="F118" s="1">
        <f t="array" ref="F118">IF(NOT(OR(ISERROR(INDIRECT(_xlfn.CONCAT("$I", $F117 + 1))), ISBLANK(INDIRECT(_xlfn.CONCAT("$I", $F117 + 1))))), $F117 + 1, IF(NOT(ISBLANK(INDIRECT(_xlfn.CONCAT("$I", $F117 + 2)))), $F117 + 2, ""))</f>
        <v/>
      </c>
      <c r="I118" s="8" t="inlineStr">
        <is>
          <t>Duskmourn Commander Tokens TDSC</t>
        </is>
      </c>
      <c r="J118" s="8" t="n">
        <v>23</v>
      </c>
      <c r="K118" s="9" t="n">
        <v>45562</v>
      </c>
      <c r="L118" s="8" t="inlineStr">
        <is>
          <t>en es fr de it pt ja ko ru 汉语 漢語</t>
        </is>
      </c>
    </row>
    <row r="119" ht="57.75" customHeight="1" s="6">
      <c r="A119" s="1">
        <f t="array" ref="A119">INDIRECT(_xlfn.CONCAT("$I", $F119))</f>
        <v/>
      </c>
      <c r="B119" s="1">
        <f t="array" ref="B119">INDIRECT(_xlfn.CONCAT("$J", $F119))</f>
        <v/>
      </c>
      <c r="C119" s="1">
        <f t="array" ref="C119">INDIRECT(_xlfn.CONCAT("$K", $F119))</f>
        <v/>
      </c>
      <c r="D119" s="1" t="n"/>
      <c r="E119" s="1">
        <f t="array" ref="E119">INDIRECT(_xlfn.CONCAT("$L", $F119))</f>
        <v/>
      </c>
      <c r="F119" s="1">
        <f t="array" ref="F119">IF(NOT(OR(ISERROR(INDIRECT(_xlfn.CONCAT("$I", $F118 + 1))), ISBLANK(INDIRECT(_xlfn.CONCAT("$I", $F118 + 1))))), $F118 + 1, IF(NOT(ISBLANK(INDIRECT(_xlfn.CONCAT("$I", $F118 + 2)))), $F118 + 2, ""))</f>
        <v/>
      </c>
    </row>
    <row r="120" ht="57.75" customHeight="1" s="6">
      <c r="A120" s="1">
        <f t="array" ref="A120">INDIRECT(_xlfn.CONCAT("$I", $F120))</f>
        <v/>
      </c>
      <c r="B120" s="1">
        <f t="array" ref="B120">INDIRECT(_xlfn.CONCAT("$J", $F120))</f>
        <v/>
      </c>
      <c r="C120" s="1">
        <f t="array" ref="C120">INDIRECT(_xlfn.CONCAT("$K", $F120))</f>
        <v/>
      </c>
      <c r="D120" s="1" t="n"/>
      <c r="E120" s="1">
        <f t="array" ref="E120">INDIRECT(_xlfn.CONCAT("$L", $F120))</f>
        <v/>
      </c>
      <c r="F120" s="1">
        <f t="array" ref="F120">IF(NOT(OR(ISERROR(INDIRECT(_xlfn.CONCAT("$I", $F119 + 1))), ISBLANK(INDIRECT(_xlfn.CONCAT("$I", $F119 + 1))))), $F119 + 1, IF(NOT(ISBLANK(INDIRECT(_xlfn.CONCAT("$I", $F119 + 2)))), $F119 + 2, ""))</f>
        <v/>
      </c>
      <c r="I120" s="8" t="inlineStr">
        <is>
          <t>Duskmourn: House of Horror Art Series ADSK</t>
        </is>
      </c>
      <c r="J120" s="8" t="n">
        <v>54</v>
      </c>
      <c r="K120" s="9" t="n">
        <v>45562</v>
      </c>
      <c r="L120" s="8" t="inlineStr">
        <is>
          <t>en es fr de it pt ja ko ru 汉语 漢語</t>
        </is>
      </c>
    </row>
    <row r="121" ht="68.25" customHeight="1" s="6">
      <c r="A121" s="1">
        <f t="array" ref="A121">INDIRECT(_xlfn.CONCAT("$I", $F121))</f>
        <v/>
      </c>
      <c r="B121" s="1">
        <f t="array" ref="B121">INDIRECT(_xlfn.CONCAT("$J", $F121))</f>
        <v/>
      </c>
      <c r="C121" s="1">
        <f t="array" ref="C121">INDIRECT(_xlfn.CONCAT("$K", $F121))</f>
        <v/>
      </c>
      <c r="D121" s="1" t="n"/>
      <c r="E121" s="1">
        <f t="array" ref="E121">INDIRECT(_xlfn.CONCAT("$L", $F121))</f>
        <v/>
      </c>
      <c r="F121" s="1">
        <f t="array" ref="F121">IF(NOT(OR(ISERROR(INDIRECT(_xlfn.CONCAT("$I", $F120 + 1))), ISBLANK(INDIRECT(_xlfn.CONCAT("$I", $F120 + 1))))), $F120 + 1, IF(NOT(ISBLANK(INDIRECT(_xlfn.CONCAT("$I", $F120 + 2)))), $F120 + 2, ""))</f>
        <v/>
      </c>
    </row>
    <row r="122" ht="81" customHeight="1" s="6">
      <c r="A122" s="1">
        <f t="array" ref="A122">INDIRECT(_xlfn.CONCAT("$I", $F122))</f>
        <v/>
      </c>
      <c r="B122" s="1">
        <f t="array" ref="B122">INDIRECT(_xlfn.CONCAT("$J", $F122))</f>
        <v/>
      </c>
      <c r="C122" s="1">
        <f t="array" ref="C122">INDIRECT(_xlfn.CONCAT("$K", $F122))</f>
        <v/>
      </c>
      <c r="D122" s="1" t="n"/>
      <c r="E122" s="1">
        <f t="array" ref="E122">INDIRECT(_xlfn.CONCAT("$L", $F122))</f>
        <v/>
      </c>
      <c r="F122" s="1">
        <f t="array" ref="F122">IF(NOT(OR(ISERROR(INDIRECT(_xlfn.CONCAT("$I", $F121 + 1))), ISBLANK(INDIRECT(_xlfn.CONCAT("$I", $F121 + 1))))), $F121 + 1, IF(NOT(ISBLANK(INDIRECT(_xlfn.CONCAT("$I", $F121 + 2)))), $F121 + 2, ""))</f>
        <v/>
      </c>
      <c r="I122" s="8" t="inlineStr">
        <is>
          <t>Love Your LGS 2024 PLG24</t>
        </is>
      </c>
      <c r="J122" s="8" t="n">
        <v>7</v>
      </c>
      <c r="K122" s="9" t="n">
        <v>45510</v>
      </c>
      <c r="L122" t="inlineStr">
        <is>
          <t>en es fr de it pt ja ko ru 汉语 漢語</t>
        </is>
      </c>
    </row>
    <row r="123" ht="57.75" customHeight="1" s="6">
      <c r="A123" s="1">
        <f t="array" ref="A123">INDIRECT(_xlfn.CONCAT("$I", $F123))</f>
        <v/>
      </c>
      <c r="B123" s="1">
        <f t="array" ref="B123">INDIRECT(_xlfn.CONCAT("$J", $F123))</f>
        <v/>
      </c>
      <c r="C123" s="1">
        <f t="array" ref="C123">INDIRECT(_xlfn.CONCAT("$K", $F123))</f>
        <v/>
      </c>
      <c r="D123" s="1" t="n"/>
      <c r="E123" s="1">
        <f t="array" ref="E123">INDIRECT(_xlfn.CONCAT("$L", $F123))</f>
        <v/>
      </c>
      <c r="F123" s="1">
        <f t="array" ref="F123">IF(NOT(OR(ISERROR(INDIRECT(_xlfn.CONCAT("$I", $F122 + 1))), ISBLANK(INDIRECT(_xlfn.CONCAT("$I", $F122 + 1))))), $F122 + 1, IF(NOT(ISBLANK(INDIRECT(_xlfn.CONCAT("$I", $F122 + 2)))), $F122 + 2, ""))</f>
        <v/>
      </c>
    </row>
    <row r="124" ht="57.75" customHeight="1" s="6">
      <c r="A124" s="1">
        <f t="array" ref="A124">INDIRECT(_xlfn.CONCAT("$I", $F124))</f>
        <v/>
      </c>
      <c r="B124" s="1">
        <f t="array" ref="B124">INDIRECT(_xlfn.CONCAT("$J", $F124))</f>
        <v/>
      </c>
      <c r="C124" s="1">
        <f t="array" ref="C124">INDIRECT(_xlfn.CONCAT("$K", $F124))</f>
        <v/>
      </c>
      <c r="D124" s="1" t="n"/>
      <c r="E124" s="1">
        <f t="array" ref="E124">INDIRECT(_xlfn.CONCAT("$L", $F124))</f>
        <v/>
      </c>
      <c r="F124" s="1">
        <f t="array" ref="F124">IF(NOT(OR(ISERROR(INDIRECT(_xlfn.CONCAT("$I", $F123 + 1))), ISBLANK(INDIRECT(_xlfn.CONCAT("$I", $F123 + 1))))), $F123 + 1, IF(NOT(ISBLANK(INDIRECT(_xlfn.CONCAT("$I", $F123 + 2)))), $F123 + 2, ""))</f>
        <v/>
      </c>
      <c r="I124" s="8" t="inlineStr">
        <is>
          <t>Mystery Booster 2 MB2</t>
        </is>
      </c>
      <c r="J124" s="8" t="n">
        <v>385</v>
      </c>
      <c r="K124" s="9" t="n">
        <v>45506</v>
      </c>
      <c r="L124" s="8" t="inlineStr">
        <is>
          <t>en es fr de it pt ja ko ru 汉语 漢語</t>
        </is>
      </c>
    </row>
    <row r="125" ht="57.75" customHeight="1" s="6">
      <c r="A125" s="1">
        <f t="array" ref="A125">INDIRECT(_xlfn.CONCAT("$I", $F125))</f>
        <v/>
      </c>
      <c r="B125" s="1">
        <f t="array" ref="B125">INDIRECT(_xlfn.CONCAT("$J", $F125))</f>
        <v/>
      </c>
      <c r="C125" s="1">
        <f t="array" ref="C125">INDIRECT(_xlfn.CONCAT("$K", $F125))</f>
        <v/>
      </c>
      <c r="D125" s="1" t="n"/>
      <c r="E125" s="1">
        <f t="array" ref="E125">INDIRECT(_xlfn.CONCAT("$L", $F125))</f>
        <v/>
      </c>
      <c r="F125" s="1">
        <f t="array" ref="F125">IF(NOT(OR(ISERROR(INDIRECT(_xlfn.CONCAT("$I", $F124 + 1))), ISBLANK(INDIRECT(_xlfn.CONCAT("$I", $F124 + 1))))), $F124 + 1, IF(NOT(ISBLANK(INDIRECT(_xlfn.CONCAT("$I", $F124 + 2)))), $F124 + 2, ""))</f>
        <v/>
      </c>
    </row>
    <row r="126" ht="68.25" customHeight="1" s="6">
      <c r="A126" s="1">
        <f t="array" ref="A126">INDIRECT(_xlfn.CONCAT("$I", $F126))</f>
        <v/>
      </c>
      <c r="B126" s="1">
        <f t="array" ref="B126">INDIRECT(_xlfn.CONCAT("$J", $F126))</f>
        <v/>
      </c>
      <c r="C126" s="1">
        <f t="array" ref="C126">INDIRECT(_xlfn.CONCAT("$K", $F126))</f>
        <v/>
      </c>
      <c r="D126" s="1" t="n"/>
      <c r="E126" s="1">
        <f t="array" ref="E126">INDIRECT(_xlfn.CONCAT("$L", $F126))</f>
        <v/>
      </c>
      <c r="F126" s="1">
        <f t="array" ref="F126">IF(NOT(OR(ISERROR(INDIRECT(_xlfn.CONCAT("$I", $F125 + 1))), ISBLANK(INDIRECT(_xlfn.CONCAT("$I", $F125 + 1))))), $F125 + 1, IF(NOT(ISBLANK(INDIRECT(_xlfn.CONCAT("$I", $F125 + 2)))), $F125 + 2, ""))</f>
        <v/>
      </c>
      <c r="I126" s="8" t="inlineStr">
        <is>
          <t>Bloomburrow BLB</t>
        </is>
      </c>
      <c r="J126" s="8" t="n">
        <v>398</v>
      </c>
      <c r="K126" s="9" t="n">
        <v>45506</v>
      </c>
      <c r="L126" t="inlineStr">
        <is>
          <t>en es fr de it pt ja ko ru 汉语 漢語</t>
        </is>
      </c>
    </row>
    <row r="127" ht="68.25" customHeight="1" s="6">
      <c r="A127" s="1">
        <f t="array" ref="A127">INDIRECT(_xlfn.CONCAT("$I", $F127))</f>
        <v/>
      </c>
      <c r="B127" s="1">
        <f t="array" ref="B127">INDIRECT(_xlfn.CONCAT("$J", $F127))</f>
        <v/>
      </c>
      <c r="C127" s="1">
        <f t="array" ref="C127">INDIRECT(_xlfn.CONCAT("$K", $F127))</f>
        <v/>
      </c>
      <c r="D127" s="1" t="n"/>
      <c r="E127" s="1">
        <f t="array" ref="E127">INDIRECT(_xlfn.CONCAT("$L", $F127))</f>
        <v/>
      </c>
      <c r="F127" s="1">
        <f t="array" ref="F127">IF(NOT(OR(ISERROR(INDIRECT(_xlfn.CONCAT("$I", $F126 + 1))), ISBLANK(INDIRECT(_xlfn.CONCAT("$I", $F126 + 1))))), $F126 + 1, IF(NOT(ISBLANK(INDIRECT(_xlfn.CONCAT("$I", $F126 + 2)))), $F126 + 2, ""))</f>
        <v/>
      </c>
    </row>
    <row r="128" ht="68.25" customHeight="1" s="6">
      <c r="A128" s="1">
        <f t="array" ref="A128">INDIRECT(_xlfn.CONCAT("$I", $F128))</f>
        <v/>
      </c>
      <c r="B128" s="1">
        <f t="array" ref="B128">INDIRECT(_xlfn.CONCAT("$J", $F128))</f>
        <v/>
      </c>
      <c r="C128" s="1">
        <f t="array" ref="C128">INDIRECT(_xlfn.CONCAT("$K", $F128))</f>
        <v/>
      </c>
      <c r="D128" s="1" t="n"/>
      <c r="E128" s="1">
        <f t="array" ref="E128">INDIRECT(_xlfn.CONCAT("$L", $F128))</f>
        <v/>
      </c>
      <c r="F128" s="1">
        <f t="array" ref="F128">IF(NOT(OR(ISERROR(INDIRECT(_xlfn.CONCAT("$I", $F127 + 1))), ISBLANK(INDIRECT(_xlfn.CONCAT("$I", $F127 + 1))))), $F127 + 1, IF(NOT(ISBLANK(INDIRECT(_xlfn.CONCAT("$I", $F127 + 2)))), $F127 + 2, ""))</f>
        <v/>
      </c>
      <c r="I128" s="8" t="inlineStr">
        <is>
          <t>Bloomburrow Promos PBLB</t>
        </is>
      </c>
      <c r="J128" s="8" t="n">
        <v>160</v>
      </c>
      <c r="K128" s="9" t="n">
        <v>45506</v>
      </c>
      <c r="L128" s="8" t="inlineStr">
        <is>
          <t>en es fr de it pt ja ko ru 汉语 漢語</t>
        </is>
      </c>
    </row>
    <row r="129" ht="57.75" customHeight="1" s="6">
      <c r="A129" s="1">
        <f t="array" ref="A129">INDIRECT(_xlfn.CONCAT("$I", $F129))</f>
        <v/>
      </c>
      <c r="B129" s="1">
        <f t="array" ref="B129">INDIRECT(_xlfn.CONCAT("$J", $F129))</f>
        <v/>
      </c>
      <c r="C129" s="1">
        <f t="array" ref="C129">INDIRECT(_xlfn.CONCAT("$K", $F129))</f>
        <v/>
      </c>
      <c r="D129" s="1" t="n"/>
      <c r="E129" s="1">
        <f t="array" ref="E129">INDIRECT(_xlfn.CONCAT("$L", $F129))</f>
        <v/>
      </c>
      <c r="F129" s="1">
        <f t="array" ref="F129">IF(NOT(OR(ISERROR(INDIRECT(_xlfn.CONCAT("$I", $F128 + 1))), ISBLANK(INDIRECT(_xlfn.CONCAT("$I", $F128 + 1))))), $F128 + 1, IF(NOT(ISBLANK(INDIRECT(_xlfn.CONCAT("$I", $F128 + 2)))), $F128 + 2, ""))</f>
        <v/>
      </c>
    </row>
    <row r="130" ht="81" customHeight="1" s="6">
      <c r="A130" s="1">
        <f t="array" ref="A130">INDIRECT(_xlfn.CONCAT("$I", $F130))</f>
        <v/>
      </c>
      <c r="B130" s="1">
        <f t="array" ref="B130">INDIRECT(_xlfn.CONCAT("$J", $F130))</f>
        <v/>
      </c>
      <c r="C130" s="1">
        <f t="array" ref="C130">INDIRECT(_xlfn.CONCAT("$K", $F130))</f>
        <v/>
      </c>
      <c r="D130" s="1" t="n"/>
      <c r="E130" s="1">
        <f t="array" ref="E130">INDIRECT(_xlfn.CONCAT("$L", $F130))</f>
        <v/>
      </c>
      <c r="F130" s="1">
        <f t="array" ref="F130">IF(NOT(OR(ISERROR(INDIRECT(_xlfn.CONCAT("$I", $F129 + 1))), ISBLANK(INDIRECT(_xlfn.CONCAT("$I", $F129 + 1))))), $F129 + 1, IF(NOT(ISBLANK(INDIRECT(_xlfn.CONCAT("$I", $F129 + 2)))), $F129 + 2, ""))</f>
        <v/>
      </c>
      <c r="I130" s="8" t="inlineStr">
        <is>
          <t>Bloomburrow Tokens TBLB</t>
        </is>
      </c>
      <c r="J130" s="8" t="n">
        <v>30</v>
      </c>
      <c r="K130" s="9" t="n">
        <v>45506</v>
      </c>
      <c r="L130" s="8" t="inlineStr">
        <is>
          <t>en es fr de it pt ja ko ru 汉语 漢語</t>
        </is>
      </c>
    </row>
    <row r="131" ht="57.75" customHeight="1" s="6">
      <c r="A131" s="1">
        <f t="array" ref="A131">INDIRECT(_xlfn.CONCAT("$I", $F131))</f>
        <v/>
      </c>
      <c r="B131" s="1">
        <f t="array" ref="B131">INDIRECT(_xlfn.CONCAT("$J", $F131))</f>
        <v/>
      </c>
      <c r="C131" s="1">
        <f t="array" ref="C131">INDIRECT(_xlfn.CONCAT("$K", $F131))</f>
        <v/>
      </c>
      <c r="D131" s="1" t="n"/>
      <c r="E131" s="1">
        <f t="array" ref="E131">INDIRECT(_xlfn.CONCAT("$L", $F131))</f>
        <v/>
      </c>
      <c r="F131" s="1">
        <f t="array" ref="F131">IF(NOT(OR(ISERROR(INDIRECT(_xlfn.CONCAT("$I", $F130 + 1))), ISBLANK(INDIRECT(_xlfn.CONCAT("$I", $F130 + 1))))), $F130 + 1, IF(NOT(ISBLANK(INDIRECT(_xlfn.CONCAT("$I", $F130 + 2)))), $F130 + 2, ""))</f>
        <v/>
      </c>
    </row>
    <row r="132" ht="68.25" customHeight="1" s="6">
      <c r="A132" s="1">
        <f t="array" ref="A132">INDIRECT(_xlfn.CONCAT("$I", $F132))</f>
        <v/>
      </c>
      <c r="B132" s="1">
        <f t="array" ref="B132">INDIRECT(_xlfn.CONCAT("$J", $F132))</f>
        <v/>
      </c>
      <c r="C132" s="1">
        <f t="array" ref="C132">INDIRECT(_xlfn.CONCAT("$K", $F132))</f>
        <v/>
      </c>
      <c r="D132" s="1" t="n"/>
      <c r="E132" s="1">
        <f t="array" ref="E132">INDIRECT(_xlfn.CONCAT("$L", $F132))</f>
        <v/>
      </c>
      <c r="F132" s="1">
        <f t="array" ref="F132">IF(NOT(OR(ISERROR(INDIRECT(_xlfn.CONCAT("$I", $F131 + 1))), ISBLANK(INDIRECT(_xlfn.CONCAT("$I", $F131 + 1))))), $F131 + 1, IF(NOT(ISBLANK(INDIRECT(_xlfn.CONCAT("$I", $F131 + 2)))), $F131 + 2, ""))</f>
        <v/>
      </c>
      <c r="I132" s="8" t="inlineStr">
        <is>
          <t>Alchemy: Bloomburrow YBLB</t>
        </is>
      </c>
      <c r="J132" s="8" t="n">
        <v>30</v>
      </c>
      <c r="K132" s="9" t="n">
        <v>45524</v>
      </c>
      <c r="L132" s="8" t="inlineStr">
        <is>
          <t>en es fr de it pt ja ko ru 汉语 漢語</t>
        </is>
      </c>
    </row>
    <row r="133" ht="68.25" customHeight="1" s="6">
      <c r="A133" s="1">
        <f t="array" ref="A133">INDIRECT(_xlfn.CONCAT("$I", $F133))</f>
        <v/>
      </c>
      <c r="B133" s="1">
        <f t="array" ref="B133">INDIRECT(_xlfn.CONCAT("$J", $F133))</f>
        <v/>
      </c>
      <c r="C133" s="1">
        <f t="array" ref="C133">INDIRECT(_xlfn.CONCAT("$K", $F133))</f>
        <v/>
      </c>
      <c r="D133" s="1" t="n"/>
      <c r="E133" s="1">
        <f t="array" ref="E133">INDIRECT(_xlfn.CONCAT("$L", $F133))</f>
        <v/>
      </c>
      <c r="F133" s="1">
        <f t="array" ref="F133">IF(NOT(OR(ISERROR(INDIRECT(_xlfn.CONCAT("$I", $F132 + 1))), ISBLANK(INDIRECT(_xlfn.CONCAT("$I", $F132 + 1))))), $F132 + 1, IF(NOT(ISBLANK(INDIRECT(_xlfn.CONCAT("$I", $F132 + 2)))), $F132 + 2, ""))</f>
        <v/>
      </c>
    </row>
    <row r="134" ht="68.25" customHeight="1" s="6">
      <c r="A134" s="1">
        <f t="array" ref="A134">INDIRECT(_xlfn.CONCAT("$I", $F134))</f>
        <v/>
      </c>
      <c r="B134" s="1">
        <f t="array" ref="B134">INDIRECT(_xlfn.CONCAT("$J", $F134))</f>
        <v/>
      </c>
      <c r="C134" s="1">
        <f t="array" ref="C134">INDIRECT(_xlfn.CONCAT("$K", $F134))</f>
        <v/>
      </c>
      <c r="D134" s="1" t="n"/>
      <c r="E134" s="1">
        <f t="array" ref="E134">INDIRECT(_xlfn.CONCAT("$L", $F134))</f>
        <v/>
      </c>
      <c r="F134" s="1">
        <f t="array" ref="F134">IF(NOT(OR(ISERROR(INDIRECT(_xlfn.CONCAT("$I", $F133 + 1))), ISBLANK(INDIRECT(_xlfn.CONCAT("$I", $F133 + 1))))), $F133 + 1, IF(NOT(ISBLANK(INDIRECT(_xlfn.CONCAT("$I", $F133 + 2)))), $F133 + 2, ""))</f>
        <v/>
      </c>
      <c r="I134" s="8" t="inlineStr">
        <is>
          <t>Bloomburrow Art Series ABLB</t>
        </is>
      </c>
      <c r="J134" s="8" t="n">
        <v>54</v>
      </c>
      <c r="K134" s="9" t="n">
        <v>45506</v>
      </c>
      <c r="L134" s="8" t="inlineStr">
        <is>
          <t>en es fr de it pt ja ko ru 汉语 漢語</t>
        </is>
      </c>
    </row>
    <row r="135" ht="81" customHeight="1" s="6">
      <c r="A135" s="1">
        <f t="array" ref="A135">INDIRECT(_xlfn.CONCAT("$I", $F135))</f>
        <v/>
      </c>
      <c r="B135" s="1">
        <f t="array" ref="B135">INDIRECT(_xlfn.CONCAT("$J", $F135))</f>
        <v/>
      </c>
      <c r="C135" s="1">
        <f t="array" ref="C135">INDIRECT(_xlfn.CONCAT("$K", $F135))</f>
        <v/>
      </c>
      <c r="D135" s="1" t="n"/>
      <c r="E135" s="1">
        <f t="array" ref="E135">INDIRECT(_xlfn.CONCAT("$L", $F135))</f>
        <v/>
      </c>
      <c r="F135" s="1">
        <f t="array" ref="F135">IF(NOT(OR(ISERROR(INDIRECT(_xlfn.CONCAT("$I", $F134 + 1))), ISBLANK(INDIRECT(_xlfn.CONCAT("$I", $F134 + 1))))), $F134 + 1, IF(NOT(ISBLANK(INDIRECT(_xlfn.CONCAT("$I", $F134 + 2)))), $F134 + 2, ""))</f>
        <v/>
      </c>
    </row>
    <row r="136" ht="57.75" customHeight="1" s="6">
      <c r="A136" s="1">
        <f t="array" ref="A136">INDIRECT(_xlfn.CONCAT("$I", $F136))</f>
        <v/>
      </c>
      <c r="B136" s="1">
        <f t="array" ref="B136">INDIRECT(_xlfn.CONCAT("$J", $F136))</f>
        <v/>
      </c>
      <c r="C136" s="1">
        <f t="array" ref="C136">INDIRECT(_xlfn.CONCAT("$K", $F136))</f>
        <v/>
      </c>
      <c r="D136" s="1" t="n"/>
      <c r="E136" s="1">
        <f t="array" ref="E136">INDIRECT(_xlfn.CONCAT("$L", $F136))</f>
        <v/>
      </c>
      <c r="F136" s="1">
        <f t="array" ref="F136">IF(NOT(OR(ISERROR(INDIRECT(_xlfn.CONCAT("$I", $F135 + 1))), ISBLANK(INDIRECT(_xlfn.CONCAT("$I", $F135 + 1))))), $F135 + 1, IF(NOT(ISBLANK(INDIRECT(_xlfn.CONCAT("$I", $F135 + 2)))), $F135 + 2, ""))</f>
        <v/>
      </c>
      <c r="I136" s="8" t="inlineStr">
        <is>
          <t>Bloomburrow Commander BLC</t>
        </is>
      </c>
      <c r="J136" s="8" t="n">
        <v>356</v>
      </c>
      <c r="K136" s="9" t="n">
        <v>45506</v>
      </c>
      <c r="L136" t="inlineStr">
        <is>
          <t>en es fr de it pt ja ko ru 汉语 漢語</t>
        </is>
      </c>
    </row>
    <row r="137" ht="57.75" customHeight="1" s="6">
      <c r="A137" s="1">
        <f t="array" ref="A137">INDIRECT(_xlfn.CONCAT("$I", $F137))</f>
        <v/>
      </c>
      <c r="B137" s="1">
        <f t="array" ref="B137">INDIRECT(_xlfn.CONCAT("$J", $F137))</f>
        <v/>
      </c>
      <c r="C137" s="1">
        <f t="array" ref="C137">INDIRECT(_xlfn.CONCAT("$K", $F137))</f>
        <v/>
      </c>
      <c r="D137" s="1" t="n"/>
      <c r="E137" s="1">
        <f t="array" ref="E137">INDIRECT(_xlfn.CONCAT("$L", $F137))</f>
        <v/>
      </c>
      <c r="F137" s="1">
        <f t="array" ref="F137">IF(NOT(OR(ISERROR(INDIRECT(_xlfn.CONCAT("$I", $F136 + 1))), ISBLANK(INDIRECT(_xlfn.CONCAT("$I", $F136 + 1))))), $F136 + 1, IF(NOT(ISBLANK(INDIRECT(_xlfn.CONCAT("$I", $F136 + 2)))), $F136 + 2, ""))</f>
        <v/>
      </c>
    </row>
    <row r="138" ht="57.75" customHeight="1" s="6">
      <c r="A138" s="1">
        <f t="array" ref="A138">INDIRECT(_xlfn.CONCAT("$I", $F138))</f>
        <v/>
      </c>
      <c r="B138" s="1">
        <f t="array" ref="B138">INDIRECT(_xlfn.CONCAT("$J", $F138))</f>
        <v/>
      </c>
      <c r="C138" s="1">
        <f t="array" ref="C138">INDIRECT(_xlfn.CONCAT("$K", $F138))</f>
        <v/>
      </c>
      <c r="D138" s="1" t="n"/>
      <c r="E138" s="1">
        <f t="array" ref="E138">INDIRECT(_xlfn.CONCAT("$L", $F138))</f>
        <v/>
      </c>
      <c r="F138" s="1">
        <f t="array" ref="F138">IF(NOT(OR(ISERROR(INDIRECT(_xlfn.CONCAT("$I", $F137 + 1))), ISBLANK(INDIRECT(_xlfn.CONCAT("$I", $F137 + 1))))), $F137 + 1, IF(NOT(ISBLANK(INDIRECT(_xlfn.CONCAT("$I", $F137 + 2)))), $F137 + 2, ""))</f>
        <v/>
      </c>
      <c r="I138" s="8" t="inlineStr">
        <is>
          <t>Bloomburrow Commander Tokens TBLC</t>
        </is>
      </c>
      <c r="J138" s="8" t="n">
        <v>41</v>
      </c>
      <c r="K138" s="9" t="n">
        <v>45506</v>
      </c>
      <c r="L138" s="8" t="inlineStr">
        <is>
          <t>en es fr de it pt ja ko ru 汉语 漢語</t>
        </is>
      </c>
    </row>
    <row r="139" ht="57.75" customHeight="1" s="6">
      <c r="A139" s="1">
        <f t="array" ref="A139">INDIRECT(_xlfn.CONCAT("$I", $F139))</f>
        <v/>
      </c>
      <c r="B139" s="1">
        <f t="array" ref="B139">INDIRECT(_xlfn.CONCAT("$J", $F139))</f>
        <v/>
      </c>
      <c r="C139" s="1">
        <f t="array" ref="C139">INDIRECT(_xlfn.CONCAT("$K", $F139))</f>
        <v/>
      </c>
      <c r="D139" s="1" t="n"/>
      <c r="E139" s="1">
        <f t="array" ref="E139">INDIRECT(_xlfn.CONCAT("$L", $F139))</f>
        <v/>
      </c>
      <c r="F139" s="1">
        <f t="array" ref="F139">IF(NOT(OR(ISERROR(INDIRECT(_xlfn.CONCAT("$I", $F138 + 1))), ISBLANK(INDIRECT(_xlfn.CONCAT("$I", $F138 + 1))))), $F138 + 1, IF(NOT(ISBLANK(INDIRECT(_xlfn.CONCAT("$I", $F138 + 2)))), $F138 + 2, ""))</f>
        <v/>
      </c>
    </row>
    <row r="140" ht="68.25" customHeight="1" s="6">
      <c r="A140" s="1">
        <f t="array" ref="A140">INDIRECT(_xlfn.CONCAT("$I", $F140))</f>
        <v/>
      </c>
      <c r="B140" s="1">
        <f t="array" ref="B140">INDIRECT(_xlfn.CONCAT("$J", $F140))</f>
        <v/>
      </c>
      <c r="C140" s="1">
        <f t="array" ref="C140">INDIRECT(_xlfn.CONCAT("$K", $F140))</f>
        <v/>
      </c>
      <c r="D140" s="1" t="n"/>
      <c r="E140" s="1">
        <f t="array" ref="E140">INDIRECT(_xlfn.CONCAT("$L", $F140))</f>
        <v/>
      </c>
      <c r="F140" s="1">
        <f t="array" ref="F140">IF(NOT(OR(ISERROR(INDIRECT(_xlfn.CONCAT("$I", $F139 + 1))), ISBLANK(INDIRECT(_xlfn.CONCAT("$I", $F139 + 1))))), $F139 + 1, IF(NOT(ISBLANK(INDIRECT(_xlfn.CONCAT("$I", $F139 + 2)))), $F139 + 2, ""))</f>
        <v/>
      </c>
      <c r="I140" s="8" t="inlineStr">
        <is>
          <t>Cowboy Bebop PCBB</t>
        </is>
      </c>
      <c r="J140" s="8" t="n">
        <v>5</v>
      </c>
      <c r="K140" s="9" t="n">
        <v>45506</v>
      </c>
      <c r="L140" s="8" t="inlineStr">
        <is>
          <t>en es fr de it pt ja ko ru 汉语 漢語</t>
        </is>
      </c>
    </row>
    <row r="141" ht="57.75" customHeight="1" s="6">
      <c r="A141" s="1">
        <f t="array" ref="A141">INDIRECT(_xlfn.CONCAT("$I", $F141))</f>
        <v/>
      </c>
      <c r="B141" s="1">
        <f t="array" ref="B141">INDIRECT(_xlfn.CONCAT("$J", $F141))</f>
        <v/>
      </c>
      <c r="C141" s="1">
        <f t="array" ref="C141">INDIRECT(_xlfn.CONCAT("$K", $F141))</f>
        <v/>
      </c>
      <c r="D141" s="1" t="n"/>
      <c r="E141" s="1">
        <f t="array" ref="E141">INDIRECT(_xlfn.CONCAT("$L", $F141))</f>
        <v/>
      </c>
      <c r="F141" s="1">
        <f t="array" ref="F141">IF(NOT(OR(ISERROR(INDIRECT(_xlfn.CONCAT("$I", $F140 + 1))), ISBLANK(INDIRECT(_xlfn.CONCAT("$I", $F140 + 1))))), $F140 + 1, IF(NOT(ISBLANK(INDIRECT(_xlfn.CONCAT("$I", $F140 + 2)))), $F140 + 2, ""))</f>
        <v/>
      </c>
    </row>
    <row r="142" ht="57.75" customHeight="1" s="6">
      <c r="A142" s="1">
        <f t="array" ref="A142">INDIRECT(_xlfn.CONCAT("$I", $F142))</f>
        <v/>
      </c>
      <c r="B142" s="1">
        <f t="array" ref="B142">INDIRECT(_xlfn.CONCAT("$J", $F142))</f>
        <v/>
      </c>
      <c r="C142" s="1">
        <f t="array" ref="C142">INDIRECT(_xlfn.CONCAT("$K", $F142))</f>
        <v/>
      </c>
      <c r="D142" s="1" t="n"/>
      <c r="E142" s="1">
        <f t="array" ref="E142">INDIRECT(_xlfn.CONCAT("$L", $F142))</f>
        <v/>
      </c>
      <c r="F142" s="1">
        <f t="array" ref="F142">IF(NOT(OR(ISERROR(INDIRECT(_xlfn.CONCAT("$I", $F141 + 1))), ISBLANK(INDIRECT(_xlfn.CONCAT("$I", $F141 + 1))))), $F141 + 1, IF(NOT(ISBLANK(INDIRECT(_xlfn.CONCAT("$I", $F141 + 2)))), $F141 + 2, ""))</f>
        <v/>
      </c>
      <c r="I142" s="8" t="inlineStr">
        <is>
          <t>Assassin's Creed ACR</t>
        </is>
      </c>
      <c r="J142" s="8" t="n">
        <v>309</v>
      </c>
      <c r="K142" s="9" t="n">
        <v>45478</v>
      </c>
      <c r="L142" t="inlineStr">
        <is>
          <t>en es fr de it pt ja ko ru 汉语 漢語</t>
        </is>
      </c>
    </row>
    <row r="143" ht="68.25" customHeight="1" s="6">
      <c r="A143" s="1">
        <f t="array" ref="A143">INDIRECT(_xlfn.CONCAT("$I", $F143))</f>
        <v/>
      </c>
      <c r="B143" s="1">
        <f t="array" ref="B143">INDIRECT(_xlfn.CONCAT("$J", $F143))</f>
        <v/>
      </c>
      <c r="C143" s="1">
        <f t="array" ref="C143">INDIRECT(_xlfn.CONCAT("$K", $F143))</f>
        <v/>
      </c>
      <c r="D143" s="1" t="n"/>
      <c r="E143" s="1">
        <f t="array" ref="E143">INDIRECT(_xlfn.CONCAT("$L", $F143))</f>
        <v/>
      </c>
      <c r="F143" s="1">
        <f t="array" ref="F143">IF(NOT(OR(ISERROR(INDIRECT(_xlfn.CONCAT("$I", $F142 + 1))), ISBLANK(INDIRECT(_xlfn.CONCAT("$I", $F142 + 1))))), $F142 + 1, IF(NOT(ISBLANK(INDIRECT(_xlfn.CONCAT("$I", $F142 + 2)))), $F142 + 2, ""))</f>
        <v/>
      </c>
    </row>
    <row r="144" ht="68.25" customHeight="1" s="6">
      <c r="A144" s="1">
        <f t="array" ref="A144">INDIRECT(_xlfn.CONCAT("$I", $F144))</f>
        <v/>
      </c>
      <c r="B144" s="1">
        <f t="array" ref="B144">INDIRECT(_xlfn.CONCAT("$J", $F144))</f>
        <v/>
      </c>
      <c r="C144" s="1">
        <f t="array" ref="C144">INDIRECT(_xlfn.CONCAT("$K", $F144))</f>
        <v/>
      </c>
      <c r="D144" s="1" t="n"/>
      <c r="E144" s="1">
        <f t="array" ref="E144">INDIRECT(_xlfn.CONCAT("$L", $F144))</f>
        <v/>
      </c>
      <c r="F144" s="1">
        <f t="array" ref="F144">IF(NOT(OR(ISERROR(INDIRECT(_xlfn.CONCAT("$I", $F143 + 1))), ISBLANK(INDIRECT(_xlfn.CONCAT("$I", $F143 + 1))))), $F143 + 1, IF(NOT(ISBLANK(INDIRECT(_xlfn.CONCAT("$I", $F143 + 2)))), $F143 + 2, ""))</f>
        <v/>
      </c>
      <c r="I144" s="8" t="inlineStr">
        <is>
          <t>Assassin's Creed Tokens TACR</t>
        </is>
      </c>
      <c r="J144" s="8" t="n">
        <v>8</v>
      </c>
      <c r="K144" s="9" t="n">
        <v>45478</v>
      </c>
      <c r="L144" s="8" t="inlineStr">
        <is>
          <t>en es fr de it pt ja ko ru 汉语 漢語</t>
        </is>
      </c>
    </row>
    <row r="145" ht="57.75" customHeight="1" s="6">
      <c r="A145" s="1">
        <f t="array" ref="A145">INDIRECT(_xlfn.CONCAT("$I", $F145))</f>
        <v/>
      </c>
      <c r="B145" s="1">
        <f t="array" ref="B145">INDIRECT(_xlfn.CONCAT("$J", $F145))</f>
        <v/>
      </c>
      <c r="C145" s="1">
        <f t="array" ref="C145">INDIRECT(_xlfn.CONCAT("$K", $F145))</f>
        <v/>
      </c>
      <c r="D145" s="1" t="n"/>
      <c r="E145" s="1">
        <f t="array" ref="E145">INDIRECT(_xlfn.CONCAT("$L", $F145))</f>
        <v/>
      </c>
      <c r="F145" s="1">
        <f t="array" ref="F145">IF(NOT(OR(ISERROR(INDIRECT(_xlfn.CONCAT("$I", $F144 + 1))), ISBLANK(INDIRECT(_xlfn.CONCAT("$I", $F144 + 1))))), $F144 + 1, IF(NOT(ISBLANK(INDIRECT(_xlfn.CONCAT("$I", $F144 + 2)))), $F144 + 2, ""))</f>
        <v/>
      </c>
    </row>
    <row r="146" ht="68.25" customHeight="1" s="6">
      <c r="A146" s="1">
        <f t="array" ref="A146">INDIRECT(_xlfn.CONCAT("$I", $F146))</f>
        <v/>
      </c>
      <c r="B146" s="1">
        <f t="array" ref="B146">INDIRECT(_xlfn.CONCAT("$J", $F146))</f>
        <v/>
      </c>
      <c r="C146" s="1">
        <f t="array" ref="C146">INDIRECT(_xlfn.CONCAT("$K", $F146))</f>
        <v/>
      </c>
      <c r="D146" s="1" t="n"/>
      <c r="E146" s="1">
        <f t="array" ref="E146">INDIRECT(_xlfn.CONCAT("$L", $F146))</f>
        <v/>
      </c>
      <c r="F146" s="1">
        <f t="array" ref="F146">IF(NOT(OR(ISERROR(INDIRECT(_xlfn.CONCAT("$I", $F145 + 1))), ISBLANK(INDIRECT(_xlfn.CONCAT("$I", $F145 + 1))))), $F145 + 1, IF(NOT(ISBLANK(INDIRECT(_xlfn.CONCAT("$I", $F145 + 2)))), $F145 + 2, ""))</f>
        <v/>
      </c>
      <c r="I146" s="8" t="inlineStr">
        <is>
          <t>Assassin's Creed Minigames MACR</t>
        </is>
      </c>
      <c r="J146" s="8" t="n">
        <v>3</v>
      </c>
      <c r="K146" s="9" t="n">
        <v>45478</v>
      </c>
      <c r="L146" s="8" t="inlineStr">
        <is>
          <t>en es fr de it pt ja ko ru 汉语 漢語</t>
        </is>
      </c>
    </row>
    <row r="147" ht="68.25" customHeight="1" s="6">
      <c r="A147" s="1">
        <f t="array" ref="A147">INDIRECT(_xlfn.CONCAT("$I", $F147))</f>
        <v/>
      </c>
      <c r="B147" s="1">
        <f t="array" ref="B147">INDIRECT(_xlfn.CONCAT("$J", $F147))</f>
        <v/>
      </c>
      <c r="C147" s="1">
        <f t="array" ref="C147">INDIRECT(_xlfn.CONCAT("$K", $F147))</f>
        <v/>
      </c>
      <c r="D147" s="1" t="n"/>
      <c r="E147" s="1">
        <f t="array" ref="E147">INDIRECT(_xlfn.CONCAT("$L", $F147))</f>
        <v/>
      </c>
      <c r="F147" s="1">
        <f t="array" ref="F147">IF(NOT(OR(ISERROR(INDIRECT(_xlfn.CONCAT("$I", $F146 + 1))), ISBLANK(INDIRECT(_xlfn.CONCAT("$I", $F146 + 1))))), $F146 + 1, IF(NOT(ISBLANK(INDIRECT(_xlfn.CONCAT("$I", $F146 + 2)))), $F146 + 2, ""))</f>
        <v/>
      </c>
    </row>
    <row r="148" ht="57.75" customHeight="1" s="6">
      <c r="A148" s="1">
        <f t="array" ref="A148">INDIRECT(_xlfn.CONCAT("$I", $F148))</f>
        <v/>
      </c>
      <c r="B148" s="1">
        <f t="array" ref="B148">INDIRECT(_xlfn.CONCAT("$J", $F148))</f>
        <v/>
      </c>
      <c r="C148" s="1">
        <f t="array" ref="C148">INDIRECT(_xlfn.CONCAT("$K", $F148))</f>
        <v/>
      </c>
      <c r="D148" s="1" t="n"/>
      <c r="E148" s="1">
        <f t="array" ref="E148">INDIRECT(_xlfn.CONCAT("$L", $F148))</f>
        <v/>
      </c>
      <c r="F148" s="1">
        <f t="array" ref="F148">IF(NOT(OR(ISERROR(INDIRECT(_xlfn.CONCAT("$I", $F147 + 1))), ISBLANK(INDIRECT(_xlfn.CONCAT("$I", $F147 + 1))))), $F147 + 1, IF(NOT(ISBLANK(INDIRECT(_xlfn.CONCAT("$I", $F147 + 2)))), $F147 + 2, ""))</f>
        <v/>
      </c>
      <c r="I148" s="8" t="inlineStr">
        <is>
          <t>Assassin's Creed Art Series AACR</t>
        </is>
      </c>
      <c r="J148" s="8" t="n">
        <v>20</v>
      </c>
      <c r="K148" s="9" t="n">
        <v>45478</v>
      </c>
      <c r="L148" s="8" t="inlineStr">
        <is>
          <t>en es fr de it pt ja ko ru 汉语 漢語</t>
        </is>
      </c>
    </row>
    <row r="149" ht="68.25" customHeight="1" s="6">
      <c r="A149" s="1">
        <f t="array" ref="A149">INDIRECT(_xlfn.CONCAT("$I", $F149))</f>
        <v/>
      </c>
      <c r="B149" s="1">
        <f t="array" ref="B149">INDIRECT(_xlfn.CONCAT("$J", $F149))</f>
        <v/>
      </c>
      <c r="C149" s="1">
        <f t="array" ref="C149">INDIRECT(_xlfn.CONCAT("$K", $F149))</f>
        <v/>
      </c>
      <c r="D149" s="1" t="n"/>
      <c r="E149" s="1">
        <f t="array" ref="E149">INDIRECT(_xlfn.CONCAT("$L", $F149))</f>
        <v/>
      </c>
      <c r="F149" s="1">
        <f t="array" ref="F149">IF(NOT(OR(ISERROR(INDIRECT(_xlfn.CONCAT("$I", $F148 + 1))), ISBLANK(INDIRECT(_xlfn.CONCAT("$I", $F148 + 1))))), $F148 + 1, IF(NOT(ISBLANK(INDIRECT(_xlfn.CONCAT("$I", $F148 + 2)))), $F148 + 2, ""))</f>
        <v/>
      </c>
    </row>
    <row r="150" ht="68.25" customHeight="1" s="6">
      <c r="A150" s="1">
        <f t="array" ref="A150">INDIRECT(_xlfn.CONCAT("$I", $F150))</f>
        <v/>
      </c>
      <c r="B150" s="1">
        <f t="array" ref="B150">INDIRECT(_xlfn.CONCAT("$J", $F150))</f>
        <v/>
      </c>
      <c r="C150" s="1">
        <f t="array" ref="C150">INDIRECT(_xlfn.CONCAT("$K", $F150))</f>
        <v/>
      </c>
      <c r="D150" s="1" t="n"/>
      <c r="E150" s="1">
        <f t="array" ref="E150">INDIRECT(_xlfn.CONCAT("$L", $F150))</f>
        <v/>
      </c>
      <c r="F150" s="1">
        <f t="array" ref="F150">IF(NOT(OR(ISERROR(INDIRECT(_xlfn.CONCAT("$I", $F149 + 1))), ISBLANK(INDIRECT(_xlfn.CONCAT("$I", $F149 + 1))))), $F149 + 1, IF(NOT(ISBLANK(INDIRECT(_xlfn.CONCAT("$I", $F149 + 2)))), $F149 + 2, ""))</f>
        <v/>
      </c>
      <c r="I150" s="8" t="inlineStr">
        <is>
          <t>Modern Horizons 3 MH3</t>
        </is>
      </c>
      <c r="J150" s="8" t="n">
        <v>528</v>
      </c>
      <c r="K150" s="9" t="n">
        <v>45457</v>
      </c>
      <c r="L150" t="inlineStr">
        <is>
          <t>en es fr de it pt ja ko ru 汉语 漢語</t>
        </is>
      </c>
    </row>
    <row r="151" ht="81" customHeight="1" s="6">
      <c r="A151" s="1">
        <f t="array" ref="A151">INDIRECT(_xlfn.CONCAT("$I", $F151))</f>
        <v/>
      </c>
      <c r="B151" s="1">
        <f t="array" ref="B151">INDIRECT(_xlfn.CONCAT("$J", $F151))</f>
        <v/>
      </c>
      <c r="C151" s="1">
        <f t="array" ref="C151">INDIRECT(_xlfn.CONCAT("$K", $F151))</f>
        <v/>
      </c>
      <c r="D151" s="1" t="n"/>
      <c r="E151" s="1">
        <f t="array" ref="E151">INDIRECT(_xlfn.CONCAT("$L", $F151))</f>
        <v/>
      </c>
      <c r="F151" s="1">
        <f t="array" ref="F151">IF(NOT(OR(ISERROR(INDIRECT(_xlfn.CONCAT("$I", $F150 + 1))), ISBLANK(INDIRECT(_xlfn.CONCAT("$I", $F150 + 1))))), $F150 + 1, IF(NOT(ISBLANK(INDIRECT(_xlfn.CONCAT("$I", $F150 + 2)))), $F150 + 2, ""))</f>
        <v/>
      </c>
    </row>
    <row r="152" ht="57.75" customHeight="1" s="6">
      <c r="A152" s="1">
        <f t="array" ref="A152">INDIRECT(_xlfn.CONCAT("$I", $F152))</f>
        <v/>
      </c>
      <c r="B152" s="1">
        <f t="array" ref="B152">INDIRECT(_xlfn.CONCAT("$J", $F152))</f>
        <v/>
      </c>
      <c r="C152" s="1">
        <f t="array" ref="C152">INDIRECT(_xlfn.CONCAT("$K", $F152))</f>
        <v/>
      </c>
      <c r="D152" s="1" t="n"/>
      <c r="E152" s="1">
        <f t="array" ref="E152">INDIRECT(_xlfn.CONCAT("$L", $F152))</f>
        <v/>
      </c>
      <c r="F152" s="1">
        <f t="array" ref="F152">IF(NOT(OR(ISERROR(INDIRECT(_xlfn.CONCAT("$I", $F151 + 1))), ISBLANK(INDIRECT(_xlfn.CONCAT("$I", $F151 + 1))))), $F151 + 1, IF(NOT(ISBLANK(INDIRECT(_xlfn.CONCAT("$I", $F151 + 2)))), $F151 + 2, ""))</f>
        <v/>
      </c>
      <c r="I152" s="8" t="inlineStr">
        <is>
          <t>Modern Horizons 3 Promos PMH3</t>
        </is>
      </c>
      <c r="J152" s="8" t="n">
        <v>85</v>
      </c>
      <c r="K152" s="9" t="n">
        <v>45457</v>
      </c>
      <c r="L152" s="8" t="inlineStr">
        <is>
          <t>en es fr de it pt ja ko ru 汉语 漢語</t>
        </is>
      </c>
    </row>
    <row r="153" ht="57.75" customHeight="1" s="6">
      <c r="A153" s="1">
        <f t="array" ref="A153">INDIRECT(_xlfn.CONCAT("$I", $F153))</f>
        <v/>
      </c>
      <c r="B153" s="1">
        <f t="array" ref="B153">INDIRECT(_xlfn.CONCAT("$J", $F153))</f>
        <v/>
      </c>
      <c r="C153" s="1">
        <f t="array" ref="C153">INDIRECT(_xlfn.CONCAT("$K", $F153))</f>
        <v/>
      </c>
      <c r="D153" s="1" t="n"/>
      <c r="E153" s="1">
        <f t="array" ref="E153">INDIRECT(_xlfn.CONCAT("$L", $F153))</f>
        <v/>
      </c>
      <c r="F153" s="1">
        <f t="array" ref="F153">IF(NOT(OR(ISERROR(INDIRECT(_xlfn.CONCAT("$I", $F152 + 1))), ISBLANK(INDIRECT(_xlfn.CONCAT("$I", $F152 + 1))))), $F152 + 1, IF(NOT(ISBLANK(INDIRECT(_xlfn.CONCAT("$I", $F152 + 2)))), $F152 + 2, ""))</f>
        <v/>
      </c>
    </row>
    <row r="154" ht="68.25" customHeight="1" s="6">
      <c r="A154" s="1">
        <f t="array" ref="A154">INDIRECT(_xlfn.CONCAT("$I", $F154))</f>
        <v/>
      </c>
      <c r="B154" s="1">
        <f t="array" ref="B154">INDIRECT(_xlfn.CONCAT("$J", $F154))</f>
        <v/>
      </c>
      <c r="C154" s="1">
        <f t="array" ref="C154">INDIRECT(_xlfn.CONCAT("$K", $F154))</f>
        <v/>
      </c>
      <c r="D154" s="1" t="n"/>
      <c r="E154" s="1">
        <f t="array" ref="E154">INDIRECT(_xlfn.CONCAT("$L", $F154))</f>
        <v/>
      </c>
      <c r="F154" s="1">
        <f t="array" ref="F154">IF(NOT(OR(ISERROR(INDIRECT(_xlfn.CONCAT("$I", $F153 + 1))), ISBLANK(INDIRECT(_xlfn.CONCAT("$I", $F153 + 1))))), $F153 + 1, IF(NOT(ISBLANK(INDIRECT(_xlfn.CONCAT("$I", $F153 + 2)))), $F153 + 2, ""))</f>
        <v/>
      </c>
      <c r="I154" s="8" t="inlineStr">
        <is>
          <t>Modern Horizons 3 Tokens TMH3</t>
        </is>
      </c>
      <c r="J154" s="8" t="n">
        <v>43</v>
      </c>
      <c r="K154" s="9" t="n">
        <v>45457</v>
      </c>
      <c r="L154" s="8" t="inlineStr">
        <is>
          <t>en es fr de it pt ja ko ru 汉语 漢語</t>
        </is>
      </c>
    </row>
    <row r="155" ht="57.75" customHeight="1" s="6">
      <c r="A155" s="1">
        <f t="array" ref="A155">INDIRECT(_xlfn.CONCAT("$I", $F155))</f>
        <v/>
      </c>
      <c r="B155" s="1">
        <f t="array" ref="B155">INDIRECT(_xlfn.CONCAT("$J", $F155))</f>
        <v/>
      </c>
      <c r="C155" s="1">
        <f t="array" ref="C155">INDIRECT(_xlfn.CONCAT("$K", $F155))</f>
        <v/>
      </c>
      <c r="D155" s="1" t="n"/>
      <c r="E155" s="1">
        <f t="array" ref="E155">INDIRECT(_xlfn.CONCAT("$L", $F155))</f>
        <v/>
      </c>
      <c r="F155" s="1">
        <f t="array" ref="F155">IF(NOT(OR(ISERROR(INDIRECT(_xlfn.CONCAT("$I", $F154 + 1))), ISBLANK(INDIRECT(_xlfn.CONCAT("$I", $F154 + 1))))), $F154 + 1, IF(NOT(ISBLANK(INDIRECT(_xlfn.CONCAT("$I", $F154 + 2)))), $F154 + 2, ""))</f>
        <v/>
      </c>
    </row>
    <row r="156" ht="57.75" customHeight="1" s="6">
      <c r="A156" s="1">
        <f t="array" ref="A156">INDIRECT(_xlfn.CONCAT("$I", $F156))</f>
        <v/>
      </c>
      <c r="B156" s="1">
        <f t="array" ref="B156">INDIRECT(_xlfn.CONCAT("$J", $F156))</f>
        <v/>
      </c>
      <c r="C156" s="1">
        <f t="array" ref="C156">INDIRECT(_xlfn.CONCAT("$K", $F156))</f>
        <v/>
      </c>
      <c r="D156" s="1" t="n"/>
      <c r="E156" s="1">
        <f t="array" ref="E156">INDIRECT(_xlfn.CONCAT("$L", $F156))</f>
        <v/>
      </c>
      <c r="F156" s="1">
        <f t="array" ref="F156">IF(NOT(OR(ISERROR(INDIRECT(_xlfn.CONCAT("$I", $F155 + 1))), ISBLANK(INDIRECT(_xlfn.CONCAT("$I", $F155 + 1))))), $F155 + 1, IF(NOT(ISBLANK(INDIRECT(_xlfn.CONCAT("$I", $F155 + 2)))), $F155 + 2, ""))</f>
        <v/>
      </c>
      <c r="I156" s="8" t="inlineStr">
        <is>
          <t>Modern Horizons 3 Substitute Cards SMH3</t>
        </is>
      </c>
      <c r="J156" s="8" t="n">
        <v>1</v>
      </c>
      <c r="K156" s="9" t="n">
        <v>45457</v>
      </c>
      <c r="L156" s="8" t="inlineStr">
        <is>
          <t>en es fr de it pt ja ko ru 汉语 漢語</t>
        </is>
      </c>
    </row>
    <row r="157" ht="57.75" customHeight="1" s="6">
      <c r="A157" s="1">
        <f t="array" ref="A157">INDIRECT(_xlfn.CONCAT("$I", $F157))</f>
        <v/>
      </c>
      <c r="B157" s="1">
        <f t="array" ref="B157">INDIRECT(_xlfn.CONCAT("$J", $F157))</f>
        <v/>
      </c>
      <c r="C157" s="1">
        <f t="array" ref="C157">INDIRECT(_xlfn.CONCAT("$K", $F157))</f>
        <v/>
      </c>
      <c r="D157" s="1" t="n"/>
      <c r="E157" s="1">
        <f t="array" ref="E157">INDIRECT(_xlfn.CONCAT("$L", $F157))</f>
        <v/>
      </c>
      <c r="F157" s="1">
        <f t="array" ref="F157">IF(NOT(OR(ISERROR(INDIRECT(_xlfn.CONCAT("$I", $F156 + 1))), ISBLANK(INDIRECT(_xlfn.CONCAT("$I", $F156 + 1))))), $F156 + 1, IF(NOT(ISBLANK(INDIRECT(_xlfn.CONCAT("$I", $F156 + 2)))), $F156 + 2, ""))</f>
        <v/>
      </c>
    </row>
    <row r="158" ht="57.75" customHeight="1" s="6">
      <c r="A158" s="1">
        <f t="array" ref="A158">INDIRECT(_xlfn.CONCAT("$I", $F158))</f>
        <v/>
      </c>
      <c r="B158" s="1">
        <f t="array" ref="B158">INDIRECT(_xlfn.CONCAT("$J", $F158))</f>
        <v/>
      </c>
      <c r="C158" s="1">
        <f t="array" ref="C158">INDIRECT(_xlfn.CONCAT("$K", $F158))</f>
        <v/>
      </c>
      <c r="D158" s="1" t="n"/>
      <c r="E158" s="1">
        <f t="array" ref="E158">INDIRECT(_xlfn.CONCAT("$L", $F158))</f>
        <v/>
      </c>
      <c r="F158" s="1">
        <f t="array" ref="F158">IF(NOT(OR(ISERROR(INDIRECT(_xlfn.CONCAT("$I", $F157 + 1))), ISBLANK(INDIRECT(_xlfn.CONCAT("$I", $F157 + 1))))), $F157 + 1, IF(NOT(ISBLANK(INDIRECT(_xlfn.CONCAT("$I", $F157 + 2)))), $F157 + 2, ""))</f>
        <v/>
      </c>
      <c r="I158" s="8" t="inlineStr">
        <is>
          <t>Modern Horizons 3 Commander M3C</t>
        </is>
      </c>
      <c r="J158" s="8" t="n">
        <v>398</v>
      </c>
      <c r="K158" s="9" t="n">
        <v>45457</v>
      </c>
      <c r="L158" t="inlineStr">
        <is>
          <t>en es fr de it pt ja ko ru 汉语 漢語</t>
        </is>
      </c>
    </row>
    <row r="159" ht="57.75" customHeight="1" s="6">
      <c r="A159" s="1">
        <f t="array" ref="A159">INDIRECT(_xlfn.CONCAT("$I", $F159))</f>
        <v/>
      </c>
      <c r="B159" s="1">
        <f t="array" ref="B159">INDIRECT(_xlfn.CONCAT("$J", $F159))</f>
        <v/>
      </c>
      <c r="C159" s="1">
        <f t="array" ref="C159">INDIRECT(_xlfn.CONCAT("$K", $F159))</f>
        <v/>
      </c>
      <c r="D159" s="1" t="n"/>
      <c r="E159" s="1">
        <f t="array" ref="E159">INDIRECT(_xlfn.CONCAT("$L", $F159))</f>
        <v/>
      </c>
      <c r="F159" s="1">
        <f t="array" ref="F159">IF(NOT(OR(ISERROR(INDIRECT(_xlfn.CONCAT("$I", $F158 + 1))), ISBLANK(INDIRECT(_xlfn.CONCAT("$I", $F158 + 1))))), $F158 + 1, IF(NOT(ISBLANK(INDIRECT(_xlfn.CONCAT("$I", $F158 + 2)))), $F158 + 2, ""))</f>
        <v/>
      </c>
    </row>
    <row r="160" ht="57.75" customHeight="1" s="6">
      <c r="A160" s="1">
        <f t="array" ref="A160">INDIRECT(_xlfn.CONCAT("$I", $F160))</f>
        <v/>
      </c>
      <c r="B160" s="1">
        <f t="array" ref="B160">INDIRECT(_xlfn.CONCAT("$J", $F160))</f>
        <v/>
      </c>
      <c r="C160" s="1">
        <f t="array" ref="C160">INDIRECT(_xlfn.CONCAT("$K", $F160))</f>
        <v/>
      </c>
      <c r="D160" s="1" t="n"/>
      <c r="E160" s="1">
        <f t="array" ref="E160">INDIRECT(_xlfn.CONCAT("$L", $F160))</f>
        <v/>
      </c>
      <c r="F160" s="1">
        <f t="array" ref="F160">IF(NOT(OR(ISERROR(INDIRECT(_xlfn.CONCAT("$I", $F159 + 1))), ISBLANK(INDIRECT(_xlfn.CONCAT("$I", $F159 + 1))))), $F159 + 1, IF(NOT(ISBLANK(INDIRECT(_xlfn.CONCAT("$I", $F159 + 2)))), $F159 + 2, ""))</f>
        <v/>
      </c>
      <c r="I160" s="8" t="inlineStr">
        <is>
          <t>Modern Horizons 3 Commander Tokens TM3C</t>
        </is>
      </c>
      <c r="J160" s="8" t="n">
        <v>28</v>
      </c>
      <c r="K160" s="9" t="n">
        <v>45457</v>
      </c>
      <c r="L160" s="8" t="inlineStr">
        <is>
          <t>en es fr de it pt ja ko ru 汉语 漢語</t>
        </is>
      </c>
    </row>
    <row r="161" ht="68.25" customHeight="1" s="6">
      <c r="A161" s="1">
        <f t="array" ref="A161">INDIRECT(_xlfn.CONCAT("$I", $F161))</f>
        <v/>
      </c>
      <c r="B161" s="1">
        <f t="array" ref="B161">INDIRECT(_xlfn.CONCAT("$J", $F161))</f>
        <v/>
      </c>
      <c r="C161" s="1">
        <f t="array" ref="C161">INDIRECT(_xlfn.CONCAT("$K", $F161))</f>
        <v/>
      </c>
      <c r="D161" s="1" t="n"/>
      <c r="E161" s="1">
        <f t="array" ref="E161">INDIRECT(_xlfn.CONCAT("$L", $F161))</f>
        <v/>
      </c>
      <c r="F161" s="1">
        <f t="array" ref="F161">IF(NOT(OR(ISERROR(INDIRECT(_xlfn.CONCAT("$I", $F160 + 1))), ISBLANK(INDIRECT(_xlfn.CONCAT("$I", $F160 + 1))))), $F160 + 1, IF(NOT(ISBLANK(INDIRECT(_xlfn.CONCAT("$I", $F160 + 2)))), $F160 + 2, ""))</f>
        <v/>
      </c>
    </row>
    <row r="162" ht="68.25" customHeight="1" s="6">
      <c r="A162" s="1">
        <f t="array" ref="A162">INDIRECT(_xlfn.CONCAT("$I", $F162))</f>
        <v/>
      </c>
      <c r="B162" s="1">
        <f t="array" ref="B162">INDIRECT(_xlfn.CONCAT("$J", $F162))</f>
        <v/>
      </c>
      <c r="C162" s="1">
        <f t="array" ref="C162">INDIRECT(_xlfn.CONCAT("$K", $F162))</f>
        <v/>
      </c>
      <c r="D162" s="1" t="n"/>
      <c r="E162" s="1">
        <f t="array" ref="E162">INDIRECT(_xlfn.CONCAT("$L", $F162))</f>
        <v/>
      </c>
      <c r="F162" s="1">
        <f t="array" ref="F162">IF(NOT(OR(ISERROR(INDIRECT(_xlfn.CONCAT("$I", $F161 + 1))), ISBLANK(INDIRECT(_xlfn.CONCAT("$I", $F161 + 1))))), $F161 + 1, IF(NOT(ISBLANK(INDIRECT(_xlfn.CONCAT("$I", $F161 + 2)))), $F161 + 2, ""))</f>
        <v/>
      </c>
      <c r="I162" s="8" t="inlineStr">
        <is>
          <t>Modern Horizons 3 Art Series AMH3</t>
        </is>
      </c>
      <c r="J162" s="8" t="n">
        <v>54</v>
      </c>
      <c r="K162" s="9" t="n">
        <v>45457</v>
      </c>
      <c r="L162" s="8" t="inlineStr">
        <is>
          <t>en es fr de it pt ja ko ru 汉语 漢語</t>
        </is>
      </c>
    </row>
    <row r="163" ht="57.75" customHeight="1" s="6">
      <c r="A163" s="1">
        <f t="array" ref="A163">INDIRECT(_xlfn.CONCAT("$I", $F163))</f>
        <v/>
      </c>
      <c r="B163" s="1">
        <f t="array" ref="B163">INDIRECT(_xlfn.CONCAT("$J", $F163))</f>
        <v/>
      </c>
      <c r="C163" s="1">
        <f t="array" ref="C163">INDIRECT(_xlfn.CONCAT("$K", $F163))</f>
        <v/>
      </c>
      <c r="D163" s="1" t="n"/>
      <c r="E163" s="1">
        <f t="array" ref="E163">INDIRECT(_xlfn.CONCAT("$L", $F163))</f>
        <v/>
      </c>
      <c r="F163" s="1">
        <f t="array" ref="F163">IF(NOT(OR(ISERROR(INDIRECT(_xlfn.CONCAT("$I", $F162 + 1))), ISBLANK(INDIRECT(_xlfn.CONCAT("$I", $F162 + 1))))), $F162 + 1, IF(NOT(ISBLANK(INDIRECT(_xlfn.CONCAT("$I", $F162 + 2)))), $F162 + 2, ""))</f>
        <v/>
      </c>
    </row>
    <row r="164" ht="57.75" customHeight="1" s="6">
      <c r="A164" s="1">
        <f t="array" ref="A164">INDIRECT(_xlfn.CONCAT("$I", $F164))</f>
        <v/>
      </c>
      <c r="B164" s="1">
        <f t="array" ref="B164">INDIRECT(_xlfn.CONCAT("$J", $F164))</f>
        <v/>
      </c>
      <c r="C164" s="1">
        <f t="array" ref="C164">INDIRECT(_xlfn.CONCAT("$K", $F164))</f>
        <v/>
      </c>
      <c r="D164" s="1" t="n"/>
      <c r="E164" s="1">
        <f t="array" ref="E164">INDIRECT(_xlfn.CONCAT("$L", $F164))</f>
        <v/>
      </c>
      <c r="F164" s="1">
        <f t="array" ref="F164">IF(NOT(OR(ISERROR(INDIRECT(_xlfn.CONCAT("$I", $F163 + 1))), ISBLANK(INDIRECT(_xlfn.CONCAT("$I", $F163 + 1))))), $F163 + 1, IF(NOT(ISBLANK(INDIRECT(_xlfn.CONCAT("$I", $F163 + 2)))), $F163 + 2, ""))</f>
        <v/>
      </c>
      <c r="I164" s="8" t="inlineStr">
        <is>
          <t>Modern Horizons 2 Timeshifts H2R</t>
        </is>
      </c>
      <c r="J164" s="8" t="n">
        <v>16</v>
      </c>
      <c r="K164" s="9" t="n">
        <v>45450</v>
      </c>
      <c r="L164" s="8" t="inlineStr">
        <is>
          <t>en es fr de it pt ja ko ru 汉语 漢語</t>
        </is>
      </c>
    </row>
    <row r="165" ht="57.75" customHeight="1" s="6">
      <c r="A165" s="1">
        <f t="array" ref="A165">INDIRECT(_xlfn.CONCAT("$I", $F165))</f>
        <v/>
      </c>
      <c r="B165" s="1">
        <f t="array" ref="B165">INDIRECT(_xlfn.CONCAT("$J", $F165))</f>
        <v/>
      </c>
      <c r="C165" s="1">
        <f t="array" ref="C165">INDIRECT(_xlfn.CONCAT("$K", $F165))</f>
        <v/>
      </c>
      <c r="D165" s="1" t="n"/>
      <c r="E165" s="1">
        <f t="array" ref="E165">INDIRECT(_xlfn.CONCAT("$L", $F165))</f>
        <v/>
      </c>
      <c r="F165" s="1">
        <f t="array" ref="F165">IF(NOT(OR(ISERROR(INDIRECT(_xlfn.CONCAT("$I", $F164 + 1))), ISBLANK(INDIRECT(_xlfn.CONCAT("$I", $F164 + 1))))), $F164 + 1, IF(NOT(ISBLANK(INDIRECT(_xlfn.CONCAT("$I", $F164 + 2)))), $F164 + 2, ""))</f>
        <v/>
      </c>
    </row>
    <row r="166" ht="57.75" customHeight="1" s="6">
      <c r="A166" s="1">
        <f t="array" ref="A166">INDIRECT(_xlfn.CONCAT("$I", $F166))</f>
        <v/>
      </c>
      <c r="B166" s="1">
        <f t="array" ref="B166">INDIRECT(_xlfn.CONCAT("$J", $F166))</f>
        <v/>
      </c>
      <c r="C166" s="1">
        <f t="array" ref="C166">INDIRECT(_xlfn.CONCAT("$K", $F166))</f>
        <v/>
      </c>
      <c r="D166" s="1" t="n"/>
      <c r="E166" s="1">
        <f t="array" ref="E166">INDIRECT(_xlfn.CONCAT("$L", $F166))</f>
        <v/>
      </c>
      <c r="F166" s="1">
        <f t="array" ref="F166">IF(NOT(OR(ISERROR(INDIRECT(_xlfn.CONCAT("$I", $F165 + 1))), ISBLANK(INDIRECT(_xlfn.CONCAT("$I", $F165 + 1))))), $F165 + 1, IF(NOT(ISBLANK(INDIRECT(_xlfn.CONCAT("$I", $F165 + 2)))), $F165 + 2, ""))</f>
        <v/>
      </c>
      <c r="I166" s="8" t="inlineStr">
        <is>
          <t>Outlaws of Thunder Junction OTJ</t>
        </is>
      </c>
      <c r="J166" s="8" t="n">
        <v>374</v>
      </c>
      <c r="K166" s="9" t="n">
        <v>45401</v>
      </c>
      <c r="L166" t="inlineStr">
        <is>
          <t>en es fr de it pt ja ko ru 汉语 漢語</t>
        </is>
      </c>
    </row>
    <row r="167" ht="57.75" customHeight="1" s="6">
      <c r="A167" s="1">
        <f t="array" ref="A167">INDIRECT(_xlfn.CONCAT("$I", $F167))</f>
        <v/>
      </c>
      <c r="B167" s="1">
        <f t="array" ref="B167">INDIRECT(_xlfn.CONCAT("$J", $F167))</f>
        <v/>
      </c>
      <c r="C167" s="1">
        <f t="array" ref="C167">INDIRECT(_xlfn.CONCAT("$K", $F167))</f>
        <v/>
      </c>
      <c r="D167" s="1" t="n"/>
      <c r="E167" s="1">
        <f t="array" ref="E167">INDIRECT(_xlfn.CONCAT("$L", $F167))</f>
        <v/>
      </c>
      <c r="F167" s="1">
        <f t="array" ref="F167">IF(NOT(OR(ISERROR(INDIRECT(_xlfn.CONCAT("$I", $F166 + 1))), ISBLANK(INDIRECT(_xlfn.CONCAT("$I", $F166 + 1))))), $F166 + 1, IF(NOT(ISBLANK(INDIRECT(_xlfn.CONCAT("$I", $F166 + 2)))), $F166 + 2, ""))</f>
        <v/>
      </c>
    </row>
    <row r="168" ht="57.75" customHeight="1" s="6">
      <c r="A168" s="1">
        <f t="array" ref="A168">INDIRECT(_xlfn.CONCAT("$I", $F168))</f>
        <v/>
      </c>
      <c r="B168" s="1">
        <f t="array" ref="B168">INDIRECT(_xlfn.CONCAT("$J", $F168))</f>
        <v/>
      </c>
      <c r="C168" s="1">
        <f t="array" ref="C168">INDIRECT(_xlfn.CONCAT("$K", $F168))</f>
        <v/>
      </c>
      <c r="D168" s="1" t="n"/>
      <c r="E168" s="1">
        <f t="array" ref="E168">INDIRECT(_xlfn.CONCAT("$L", $F168))</f>
        <v/>
      </c>
      <c r="F168" s="1">
        <f t="array" ref="F168">IF(NOT(OR(ISERROR(INDIRECT(_xlfn.CONCAT("$I", $F167 + 1))), ISBLANK(INDIRECT(_xlfn.CONCAT("$I", $F167 + 1))))), $F167 + 1, IF(NOT(ISBLANK(INDIRECT(_xlfn.CONCAT("$I", $F167 + 2)))), $F167 + 2, ""))</f>
        <v/>
      </c>
      <c r="I168" s="8" t="inlineStr">
        <is>
          <t>Breaking News OTP</t>
        </is>
      </c>
      <c r="J168" s="8" t="n">
        <v>80</v>
      </c>
      <c r="K168" s="9" t="n">
        <v>45401</v>
      </c>
      <c r="L168" t="inlineStr">
        <is>
          <t>en es fr de it pt ja ko ru 汉语 漢語</t>
        </is>
      </c>
    </row>
    <row r="169" ht="57.75" customHeight="1" s="6">
      <c r="A169" s="1">
        <f t="array" ref="A169">INDIRECT(_xlfn.CONCAT("$I", $F169))</f>
        <v/>
      </c>
      <c r="B169" s="1">
        <f t="array" ref="B169">INDIRECT(_xlfn.CONCAT("$J", $F169))</f>
        <v/>
      </c>
      <c r="C169" s="1">
        <f t="array" ref="C169">INDIRECT(_xlfn.CONCAT("$K", $F169))</f>
        <v/>
      </c>
      <c r="D169" s="1" t="n"/>
      <c r="E169" s="1">
        <f t="array" ref="E169">INDIRECT(_xlfn.CONCAT("$L", $F169))</f>
        <v/>
      </c>
      <c r="F169" s="1">
        <f t="array" ref="F169">IF(NOT(OR(ISERROR(INDIRECT(_xlfn.CONCAT("$I", $F168 + 1))), ISBLANK(INDIRECT(_xlfn.CONCAT("$I", $F168 + 1))))), $F168 + 1, IF(NOT(ISBLANK(INDIRECT(_xlfn.CONCAT("$I", $F168 + 2)))), $F168 + 2, ""))</f>
        <v/>
      </c>
    </row>
    <row r="170" ht="57.75" customHeight="1" s="6">
      <c r="A170" s="1">
        <f t="array" ref="A170">INDIRECT(_xlfn.CONCAT("$I", $F170))</f>
        <v/>
      </c>
      <c r="B170" s="1">
        <f t="array" ref="B170">INDIRECT(_xlfn.CONCAT("$J", $F170))</f>
        <v/>
      </c>
      <c r="C170" s="1">
        <f t="array" ref="C170">INDIRECT(_xlfn.CONCAT("$K", $F170))</f>
        <v/>
      </c>
      <c r="D170" s="1" t="n"/>
      <c r="E170" s="1">
        <f t="array" ref="E170">INDIRECT(_xlfn.CONCAT("$L", $F170))</f>
        <v/>
      </c>
      <c r="F170" s="1">
        <f t="array" ref="F170">IF(NOT(OR(ISERROR(INDIRECT(_xlfn.CONCAT("$I", $F169 + 1))), ISBLANK(INDIRECT(_xlfn.CONCAT("$I", $F169 + 1))))), $F169 + 1, IF(NOT(ISBLANK(INDIRECT(_xlfn.CONCAT("$I", $F169 + 2)))), $F169 + 2, ""))</f>
        <v/>
      </c>
      <c r="I170" s="8" t="inlineStr">
        <is>
          <t>Breaking News Tokens TOTP</t>
        </is>
      </c>
      <c r="J170" s="8" t="n">
        <v>5</v>
      </c>
      <c r="K170" s="9" t="n">
        <v>45401</v>
      </c>
      <c r="L170" s="8" t="inlineStr">
        <is>
          <t>en es fr de it pt ja ko ru 汉语 漢語</t>
        </is>
      </c>
    </row>
    <row r="171" ht="68.25" customHeight="1" s="6">
      <c r="A171" s="1">
        <f t="array" ref="A171">INDIRECT(_xlfn.CONCAT("$I", $F171))</f>
        <v/>
      </c>
      <c r="B171" s="1">
        <f t="array" ref="B171">INDIRECT(_xlfn.CONCAT("$J", $F171))</f>
        <v/>
      </c>
      <c r="C171" s="1">
        <f t="array" ref="C171">INDIRECT(_xlfn.CONCAT("$K", $F171))</f>
        <v/>
      </c>
      <c r="D171" s="1" t="n"/>
      <c r="E171" s="1">
        <f t="array" ref="E171">INDIRECT(_xlfn.CONCAT("$L", $F171))</f>
        <v/>
      </c>
      <c r="F171" s="1">
        <f t="array" ref="F171">IF(NOT(OR(ISERROR(INDIRECT(_xlfn.CONCAT("$I", $F170 + 1))), ISBLANK(INDIRECT(_xlfn.CONCAT("$I", $F170 + 1))))), $F170 + 1, IF(NOT(ISBLANK(INDIRECT(_xlfn.CONCAT("$I", $F170 + 2)))), $F170 + 2, ""))</f>
        <v/>
      </c>
    </row>
    <row r="172" ht="68.25" customHeight="1" s="6">
      <c r="A172" s="1">
        <f t="array" ref="A172">INDIRECT(_xlfn.CONCAT("$I", $F172))</f>
        <v/>
      </c>
      <c r="B172" s="1">
        <f t="array" ref="B172">INDIRECT(_xlfn.CONCAT("$J", $F172))</f>
        <v/>
      </c>
      <c r="C172" s="1">
        <f t="array" ref="C172">INDIRECT(_xlfn.CONCAT("$K", $F172))</f>
        <v/>
      </c>
      <c r="D172" s="1" t="n"/>
      <c r="E172" s="1">
        <f t="array" ref="E172">INDIRECT(_xlfn.CONCAT("$L", $F172))</f>
        <v/>
      </c>
      <c r="F172" s="1">
        <f t="array" ref="F172">IF(NOT(OR(ISERROR(INDIRECT(_xlfn.CONCAT("$I", $F171 + 1))), ISBLANK(INDIRECT(_xlfn.CONCAT("$I", $F171 + 1))))), $F171 + 1, IF(NOT(ISBLANK(INDIRECT(_xlfn.CONCAT("$I", $F171 + 2)))), $F171 + 2, ""))</f>
        <v/>
      </c>
      <c r="I172" s="8" t="inlineStr">
        <is>
          <t>Outlaws of Thunder Junction Promos POTJ</t>
        </is>
      </c>
      <c r="J172" s="8" t="n">
        <v>160</v>
      </c>
      <c r="K172" s="9" t="n">
        <v>45401</v>
      </c>
      <c r="L172" s="8" t="inlineStr">
        <is>
          <t>en es fr de it pt ja ko ru 汉语 漢語</t>
        </is>
      </c>
    </row>
    <row r="173" ht="68.25" customHeight="1" s="6">
      <c r="A173" s="1">
        <f t="array" ref="A173">INDIRECT(_xlfn.CONCAT("$I", $F173))</f>
        <v/>
      </c>
      <c r="B173" s="1">
        <f t="array" ref="B173">INDIRECT(_xlfn.CONCAT("$J", $F173))</f>
        <v/>
      </c>
      <c r="C173" s="1">
        <f t="array" ref="C173">INDIRECT(_xlfn.CONCAT("$K", $F173))</f>
        <v/>
      </c>
      <c r="D173" s="1" t="n"/>
      <c r="E173" s="1">
        <f t="array" ref="E173">INDIRECT(_xlfn.CONCAT("$L", $F173))</f>
        <v/>
      </c>
      <c r="F173" s="1">
        <f t="array" ref="F173">IF(NOT(OR(ISERROR(INDIRECT(_xlfn.CONCAT("$I", $F172 + 1))), ISBLANK(INDIRECT(_xlfn.CONCAT("$I", $F172 + 1))))), $F172 + 1, IF(NOT(ISBLANK(INDIRECT(_xlfn.CONCAT("$I", $F172 + 2)))), $F172 + 2, ""))</f>
        <v/>
      </c>
    </row>
    <row r="174" ht="81" customHeight="1" s="6">
      <c r="A174" s="1">
        <f t="array" ref="A174">INDIRECT(_xlfn.CONCAT("$I", $F174))</f>
        <v/>
      </c>
      <c r="B174" s="1">
        <f t="array" ref="B174">INDIRECT(_xlfn.CONCAT("$J", $F174))</f>
        <v/>
      </c>
      <c r="C174" s="1">
        <f t="array" ref="C174">INDIRECT(_xlfn.CONCAT("$K", $F174))</f>
        <v/>
      </c>
      <c r="D174" s="1" t="n"/>
      <c r="E174" s="1">
        <f t="array" ref="E174">INDIRECT(_xlfn.CONCAT("$L", $F174))</f>
        <v/>
      </c>
      <c r="F174" s="1">
        <f t="array" ref="F174">IF(NOT(OR(ISERROR(INDIRECT(_xlfn.CONCAT("$I", $F173 + 1))), ISBLANK(INDIRECT(_xlfn.CONCAT("$I", $F173 + 1))))), $F173 + 1, IF(NOT(ISBLANK(INDIRECT(_xlfn.CONCAT("$I", $F173 + 2)))), $F173 + 2, ""))</f>
        <v/>
      </c>
      <c r="I174" s="8" t="inlineStr">
        <is>
          <t>Outlaws of Thunder Junction Tokens TOTJ</t>
        </is>
      </c>
      <c r="J174" s="8" t="n">
        <v>19</v>
      </c>
      <c r="K174" s="9" t="n">
        <v>45401</v>
      </c>
      <c r="L174" s="8" t="inlineStr">
        <is>
          <t>en es fr de it pt ja ko ru 汉语 漢語</t>
        </is>
      </c>
    </row>
    <row r="175" ht="68.25" customHeight="1" s="6">
      <c r="A175" s="1">
        <f t="array" ref="A175">INDIRECT(_xlfn.CONCAT("$I", $F175))</f>
        <v/>
      </c>
      <c r="B175" s="1">
        <f t="array" ref="B175">INDIRECT(_xlfn.CONCAT("$J", $F175))</f>
        <v/>
      </c>
      <c r="C175" s="1">
        <f t="array" ref="C175">INDIRECT(_xlfn.CONCAT("$K", $F175))</f>
        <v/>
      </c>
      <c r="D175" s="1" t="n"/>
      <c r="E175" s="1">
        <f t="array" ref="E175">INDIRECT(_xlfn.CONCAT("$L", $F175))</f>
        <v/>
      </c>
      <c r="F175" s="1">
        <f t="array" ref="F175">IF(NOT(OR(ISERROR(INDIRECT(_xlfn.CONCAT("$I", $F174 + 1))), ISBLANK(INDIRECT(_xlfn.CONCAT("$I", $F174 + 1))))), $F174 + 1, IF(NOT(ISBLANK(INDIRECT(_xlfn.CONCAT("$I", $F174 + 2)))), $F174 + 2, ""))</f>
        <v/>
      </c>
    </row>
    <row r="176" ht="81" customHeight="1" s="6">
      <c r="A176" s="1">
        <f t="array" ref="A176">INDIRECT(_xlfn.CONCAT("$I", $F176))</f>
        <v/>
      </c>
      <c r="B176" s="1">
        <f t="array" ref="B176">INDIRECT(_xlfn.CONCAT("$J", $F176))</f>
        <v/>
      </c>
      <c r="C176" s="1">
        <f t="array" ref="C176">INDIRECT(_xlfn.CONCAT("$K", $F176))</f>
        <v/>
      </c>
      <c r="D176" s="1" t="n"/>
      <c r="E176" s="1">
        <f t="array" ref="E176">INDIRECT(_xlfn.CONCAT("$L", $F176))</f>
        <v/>
      </c>
      <c r="F176" s="1">
        <f t="array" ref="F176">IF(NOT(OR(ISERROR(INDIRECT(_xlfn.CONCAT("$I", $F175 + 1))), ISBLANK(INDIRECT(_xlfn.CONCAT("$I", $F175 + 1))))), $F175 + 1, IF(NOT(ISBLANK(INDIRECT(_xlfn.CONCAT("$I", $F175 + 2)))), $F175 + 2, ""))</f>
        <v/>
      </c>
      <c r="I176" s="8" t="inlineStr">
        <is>
          <t>Alchemy: Outlaws of Thunder Junction YOTJ</t>
        </is>
      </c>
      <c r="J176" s="8" t="n">
        <v>30</v>
      </c>
      <c r="K176" s="9" t="n">
        <v>45419</v>
      </c>
      <c r="L176" s="8" t="inlineStr">
        <is>
          <t>en es fr de it pt ja ko ru 汉语 漢語</t>
        </is>
      </c>
    </row>
    <row r="177" ht="68.25" customHeight="1" s="6">
      <c r="A177" s="1">
        <f t="array" ref="A177">INDIRECT(_xlfn.CONCAT("$I", $F177))</f>
        <v/>
      </c>
      <c r="B177" s="1">
        <f t="array" ref="B177">INDIRECT(_xlfn.CONCAT("$J", $F177))</f>
        <v/>
      </c>
      <c r="C177" s="1">
        <f t="array" ref="C177">INDIRECT(_xlfn.CONCAT("$K", $F177))</f>
        <v/>
      </c>
      <c r="D177" s="1" t="n"/>
      <c r="E177" s="1">
        <f t="array" ref="E177">INDIRECT(_xlfn.CONCAT("$L", $F177))</f>
        <v/>
      </c>
      <c r="F177" s="1">
        <f t="array" ref="F177">IF(NOT(OR(ISERROR(INDIRECT(_xlfn.CONCAT("$I", $F176 + 1))), ISBLANK(INDIRECT(_xlfn.CONCAT("$I", $F176 + 1))))), $F176 + 1, IF(NOT(ISBLANK(INDIRECT(_xlfn.CONCAT("$I", $F176 + 2)))), $F176 + 2, ""))</f>
        <v/>
      </c>
    </row>
    <row r="178" ht="68.25" customHeight="1" s="6">
      <c r="A178" s="1">
        <f t="array" ref="A178">INDIRECT(_xlfn.CONCAT("$I", $F178))</f>
        <v/>
      </c>
      <c r="B178" s="1">
        <f t="array" ref="B178">INDIRECT(_xlfn.CONCAT("$J", $F178))</f>
        <v/>
      </c>
      <c r="C178" s="1">
        <f t="array" ref="C178">INDIRECT(_xlfn.CONCAT("$K", $F178))</f>
        <v/>
      </c>
      <c r="D178" s="1" t="n"/>
      <c r="E178" s="1">
        <f t="array" ref="E178">INDIRECT(_xlfn.CONCAT("$L", $F178))</f>
        <v/>
      </c>
      <c r="F178" s="1">
        <f t="array" ref="F178">IF(NOT(OR(ISERROR(INDIRECT(_xlfn.CONCAT("$I", $F177 + 1))), ISBLANK(INDIRECT(_xlfn.CONCAT("$I", $F177 + 1))))), $F177 + 1, IF(NOT(ISBLANK(INDIRECT(_xlfn.CONCAT("$I", $F177 + 2)))), $F177 + 2, ""))</f>
        <v/>
      </c>
      <c r="I178" s="8" t="inlineStr">
        <is>
          <t>Outlaws of Thunder Junction Art Series AOTJ</t>
        </is>
      </c>
      <c r="J178" s="8" t="n">
        <v>54</v>
      </c>
      <c r="K178" s="9" t="n">
        <v>45401</v>
      </c>
      <c r="L178" s="8" t="inlineStr">
        <is>
          <t>en es fr de it pt ja ko ru 汉语 漢語</t>
        </is>
      </c>
    </row>
    <row r="179" ht="68.25" customHeight="1" s="6">
      <c r="A179" s="1">
        <f t="array" ref="A179">INDIRECT(_xlfn.CONCAT("$I", $F179))</f>
        <v/>
      </c>
      <c r="B179" s="1">
        <f t="array" ref="B179">INDIRECT(_xlfn.CONCAT("$J", $F179))</f>
        <v/>
      </c>
      <c r="C179" s="1">
        <f t="array" ref="C179">INDIRECT(_xlfn.CONCAT("$K", $F179))</f>
        <v/>
      </c>
      <c r="D179" s="1" t="n"/>
      <c r="E179" s="1">
        <f t="array" ref="E179">INDIRECT(_xlfn.CONCAT("$L", $F179))</f>
        <v/>
      </c>
      <c r="F179" s="1">
        <f t="array" ref="F179">IF(NOT(OR(ISERROR(INDIRECT(_xlfn.CONCAT("$I", $F178 + 1))), ISBLANK(INDIRECT(_xlfn.CONCAT("$I", $F178 + 1))))), $F178 + 1, IF(NOT(ISBLANK(INDIRECT(_xlfn.CONCAT("$I", $F178 + 2)))), $F178 + 2, ""))</f>
        <v/>
      </c>
    </row>
    <row r="180" ht="94.5" customHeight="1" s="6">
      <c r="A180" s="1">
        <f t="array" ref="A180">INDIRECT(_xlfn.CONCAT("$I", $F180))</f>
        <v/>
      </c>
      <c r="B180" s="1">
        <f t="array" ref="B180">INDIRECT(_xlfn.CONCAT("$J", $F180))</f>
        <v/>
      </c>
      <c r="C180" s="1">
        <f t="array" ref="C180">INDIRECT(_xlfn.CONCAT("$K", $F180))</f>
        <v/>
      </c>
      <c r="D180" s="1" t="n"/>
      <c r="E180" s="1">
        <f t="array" ref="E180">INDIRECT(_xlfn.CONCAT("$L", $F180))</f>
        <v/>
      </c>
      <c r="F180" s="1">
        <f t="array" ref="F180">IF(NOT(OR(ISERROR(INDIRECT(_xlfn.CONCAT("$I", $F179 + 1))), ISBLANK(INDIRECT(_xlfn.CONCAT("$I", $F179 + 1))))), $F179 + 1, IF(NOT(ISBLANK(INDIRECT(_xlfn.CONCAT("$I", $F179 + 2)))), $F179 + 2, ""))</f>
        <v/>
      </c>
      <c r="I180" s="8" t="inlineStr">
        <is>
          <t>The Big Score BIG</t>
        </is>
      </c>
      <c r="J180" s="8" t="n">
        <v>95</v>
      </c>
      <c r="K180" s="9" t="n">
        <v>45401</v>
      </c>
      <c r="L180" t="inlineStr">
        <is>
          <t>en es fr de it pt ja ko ru 汉语 漢語</t>
        </is>
      </c>
    </row>
    <row r="181" ht="81" customHeight="1" s="6">
      <c r="A181" s="1">
        <f t="array" ref="A181">INDIRECT(_xlfn.CONCAT("$I", $F181))</f>
        <v/>
      </c>
      <c r="B181" s="1">
        <f t="array" ref="B181">INDIRECT(_xlfn.CONCAT("$J", $F181))</f>
        <v/>
      </c>
      <c r="C181" s="1">
        <f t="array" ref="C181">INDIRECT(_xlfn.CONCAT("$K", $F181))</f>
        <v/>
      </c>
      <c r="D181" s="1" t="n"/>
      <c r="E181" s="1">
        <f t="array" ref="E181">INDIRECT(_xlfn.CONCAT("$L", $F181))</f>
        <v/>
      </c>
      <c r="F181" s="1">
        <f t="array" ref="F181">IF(NOT(OR(ISERROR(INDIRECT(_xlfn.CONCAT("$I", $F180 + 1))), ISBLANK(INDIRECT(_xlfn.CONCAT("$I", $F180 + 1))))), $F180 + 1, IF(NOT(ISBLANK(INDIRECT(_xlfn.CONCAT("$I", $F180 + 2)))), $F180 + 2, ""))</f>
        <v/>
      </c>
    </row>
    <row r="182" ht="94.5" customHeight="1" s="6">
      <c r="A182" s="1">
        <f t="array" ref="A182">INDIRECT(_xlfn.CONCAT("$I", $F182))</f>
        <v/>
      </c>
      <c r="B182" s="1">
        <f t="array" ref="B182">INDIRECT(_xlfn.CONCAT("$J", $F182))</f>
        <v/>
      </c>
      <c r="C182" s="1">
        <f t="array" ref="C182">INDIRECT(_xlfn.CONCAT("$K", $F182))</f>
        <v/>
      </c>
      <c r="D182" s="1" t="n"/>
      <c r="E182" s="1">
        <f t="array" ref="E182">INDIRECT(_xlfn.CONCAT("$L", $F182))</f>
        <v/>
      </c>
      <c r="F182" s="1">
        <f t="array" ref="F182">IF(NOT(OR(ISERROR(INDIRECT(_xlfn.CONCAT("$I", $F181 + 1))), ISBLANK(INDIRECT(_xlfn.CONCAT("$I", $F181 + 1))))), $F181 + 1, IF(NOT(ISBLANK(INDIRECT(_xlfn.CONCAT("$I", $F181 + 2)))), $F181 + 2, ""))</f>
        <v/>
      </c>
      <c r="I182" s="8" t="inlineStr">
        <is>
          <t>The Big Score Promos PBIG</t>
        </is>
      </c>
      <c r="J182" s="8" t="n">
        <v>5</v>
      </c>
      <c r="K182" s="9" t="n">
        <v>45870</v>
      </c>
      <c r="L182" s="8" t="inlineStr">
        <is>
          <t>en es fr de it pt ja ko ru 汉语 漢語</t>
        </is>
      </c>
    </row>
    <row r="183" ht="57.75" customHeight="1" s="6">
      <c r="A183" s="1">
        <f t="array" ref="A183">INDIRECT(_xlfn.CONCAT("$I", $F183))</f>
        <v/>
      </c>
      <c r="B183" s="1">
        <f t="array" ref="B183">INDIRECT(_xlfn.CONCAT("$J", $F183))</f>
        <v/>
      </c>
      <c r="C183" s="1">
        <f t="array" ref="C183">INDIRECT(_xlfn.CONCAT("$K", $F183))</f>
        <v/>
      </c>
      <c r="D183" s="1" t="n"/>
      <c r="E183" s="1">
        <f t="array" ref="E183">INDIRECT(_xlfn.CONCAT("$L", $F183))</f>
        <v/>
      </c>
      <c r="F183" s="1">
        <f t="array" ref="F183">IF(NOT(OR(ISERROR(INDIRECT(_xlfn.CONCAT("$I", $F182 + 1))), ISBLANK(INDIRECT(_xlfn.CONCAT("$I", $F182 + 1))))), $F182 + 1, IF(NOT(ISBLANK(INDIRECT(_xlfn.CONCAT("$I", $F182 + 2)))), $F182 + 2, ""))</f>
        <v/>
      </c>
    </row>
    <row r="184" ht="57.75" customHeight="1" s="6">
      <c r="A184" s="1">
        <f t="array" ref="A184">INDIRECT(_xlfn.CONCAT("$I", $F184))</f>
        <v/>
      </c>
      <c r="B184" s="1">
        <f t="array" ref="B184">INDIRECT(_xlfn.CONCAT("$J", $F184))</f>
        <v/>
      </c>
      <c r="C184" s="1">
        <f t="array" ref="C184">INDIRECT(_xlfn.CONCAT("$K", $F184))</f>
        <v/>
      </c>
      <c r="D184" s="1" t="n"/>
      <c r="E184" s="1">
        <f t="array" ref="E184">INDIRECT(_xlfn.CONCAT("$L", $F184))</f>
        <v/>
      </c>
      <c r="F184" s="1">
        <f t="array" ref="F184">IF(NOT(OR(ISERROR(INDIRECT(_xlfn.CONCAT("$I", $F183 + 1))), ISBLANK(INDIRECT(_xlfn.CONCAT("$I", $F183 + 1))))), $F183 + 1, IF(NOT(ISBLANK(INDIRECT(_xlfn.CONCAT("$I", $F183 + 2)))), $F183 + 2, ""))</f>
        <v/>
      </c>
      <c r="I184" s="8" t="inlineStr">
        <is>
          <t>The Big Score Tokens TBIG</t>
        </is>
      </c>
      <c r="J184" s="8" t="n">
        <v>7</v>
      </c>
      <c r="K184" s="9" t="n">
        <v>45401</v>
      </c>
      <c r="L184" s="8" t="inlineStr">
        <is>
          <t>en es fr de it pt ja ko ru 汉语 漢語</t>
        </is>
      </c>
    </row>
    <row r="185" ht="57.75" customHeight="1" s="6">
      <c r="A185" s="1">
        <f t="array" ref="A185">INDIRECT(_xlfn.CONCAT("$I", $F185))</f>
        <v/>
      </c>
      <c r="B185" s="1">
        <f t="array" ref="B185">INDIRECT(_xlfn.CONCAT("$J", $F185))</f>
        <v/>
      </c>
      <c r="C185" s="1">
        <f t="array" ref="C185">INDIRECT(_xlfn.CONCAT("$K", $F185))</f>
        <v/>
      </c>
      <c r="D185" s="1" t="n"/>
      <c r="E185" s="1">
        <f t="array" ref="E185">INDIRECT(_xlfn.CONCAT("$L", $F185))</f>
        <v/>
      </c>
      <c r="F185" s="1">
        <f t="array" ref="F185">IF(NOT(OR(ISERROR(INDIRECT(_xlfn.CONCAT("$I", $F184 + 1))), ISBLANK(INDIRECT(_xlfn.CONCAT("$I", $F184 + 1))))), $F184 + 1, IF(NOT(ISBLANK(INDIRECT(_xlfn.CONCAT("$I", $F184 + 2)))), $F184 + 2, ""))</f>
        <v/>
      </c>
    </row>
    <row r="186" ht="68.25" customHeight="1" s="6">
      <c r="A186" s="1">
        <f t="array" ref="A186">INDIRECT(_xlfn.CONCAT("$I", $F186))</f>
        <v/>
      </c>
      <c r="B186" s="1">
        <f t="array" ref="B186">INDIRECT(_xlfn.CONCAT("$J", $F186))</f>
        <v/>
      </c>
      <c r="C186" s="1">
        <f t="array" ref="C186">INDIRECT(_xlfn.CONCAT("$K", $F186))</f>
        <v/>
      </c>
      <c r="D186" s="1" t="n"/>
      <c r="E186" s="1">
        <f t="array" ref="E186">INDIRECT(_xlfn.CONCAT("$L", $F186))</f>
        <v/>
      </c>
      <c r="F186" s="1">
        <f t="array" ref="F186">IF(NOT(OR(ISERROR(INDIRECT(_xlfn.CONCAT("$I", $F185 + 1))), ISBLANK(INDIRECT(_xlfn.CONCAT("$I", $F185 + 1))))), $F185 + 1, IF(NOT(ISBLANK(INDIRECT(_xlfn.CONCAT("$I", $F185 + 2)))), $F185 + 2, ""))</f>
        <v/>
      </c>
      <c r="I186" s="8" t="inlineStr">
        <is>
          <t>Outlaws of Thunder Junction Commander OTC</t>
        </is>
      </c>
      <c r="J186" s="8" t="n">
        <v>342</v>
      </c>
      <c r="K186" s="9" t="n">
        <v>45401</v>
      </c>
      <c r="L186" t="inlineStr">
        <is>
          <t>en es fr de it pt ja ko ru 汉语 漢語</t>
        </is>
      </c>
    </row>
    <row r="187" ht="68.25" customHeight="1" s="6">
      <c r="A187" s="1">
        <f t="array" ref="A187">INDIRECT(_xlfn.CONCAT("$I", $F187))</f>
        <v/>
      </c>
      <c r="B187" s="1">
        <f t="array" ref="B187">INDIRECT(_xlfn.CONCAT("$J", $F187))</f>
        <v/>
      </c>
      <c r="C187" s="1">
        <f t="array" ref="C187">INDIRECT(_xlfn.CONCAT("$K", $F187))</f>
        <v/>
      </c>
      <c r="D187" s="1" t="n"/>
      <c r="E187" s="1">
        <f t="array" ref="E187">INDIRECT(_xlfn.CONCAT("$L", $F187))</f>
        <v/>
      </c>
      <c r="F187" s="1">
        <f t="array" ref="F187">IF(NOT(OR(ISERROR(INDIRECT(_xlfn.CONCAT("$I", $F186 + 1))), ISBLANK(INDIRECT(_xlfn.CONCAT("$I", $F186 + 1))))), $F186 + 1, IF(NOT(ISBLANK(INDIRECT(_xlfn.CONCAT("$I", $F186 + 2)))), $F186 + 2, ""))</f>
        <v/>
      </c>
    </row>
    <row r="188" ht="94.5" customHeight="1" s="6">
      <c r="A188" s="1">
        <f t="array" ref="A188">INDIRECT(_xlfn.CONCAT("$I", $F188))</f>
        <v/>
      </c>
      <c r="B188" s="1">
        <f t="array" ref="B188">INDIRECT(_xlfn.CONCAT("$J", $F188))</f>
        <v/>
      </c>
      <c r="C188" s="1">
        <f t="array" ref="C188">INDIRECT(_xlfn.CONCAT("$K", $F188))</f>
        <v/>
      </c>
      <c r="D188" s="1" t="n"/>
      <c r="E188" s="1">
        <f t="array" ref="E188">INDIRECT(_xlfn.CONCAT("$L", $F188))</f>
        <v/>
      </c>
      <c r="F188" s="1">
        <f t="array" ref="F188">IF(NOT(OR(ISERROR(INDIRECT(_xlfn.CONCAT("$I", $F187 + 1))), ISBLANK(INDIRECT(_xlfn.CONCAT("$I", $F187 + 1))))), $F187 + 1, IF(NOT(ISBLANK(INDIRECT(_xlfn.CONCAT("$I", $F187 + 2)))), $F187 + 2, ""))</f>
        <v/>
      </c>
      <c r="I188" s="8" t="inlineStr">
        <is>
          <t>Outlaws of Thunder Junction Commander Tokens TOTC</t>
        </is>
      </c>
      <c r="J188" s="8" t="n">
        <v>41</v>
      </c>
      <c r="K188" s="9" t="n">
        <v>45401</v>
      </c>
      <c r="L188" s="8" t="inlineStr">
        <is>
          <t>en es fr de it pt ja ko ru 汉语 漢語</t>
        </is>
      </c>
    </row>
    <row r="189" ht="68.25" customHeight="1" s="6">
      <c r="A189" s="1">
        <f t="array" ref="A189">INDIRECT(_xlfn.CONCAT("$I", $F189))</f>
        <v/>
      </c>
      <c r="B189" s="1">
        <f t="array" ref="B189">INDIRECT(_xlfn.CONCAT("$J", $F189))</f>
        <v/>
      </c>
      <c r="C189" s="1">
        <f t="array" ref="C189">INDIRECT(_xlfn.CONCAT("$K", $F189))</f>
        <v/>
      </c>
      <c r="D189" s="1" t="n"/>
      <c r="E189" s="1">
        <f t="array" ref="E189">INDIRECT(_xlfn.CONCAT("$L", $F189))</f>
        <v/>
      </c>
      <c r="F189" s="1">
        <f t="array" ref="F189">IF(NOT(OR(ISERROR(INDIRECT(_xlfn.CONCAT("$I", $F188 + 1))), ISBLANK(INDIRECT(_xlfn.CONCAT("$I", $F188 + 1))))), $F188 + 1, IF(NOT(ISBLANK(INDIRECT(_xlfn.CONCAT("$I", $F188 + 2)))), $F188 + 2, ""))</f>
        <v/>
      </c>
    </row>
    <row r="190" ht="81" customHeight="1" s="6">
      <c r="A190" s="1">
        <f t="array" ref="A190">INDIRECT(_xlfn.CONCAT("$I", $F190))</f>
        <v/>
      </c>
      <c r="B190" s="1">
        <f t="array" ref="B190">INDIRECT(_xlfn.CONCAT("$J", $F190))</f>
        <v/>
      </c>
      <c r="C190" s="1">
        <f t="array" ref="C190">INDIRECT(_xlfn.CONCAT("$K", $F190))</f>
        <v/>
      </c>
      <c r="D190" s="1" t="n"/>
      <c r="E190" s="1">
        <f t="array" ref="E190">INDIRECT(_xlfn.CONCAT("$L", $F190))</f>
        <v/>
      </c>
      <c r="F190" s="1">
        <f t="array" ref="F190">IF(NOT(OR(ISERROR(INDIRECT(_xlfn.CONCAT("$I", $F189 + 1))), ISBLANK(INDIRECT(_xlfn.CONCAT("$I", $F189 + 1))))), $F189 + 1, IF(NOT(ISBLANK(INDIRECT(_xlfn.CONCAT("$I", $F189 + 2)))), $F189 + 2, ""))</f>
        <v/>
      </c>
      <c r="I190" s="8" t="inlineStr">
        <is>
          <t>Fallout PIP</t>
        </is>
      </c>
      <c r="J190" s="8" t="n">
        <v>1068</v>
      </c>
      <c r="K190" s="9" t="n">
        <v>45359</v>
      </c>
      <c r="L190" t="inlineStr">
        <is>
          <t>en es fr de it pt ja ko ru 汉语 漢語</t>
        </is>
      </c>
    </row>
    <row r="191" ht="68.25" customHeight="1" s="6">
      <c r="A191" s="1">
        <f t="array" ref="A191">INDIRECT(_xlfn.CONCAT("$I", $F191))</f>
        <v/>
      </c>
      <c r="B191" s="1">
        <f t="array" ref="B191">INDIRECT(_xlfn.CONCAT("$J", $F191))</f>
        <v/>
      </c>
      <c r="C191" s="1">
        <f t="array" ref="C191">INDIRECT(_xlfn.CONCAT("$K", $F191))</f>
        <v/>
      </c>
      <c r="D191" s="1" t="n"/>
      <c r="E191" s="1">
        <f t="array" ref="E191">INDIRECT(_xlfn.CONCAT("$L", $F191))</f>
        <v/>
      </c>
      <c r="F191" s="1">
        <f t="array" ref="F191">IF(NOT(OR(ISERROR(INDIRECT(_xlfn.CONCAT("$I", $F190 + 1))), ISBLANK(INDIRECT(_xlfn.CONCAT("$I", $F190 + 1))))), $F190 + 1, IF(NOT(ISBLANK(INDIRECT(_xlfn.CONCAT("$I", $F190 + 2)))), $F190 + 2, ""))</f>
        <v/>
      </c>
    </row>
    <row r="192" ht="68.25" customHeight="1" s="6">
      <c r="A192" s="1">
        <f t="array" ref="A192">INDIRECT(_xlfn.CONCAT("$I", $F192))</f>
        <v/>
      </c>
      <c r="B192" s="1">
        <f t="array" ref="B192">INDIRECT(_xlfn.CONCAT("$J", $F192))</f>
        <v/>
      </c>
      <c r="C192" s="1">
        <f t="array" ref="C192">INDIRECT(_xlfn.CONCAT("$K", $F192))</f>
        <v/>
      </c>
      <c r="D192" s="1" t="n"/>
      <c r="E192" s="1">
        <f t="array" ref="E192">INDIRECT(_xlfn.CONCAT("$L", $F192))</f>
        <v/>
      </c>
      <c r="F192" s="1">
        <f t="array" ref="F192">IF(NOT(OR(ISERROR(INDIRECT(_xlfn.CONCAT("$I", $F191 + 1))), ISBLANK(INDIRECT(_xlfn.CONCAT("$I", $F191 + 1))))), $F191 + 1, IF(NOT(ISBLANK(INDIRECT(_xlfn.CONCAT("$I", $F191 + 2)))), $F191 + 2, ""))</f>
        <v/>
      </c>
      <c r="I192" s="8" t="inlineStr">
        <is>
          <t>Fallout Tokens TPIP</t>
        </is>
      </c>
      <c r="J192" s="8" t="n">
        <v>22</v>
      </c>
      <c r="K192" s="9" t="n">
        <v>45359</v>
      </c>
      <c r="L192" s="8" t="inlineStr">
        <is>
          <t>en es fr de it pt ja ko ru 汉语 漢語</t>
        </is>
      </c>
    </row>
    <row r="193" ht="81" customHeight="1" s="6">
      <c r="A193" s="1">
        <f t="array" ref="A193">INDIRECT(_xlfn.CONCAT("$I", $F193))</f>
        <v/>
      </c>
      <c r="B193" s="1">
        <f t="array" ref="B193">INDIRECT(_xlfn.CONCAT("$J", $F193))</f>
        <v/>
      </c>
      <c r="C193" s="1">
        <f t="array" ref="C193">INDIRECT(_xlfn.CONCAT("$K", $F193))</f>
        <v/>
      </c>
      <c r="D193" s="1" t="n"/>
      <c r="E193" s="1">
        <f t="array" ref="E193">INDIRECT(_xlfn.CONCAT("$L", $F193))</f>
        <v/>
      </c>
      <c r="F193" s="1">
        <f t="array" ref="F193">IF(NOT(OR(ISERROR(INDIRECT(_xlfn.CONCAT("$I", $F192 + 1))), ISBLANK(INDIRECT(_xlfn.CONCAT("$I", $F192 + 1))))), $F192 + 1, IF(NOT(ISBLANK(INDIRECT(_xlfn.CONCAT("$I", $F192 + 2)))), $F192 + 2, ""))</f>
        <v/>
      </c>
    </row>
    <row r="194" ht="68.25" customHeight="1" s="6">
      <c r="A194" s="1">
        <f t="array" ref="A194">INDIRECT(_xlfn.CONCAT("$I", $F194))</f>
        <v/>
      </c>
      <c r="B194" s="1">
        <f t="array" ref="B194">INDIRECT(_xlfn.CONCAT("$J", $F194))</f>
        <v/>
      </c>
      <c r="C194" s="1">
        <f t="array" ref="C194">INDIRECT(_xlfn.CONCAT("$K", $F194))</f>
        <v/>
      </c>
      <c r="D194" s="1" t="n"/>
      <c r="E194" s="1">
        <f t="array" ref="E194">INDIRECT(_xlfn.CONCAT("$L", $F194))</f>
        <v/>
      </c>
      <c r="F194" s="1">
        <f t="array" ref="F194">IF(NOT(OR(ISERROR(INDIRECT(_xlfn.CONCAT("$I", $F193 + 1))), ISBLANK(INDIRECT(_xlfn.CONCAT("$I", $F193 + 1))))), $F193 + 1, IF(NOT(ISBLANK(INDIRECT(_xlfn.CONCAT("$I", $F193 + 2)))), $F193 + 2, ""))</f>
        <v/>
      </c>
      <c r="I194" s="8" t="inlineStr">
        <is>
          <t>Murders at Karlov Manor MKM</t>
        </is>
      </c>
      <c r="J194" s="8" t="n">
        <v>451</v>
      </c>
      <c r="K194" s="9" t="n">
        <v>45331</v>
      </c>
      <c r="L194" t="inlineStr">
        <is>
          <t>en es fr de it pt ja ko ru 汉语 漢語</t>
        </is>
      </c>
    </row>
    <row r="195" ht="57.75" customHeight="1" s="6">
      <c r="A195" s="1">
        <f t="array" ref="A195">INDIRECT(_xlfn.CONCAT("$I", $F195))</f>
        <v/>
      </c>
      <c r="B195" s="1">
        <f t="array" ref="B195">INDIRECT(_xlfn.CONCAT("$J", $F195))</f>
        <v/>
      </c>
      <c r="C195" s="1">
        <f t="array" ref="C195">INDIRECT(_xlfn.CONCAT("$K", $F195))</f>
        <v/>
      </c>
      <c r="D195" s="1" t="n"/>
      <c r="E195" s="1">
        <f t="array" ref="E195">INDIRECT(_xlfn.CONCAT("$L", $F195))</f>
        <v/>
      </c>
      <c r="F195" s="1">
        <f t="array" ref="F195">IF(NOT(OR(ISERROR(INDIRECT(_xlfn.CONCAT("$I", $F194 + 1))), ISBLANK(INDIRECT(_xlfn.CONCAT("$I", $F194 + 1))))), $F194 + 1, IF(NOT(ISBLANK(INDIRECT(_xlfn.CONCAT("$I", $F194 + 2)))), $F194 + 2, ""))</f>
        <v/>
      </c>
    </row>
    <row r="196" ht="57.75" customHeight="1" s="6">
      <c r="A196" s="1">
        <f t="array" ref="A196">INDIRECT(_xlfn.CONCAT("$I", $F196))</f>
        <v/>
      </c>
      <c r="B196" s="1">
        <f t="array" ref="B196">INDIRECT(_xlfn.CONCAT("$J", $F196))</f>
        <v/>
      </c>
      <c r="C196" s="1">
        <f t="array" ref="C196">INDIRECT(_xlfn.CONCAT("$K", $F196))</f>
        <v/>
      </c>
      <c r="D196" s="1" t="n"/>
      <c r="E196" s="1">
        <f t="array" ref="E196">INDIRECT(_xlfn.CONCAT("$L", $F196))</f>
        <v/>
      </c>
      <c r="F196" s="1">
        <f t="array" ref="F196">IF(NOT(OR(ISERROR(INDIRECT(_xlfn.CONCAT("$I", $F195 + 1))), ISBLANK(INDIRECT(_xlfn.CONCAT("$I", $F195 + 1))))), $F195 + 1, IF(NOT(ISBLANK(INDIRECT(_xlfn.CONCAT("$I", $F195 + 2)))), $F195 + 2, ""))</f>
        <v/>
      </c>
      <c r="I196" s="8" t="inlineStr">
        <is>
          <t>Murders at Karlov Manor Promos PMKM</t>
        </is>
      </c>
      <c r="J196" s="8" t="n">
        <v>180</v>
      </c>
      <c r="K196" s="9" t="n">
        <v>45331</v>
      </c>
      <c r="L196" s="8" t="inlineStr">
        <is>
          <t>en es fr de it pt ja ko ru 汉语 漢語</t>
        </is>
      </c>
    </row>
    <row r="197" ht="68.25" customHeight="1" s="6">
      <c r="A197" s="1">
        <f t="array" ref="A197">INDIRECT(_xlfn.CONCAT("$I", $F197))</f>
        <v/>
      </c>
      <c r="B197" s="1">
        <f t="array" ref="B197">INDIRECT(_xlfn.CONCAT("$J", $F197))</f>
        <v/>
      </c>
      <c r="C197" s="1">
        <f t="array" ref="C197">INDIRECT(_xlfn.CONCAT("$K", $F197))</f>
        <v/>
      </c>
      <c r="D197" s="1" t="n"/>
      <c r="E197" s="1">
        <f t="array" ref="E197">INDIRECT(_xlfn.CONCAT("$L", $F197))</f>
        <v/>
      </c>
      <c r="F197" s="1">
        <f t="array" ref="F197">IF(NOT(OR(ISERROR(INDIRECT(_xlfn.CONCAT("$I", $F196 + 1))), ISBLANK(INDIRECT(_xlfn.CONCAT("$I", $F196 + 1))))), $F196 + 1, IF(NOT(ISBLANK(INDIRECT(_xlfn.CONCAT("$I", $F196 + 2)))), $F196 + 2, ""))</f>
        <v/>
      </c>
    </row>
    <row r="198" ht="57.75" customHeight="1" s="6">
      <c r="A198" s="1">
        <f t="array" ref="A198">INDIRECT(_xlfn.CONCAT("$I", $F198))</f>
        <v/>
      </c>
      <c r="B198" s="1">
        <f t="array" ref="B198">INDIRECT(_xlfn.CONCAT("$J", $F198))</f>
        <v/>
      </c>
      <c r="C198" s="1">
        <f t="array" ref="C198">INDIRECT(_xlfn.CONCAT("$K", $F198))</f>
        <v/>
      </c>
      <c r="D198" s="1" t="n"/>
      <c r="E198" s="1">
        <f t="array" ref="E198">INDIRECT(_xlfn.CONCAT("$L", $F198))</f>
        <v/>
      </c>
      <c r="F198" s="1">
        <f t="array" ref="F198">IF(NOT(OR(ISERROR(INDIRECT(_xlfn.CONCAT("$I", $F197 + 1))), ISBLANK(INDIRECT(_xlfn.CONCAT("$I", $F197 + 1))))), $F197 + 1, IF(NOT(ISBLANK(INDIRECT(_xlfn.CONCAT("$I", $F197 + 2)))), $F197 + 2, ""))</f>
        <v/>
      </c>
      <c r="I198" s="8" t="inlineStr">
        <is>
          <t>Murders at Karlov Manor Tokens TMKM</t>
        </is>
      </c>
      <c r="J198" s="8" t="n">
        <v>22</v>
      </c>
      <c r="K198" s="9" t="n">
        <v>45331</v>
      </c>
      <c r="L198" s="8" t="inlineStr">
        <is>
          <t>en es fr de it pt ja ko ru 汉语 漢語</t>
        </is>
      </c>
    </row>
    <row r="199" ht="57.75" customHeight="1" s="6">
      <c r="A199" s="1">
        <f t="array" ref="A199">INDIRECT(_xlfn.CONCAT("$I", $F199))</f>
        <v/>
      </c>
      <c r="B199" s="1">
        <f t="array" ref="B199">INDIRECT(_xlfn.CONCAT("$J", $F199))</f>
        <v/>
      </c>
      <c r="C199" s="1">
        <f t="array" ref="C199">INDIRECT(_xlfn.CONCAT("$K", $F199))</f>
        <v/>
      </c>
      <c r="D199" s="1" t="n"/>
      <c r="E199" s="1">
        <f t="array" ref="E199">INDIRECT(_xlfn.CONCAT("$L", $F199))</f>
        <v/>
      </c>
      <c r="F199" s="1">
        <f t="array" ref="F199">IF(NOT(OR(ISERROR(INDIRECT(_xlfn.CONCAT("$I", $F198 + 1))), ISBLANK(INDIRECT(_xlfn.CONCAT("$I", $F198 + 1))))), $F198 + 1, IF(NOT(ISBLANK(INDIRECT(_xlfn.CONCAT("$I", $F198 + 2)))), $F198 + 2, ""))</f>
        <v/>
      </c>
    </row>
    <row r="200" ht="68.25" customHeight="1" s="6">
      <c r="A200" s="1">
        <f t="array" ref="A200">INDIRECT(_xlfn.CONCAT("$I", $F200))</f>
        <v/>
      </c>
      <c r="B200" s="1">
        <f t="array" ref="B200">INDIRECT(_xlfn.CONCAT("$J", $F200))</f>
        <v/>
      </c>
      <c r="C200" s="1">
        <f t="array" ref="C200">INDIRECT(_xlfn.CONCAT("$K", $F200))</f>
        <v/>
      </c>
      <c r="D200" s="1" t="n"/>
      <c r="E200" s="1">
        <f t="array" ref="E200">INDIRECT(_xlfn.CONCAT("$L", $F200))</f>
        <v/>
      </c>
      <c r="F200" s="1">
        <f t="array" ref="F200">IF(NOT(OR(ISERROR(INDIRECT(_xlfn.CONCAT("$I", $F199 + 1))), ISBLANK(INDIRECT(_xlfn.CONCAT("$I", $F199 + 1))))), $F199 + 1, IF(NOT(ISBLANK(INDIRECT(_xlfn.CONCAT("$I", $F199 + 2)))), $F199 + 2, ""))</f>
        <v/>
      </c>
      <c r="I200" s="8" t="inlineStr">
        <is>
          <t>Alchemy: Murders at Karlov Manor YMKM</t>
        </is>
      </c>
      <c r="J200" s="8" t="n">
        <v>30</v>
      </c>
      <c r="K200" s="9" t="n">
        <v>45356</v>
      </c>
      <c r="L200" s="8" t="inlineStr">
        <is>
          <t>en es fr de it pt ja ko ru 汉语 漢語</t>
        </is>
      </c>
    </row>
    <row r="201" ht="68.25" customHeight="1" s="6">
      <c r="A201" s="1">
        <f t="array" ref="A201">INDIRECT(_xlfn.CONCAT("$I", $F201))</f>
        <v/>
      </c>
      <c r="B201" s="1">
        <f t="array" ref="B201">INDIRECT(_xlfn.CONCAT("$J", $F201))</f>
        <v/>
      </c>
      <c r="C201" s="1">
        <f t="array" ref="C201">INDIRECT(_xlfn.CONCAT("$K", $F201))</f>
        <v/>
      </c>
      <c r="D201" s="1" t="n"/>
      <c r="E201" s="1">
        <f t="array" ref="E201">INDIRECT(_xlfn.CONCAT("$L", $F201))</f>
        <v/>
      </c>
      <c r="F201" s="1">
        <f t="array" ref="F201">IF(NOT(OR(ISERROR(INDIRECT(_xlfn.CONCAT("$I", $F200 + 1))), ISBLANK(INDIRECT(_xlfn.CONCAT("$I", $F200 + 1))))), $F200 + 1, IF(NOT(ISBLANK(INDIRECT(_xlfn.CONCAT("$I", $F200 + 2)))), $F200 + 2, ""))</f>
        <v/>
      </c>
    </row>
    <row r="202" ht="57.75" customHeight="1" s="6">
      <c r="A202" s="1">
        <f t="array" ref="A202">INDIRECT(_xlfn.CONCAT("$I", $F202))</f>
        <v/>
      </c>
      <c r="B202" s="1">
        <f t="array" ref="B202">INDIRECT(_xlfn.CONCAT("$J", $F202))</f>
        <v/>
      </c>
      <c r="C202" s="1">
        <f t="array" ref="C202">INDIRECT(_xlfn.CONCAT("$K", $F202))</f>
        <v/>
      </c>
      <c r="D202" s="1" t="n"/>
      <c r="E202" s="1">
        <f t="array" ref="E202">INDIRECT(_xlfn.CONCAT("$L", $F202))</f>
        <v/>
      </c>
      <c r="F202" s="1">
        <f t="array" ref="F202">IF(NOT(OR(ISERROR(INDIRECT(_xlfn.CONCAT("$I", $F201 + 1))), ISBLANK(INDIRECT(_xlfn.CONCAT("$I", $F201 + 1))))), $F201 + 1, IF(NOT(ISBLANK(INDIRECT(_xlfn.CONCAT("$I", $F201 + 2)))), $F201 + 2, ""))</f>
        <v/>
      </c>
      <c r="I202" s="8" t="inlineStr">
        <is>
          <t>Ravnica: Clue Edition CLU</t>
        </is>
      </c>
      <c r="J202" s="8" t="n">
        <v>284</v>
      </c>
      <c r="K202" s="9" t="n">
        <v>45345</v>
      </c>
      <c r="L202" s="8" t="inlineStr">
        <is>
          <t>en es fr de it pt ja ko ru 汉语 漢語</t>
        </is>
      </c>
    </row>
    <row r="203" ht="68.25" customHeight="1" s="6">
      <c r="A203" s="1">
        <f t="array" ref="A203">INDIRECT(_xlfn.CONCAT("$I", $F203))</f>
        <v/>
      </c>
      <c r="B203" s="1">
        <f t="array" ref="B203">INDIRECT(_xlfn.CONCAT("$J", $F203))</f>
        <v/>
      </c>
      <c r="C203" s="1">
        <f t="array" ref="C203">INDIRECT(_xlfn.CONCAT("$K", $F203))</f>
        <v/>
      </c>
      <c r="D203" s="1" t="n"/>
      <c r="E203" s="1">
        <f t="array" ref="E203">INDIRECT(_xlfn.CONCAT("$L", $F203))</f>
        <v/>
      </c>
      <c r="F203" s="1">
        <f t="array" ref="F203">IF(NOT(OR(ISERROR(INDIRECT(_xlfn.CONCAT("$I", $F202 + 1))), ISBLANK(INDIRECT(_xlfn.CONCAT("$I", $F202 + 1))))), $F202 + 1, IF(NOT(ISBLANK(INDIRECT(_xlfn.CONCAT("$I", $F202 + 2)))), $F202 + 2, ""))</f>
        <v/>
      </c>
    </row>
    <row r="204" ht="81" customHeight="1" s="6">
      <c r="A204" s="1">
        <f t="array" ref="A204">INDIRECT(_xlfn.CONCAT("$I", $F204))</f>
        <v/>
      </c>
      <c r="B204" s="1">
        <f t="array" ref="B204">INDIRECT(_xlfn.CONCAT("$J", $F204))</f>
        <v/>
      </c>
      <c r="C204" s="1">
        <f t="array" ref="C204">INDIRECT(_xlfn.CONCAT("$K", $F204))</f>
        <v/>
      </c>
      <c r="D204" s="1" t="n"/>
      <c r="E204" s="1">
        <f t="array" ref="E204">INDIRECT(_xlfn.CONCAT("$L", $F204))</f>
        <v/>
      </c>
      <c r="F204" s="1">
        <f t="array" ref="F204">IF(NOT(OR(ISERROR(INDIRECT(_xlfn.CONCAT("$I", $F203 + 1))), ISBLANK(INDIRECT(_xlfn.CONCAT("$I", $F203 + 1))))), $F203 + 1, IF(NOT(ISBLANK(INDIRECT(_xlfn.CONCAT("$I", $F203 + 2)))), $F203 + 2, ""))</f>
        <v/>
      </c>
      <c r="I204" s="8" t="inlineStr">
        <is>
          <t>Ravnica: Clue Edition Front Cards FCLU</t>
        </is>
      </c>
      <c r="J204" s="8" t="n">
        <v>10</v>
      </c>
      <c r="K204" s="9" t="n">
        <v>45345</v>
      </c>
      <c r="L204" s="8" t="inlineStr">
        <is>
          <t>en es fr de it pt ja ko ru 汉语 漢語</t>
        </is>
      </c>
    </row>
    <row r="205" ht="68.25" customHeight="1" s="6">
      <c r="A205" s="1">
        <f t="array" ref="A205">INDIRECT(_xlfn.CONCAT("$I", $F205))</f>
        <v/>
      </c>
      <c r="B205" s="1">
        <f t="array" ref="B205">INDIRECT(_xlfn.CONCAT("$J", $F205))</f>
        <v/>
      </c>
      <c r="C205" s="1">
        <f t="array" ref="C205">INDIRECT(_xlfn.CONCAT("$K", $F205))</f>
        <v/>
      </c>
      <c r="D205" s="1" t="n"/>
      <c r="E205" s="1">
        <f t="array" ref="E205">INDIRECT(_xlfn.CONCAT("$L", $F205))</f>
        <v/>
      </c>
      <c r="F205" s="1">
        <f t="array" ref="F205">IF(NOT(OR(ISERROR(INDIRECT(_xlfn.CONCAT("$I", $F204 + 1))), ISBLANK(INDIRECT(_xlfn.CONCAT("$I", $F204 + 1))))), $F204 + 1, IF(NOT(ISBLANK(INDIRECT(_xlfn.CONCAT("$I", $F204 + 2)))), $F204 + 2, ""))</f>
        <v/>
      </c>
    </row>
    <row r="206" ht="68.25" customHeight="1" s="6">
      <c r="A206" s="1">
        <f t="array" ref="A206">INDIRECT(_xlfn.CONCAT("$I", $F206))</f>
        <v/>
      </c>
      <c r="B206" s="1">
        <f t="array" ref="B206">INDIRECT(_xlfn.CONCAT("$J", $F206))</f>
        <v/>
      </c>
      <c r="C206" s="1">
        <f t="array" ref="C206">INDIRECT(_xlfn.CONCAT("$K", $F206))</f>
        <v/>
      </c>
      <c r="D206" s="1" t="n"/>
      <c r="E206" s="1">
        <f t="array" ref="E206">INDIRECT(_xlfn.CONCAT("$L", $F206))</f>
        <v/>
      </c>
      <c r="F206" s="1">
        <f t="array" ref="F206">IF(NOT(OR(ISERROR(INDIRECT(_xlfn.CONCAT("$I", $F205 + 1))), ISBLANK(INDIRECT(_xlfn.CONCAT("$I", $F205 + 1))))), $F205 + 1, IF(NOT(ISBLANK(INDIRECT(_xlfn.CONCAT("$I", $F205 + 2)))), $F205 + 2, ""))</f>
        <v/>
      </c>
      <c r="I206" s="8" t="inlineStr">
        <is>
          <t>MKM Standard Showdown PSS4</t>
        </is>
      </c>
      <c r="J206" s="8" t="n">
        <v>5</v>
      </c>
      <c r="K206" s="9" t="n">
        <v>45332</v>
      </c>
      <c r="L206" s="8" t="inlineStr">
        <is>
          <t>en es fr de it pt ja ko ru 汉语 漢語</t>
        </is>
      </c>
    </row>
    <row r="207" ht="94.5" customHeight="1" s="6">
      <c r="A207" s="1">
        <f t="array" ref="A207">INDIRECT(_xlfn.CONCAT("$I", $F207))</f>
        <v/>
      </c>
      <c r="B207" s="1">
        <f t="array" ref="B207">INDIRECT(_xlfn.CONCAT("$J", $F207))</f>
        <v/>
      </c>
      <c r="C207" s="1">
        <f t="array" ref="C207">INDIRECT(_xlfn.CONCAT("$K", $F207))</f>
        <v/>
      </c>
      <c r="D207" s="1" t="n"/>
      <c r="E207" s="1">
        <f t="array" ref="E207">INDIRECT(_xlfn.CONCAT("$L", $F207))</f>
        <v/>
      </c>
      <c r="F207" s="1">
        <f t="array" ref="F207">IF(NOT(OR(ISERROR(INDIRECT(_xlfn.CONCAT("$I", $F206 + 1))), ISBLANK(INDIRECT(_xlfn.CONCAT("$I", $F206 + 1))))), $F206 + 1, IF(NOT(ISBLANK(INDIRECT(_xlfn.CONCAT("$I", $F206 + 2)))), $F206 + 2, ""))</f>
        <v/>
      </c>
    </row>
    <row r="208" ht="68.25" customHeight="1" s="6">
      <c r="A208" s="1">
        <f t="array" ref="A208">INDIRECT(_xlfn.CONCAT("$I", $F208))</f>
        <v/>
      </c>
      <c r="B208" s="1">
        <f t="array" ref="B208">INDIRECT(_xlfn.CONCAT("$J", $F208))</f>
        <v/>
      </c>
      <c r="C208" s="1">
        <f t="array" ref="C208">INDIRECT(_xlfn.CONCAT("$K", $F208))</f>
        <v/>
      </c>
      <c r="D208" s="1" t="n"/>
      <c r="E208" s="1">
        <f t="array" ref="E208">INDIRECT(_xlfn.CONCAT("$L", $F208))</f>
        <v/>
      </c>
      <c r="F208" s="1">
        <f t="array" ref="F208">IF(NOT(OR(ISERROR(INDIRECT(_xlfn.CONCAT("$I", $F207 + 1))), ISBLANK(INDIRECT(_xlfn.CONCAT("$I", $F207 + 1))))), $F207 + 1, IF(NOT(ISBLANK(INDIRECT(_xlfn.CONCAT("$I", $F207 + 2)))), $F207 + 2, ""))</f>
        <v/>
      </c>
      <c r="I208" s="8" t="inlineStr">
        <is>
          <t>Murders at Karlov Manor Art Series AMKM</t>
        </is>
      </c>
      <c r="J208" s="8" t="n">
        <v>49</v>
      </c>
      <c r="K208" s="9" t="n">
        <v>45331</v>
      </c>
      <c r="L208" s="8" t="inlineStr">
        <is>
          <t>en es fr de it pt ja ko ru 汉语 漢語</t>
        </is>
      </c>
    </row>
    <row r="209" ht="57.75" customHeight="1" s="6">
      <c r="A209" s="1">
        <f t="array" ref="A209">INDIRECT(_xlfn.CONCAT("$I", $F209))</f>
        <v/>
      </c>
      <c r="B209" s="1">
        <f t="array" ref="B209">INDIRECT(_xlfn.CONCAT("$J", $F209))</f>
        <v/>
      </c>
      <c r="C209" s="1">
        <f t="array" ref="C209">INDIRECT(_xlfn.CONCAT("$K", $F209))</f>
        <v/>
      </c>
      <c r="D209" s="1" t="n"/>
      <c r="E209" s="1">
        <f t="array" ref="E209">INDIRECT(_xlfn.CONCAT("$L", $F209))</f>
        <v/>
      </c>
      <c r="F209" s="1">
        <f t="array" ref="F209">IF(NOT(OR(ISERROR(INDIRECT(_xlfn.CONCAT("$I", $F208 + 1))), ISBLANK(INDIRECT(_xlfn.CONCAT("$I", $F208 + 1))))), $F208 + 1, IF(NOT(ISBLANK(INDIRECT(_xlfn.CONCAT("$I", $F208 + 2)))), $F208 + 2, ""))</f>
        <v/>
      </c>
    </row>
    <row r="210" ht="57.75" customHeight="1" s="6">
      <c r="A210" s="1">
        <f t="array" ref="A210">INDIRECT(_xlfn.CONCAT("$I", $F210))</f>
        <v/>
      </c>
      <c r="B210" s="1">
        <f t="array" ref="B210">INDIRECT(_xlfn.CONCAT("$J", $F210))</f>
        <v/>
      </c>
      <c r="C210" s="1">
        <f t="array" ref="C210">INDIRECT(_xlfn.CONCAT("$K", $F210))</f>
        <v/>
      </c>
      <c r="D210" s="1" t="n"/>
      <c r="E210" s="1">
        <f t="array" ref="E210">INDIRECT(_xlfn.CONCAT("$L", $F210))</f>
        <v/>
      </c>
      <c r="F210" s="1">
        <f t="array" ref="F210">IF(NOT(OR(ISERROR(INDIRECT(_xlfn.CONCAT("$I", $F209 + 1))), ISBLANK(INDIRECT(_xlfn.CONCAT("$I", $F209 + 1))))), $F209 + 1, IF(NOT(ISBLANK(INDIRECT(_xlfn.CONCAT("$I", $F209 + 2)))), $F209 + 2, ""))</f>
        <v/>
      </c>
      <c r="I210" s="8" t="inlineStr">
        <is>
          <t>MKM Japanese Promo Tokens WMKM</t>
        </is>
      </c>
      <c r="J210" s="8" t="n">
        <v>4</v>
      </c>
      <c r="K210" s="9" t="n">
        <v>45331</v>
      </c>
      <c r="L210" s="8" t="inlineStr">
        <is>
          <t>en es fr de it pt ja ko ru 汉语 漢語</t>
        </is>
      </c>
    </row>
    <row r="211" ht="68.25" customHeight="1" s="6">
      <c r="A211" s="1">
        <f t="array" ref="A211">INDIRECT(_xlfn.CONCAT("$I", $F211))</f>
        <v/>
      </c>
      <c r="B211" s="1">
        <f t="array" ref="B211">INDIRECT(_xlfn.CONCAT("$J", $F211))</f>
        <v/>
      </c>
      <c r="C211" s="1">
        <f t="array" ref="C211">INDIRECT(_xlfn.CONCAT("$K", $F211))</f>
        <v/>
      </c>
      <c r="D211" s="1" t="n"/>
      <c r="E211" s="1">
        <f t="array" ref="E211">INDIRECT(_xlfn.CONCAT("$L", $F211))</f>
        <v/>
      </c>
      <c r="F211" s="1">
        <f t="array" ref="F211">IF(NOT(OR(ISERROR(INDIRECT(_xlfn.CONCAT("$I", $F210 + 1))), ISBLANK(INDIRECT(_xlfn.CONCAT("$I", $F210 + 1))))), $F210 + 1, IF(NOT(ISBLANK(INDIRECT(_xlfn.CONCAT("$I", $F210 + 2)))), $F210 + 2, ""))</f>
        <v/>
      </c>
    </row>
    <row r="212" ht="68.25" customHeight="1" s="6">
      <c r="A212" s="1">
        <f t="array" ref="A212">INDIRECT(_xlfn.CONCAT("$I", $F212))</f>
        <v/>
      </c>
      <c r="B212" s="1">
        <f t="array" ref="B212">INDIRECT(_xlfn.CONCAT("$J", $F212))</f>
        <v/>
      </c>
      <c r="C212" s="1">
        <f t="array" ref="C212">INDIRECT(_xlfn.CONCAT("$K", $F212))</f>
        <v/>
      </c>
      <c r="D212" s="1" t="n"/>
      <c r="E212" s="1">
        <f t="array" ref="E212">INDIRECT(_xlfn.CONCAT("$L", $F212))</f>
        <v/>
      </c>
      <c r="F212" s="1">
        <f t="array" ref="F212">IF(NOT(OR(ISERROR(INDIRECT(_xlfn.CONCAT("$I", $F211 + 1))), ISBLANK(INDIRECT(_xlfn.CONCAT("$I", $F211 + 1))))), $F211 + 1, IF(NOT(ISBLANK(INDIRECT(_xlfn.CONCAT("$I", $F211 + 2)))), $F211 + 2, ""))</f>
        <v/>
      </c>
      <c r="I212" s="8" t="inlineStr">
        <is>
          <t>Murders at Karlov Manor Commander MKC</t>
        </is>
      </c>
      <c r="J212" s="8" t="n">
        <v>358</v>
      </c>
      <c r="K212" s="9" t="n">
        <v>45331</v>
      </c>
      <c r="L212" t="inlineStr">
        <is>
          <t>en es fr de it pt ja ko ru 汉语 漢語</t>
        </is>
      </c>
    </row>
    <row r="213" ht="57.75" customHeight="1" s="6">
      <c r="A213" s="1">
        <f t="array" ref="A213">INDIRECT(_xlfn.CONCAT("$I", $F213))</f>
        <v/>
      </c>
      <c r="B213" s="1">
        <f t="array" ref="B213">INDIRECT(_xlfn.CONCAT("$J", $F213))</f>
        <v/>
      </c>
      <c r="C213" s="1">
        <f t="array" ref="C213">INDIRECT(_xlfn.CONCAT("$K", $F213))</f>
        <v/>
      </c>
      <c r="D213" s="1" t="n"/>
      <c r="E213" s="1">
        <f t="array" ref="E213">INDIRECT(_xlfn.CONCAT("$L", $F213))</f>
        <v/>
      </c>
      <c r="F213" s="1">
        <f t="array" ref="F213">IF(NOT(OR(ISERROR(INDIRECT(_xlfn.CONCAT("$I", $F212 + 1))), ISBLANK(INDIRECT(_xlfn.CONCAT("$I", $F212 + 1))))), $F212 + 1, IF(NOT(ISBLANK(INDIRECT(_xlfn.CONCAT("$I", $F212 + 2)))), $F212 + 2, ""))</f>
        <v/>
      </c>
    </row>
    <row r="214" ht="57.75" customHeight="1" s="6">
      <c r="A214" s="1">
        <f t="array" ref="A214">INDIRECT(_xlfn.CONCAT("$I", $F214))</f>
        <v/>
      </c>
      <c r="B214" s="1">
        <f t="array" ref="B214">INDIRECT(_xlfn.CONCAT("$J", $F214))</f>
        <v/>
      </c>
      <c r="C214" s="1">
        <f t="array" ref="C214">INDIRECT(_xlfn.CONCAT("$K", $F214))</f>
        <v/>
      </c>
      <c r="D214" s="1" t="n"/>
      <c r="E214" s="1">
        <f t="array" ref="E214">INDIRECT(_xlfn.CONCAT("$L", $F214))</f>
        <v/>
      </c>
      <c r="F214" s="1">
        <f t="array" ref="F214">IF(NOT(OR(ISERROR(INDIRECT(_xlfn.CONCAT("$I", $F213 + 1))), ISBLANK(INDIRECT(_xlfn.CONCAT("$I", $F213 + 1))))), $F213 + 1, IF(NOT(ISBLANK(INDIRECT(_xlfn.CONCAT("$I", $F213 + 2)))), $F213 + 2, ""))</f>
        <v/>
      </c>
      <c r="I214" s="8" t="inlineStr">
        <is>
          <t>Murders at Karlov Manor Commander Tokens TMKC</t>
        </is>
      </c>
      <c r="J214" s="8" t="n">
        <v>31</v>
      </c>
      <c r="K214" s="9" t="n">
        <v>45331</v>
      </c>
      <c r="L214" s="8" t="inlineStr">
        <is>
          <t>en es fr de it pt ja ko ru 汉语 漢語</t>
        </is>
      </c>
    </row>
    <row r="215" ht="57.75" customHeight="1" s="6">
      <c r="A215" s="1">
        <f t="array" ref="A215">INDIRECT(_xlfn.CONCAT("$I", $F215))</f>
        <v/>
      </c>
      <c r="B215" s="1">
        <f t="array" ref="B215">INDIRECT(_xlfn.CONCAT("$J", $F215))</f>
        <v/>
      </c>
      <c r="C215" s="1">
        <f t="array" ref="C215">INDIRECT(_xlfn.CONCAT("$K", $F215))</f>
        <v/>
      </c>
      <c r="D215" s="1" t="n"/>
      <c r="E215" s="1">
        <f t="array" ref="E215">INDIRECT(_xlfn.CONCAT("$L", $F215))</f>
        <v/>
      </c>
      <c r="F215" s="1">
        <f t="array" ref="F215">IF(NOT(OR(ISERROR(INDIRECT(_xlfn.CONCAT("$I", $F214 + 1))), ISBLANK(INDIRECT(_xlfn.CONCAT("$I", $F214 + 1))))), $F214 + 1, IF(NOT(ISBLANK(INDIRECT(_xlfn.CONCAT("$I", $F214 + 2)))), $F214 + 2, ""))</f>
        <v/>
      </c>
    </row>
    <row r="216" ht="68.25" customHeight="1" s="6">
      <c r="A216" s="1">
        <f t="array" ref="A216">INDIRECT(_xlfn.CONCAT("$I", $F216))</f>
        <v/>
      </c>
      <c r="B216" s="1">
        <f t="array" ref="B216">INDIRECT(_xlfn.CONCAT("$J", $F216))</f>
        <v/>
      </c>
      <c r="C216" s="1">
        <f t="array" ref="C216">INDIRECT(_xlfn.CONCAT("$K", $F216))</f>
        <v/>
      </c>
      <c r="D216" s="1" t="n"/>
      <c r="E216" s="1">
        <f t="array" ref="E216">INDIRECT(_xlfn.CONCAT("$L", $F216))</f>
        <v/>
      </c>
      <c r="F216" s="1">
        <f t="array" ref="F216">IF(NOT(OR(ISERROR(INDIRECT(_xlfn.CONCAT("$I", $F215 + 1))), ISBLANK(INDIRECT(_xlfn.CONCAT("$I", $F215 + 1))))), $F215 + 1, IF(NOT(ISBLANK(INDIRECT(_xlfn.CONCAT("$I", $F215 + 2)))), $F215 + 2, ""))</f>
        <v/>
      </c>
      <c r="I216" s="8" t="inlineStr">
        <is>
          <t>Year of the Dragon 2024 PL24</t>
        </is>
      </c>
      <c r="J216" s="8" t="n">
        <v>7</v>
      </c>
      <c r="K216" s="9" t="n">
        <v>45330</v>
      </c>
      <c r="L216" t="inlineStr">
        <is>
          <t>en es fr de it pt ja ko ru 汉语 漢語</t>
        </is>
      </c>
    </row>
    <row r="217" ht="57.75" customHeight="1" s="6">
      <c r="A217" s="1">
        <f t="array" ref="A217">INDIRECT(_xlfn.CONCAT("$I", $F217))</f>
        <v/>
      </c>
      <c r="B217" s="1">
        <f t="array" ref="B217">INDIRECT(_xlfn.CONCAT("$J", $F217))</f>
        <v/>
      </c>
      <c r="C217" s="1">
        <f t="array" ref="C217">INDIRECT(_xlfn.CONCAT("$K", $F217))</f>
        <v/>
      </c>
      <c r="D217" s="1" t="n"/>
      <c r="E217" s="1">
        <f t="array" ref="E217">INDIRECT(_xlfn.CONCAT("$L", $F217))</f>
        <v/>
      </c>
      <c r="F217" s="1">
        <f t="array" ref="F217">IF(NOT(OR(ISERROR(INDIRECT(_xlfn.CONCAT("$I", $F216 + 1))), ISBLANK(INDIRECT(_xlfn.CONCAT("$I", $F216 + 1))))), $F216 + 1, IF(NOT(ISBLANK(INDIRECT(_xlfn.CONCAT("$I", $F216 + 2)))), $F216 + 2, ""))</f>
        <v/>
      </c>
    </row>
    <row r="218" ht="57.75" customHeight="1" s="6">
      <c r="A218" s="1">
        <f t="array" ref="A218">INDIRECT(_xlfn.CONCAT("$I", $F218))</f>
        <v/>
      </c>
      <c r="B218" s="1">
        <f t="array" ref="B218">INDIRECT(_xlfn.CONCAT("$J", $F218))</f>
        <v/>
      </c>
      <c r="C218" s="1">
        <f t="array" ref="C218">INDIRECT(_xlfn.CONCAT("$K", $F218))</f>
        <v/>
      </c>
      <c r="D218" s="1" t="n"/>
      <c r="E218" s="1">
        <f t="array" ref="E218">INDIRECT(_xlfn.CONCAT("$L", $F218))</f>
        <v/>
      </c>
      <c r="F218" s="1">
        <f t="array" ref="F218">IF(NOT(OR(ISERROR(INDIRECT(_xlfn.CONCAT("$I", $F217 + 1))), ISBLANK(INDIRECT(_xlfn.CONCAT("$I", $F217 + 1))))), $F217 + 1, IF(NOT(ISBLANK(INDIRECT(_xlfn.CONCAT("$I", $F217 + 2)))), $F217 + 2, ""))</f>
        <v/>
      </c>
      <c r="I218" s="8" t="inlineStr">
        <is>
          <t>Ravnica Remastered RVR</t>
        </is>
      </c>
      <c r="J218" s="8" t="n">
        <v>531</v>
      </c>
      <c r="K218" s="9" t="n">
        <v>45303</v>
      </c>
      <c r="L218" t="inlineStr">
        <is>
          <t>en es fr de it pt ja ko ru 汉语 漢語</t>
        </is>
      </c>
    </row>
    <row r="219" ht="57.75" customHeight="1" s="6">
      <c r="A219" s="1">
        <f t="array" ref="A219">INDIRECT(_xlfn.CONCAT("$I", $F219))</f>
        <v/>
      </c>
      <c r="B219" s="1">
        <f t="array" ref="B219">INDIRECT(_xlfn.CONCAT("$J", $F219))</f>
        <v/>
      </c>
      <c r="C219" s="1">
        <f t="array" ref="C219">INDIRECT(_xlfn.CONCAT("$K", $F219))</f>
        <v/>
      </c>
      <c r="D219" s="1" t="n"/>
      <c r="E219" s="1">
        <f t="array" ref="E219">INDIRECT(_xlfn.CONCAT("$L", $F219))</f>
        <v/>
      </c>
      <c r="F219" s="1">
        <f t="array" ref="F219">IF(NOT(OR(ISERROR(INDIRECT(_xlfn.CONCAT("$I", $F218 + 1))), ISBLANK(INDIRECT(_xlfn.CONCAT("$I", $F218 + 1))))), $F218 + 1, IF(NOT(ISBLANK(INDIRECT(_xlfn.CONCAT("$I", $F218 + 2)))), $F218 + 2, ""))</f>
        <v/>
      </c>
    </row>
    <row r="220" ht="68.25" customHeight="1" s="6">
      <c r="A220" s="1">
        <f t="array" ref="A220">INDIRECT(_xlfn.CONCAT("$I", $F220))</f>
        <v/>
      </c>
      <c r="B220" s="1">
        <f t="array" ref="B220">INDIRECT(_xlfn.CONCAT("$J", $F220))</f>
        <v/>
      </c>
      <c r="C220" s="1">
        <f t="array" ref="C220">INDIRECT(_xlfn.CONCAT("$K", $F220))</f>
        <v/>
      </c>
      <c r="D220" s="1" t="n"/>
      <c r="E220" s="1">
        <f t="array" ref="E220">INDIRECT(_xlfn.CONCAT("$L", $F220))</f>
        <v/>
      </c>
      <c r="F220" s="1">
        <f t="array" ref="F220">IF(NOT(OR(ISERROR(INDIRECT(_xlfn.CONCAT("$I", $F219 + 1))), ISBLANK(INDIRECT(_xlfn.CONCAT("$I", $F219 + 1))))), $F219 + 1, IF(NOT(ISBLANK(INDIRECT(_xlfn.CONCAT("$I", $F219 + 2)))), $F219 + 2, ""))</f>
        <v/>
      </c>
      <c r="I220" s="8" t="inlineStr">
        <is>
          <t>Ravnica Remastered Tokens TRVR</t>
        </is>
      </c>
      <c r="J220" s="8" t="n">
        <v>20</v>
      </c>
      <c r="K220" s="9" t="n">
        <v>45303</v>
      </c>
      <c r="L220" s="8" t="inlineStr">
        <is>
          <t>en es fr de it pt ja ko ru 汉语 漢語</t>
        </is>
      </c>
    </row>
    <row r="221" ht="57.75" customHeight="1" s="6">
      <c r="A221" s="1">
        <f t="array" ref="A221">INDIRECT(_xlfn.CONCAT("$I", $F221))</f>
        <v/>
      </c>
      <c r="B221" s="1">
        <f t="array" ref="B221">INDIRECT(_xlfn.CONCAT("$J", $F221))</f>
        <v/>
      </c>
      <c r="C221" s="1">
        <f t="array" ref="C221">INDIRECT(_xlfn.CONCAT("$K", $F221))</f>
        <v/>
      </c>
      <c r="D221" s="1" t="n"/>
      <c r="E221" s="1">
        <f t="array" ref="E221">INDIRECT(_xlfn.CONCAT("$L", $F221))</f>
        <v/>
      </c>
      <c r="F221" s="1">
        <f t="array" ref="F221">IF(NOT(OR(ISERROR(INDIRECT(_xlfn.CONCAT("$I", $F220 + 1))), ISBLANK(INDIRECT(_xlfn.CONCAT("$I", $F220 + 1))))), $F220 + 1, IF(NOT(ISBLANK(INDIRECT(_xlfn.CONCAT("$I", $F220 + 2)))), $F220 + 2, ""))</f>
        <v/>
      </c>
    </row>
    <row r="222" ht="81" customHeight="1" s="6">
      <c r="A222" s="1">
        <f t="array" ref="A222">INDIRECT(_xlfn.CONCAT("$I", $F222))</f>
        <v/>
      </c>
      <c r="B222" s="1">
        <f t="array" ref="B222">INDIRECT(_xlfn.CONCAT("$J", $F222))</f>
        <v/>
      </c>
      <c r="C222" s="1">
        <f t="array" ref="C222">INDIRECT(_xlfn.CONCAT("$K", $F222))</f>
        <v/>
      </c>
      <c r="D222" s="1" t="n"/>
      <c r="E222" s="1">
        <f t="array" ref="E222">INDIRECT(_xlfn.CONCAT("$L", $F222))</f>
        <v/>
      </c>
      <c r="F222" s="1">
        <f t="array" ref="F222">IF(NOT(OR(ISERROR(INDIRECT(_xlfn.CONCAT("$I", $F221 + 1))), ISBLANK(INDIRECT(_xlfn.CONCAT("$I", $F221 + 1))))), $F221 + 1, IF(NOT(ISBLANK(INDIRECT(_xlfn.CONCAT("$I", $F221 + 2)))), $F221 + 2, ""))</f>
        <v/>
      </c>
      <c r="I222" s="8" t="inlineStr">
        <is>
          <t>MagicFest 2024 PF24</t>
        </is>
      </c>
      <c r="J222" s="8" t="n">
        <v>2</v>
      </c>
      <c r="K222" s="9" t="n">
        <v>45292</v>
      </c>
      <c r="L222" s="8" t="inlineStr">
        <is>
          <t>en es fr de it pt ja ko ru 汉语 漢語</t>
        </is>
      </c>
    </row>
    <row r="223" ht="68.25" customHeight="1" s="6">
      <c r="A223" s="1">
        <f t="array" ref="A223">INDIRECT(_xlfn.CONCAT("$I", $F223))</f>
        <v/>
      </c>
      <c r="B223" s="1">
        <f t="array" ref="B223">INDIRECT(_xlfn.CONCAT("$J", $F223))</f>
        <v/>
      </c>
      <c r="C223" s="1">
        <f t="array" ref="C223">INDIRECT(_xlfn.CONCAT("$K", $F223))</f>
        <v/>
      </c>
      <c r="D223" s="1" t="n"/>
      <c r="E223" s="1">
        <f t="array" ref="E223">INDIRECT(_xlfn.CONCAT("$L", $F223))</f>
        <v/>
      </c>
      <c r="F223" s="1">
        <f t="array" ref="F223">IF(NOT(OR(ISERROR(INDIRECT(_xlfn.CONCAT("$I", $F222 + 1))), ISBLANK(INDIRECT(_xlfn.CONCAT("$I", $F222 + 1))))), $F222 + 1, IF(NOT(ISBLANK(INDIRECT(_xlfn.CONCAT("$I", $F222 + 2)))), $F222 + 2, ""))</f>
        <v/>
      </c>
    </row>
    <row r="224" ht="68.25" customHeight="1" s="6">
      <c r="A224" s="1">
        <f t="array" ref="A224">INDIRECT(_xlfn.CONCAT("$I", $F224))</f>
        <v/>
      </c>
      <c r="B224" s="1">
        <f t="array" ref="B224">INDIRECT(_xlfn.CONCAT("$J", $F224))</f>
        <v/>
      </c>
      <c r="C224" s="1">
        <f t="array" ref="C224">INDIRECT(_xlfn.CONCAT("$K", $F224))</f>
        <v/>
      </c>
      <c r="D224" s="1" t="n"/>
      <c r="E224" s="1">
        <f t="array" ref="E224">INDIRECT(_xlfn.CONCAT("$L", $F224))</f>
        <v/>
      </c>
      <c r="F224" s="1">
        <f t="array" ref="F224">IF(NOT(OR(ISERROR(INDIRECT(_xlfn.CONCAT("$I", $F223 + 1))), ISBLANK(INDIRECT(_xlfn.CONCAT("$I", $F223 + 1))))), $F223 + 1, IF(NOT(ISBLANK(INDIRECT(_xlfn.CONCAT("$I", $F223 + 2)))), $F223 + 2, ""))</f>
        <v/>
      </c>
      <c r="I224" s="8" t="inlineStr">
        <is>
          <t>Wizards Play Network 2024 PW24</t>
        </is>
      </c>
      <c r="J224" s="8" t="n">
        <v>18</v>
      </c>
      <c r="K224" s="9" t="n">
        <v>45292</v>
      </c>
      <c r="L224" t="inlineStr">
        <is>
          <t>en es fr de it pt ja ko ru 汉语 漢語</t>
        </is>
      </c>
    </row>
    <row r="225" ht="57.75" customHeight="1" s="6">
      <c r="A225" s="1">
        <f t="array" ref="A225">INDIRECT(_xlfn.CONCAT("$I", $F225))</f>
        <v/>
      </c>
      <c r="B225" s="1">
        <f t="array" ref="B225">INDIRECT(_xlfn.CONCAT("$J", $F225))</f>
        <v/>
      </c>
      <c r="C225" s="1">
        <f t="array" ref="C225">INDIRECT(_xlfn.CONCAT("$K", $F225))</f>
        <v/>
      </c>
      <c r="D225" s="1" t="n"/>
      <c r="E225" s="1">
        <f t="array" ref="E225">INDIRECT(_xlfn.CONCAT("$L", $F225))</f>
        <v/>
      </c>
      <c r="F225" s="1">
        <f t="array" ref="F225">IF(NOT(OR(ISERROR(INDIRECT(_xlfn.CONCAT("$I", $F224 + 1))), ISBLANK(INDIRECT(_xlfn.CONCAT("$I", $F224 + 1))))), $F224 + 1, IF(NOT(ISBLANK(INDIRECT(_xlfn.CONCAT("$I", $F224 + 2)))), $F224 + 2, ""))</f>
        <v/>
      </c>
    </row>
    <row r="226" ht="57.75" customHeight="1" s="6">
      <c r="A226" s="1">
        <f t="array" ref="A226">INDIRECT(_xlfn.CONCAT("$I", $F226))</f>
        <v/>
      </c>
      <c r="B226" s="1">
        <f t="array" ref="B226">INDIRECT(_xlfn.CONCAT("$J", $F226))</f>
        <v/>
      </c>
      <c r="C226" s="1">
        <f t="array" ref="C226">INDIRECT(_xlfn.CONCAT("$K", $F226))</f>
        <v/>
      </c>
      <c r="D226" s="1" t="n"/>
      <c r="E226" s="1">
        <f t="array" ref="E226">INDIRECT(_xlfn.CONCAT("$L", $F226))</f>
        <v/>
      </c>
      <c r="F226" s="1">
        <f t="array" ref="F226">IF(NOT(OR(ISERROR(INDIRECT(_xlfn.CONCAT("$I", $F225 + 1))), ISBLANK(INDIRECT(_xlfn.CONCAT("$I", $F225 + 1))))), $F225 + 1, IF(NOT(ISBLANK(INDIRECT(_xlfn.CONCAT("$I", $F225 + 2)))), $F225 + 2, ""))</f>
        <v/>
      </c>
      <c r="I226" s="8" t="inlineStr">
        <is>
          <t>Special Guests SPG</t>
        </is>
      </c>
      <c r="J226" s="8" t="n">
        <v>134</v>
      </c>
      <c r="K226" s="9" t="n">
        <v>45247</v>
      </c>
      <c r="L226" s="8" t="inlineStr">
        <is>
          <t>en es fr de it pt ja ko ru 汉语 漢語</t>
        </is>
      </c>
    </row>
    <row r="227" ht="68.25" customHeight="1" s="6">
      <c r="A227" s="1">
        <f t="array" ref="A227">INDIRECT(_xlfn.CONCAT("$I", $F227))</f>
        <v/>
      </c>
      <c r="B227" s="1">
        <f t="array" ref="B227">INDIRECT(_xlfn.CONCAT("$J", $F227))</f>
        <v/>
      </c>
      <c r="C227" s="1">
        <f t="array" ref="C227">INDIRECT(_xlfn.CONCAT("$K", $F227))</f>
        <v/>
      </c>
      <c r="D227" s="1" t="n"/>
      <c r="E227" s="1">
        <f t="array" ref="E227">INDIRECT(_xlfn.CONCAT("$L", $F227))</f>
        <v/>
      </c>
      <c r="F227" s="1">
        <f t="array" ref="F227">IF(NOT(OR(ISERROR(INDIRECT(_xlfn.CONCAT("$I", $F226 + 1))), ISBLANK(INDIRECT(_xlfn.CONCAT("$I", $F226 + 1))))), $F226 + 1, IF(NOT(ISBLANK(INDIRECT(_xlfn.CONCAT("$I", $F226 + 2)))), $F226 + 2, ""))</f>
        <v/>
      </c>
    </row>
    <row r="228" ht="68.25" customHeight="1" s="6">
      <c r="A228" s="1">
        <f t="array" ref="A228">INDIRECT(_xlfn.CONCAT("$I", $F228))</f>
        <v/>
      </c>
      <c r="B228" s="1">
        <f t="array" ref="B228">INDIRECT(_xlfn.CONCAT("$J", $F228))</f>
        <v/>
      </c>
      <c r="C228" s="1">
        <f t="array" ref="C228">INDIRECT(_xlfn.CONCAT("$K", $F228))</f>
        <v/>
      </c>
      <c r="D228" s="1" t="n"/>
      <c r="E228" s="1">
        <f t="array" ref="E228">INDIRECT(_xlfn.CONCAT("$L", $F228))</f>
        <v/>
      </c>
      <c r="F228" s="1">
        <f t="array" ref="F228">IF(NOT(OR(ISERROR(INDIRECT(_xlfn.CONCAT("$I", $F227 + 1))), ISBLANK(INDIRECT(_xlfn.CONCAT("$I", $F227 + 1))))), $F227 + 1, IF(NOT(ISBLANK(INDIRECT(_xlfn.CONCAT("$I", $F227 + 2)))), $F227 + 2, ""))</f>
        <v/>
      </c>
      <c r="I228" s="8" t="inlineStr">
        <is>
          <t>The Lost Caverns of Ixalan LCI</t>
        </is>
      </c>
      <c r="J228" s="8" t="n">
        <v>416</v>
      </c>
      <c r="K228" s="9" t="n">
        <v>45247</v>
      </c>
      <c r="L228" t="inlineStr">
        <is>
          <t>en es fr de it pt ja ko ru 汉语 漢語</t>
        </is>
      </c>
    </row>
    <row r="229" ht="68.25" customHeight="1" s="6">
      <c r="A229" s="1">
        <f t="array" ref="A229">INDIRECT(_xlfn.CONCAT("$I", $F229))</f>
        <v/>
      </c>
      <c r="B229" s="1">
        <f t="array" ref="B229">INDIRECT(_xlfn.CONCAT("$J", $F229))</f>
        <v/>
      </c>
      <c r="C229" s="1">
        <f t="array" ref="C229">INDIRECT(_xlfn.CONCAT("$K", $F229))</f>
        <v/>
      </c>
      <c r="D229" s="1" t="n"/>
      <c r="E229" s="1">
        <f t="array" ref="E229">INDIRECT(_xlfn.CONCAT("$L", $F229))</f>
        <v/>
      </c>
      <c r="F229" s="1">
        <f t="array" ref="F229">IF(NOT(OR(ISERROR(INDIRECT(_xlfn.CONCAT("$I", $F228 + 1))), ISBLANK(INDIRECT(_xlfn.CONCAT("$I", $F228 + 1))))), $F228 + 1, IF(NOT(ISBLANK(INDIRECT(_xlfn.CONCAT("$I", $F228 + 2)))), $F228 + 2, ""))</f>
        <v/>
      </c>
    </row>
    <row r="230" ht="57.75" customHeight="1" s="6">
      <c r="A230" s="1">
        <f t="array" ref="A230">INDIRECT(_xlfn.CONCAT("$I", $F230))</f>
        <v/>
      </c>
      <c r="B230" s="1">
        <f t="array" ref="B230">INDIRECT(_xlfn.CONCAT("$J", $F230))</f>
        <v/>
      </c>
      <c r="C230" s="1">
        <f t="array" ref="C230">INDIRECT(_xlfn.CONCAT("$K", $F230))</f>
        <v/>
      </c>
      <c r="D230" s="1" t="n"/>
      <c r="E230" s="1">
        <f t="array" ref="E230">INDIRECT(_xlfn.CONCAT("$L", $F230))</f>
        <v/>
      </c>
      <c r="F230" s="1">
        <f t="array" ref="F230">IF(NOT(OR(ISERROR(INDIRECT(_xlfn.CONCAT("$I", $F229 + 1))), ISBLANK(INDIRECT(_xlfn.CONCAT("$I", $F229 + 1))))), $F229 + 1, IF(NOT(ISBLANK(INDIRECT(_xlfn.CONCAT("$I", $F229 + 2)))), $F229 + 2, ""))</f>
        <v/>
      </c>
      <c r="I230" s="8" t="inlineStr">
        <is>
          <t>The Lost Caverns of Ixalan Promos PLCI</t>
        </is>
      </c>
      <c r="J230" s="8" t="n">
        <v>136</v>
      </c>
      <c r="K230" s="9" t="n">
        <v>45247</v>
      </c>
      <c r="L230" s="8" t="inlineStr">
        <is>
          <t>en es fr de it pt ja ko ru 汉语 漢語</t>
        </is>
      </c>
    </row>
    <row r="231" ht="68.25" customHeight="1" s="6">
      <c r="A231" s="1">
        <f t="array" ref="A231">INDIRECT(_xlfn.CONCAT("$I", $F231))</f>
        <v/>
      </c>
      <c r="B231" s="1">
        <f t="array" ref="B231">INDIRECT(_xlfn.CONCAT("$J", $F231))</f>
        <v/>
      </c>
      <c r="C231" s="1">
        <f t="array" ref="C231">INDIRECT(_xlfn.CONCAT("$K", $F231))</f>
        <v/>
      </c>
      <c r="D231" s="1" t="n"/>
      <c r="E231" s="1">
        <f t="array" ref="E231">INDIRECT(_xlfn.CONCAT("$L", $F231))</f>
        <v/>
      </c>
      <c r="F231" s="1">
        <f t="array" ref="F231">IF(NOT(OR(ISERROR(INDIRECT(_xlfn.CONCAT("$I", $F230 + 1))), ISBLANK(INDIRECT(_xlfn.CONCAT("$I", $F230 + 1))))), $F230 + 1, IF(NOT(ISBLANK(INDIRECT(_xlfn.CONCAT("$I", $F230 + 2)))), $F230 + 2, ""))</f>
        <v/>
      </c>
    </row>
    <row r="232" ht="81" customHeight="1" s="6">
      <c r="A232" s="1">
        <f t="array" ref="A232">INDIRECT(_xlfn.CONCAT("$I", $F232))</f>
        <v/>
      </c>
      <c r="B232" s="1">
        <f t="array" ref="B232">INDIRECT(_xlfn.CONCAT("$J", $F232))</f>
        <v/>
      </c>
      <c r="C232" s="1">
        <f t="array" ref="C232">INDIRECT(_xlfn.CONCAT("$K", $F232))</f>
        <v/>
      </c>
      <c r="D232" s="1" t="n"/>
      <c r="E232" s="1">
        <f t="array" ref="E232">INDIRECT(_xlfn.CONCAT("$L", $F232))</f>
        <v/>
      </c>
      <c r="F232" s="1">
        <f t="array" ref="F232">IF(NOT(OR(ISERROR(INDIRECT(_xlfn.CONCAT("$I", $F231 + 1))), ISBLANK(INDIRECT(_xlfn.CONCAT("$I", $F231 + 1))))), $F231 + 1, IF(NOT(ISBLANK(INDIRECT(_xlfn.CONCAT("$I", $F231 + 2)))), $F231 + 2, ""))</f>
        <v/>
      </c>
      <c r="I232" s="8" t="inlineStr">
        <is>
          <t>The Lost Caverns of Ixalan Tokens TLCI</t>
        </is>
      </c>
      <c r="J232" s="8" t="n">
        <v>19</v>
      </c>
      <c r="K232" s="9" t="n">
        <v>45247</v>
      </c>
      <c r="L232" s="8" t="inlineStr">
        <is>
          <t>en es fr de it pt ja ko ru 汉语 漢語</t>
        </is>
      </c>
    </row>
    <row r="233" ht="57.75" customHeight="1" s="6">
      <c r="A233" s="1">
        <f t="array" ref="A233">INDIRECT(_xlfn.CONCAT("$I", $F233))</f>
        <v/>
      </c>
      <c r="B233" s="1">
        <f t="array" ref="B233">INDIRECT(_xlfn.CONCAT("$J", $F233))</f>
        <v/>
      </c>
      <c r="C233" s="1">
        <f t="array" ref="C233">INDIRECT(_xlfn.CONCAT("$K", $F233))</f>
        <v/>
      </c>
      <c r="D233" s="1" t="n"/>
      <c r="E233" s="1">
        <f t="array" ref="E233">INDIRECT(_xlfn.CONCAT("$L", $F233))</f>
        <v/>
      </c>
      <c r="F233" s="1">
        <f t="array" ref="F233">IF(NOT(OR(ISERROR(INDIRECT(_xlfn.CONCAT("$I", $F232 + 1))), ISBLANK(INDIRECT(_xlfn.CONCAT("$I", $F232 + 1))))), $F232 + 1, IF(NOT(ISBLANK(INDIRECT(_xlfn.CONCAT("$I", $F232 + 2)))), $F232 + 2, ""))</f>
        <v/>
      </c>
    </row>
    <row r="234" ht="57.75" customHeight="1" s="6">
      <c r="A234" s="1">
        <f t="array" ref="A234">INDIRECT(_xlfn.CONCAT("$I", $F234))</f>
        <v/>
      </c>
      <c r="B234" s="1">
        <f t="array" ref="B234">INDIRECT(_xlfn.CONCAT("$J", $F234))</f>
        <v/>
      </c>
      <c r="C234" s="1">
        <f t="array" ref="C234">INDIRECT(_xlfn.CONCAT("$K", $F234))</f>
        <v/>
      </c>
      <c r="D234" s="1" t="n"/>
      <c r="E234" s="1">
        <f t="array" ref="E234">INDIRECT(_xlfn.CONCAT("$L", $F234))</f>
        <v/>
      </c>
      <c r="F234" s="1">
        <f t="array" ref="F234">IF(NOT(OR(ISERROR(INDIRECT(_xlfn.CONCAT("$I", $F233 + 1))), ISBLANK(INDIRECT(_xlfn.CONCAT("$I", $F233 + 1))))), $F233 + 1, IF(NOT(ISBLANK(INDIRECT(_xlfn.CONCAT("$I", $F233 + 2)))), $F233 + 2, ""))</f>
        <v/>
      </c>
      <c r="I234" s="8" t="inlineStr">
        <is>
          <t>Alchemy: Ixalan YLCI</t>
        </is>
      </c>
      <c r="J234" s="8" t="n">
        <v>30</v>
      </c>
      <c r="K234" s="9" t="n">
        <v>45265</v>
      </c>
      <c r="L234" s="8" t="inlineStr">
        <is>
          <t>en es fr de it pt ja ko ru 汉语 漢語</t>
        </is>
      </c>
    </row>
    <row r="235" ht="94.5" customHeight="1" s="6">
      <c r="A235" s="1">
        <f t="array" ref="A235">INDIRECT(_xlfn.CONCAT("$I", $F235))</f>
        <v/>
      </c>
      <c r="B235" s="1">
        <f t="array" ref="B235">INDIRECT(_xlfn.CONCAT("$J", $F235))</f>
        <v/>
      </c>
      <c r="C235" s="1">
        <f t="array" ref="C235">INDIRECT(_xlfn.CONCAT("$K", $F235))</f>
        <v/>
      </c>
      <c r="D235" s="1" t="n"/>
      <c r="E235" s="1">
        <f t="array" ref="E235">INDIRECT(_xlfn.CONCAT("$L", $F235))</f>
        <v/>
      </c>
      <c r="F235" s="1">
        <f t="array" ref="F235">IF(NOT(OR(ISERROR(INDIRECT(_xlfn.CONCAT("$I", $F234 + 1))), ISBLANK(INDIRECT(_xlfn.CONCAT("$I", $F234 + 1))))), $F234 + 1, IF(NOT(ISBLANK(INDIRECT(_xlfn.CONCAT("$I", $F234 + 2)))), $F234 + 2, ""))</f>
        <v/>
      </c>
    </row>
    <row r="236" ht="81" customHeight="1" s="6">
      <c r="A236" s="1">
        <f t="array" ref="A236">INDIRECT(_xlfn.CONCAT("$I", $F236))</f>
        <v/>
      </c>
      <c r="B236" s="1">
        <f t="array" ref="B236">INDIRECT(_xlfn.CONCAT("$J", $F236))</f>
        <v/>
      </c>
      <c r="C236" s="1">
        <f t="array" ref="C236">INDIRECT(_xlfn.CONCAT("$K", $F236))</f>
        <v/>
      </c>
      <c r="D236" s="1" t="n"/>
      <c r="E236" s="1">
        <f t="array" ref="E236">INDIRECT(_xlfn.CONCAT("$L", $F236))</f>
        <v/>
      </c>
      <c r="F236" s="1">
        <f t="array" ref="F236">IF(NOT(OR(ISERROR(INDIRECT(_xlfn.CONCAT("$I", $F235 + 1))), ISBLANK(INDIRECT(_xlfn.CONCAT("$I", $F235 + 1))))), $F235 + 1, IF(NOT(ISBLANK(INDIRECT(_xlfn.CONCAT("$I", $F235 + 2)))), $F235 + 2, ""))</f>
        <v/>
      </c>
      <c r="I236" s="8" t="inlineStr">
        <is>
          <t>The Lost Caverns of Ixalan Art Series ALCI</t>
        </is>
      </c>
      <c r="J236" s="8" t="n">
        <v>81</v>
      </c>
      <c r="K236" s="9" t="n">
        <v>45247</v>
      </c>
      <c r="L236" s="8" t="inlineStr">
        <is>
          <t>en es fr de it pt ja ko ru 汉语 漢語</t>
        </is>
      </c>
    </row>
    <row r="237" ht="68.25" customHeight="1" s="6">
      <c r="A237" s="1">
        <f t="array" ref="A237">INDIRECT(_xlfn.CONCAT("$I", $F237))</f>
        <v/>
      </c>
      <c r="B237" s="1">
        <f t="array" ref="B237">INDIRECT(_xlfn.CONCAT("$J", $F237))</f>
        <v/>
      </c>
      <c r="C237" s="1">
        <f t="array" ref="C237">INDIRECT(_xlfn.CONCAT("$K", $F237))</f>
        <v/>
      </c>
      <c r="D237" s="1" t="n"/>
      <c r="E237" s="1">
        <f t="array" ref="E237">INDIRECT(_xlfn.CONCAT("$L", $F237))</f>
        <v/>
      </c>
      <c r="F237" s="1">
        <f t="array" ref="F237">IF(NOT(OR(ISERROR(INDIRECT(_xlfn.CONCAT("$I", $F236 + 1))), ISBLANK(INDIRECT(_xlfn.CONCAT("$I", $F236 + 1))))), $F236 + 1, IF(NOT(ISBLANK(INDIRECT(_xlfn.CONCAT("$I", $F236 + 2)))), $F236 + 2, ""))</f>
        <v/>
      </c>
    </row>
    <row r="238" ht="68.25" customHeight="1" s="6">
      <c r="A238" s="1">
        <f t="array" ref="A238">INDIRECT(_xlfn.CONCAT("$I", $F238))</f>
        <v/>
      </c>
      <c r="B238" s="1">
        <f t="array" ref="B238">INDIRECT(_xlfn.CONCAT("$J", $F238))</f>
        <v/>
      </c>
      <c r="C238" s="1">
        <f t="array" ref="C238">INDIRECT(_xlfn.CONCAT("$K", $F238))</f>
        <v/>
      </c>
      <c r="D238" s="1" t="n"/>
      <c r="E238" s="1">
        <f t="array" ref="E238">INDIRECT(_xlfn.CONCAT("$L", $F238))</f>
        <v/>
      </c>
      <c r="F238" s="1">
        <f t="array" ref="F238">IF(NOT(OR(ISERROR(INDIRECT(_xlfn.CONCAT("$I", $F237 + 1))), ISBLANK(INDIRECT(_xlfn.CONCAT("$I", $F237 + 1))))), $F237 + 1, IF(NOT(ISBLANK(INDIRECT(_xlfn.CONCAT("$I", $F237 + 2)))), $F237 + 2, ""))</f>
        <v/>
      </c>
      <c r="I238" s="8" t="inlineStr">
        <is>
          <t>The Lost Caverns of Ixalan Substitute Cards SLCI</t>
        </is>
      </c>
      <c r="J238" s="8" t="n">
        <v>1</v>
      </c>
      <c r="K238" s="9" t="n">
        <v>45247</v>
      </c>
      <c r="L238" s="8" t="inlineStr">
        <is>
          <t>en es fr de it pt ja ko ru 汉语 漢語</t>
        </is>
      </c>
    </row>
    <row r="239" ht="94.5" customHeight="1" s="6">
      <c r="A239" s="1">
        <f t="array" ref="A239">INDIRECT(_xlfn.CONCAT("$I", $F239))</f>
        <v/>
      </c>
      <c r="B239" s="1">
        <f t="array" ref="B239">INDIRECT(_xlfn.CONCAT("$J", $F239))</f>
        <v/>
      </c>
      <c r="C239" s="1">
        <f t="array" ref="C239">INDIRECT(_xlfn.CONCAT("$K", $F239))</f>
        <v/>
      </c>
      <c r="D239" s="1" t="n"/>
      <c r="E239" s="1">
        <f t="array" ref="E239">INDIRECT(_xlfn.CONCAT("$L", $F239))</f>
        <v/>
      </c>
      <c r="F239" s="1">
        <f t="array" ref="F239">IF(NOT(OR(ISERROR(INDIRECT(_xlfn.CONCAT("$I", $F238 + 1))), ISBLANK(INDIRECT(_xlfn.CONCAT("$I", $F238 + 1))))), $F238 + 1, IF(NOT(ISBLANK(INDIRECT(_xlfn.CONCAT("$I", $F238 + 2)))), $F238 + 2, ""))</f>
        <v/>
      </c>
    </row>
    <row r="240" ht="57.75" customHeight="1" s="6">
      <c r="A240" s="1">
        <f t="array" ref="A240">INDIRECT(_xlfn.CONCAT("$I", $F240))</f>
        <v/>
      </c>
      <c r="B240" s="1">
        <f t="array" ref="B240">INDIRECT(_xlfn.CONCAT("$J", $F240))</f>
        <v/>
      </c>
      <c r="C240" s="1">
        <f t="array" ref="C240">INDIRECT(_xlfn.CONCAT("$K", $F240))</f>
        <v/>
      </c>
      <c r="D240" s="1" t="n"/>
      <c r="E240" s="1">
        <f t="array" ref="E240">INDIRECT(_xlfn.CONCAT("$L", $F240))</f>
        <v/>
      </c>
      <c r="F240" s="1">
        <f t="array" ref="F240">IF(NOT(OR(ISERROR(INDIRECT(_xlfn.CONCAT("$I", $F239 + 1))), ISBLANK(INDIRECT(_xlfn.CONCAT("$I", $F239 + 1))))), $F239 + 1, IF(NOT(ISBLANK(INDIRECT(_xlfn.CONCAT("$I", $F239 + 2)))), $F239 + 2, ""))</f>
        <v/>
      </c>
      <c r="I240" s="8" t="inlineStr">
        <is>
          <t>Jurassic World Collection REX</t>
        </is>
      </c>
      <c r="J240" s="8" t="n">
        <v>45</v>
      </c>
      <c r="K240" s="9" t="n">
        <v>45247</v>
      </c>
      <c r="L240" t="inlineStr">
        <is>
          <t>en es fr de it pt ja ko ru 汉语 漢語</t>
        </is>
      </c>
    </row>
    <row r="241" ht="68.25" customHeight="1" s="6">
      <c r="A241" s="1">
        <f t="array" ref="A241">INDIRECT(_xlfn.CONCAT("$I", $F241))</f>
        <v/>
      </c>
      <c r="B241" s="1">
        <f t="array" ref="B241">INDIRECT(_xlfn.CONCAT("$J", $F241))</f>
        <v/>
      </c>
      <c r="C241" s="1">
        <f t="array" ref="C241">INDIRECT(_xlfn.CONCAT("$K", $F241))</f>
        <v/>
      </c>
      <c r="D241" s="1" t="n"/>
      <c r="E241" s="1">
        <f t="array" ref="E241">INDIRECT(_xlfn.CONCAT("$L", $F241))</f>
        <v/>
      </c>
      <c r="F241" s="1">
        <f t="array" ref="F241">IF(NOT(OR(ISERROR(INDIRECT(_xlfn.CONCAT("$I", $F240 + 1))), ISBLANK(INDIRECT(_xlfn.CONCAT("$I", $F240 + 1))))), $F240 + 1, IF(NOT(ISBLANK(INDIRECT(_xlfn.CONCAT("$I", $F240 + 2)))), $F240 + 2, ""))</f>
        <v/>
      </c>
    </row>
    <row r="242" ht="57.75" customHeight="1" s="6">
      <c r="A242" s="1">
        <f t="array" ref="A242">INDIRECT(_xlfn.CONCAT("$I", $F242))</f>
        <v/>
      </c>
      <c r="B242" s="1">
        <f t="array" ref="B242">INDIRECT(_xlfn.CONCAT("$J", $F242))</f>
        <v/>
      </c>
      <c r="C242" s="1">
        <f t="array" ref="C242">INDIRECT(_xlfn.CONCAT("$K", $F242))</f>
        <v/>
      </c>
      <c r="D242" s="1" t="n"/>
      <c r="E242" s="1">
        <f t="array" ref="E242">INDIRECT(_xlfn.CONCAT("$L", $F242))</f>
        <v/>
      </c>
      <c r="F242" s="1">
        <f t="array" ref="F242">IF(NOT(OR(ISERROR(INDIRECT(_xlfn.CONCAT("$I", $F241 + 1))), ISBLANK(INDIRECT(_xlfn.CONCAT("$I", $F241 + 1))))), $F241 + 1, IF(NOT(ISBLANK(INDIRECT(_xlfn.CONCAT("$I", $F241 + 2)))), $F241 + 2, ""))</f>
        <v/>
      </c>
      <c r="I242" s="8" t="inlineStr">
        <is>
          <t>Jurassic World Collection Tokens TREX</t>
        </is>
      </c>
      <c r="J242" s="8" t="n">
        <v>2</v>
      </c>
      <c r="K242" s="9" t="n">
        <v>45247</v>
      </c>
      <c r="L242" s="8" t="inlineStr">
        <is>
          <t>en es fr de it pt ja ko ru 汉语 漢語</t>
        </is>
      </c>
    </row>
    <row r="243" ht="57.75" customHeight="1" s="6">
      <c r="A243" s="1">
        <f t="array" ref="A243">INDIRECT(_xlfn.CONCAT("$I", $F243))</f>
        <v/>
      </c>
      <c r="B243" s="1">
        <f t="array" ref="B243">INDIRECT(_xlfn.CONCAT("$J", $F243))</f>
        <v/>
      </c>
      <c r="C243" s="1">
        <f t="array" ref="C243">INDIRECT(_xlfn.CONCAT("$K", $F243))</f>
        <v/>
      </c>
      <c r="D243" s="1" t="n"/>
      <c r="E243" s="1">
        <f t="array" ref="E243">INDIRECT(_xlfn.CONCAT("$L", $F243))</f>
        <v/>
      </c>
      <c r="F243" s="1">
        <f t="array" ref="F243">IF(NOT(OR(ISERROR(INDIRECT(_xlfn.CONCAT("$I", $F242 + 1))), ISBLANK(INDIRECT(_xlfn.CONCAT("$I", $F242 + 1))))), $F242 + 1, IF(NOT(ISBLANK(INDIRECT(_xlfn.CONCAT("$I", $F242 + 2)))), $F242 + 2, ""))</f>
        <v/>
      </c>
    </row>
    <row r="244" ht="57.75" customHeight="1" s="6">
      <c r="A244" s="1">
        <f t="array" ref="A244">INDIRECT(_xlfn.CONCAT("$I", $F244))</f>
        <v/>
      </c>
      <c r="B244" s="1">
        <f t="array" ref="B244">INDIRECT(_xlfn.CONCAT("$J", $F244))</f>
        <v/>
      </c>
      <c r="C244" s="1">
        <f t="array" ref="C244">INDIRECT(_xlfn.CONCAT("$K", $F244))</f>
        <v/>
      </c>
      <c r="D244" s="1" t="n"/>
      <c r="E244" s="1">
        <f t="array" ref="E244">INDIRECT(_xlfn.CONCAT("$L", $F244))</f>
        <v/>
      </c>
      <c r="F244" s="1">
        <f t="array" ref="F244">IF(NOT(OR(ISERROR(INDIRECT(_xlfn.CONCAT("$I", $F243 + 1))), ISBLANK(INDIRECT(_xlfn.CONCAT("$I", $F243 + 1))))), $F243 + 1, IF(NOT(ISBLANK(INDIRECT(_xlfn.CONCAT("$I", $F243 + 2)))), $F243 + 2, ""))</f>
        <v/>
      </c>
      <c r="I244" s="8" t="inlineStr">
        <is>
          <t>The Lost Caverns of Ixalan Commander LCC</t>
        </is>
      </c>
      <c r="J244" s="8" t="n">
        <v>370</v>
      </c>
      <c r="K244" s="9" t="n">
        <v>45247</v>
      </c>
      <c r="L244" t="inlineStr">
        <is>
          <t>en es fr de it pt ja ko ru 汉语 漢語</t>
        </is>
      </c>
    </row>
    <row r="245" ht="57.75" customHeight="1" s="6">
      <c r="A245" s="1">
        <f t="array" ref="A245">INDIRECT(_xlfn.CONCAT("$I", $F245))</f>
        <v/>
      </c>
      <c r="B245" s="1">
        <f t="array" ref="B245">INDIRECT(_xlfn.CONCAT("$J", $F245))</f>
        <v/>
      </c>
      <c r="C245" s="1">
        <f t="array" ref="C245">INDIRECT(_xlfn.CONCAT("$K", $F245))</f>
        <v/>
      </c>
      <c r="D245" s="1" t="n"/>
      <c r="E245" s="1">
        <f t="array" ref="E245">INDIRECT(_xlfn.CONCAT("$L", $F245))</f>
        <v/>
      </c>
      <c r="F245" s="1">
        <f t="array" ref="F245">IF(NOT(OR(ISERROR(INDIRECT(_xlfn.CONCAT("$I", $F244 + 1))), ISBLANK(INDIRECT(_xlfn.CONCAT("$I", $F244 + 1))))), $F244 + 1, IF(NOT(ISBLANK(INDIRECT(_xlfn.CONCAT("$I", $F244 + 2)))), $F244 + 2, ""))</f>
        <v/>
      </c>
    </row>
    <row r="246" ht="57.75" customHeight="1" s="6">
      <c r="A246" s="1">
        <f t="array" ref="A246">INDIRECT(_xlfn.CONCAT("$I", $F246))</f>
        <v/>
      </c>
      <c r="B246" s="1">
        <f t="array" ref="B246">INDIRECT(_xlfn.CONCAT("$J", $F246))</f>
        <v/>
      </c>
      <c r="C246" s="1">
        <f t="array" ref="C246">INDIRECT(_xlfn.CONCAT("$K", $F246))</f>
        <v/>
      </c>
      <c r="D246" s="1" t="n"/>
      <c r="E246" s="1">
        <f t="array" ref="E246">INDIRECT(_xlfn.CONCAT("$L", $F246))</f>
        <v/>
      </c>
      <c r="F246" s="1">
        <f t="array" ref="F246">IF(NOT(OR(ISERROR(INDIRECT(_xlfn.CONCAT("$I", $F245 + 1))), ISBLANK(INDIRECT(_xlfn.CONCAT("$I", $F245 + 1))))), $F245 + 1, IF(NOT(ISBLANK(INDIRECT(_xlfn.CONCAT("$I", $F245 + 2)))), $F245 + 2, ""))</f>
        <v/>
      </c>
      <c r="I246" s="8" t="inlineStr">
        <is>
          <t>The Lost Caverns of Ixalan Commander Tokens TLCC</t>
        </is>
      </c>
      <c r="J246" s="8" t="n">
        <v>18</v>
      </c>
      <c r="K246" s="9" t="n">
        <v>45247</v>
      </c>
      <c r="L246" s="8" t="inlineStr">
        <is>
          <t>en es fr de it pt ja ko ru 汉语 漢語</t>
        </is>
      </c>
    </row>
    <row r="247" ht="81" customHeight="1" s="6">
      <c r="A247" s="1">
        <f t="array" ref="A247">INDIRECT(_xlfn.CONCAT("$I", $F247))</f>
        <v/>
      </c>
      <c r="B247" s="1">
        <f t="array" ref="B247">INDIRECT(_xlfn.CONCAT("$J", $F247))</f>
        <v/>
      </c>
      <c r="C247" s="1">
        <f t="array" ref="C247">INDIRECT(_xlfn.CONCAT("$K", $F247))</f>
        <v/>
      </c>
      <c r="D247" s="1" t="n"/>
      <c r="E247" s="1">
        <f t="array" ref="E247">INDIRECT(_xlfn.CONCAT("$L", $F247))</f>
        <v/>
      </c>
      <c r="F247" s="1">
        <f t="array" ref="F247">IF(NOT(OR(ISERROR(INDIRECT(_xlfn.CONCAT("$I", $F246 + 1))), ISBLANK(INDIRECT(_xlfn.CONCAT("$I", $F246 + 1))))), $F246 + 1, IF(NOT(ISBLANK(INDIRECT(_xlfn.CONCAT("$I", $F246 + 2)))), $F246 + 2, ""))</f>
        <v/>
      </c>
    </row>
    <row r="248" ht="57.75" customHeight="1" s="6">
      <c r="A248" s="1">
        <f t="array" ref="A248">INDIRECT(_xlfn.CONCAT("$I", $F248))</f>
        <v/>
      </c>
      <c r="B248" s="1">
        <f t="array" ref="B248">INDIRECT(_xlfn.CONCAT("$J", $F248))</f>
        <v/>
      </c>
      <c r="C248" s="1">
        <f t="array" ref="C248">INDIRECT(_xlfn.CONCAT("$K", $F248))</f>
        <v/>
      </c>
      <c r="D248" s="1" t="n"/>
      <c r="E248" s="1">
        <f t="array" ref="E248">INDIRECT(_xlfn.CONCAT("$L", $F248))</f>
        <v/>
      </c>
      <c r="F248" s="1">
        <f t="array" ref="F248">IF(NOT(OR(ISERROR(INDIRECT(_xlfn.CONCAT("$I", $F247 + 1))), ISBLANK(INDIRECT(_xlfn.CONCAT("$I", $F247 + 1))))), $F247 + 1, IF(NOT(ISBLANK(INDIRECT(_xlfn.CONCAT("$I", $F247 + 2)))), $F247 + 2, ""))</f>
        <v/>
      </c>
      <c r="I248" s="8" t="inlineStr">
        <is>
          <t>Doctor Who WHO</t>
        </is>
      </c>
      <c r="J248" s="8" t="n">
        <v>1178</v>
      </c>
      <c r="K248" s="9" t="n">
        <v>45212</v>
      </c>
      <c r="L248" t="inlineStr">
        <is>
          <t>en es fr de it pt ja ko ru 汉语 漢語</t>
        </is>
      </c>
    </row>
    <row r="249" ht="57.75" customHeight="1" s="6">
      <c r="A249" s="1">
        <f t="array" ref="A249">INDIRECT(_xlfn.CONCAT("$I", $F249))</f>
        <v/>
      </c>
      <c r="B249" s="1">
        <f t="array" ref="B249">INDIRECT(_xlfn.CONCAT("$J", $F249))</f>
        <v/>
      </c>
      <c r="C249" s="1">
        <f t="array" ref="C249">INDIRECT(_xlfn.CONCAT("$K", $F249))</f>
        <v/>
      </c>
      <c r="D249" s="1" t="n"/>
      <c r="E249" s="1">
        <f t="array" ref="E249">INDIRECT(_xlfn.CONCAT("$L", $F249))</f>
        <v/>
      </c>
      <c r="F249" s="1">
        <f t="array" ref="F249">IF(NOT(OR(ISERROR(INDIRECT(_xlfn.CONCAT("$I", $F248 + 1))), ISBLANK(INDIRECT(_xlfn.CONCAT("$I", $F248 + 1))))), $F248 + 1, IF(NOT(ISBLANK(INDIRECT(_xlfn.CONCAT("$I", $F248 + 2)))), $F248 + 2, ""))</f>
        <v/>
      </c>
    </row>
    <row r="250" ht="57.75" customHeight="1" s="6">
      <c r="A250" s="1">
        <f t="array" ref="A250">INDIRECT(_xlfn.CONCAT("$I", $F250))</f>
        <v/>
      </c>
      <c r="B250" s="1">
        <f t="array" ref="B250">INDIRECT(_xlfn.CONCAT("$J", $F250))</f>
        <v/>
      </c>
      <c r="C250" s="1">
        <f t="array" ref="C250">INDIRECT(_xlfn.CONCAT("$K", $F250))</f>
        <v/>
      </c>
      <c r="D250" s="1" t="n"/>
      <c r="E250" s="1">
        <f t="array" ref="E250">INDIRECT(_xlfn.CONCAT("$L", $F250))</f>
        <v/>
      </c>
      <c r="F250" s="1">
        <f t="array" ref="F250">IF(NOT(OR(ISERROR(INDIRECT(_xlfn.CONCAT("$I", $F249 + 1))), ISBLANK(INDIRECT(_xlfn.CONCAT("$I", $F249 + 1))))), $F249 + 1, IF(NOT(ISBLANK(INDIRECT(_xlfn.CONCAT("$I", $F249 + 2)))), $F249 + 2, ""))</f>
        <v/>
      </c>
      <c r="I250" s="8" t="inlineStr">
        <is>
          <t>Doctor Who Tokens TWHO</t>
        </is>
      </c>
      <c r="J250" s="8" t="n">
        <v>64</v>
      </c>
      <c r="K250" s="9" t="n">
        <v>45212</v>
      </c>
      <c r="L250" s="8" t="inlineStr">
        <is>
          <t>en es fr de it pt ja ko ru 汉语 漢語</t>
        </is>
      </c>
    </row>
    <row r="251" ht="57.75" customHeight="1" s="6">
      <c r="A251" s="1">
        <f t="array" ref="A251">INDIRECT(_xlfn.CONCAT("$I", $F251))</f>
        <v/>
      </c>
      <c r="B251" s="1">
        <f t="array" ref="B251">INDIRECT(_xlfn.CONCAT("$J", $F251))</f>
        <v/>
      </c>
      <c r="C251" s="1">
        <f t="array" ref="C251">INDIRECT(_xlfn.CONCAT("$K", $F251))</f>
        <v/>
      </c>
      <c r="D251" s="1" t="n"/>
      <c r="E251" s="1">
        <f t="array" ref="E251">INDIRECT(_xlfn.CONCAT("$L", $F251))</f>
        <v/>
      </c>
      <c r="F251" s="1">
        <f t="array" ref="F251">IF(NOT(OR(ISERROR(INDIRECT(_xlfn.CONCAT("$I", $F250 + 1))), ISBLANK(INDIRECT(_xlfn.CONCAT("$I", $F250 + 1))))), $F250 + 1, IF(NOT(ISBLANK(INDIRECT(_xlfn.CONCAT("$I", $F250 + 2)))), $F250 + 2, ""))</f>
        <v/>
      </c>
    </row>
    <row r="252" ht="81" customHeight="1" s="6">
      <c r="A252" s="1">
        <f t="array" ref="A252">INDIRECT(_xlfn.CONCAT("$I", $F252))</f>
        <v/>
      </c>
      <c r="B252" s="1">
        <f t="array" ref="B252">INDIRECT(_xlfn.CONCAT("$J", $F252))</f>
        <v/>
      </c>
      <c r="C252" s="1">
        <f t="array" ref="C252">INDIRECT(_xlfn.CONCAT("$K", $F252))</f>
        <v/>
      </c>
      <c r="D252" s="1" t="n"/>
      <c r="E252" s="1">
        <f t="array" ref="E252">INDIRECT(_xlfn.CONCAT("$L", $F252))</f>
        <v/>
      </c>
      <c r="F252" s="1">
        <f t="array" ref="F252">IF(NOT(OR(ISERROR(INDIRECT(_xlfn.CONCAT("$I", $F251 + 1))), ISBLANK(INDIRECT(_xlfn.CONCAT("$I", $F251 + 1))))), $F251 + 1, IF(NOT(ISBLANK(INDIRECT(_xlfn.CONCAT("$I", $F251 + 2)))), $F251 + 2, ""))</f>
        <v/>
      </c>
      <c r="I252" s="8" t="inlineStr">
        <is>
          <t>Magic × Duel Masters Promos PMDA</t>
        </is>
      </c>
      <c r="J252" s="8" t="n">
        <v>4</v>
      </c>
      <c r="K252" s="9" t="n">
        <v>45177</v>
      </c>
      <c r="L252" s="8" t="inlineStr">
        <is>
          <t>en es fr de it pt ja ko ru 汉语 漢語</t>
        </is>
      </c>
    </row>
    <row r="253" ht="81" customHeight="1" s="6">
      <c r="A253" s="1">
        <f t="array" ref="A253">INDIRECT(_xlfn.CONCAT("$I", $F253))</f>
        <v/>
      </c>
      <c r="B253" s="1">
        <f t="array" ref="B253">INDIRECT(_xlfn.CONCAT("$J", $F253))</f>
        <v/>
      </c>
      <c r="C253" s="1">
        <f t="array" ref="C253">INDIRECT(_xlfn.CONCAT("$K", $F253))</f>
        <v/>
      </c>
      <c r="D253" s="1" t="n"/>
      <c r="E253" s="1">
        <f t="array" ref="E253">INDIRECT(_xlfn.CONCAT("$L", $F253))</f>
        <v/>
      </c>
      <c r="F253" s="1">
        <f t="array" ref="F253">IF(NOT(OR(ISERROR(INDIRECT(_xlfn.CONCAT("$I", $F252 + 1))), ISBLANK(INDIRECT(_xlfn.CONCAT("$I", $F252 + 1))))), $F252 + 1, IF(NOT(ISBLANK(INDIRECT(_xlfn.CONCAT("$I", $F252 + 2)))), $F252 + 2, ""))</f>
        <v/>
      </c>
    </row>
    <row r="254" ht="68.25" customHeight="1" s="6">
      <c r="A254" s="1">
        <f t="array" ref="A254">INDIRECT(_xlfn.CONCAT("$I", $F254))</f>
        <v/>
      </c>
      <c r="B254" s="1">
        <f t="array" ref="B254">INDIRECT(_xlfn.CONCAT("$J", $F254))</f>
        <v/>
      </c>
      <c r="C254" s="1">
        <f t="array" ref="C254">INDIRECT(_xlfn.CONCAT("$K", $F254))</f>
        <v/>
      </c>
      <c r="D254" s="1" t="n"/>
      <c r="E254" s="1">
        <f t="array" ref="E254">INDIRECT(_xlfn.CONCAT("$L", $F254))</f>
        <v/>
      </c>
      <c r="F254" s="1">
        <f t="array" ref="F254">IF(NOT(OR(ISERROR(INDIRECT(_xlfn.CONCAT("$I", $F253 + 1))), ISBLANK(INDIRECT(_xlfn.CONCAT("$I", $F253 + 1))))), $F253 + 1, IF(NOT(ISBLANK(INDIRECT(_xlfn.CONCAT("$I", $F253 + 2)))), $F253 + 2, ""))</f>
        <v/>
      </c>
      <c r="I254" s="8" t="inlineStr">
        <is>
          <t>Wilds of Eldraine WOE</t>
        </is>
      </c>
      <c r="J254" s="8" t="n">
        <v>381</v>
      </c>
      <c r="K254" s="9" t="n">
        <v>45177</v>
      </c>
      <c r="L254" t="inlineStr">
        <is>
          <t>en es fr de it pt ja ko ru 汉语 漢語</t>
        </is>
      </c>
    </row>
    <row r="255" ht="57.75" customHeight="1" s="6">
      <c r="A255" s="1">
        <f t="array" ref="A255">INDIRECT(_xlfn.CONCAT("$I", $F255))</f>
        <v/>
      </c>
      <c r="B255" s="1">
        <f t="array" ref="B255">INDIRECT(_xlfn.CONCAT("$J", $F255))</f>
        <v/>
      </c>
      <c r="C255" s="1">
        <f t="array" ref="C255">INDIRECT(_xlfn.CONCAT("$K", $F255))</f>
        <v/>
      </c>
      <c r="D255" s="1" t="n"/>
      <c r="E255" s="1">
        <f t="array" ref="E255">INDIRECT(_xlfn.CONCAT("$L", $F255))</f>
        <v/>
      </c>
      <c r="F255" s="1">
        <f t="array" ref="F255">IF(NOT(OR(ISERROR(INDIRECT(_xlfn.CONCAT("$I", $F254 + 1))), ISBLANK(INDIRECT(_xlfn.CONCAT("$I", $F254 + 1))))), $F254 + 1, IF(NOT(ISBLANK(INDIRECT(_xlfn.CONCAT("$I", $F254 + 2)))), $F254 + 2, ""))</f>
        <v/>
      </c>
    </row>
    <row r="256" ht="57.75" customHeight="1" s="6">
      <c r="A256" s="1">
        <f t="array" ref="A256">INDIRECT(_xlfn.CONCAT("$I", $F256))</f>
        <v/>
      </c>
      <c r="B256" s="1">
        <f t="array" ref="B256">INDIRECT(_xlfn.CONCAT("$J", $F256))</f>
        <v/>
      </c>
      <c r="C256" s="1">
        <f t="array" ref="C256">INDIRECT(_xlfn.CONCAT("$K", $F256))</f>
        <v/>
      </c>
      <c r="D256" s="1" t="n"/>
      <c r="E256" s="1">
        <f t="array" ref="E256">INDIRECT(_xlfn.CONCAT("$L", $F256))</f>
        <v/>
      </c>
      <c r="F256" s="1">
        <f t="array" ref="F256">IF(NOT(OR(ISERROR(INDIRECT(_xlfn.CONCAT("$I", $F255 + 1))), ISBLANK(INDIRECT(_xlfn.CONCAT("$I", $F255 + 1))))), $F255 + 1, IF(NOT(ISBLANK(INDIRECT(_xlfn.CONCAT("$I", $F255 + 2)))), $F255 + 2, ""))</f>
        <v/>
      </c>
      <c r="I256" s="8" t="inlineStr">
        <is>
          <t>Wilds of Eldraine: Enchanting Tales WOT</t>
        </is>
      </c>
      <c r="J256" s="8" t="n">
        <v>103</v>
      </c>
      <c r="K256" s="9" t="n">
        <v>45177</v>
      </c>
      <c r="L256" t="inlineStr">
        <is>
          <t>en es fr de it pt ja ko ru 汉语 漢語</t>
        </is>
      </c>
    </row>
    <row r="257" ht="68.25" customHeight="1" s="6">
      <c r="A257" s="1">
        <f t="array" ref="A257">INDIRECT(_xlfn.CONCAT("$I", $F257))</f>
        <v/>
      </c>
      <c r="B257" s="1">
        <f t="array" ref="B257">INDIRECT(_xlfn.CONCAT("$J", $F257))</f>
        <v/>
      </c>
      <c r="C257" s="1">
        <f t="array" ref="C257">INDIRECT(_xlfn.CONCAT("$K", $F257))</f>
        <v/>
      </c>
      <c r="D257" s="1" t="n"/>
      <c r="E257" s="1">
        <f t="array" ref="E257">INDIRECT(_xlfn.CONCAT("$L", $F257))</f>
        <v/>
      </c>
      <c r="F257" s="1">
        <f t="array" ref="F257">IF(NOT(OR(ISERROR(INDIRECT(_xlfn.CONCAT("$I", $F256 + 1))), ISBLANK(INDIRECT(_xlfn.CONCAT("$I", $F256 + 1))))), $F256 + 1, IF(NOT(ISBLANK(INDIRECT(_xlfn.CONCAT("$I", $F256 + 2)))), $F256 + 2, ""))</f>
        <v/>
      </c>
    </row>
    <row r="258" ht="57.75" customHeight="1" s="6">
      <c r="A258" s="1">
        <f t="array" ref="A258">INDIRECT(_xlfn.CONCAT("$I", $F258))</f>
        <v/>
      </c>
      <c r="B258" s="1">
        <f t="array" ref="B258">INDIRECT(_xlfn.CONCAT("$J", $F258))</f>
        <v/>
      </c>
      <c r="C258" s="1">
        <f t="array" ref="C258">INDIRECT(_xlfn.CONCAT("$K", $F258))</f>
        <v/>
      </c>
      <c r="D258" s="1" t="n"/>
      <c r="E258" s="1">
        <f t="array" ref="E258">INDIRECT(_xlfn.CONCAT("$L", $F258))</f>
        <v/>
      </c>
      <c r="F258" s="1">
        <f t="array" ref="F258">IF(NOT(OR(ISERROR(INDIRECT(_xlfn.CONCAT("$I", $F257 + 1))), ISBLANK(INDIRECT(_xlfn.CONCAT("$I", $F257 + 1))))), $F257 + 1, IF(NOT(ISBLANK(INDIRECT(_xlfn.CONCAT("$I", $F257 + 2)))), $F257 + 2, ""))</f>
        <v/>
      </c>
      <c r="I258" s="8" t="inlineStr">
        <is>
          <t>Wilds of Eldraine Promos PWOE</t>
        </is>
      </c>
      <c r="J258" s="8" t="n">
        <v>160</v>
      </c>
      <c r="K258" s="9" t="n">
        <v>45177</v>
      </c>
      <c r="L258" s="8" t="inlineStr">
        <is>
          <t>en es fr de it pt ja ko ru 汉语 漢語</t>
        </is>
      </c>
    </row>
    <row r="259" ht="57.75" customHeight="1" s="6">
      <c r="A259" s="1">
        <f t="array" ref="A259">INDIRECT(_xlfn.CONCAT("$I", $F259))</f>
        <v/>
      </c>
      <c r="B259" s="1">
        <f t="array" ref="B259">INDIRECT(_xlfn.CONCAT("$J", $F259))</f>
        <v/>
      </c>
      <c r="C259" s="1">
        <f t="array" ref="C259">INDIRECT(_xlfn.CONCAT("$K", $F259))</f>
        <v/>
      </c>
      <c r="D259" s="1" t="n"/>
      <c r="E259" s="1">
        <f t="array" ref="E259">INDIRECT(_xlfn.CONCAT("$L", $F259))</f>
        <v/>
      </c>
      <c r="F259" s="1">
        <f t="array" ref="F259">IF(NOT(OR(ISERROR(INDIRECT(_xlfn.CONCAT("$I", $F258 + 1))), ISBLANK(INDIRECT(_xlfn.CONCAT("$I", $F258 + 1))))), $F258 + 1, IF(NOT(ISBLANK(INDIRECT(_xlfn.CONCAT("$I", $F258 + 2)))), $F258 + 2, ""))</f>
        <v/>
      </c>
    </row>
    <row r="260" ht="57.75" customHeight="1" s="6">
      <c r="A260" s="1">
        <f t="array" ref="A260">INDIRECT(_xlfn.CONCAT("$I", $F260))</f>
        <v/>
      </c>
      <c r="B260" s="1">
        <f t="array" ref="B260">INDIRECT(_xlfn.CONCAT("$J", $F260))</f>
        <v/>
      </c>
      <c r="C260" s="1">
        <f t="array" ref="C260">INDIRECT(_xlfn.CONCAT("$K", $F260))</f>
        <v/>
      </c>
      <c r="D260" s="1" t="n"/>
      <c r="E260" s="1">
        <f t="array" ref="E260">INDIRECT(_xlfn.CONCAT("$L", $F260))</f>
        <v/>
      </c>
      <c r="F260" s="1">
        <f t="array" ref="F260">IF(NOT(OR(ISERROR(INDIRECT(_xlfn.CONCAT("$I", $F259 + 1))), ISBLANK(INDIRECT(_xlfn.CONCAT("$I", $F259 + 1))))), $F259 + 1, IF(NOT(ISBLANK(INDIRECT(_xlfn.CONCAT("$I", $F259 + 2)))), $F259 + 2, ""))</f>
        <v/>
      </c>
      <c r="I260" s="8" t="inlineStr">
        <is>
          <t>Wilds of Eldraine Tokens TWOE</t>
        </is>
      </c>
      <c r="J260" s="8" t="n">
        <v>18</v>
      </c>
      <c r="K260" s="9" t="n">
        <v>45177</v>
      </c>
      <c r="L260" s="8" t="inlineStr">
        <is>
          <t>en es fr de it pt ja ko ru 汉语 漢語</t>
        </is>
      </c>
    </row>
    <row r="261" ht="57.75" customHeight="1" s="6">
      <c r="A261" s="1">
        <f t="array" ref="A261">INDIRECT(_xlfn.CONCAT("$I", $F261))</f>
        <v/>
      </c>
      <c r="B261" s="1">
        <f t="array" ref="B261">INDIRECT(_xlfn.CONCAT("$J", $F261))</f>
        <v/>
      </c>
      <c r="C261" s="1">
        <f t="array" ref="C261">INDIRECT(_xlfn.CONCAT("$K", $F261))</f>
        <v/>
      </c>
      <c r="D261" s="1" t="n"/>
      <c r="E261" s="1">
        <f t="array" ref="E261">INDIRECT(_xlfn.CONCAT("$L", $F261))</f>
        <v/>
      </c>
      <c r="F261" s="1">
        <f t="array" ref="F261">IF(NOT(OR(ISERROR(INDIRECT(_xlfn.CONCAT("$I", $F260 + 1))), ISBLANK(INDIRECT(_xlfn.CONCAT("$I", $F260 + 1))))), $F260 + 1, IF(NOT(ISBLANK(INDIRECT(_xlfn.CONCAT("$I", $F260 + 2)))), $F260 + 2, ""))</f>
        <v/>
      </c>
    </row>
    <row r="262" ht="57.75" customHeight="1" s="6">
      <c r="A262" s="1">
        <f t="array" ref="A262">INDIRECT(_xlfn.CONCAT("$I", $F262))</f>
        <v/>
      </c>
      <c r="B262" s="1">
        <f t="array" ref="B262">INDIRECT(_xlfn.CONCAT("$J", $F262))</f>
        <v/>
      </c>
      <c r="C262" s="1">
        <f t="array" ref="C262">INDIRECT(_xlfn.CONCAT("$K", $F262))</f>
        <v/>
      </c>
      <c r="D262" s="1" t="n"/>
      <c r="E262" s="1">
        <f t="array" ref="E262">INDIRECT(_xlfn.CONCAT("$L", $F262))</f>
        <v/>
      </c>
      <c r="F262" s="1">
        <f t="array" ref="F262">IF(NOT(OR(ISERROR(INDIRECT(_xlfn.CONCAT("$I", $F261 + 1))), ISBLANK(INDIRECT(_xlfn.CONCAT("$I", $F261 + 1))))), $F261 + 1, IF(NOT(ISBLANK(INDIRECT(_xlfn.CONCAT("$I", $F261 + 2)))), $F261 + 2, ""))</f>
        <v/>
      </c>
      <c r="I262" s="8" t="inlineStr">
        <is>
          <t>Alchemy: Wilds of Eldraine YWOE</t>
        </is>
      </c>
      <c r="J262" s="8" t="n">
        <v>30</v>
      </c>
      <c r="K262" s="9" t="n">
        <v>45209</v>
      </c>
      <c r="L262" s="8" t="inlineStr">
        <is>
          <t>en es fr de it pt ja ko ru 汉语 漢語</t>
        </is>
      </c>
    </row>
    <row r="263" ht="57.75" customHeight="1" s="6">
      <c r="A263" s="1">
        <f t="array" ref="A263">INDIRECT(_xlfn.CONCAT("$I", $F263))</f>
        <v/>
      </c>
      <c r="B263" s="1">
        <f t="array" ref="B263">INDIRECT(_xlfn.CONCAT("$J", $F263))</f>
        <v/>
      </c>
      <c r="C263" s="1">
        <f t="array" ref="C263">INDIRECT(_xlfn.CONCAT("$K", $F263))</f>
        <v/>
      </c>
      <c r="D263" s="1" t="n"/>
      <c r="E263" s="1">
        <f t="array" ref="E263">INDIRECT(_xlfn.CONCAT("$L", $F263))</f>
        <v/>
      </c>
      <c r="F263" s="1">
        <f t="array" ref="F263">IF(NOT(OR(ISERROR(INDIRECT(_xlfn.CONCAT("$I", $F262 + 1))), ISBLANK(INDIRECT(_xlfn.CONCAT("$I", $F262 + 1))))), $F262 + 1, IF(NOT(ISBLANK(INDIRECT(_xlfn.CONCAT("$I", $F262 + 2)))), $F262 + 2, ""))</f>
        <v/>
      </c>
    </row>
    <row r="264" ht="57.75" customHeight="1" s="6">
      <c r="A264" s="1">
        <f t="array" ref="A264">INDIRECT(_xlfn.CONCAT("$I", $F264))</f>
        <v/>
      </c>
      <c r="B264" s="1">
        <f t="array" ref="B264">INDIRECT(_xlfn.CONCAT("$J", $F264))</f>
        <v/>
      </c>
      <c r="C264" s="1">
        <f t="array" ref="C264">INDIRECT(_xlfn.CONCAT("$K", $F264))</f>
        <v/>
      </c>
      <c r="D264" s="1" t="n"/>
      <c r="E264" s="1">
        <f t="array" ref="E264">INDIRECT(_xlfn.CONCAT("$L", $F264))</f>
        <v/>
      </c>
      <c r="F264" s="1">
        <f t="array" ref="F264">IF(NOT(OR(ISERROR(INDIRECT(_xlfn.CONCAT("$I", $F263 + 1))), ISBLANK(INDIRECT(_xlfn.CONCAT("$I", $F263 + 1))))), $F263 + 1, IF(NOT(ISBLANK(INDIRECT(_xlfn.CONCAT("$I", $F263 + 2)))), $F263 + 2, ""))</f>
        <v/>
      </c>
      <c r="I264" s="8" t="inlineStr">
        <is>
          <t>Wilds of Eldraine Commander WOC</t>
        </is>
      </c>
      <c r="J264" s="8" t="n">
        <v>173</v>
      </c>
      <c r="K264" s="9" t="n">
        <v>45177</v>
      </c>
      <c r="L264" t="inlineStr">
        <is>
          <t>en es fr de it pt ja ko ru 汉语 漢語</t>
        </is>
      </c>
    </row>
    <row r="265" ht="68.25" customHeight="1" s="6">
      <c r="A265" s="1">
        <f t="array" ref="A265">INDIRECT(_xlfn.CONCAT("$I", $F265))</f>
        <v/>
      </c>
      <c r="B265" s="1">
        <f t="array" ref="B265">INDIRECT(_xlfn.CONCAT("$J", $F265))</f>
        <v/>
      </c>
      <c r="C265" s="1">
        <f t="array" ref="C265">INDIRECT(_xlfn.CONCAT("$K", $F265))</f>
        <v/>
      </c>
      <c r="D265" s="1" t="n"/>
      <c r="E265" s="1">
        <f t="array" ref="E265">INDIRECT(_xlfn.CONCAT("$L", $F265))</f>
        <v/>
      </c>
      <c r="F265" s="1">
        <f t="array" ref="F265">IF(NOT(OR(ISERROR(INDIRECT(_xlfn.CONCAT("$I", $F264 + 1))), ISBLANK(INDIRECT(_xlfn.CONCAT("$I", $F264 + 1))))), $F264 + 1, IF(NOT(ISBLANK(INDIRECT(_xlfn.CONCAT("$I", $F264 + 2)))), $F264 + 2, ""))</f>
        <v/>
      </c>
    </row>
    <row r="266" ht="57.75" customHeight="1" s="6">
      <c r="A266" s="1">
        <f t="array" ref="A266">INDIRECT(_xlfn.CONCAT("$I", $F266))</f>
        <v/>
      </c>
      <c r="B266" s="1">
        <f t="array" ref="B266">INDIRECT(_xlfn.CONCAT("$J", $F266))</f>
        <v/>
      </c>
      <c r="C266" s="1">
        <f t="array" ref="C266">INDIRECT(_xlfn.CONCAT("$K", $F266))</f>
        <v/>
      </c>
      <c r="D266" s="1" t="n"/>
      <c r="E266" s="1">
        <f t="array" ref="E266">INDIRECT(_xlfn.CONCAT("$L", $F266))</f>
        <v/>
      </c>
      <c r="F266" s="1">
        <f t="array" ref="F266">IF(NOT(OR(ISERROR(INDIRECT(_xlfn.CONCAT("$I", $F265 + 1))), ISBLANK(INDIRECT(_xlfn.CONCAT("$I", $F265 + 1))))), $F265 + 1, IF(NOT(ISBLANK(INDIRECT(_xlfn.CONCAT("$I", $F265 + 2)))), $F265 + 2, ""))</f>
        <v/>
      </c>
      <c r="I266" s="8" t="inlineStr">
        <is>
          <t>Wilds of Eldraine Commander Tokens TWOC</t>
        </is>
      </c>
      <c r="J266" s="8" t="n">
        <v>10</v>
      </c>
      <c r="K266" s="9" t="n">
        <v>45177</v>
      </c>
      <c r="L266" s="8" t="inlineStr">
        <is>
          <t>en es fr de it pt ja ko ru 汉语 漢語</t>
        </is>
      </c>
    </row>
    <row r="267" ht="57.75" customHeight="1" s="6">
      <c r="A267" s="1">
        <f t="array" ref="A267">INDIRECT(_xlfn.CONCAT("$I", $F267))</f>
        <v/>
      </c>
      <c r="B267" s="1">
        <f t="array" ref="B267">INDIRECT(_xlfn.CONCAT("$J", $F267))</f>
        <v/>
      </c>
      <c r="C267" s="1">
        <f t="array" ref="C267">INDIRECT(_xlfn.CONCAT("$K", $F267))</f>
        <v/>
      </c>
      <c r="D267" s="1" t="n"/>
      <c r="E267" s="1">
        <f t="array" ref="E267">INDIRECT(_xlfn.CONCAT("$L", $F267))</f>
        <v/>
      </c>
      <c r="F267" s="1">
        <f t="array" ref="F267">IF(NOT(OR(ISERROR(INDIRECT(_xlfn.CONCAT("$I", $F266 + 1))), ISBLANK(INDIRECT(_xlfn.CONCAT("$I", $F266 + 1))))), $F266 + 1, IF(NOT(ISBLANK(INDIRECT(_xlfn.CONCAT("$I", $F266 + 2)))), $F266 + 2, ""))</f>
        <v/>
      </c>
    </row>
    <row r="268" ht="81" customHeight="1" s="6">
      <c r="A268" s="1">
        <f t="array" ref="A268">INDIRECT(_xlfn.CONCAT("$I", $F268))</f>
        <v/>
      </c>
      <c r="B268" s="1">
        <f t="array" ref="B268">INDIRECT(_xlfn.CONCAT("$J", $F268))</f>
        <v/>
      </c>
      <c r="C268" s="1">
        <f t="array" ref="C268">INDIRECT(_xlfn.CONCAT("$K", $F268))</f>
        <v/>
      </c>
      <c r="D268" s="1" t="n"/>
      <c r="E268" s="1">
        <f t="array" ref="E268">INDIRECT(_xlfn.CONCAT("$L", $F268))</f>
        <v/>
      </c>
      <c r="F268" s="1">
        <f t="array" ref="F268">IF(NOT(OR(ISERROR(INDIRECT(_xlfn.CONCAT("$I", $F267 + 1))), ISBLANK(INDIRECT(_xlfn.CONCAT("$I", $F267 + 1))))), $F267 + 1, IF(NOT(ISBLANK(INDIRECT(_xlfn.CONCAT("$I", $F267 + 2)))), $F267 + 2, ""))</f>
        <v/>
      </c>
      <c r="I268" s="8" t="inlineStr">
        <is>
          <t>WOE Japanese Promo Tokens WWOE</t>
        </is>
      </c>
      <c r="J268" s="8" t="n">
        <v>6</v>
      </c>
      <c r="K268" s="9" t="n">
        <v>45177</v>
      </c>
      <c r="L268" s="8" t="inlineStr">
        <is>
          <t>en es fr de it pt ja ko ru 汉语 漢語</t>
        </is>
      </c>
    </row>
    <row r="269" ht="68.25" customHeight="1" s="6">
      <c r="A269" s="1">
        <f t="array" ref="A269">INDIRECT(_xlfn.CONCAT("$I", $F269))</f>
        <v/>
      </c>
      <c r="B269" s="1">
        <f t="array" ref="B269">INDIRECT(_xlfn.CONCAT("$J", $F269))</f>
        <v/>
      </c>
      <c r="C269" s="1">
        <f t="array" ref="C269">INDIRECT(_xlfn.CONCAT("$K", $F269))</f>
        <v/>
      </c>
      <c r="D269" s="1" t="n"/>
      <c r="E269" s="1">
        <f t="array" ref="E269">INDIRECT(_xlfn.CONCAT("$L", $F269))</f>
        <v/>
      </c>
      <c r="F269" s="1">
        <f t="array" ref="F269">IF(NOT(OR(ISERROR(INDIRECT(_xlfn.CONCAT("$I", $F268 + 1))), ISBLANK(INDIRECT(_xlfn.CONCAT("$I", $F268 + 1))))), $F268 + 1, IF(NOT(ISBLANK(INDIRECT(_xlfn.CONCAT("$I", $F268 + 2)))), $F268 + 2, ""))</f>
        <v/>
      </c>
    </row>
    <row r="270" ht="68.25" customHeight="1" s="6">
      <c r="A270" s="1">
        <f t="array" ref="A270">INDIRECT(_xlfn.CONCAT("$I", $F270))</f>
        <v/>
      </c>
      <c r="B270" s="1">
        <f t="array" ref="B270">INDIRECT(_xlfn.CONCAT("$J", $F270))</f>
        <v/>
      </c>
      <c r="C270" s="1">
        <f t="array" ref="C270">INDIRECT(_xlfn.CONCAT("$K", $F270))</f>
        <v/>
      </c>
      <c r="D270" s="1" t="n"/>
      <c r="E270" s="1">
        <f t="array" ref="E270">INDIRECT(_xlfn.CONCAT("$L", $F270))</f>
        <v/>
      </c>
      <c r="F270" s="1">
        <f t="array" ref="F270">IF(NOT(OR(ISERROR(INDIRECT(_xlfn.CONCAT("$I", $F269 + 1))), ISBLANK(INDIRECT(_xlfn.CONCAT("$I", $F269 + 1))))), $F269 + 1, IF(NOT(ISBLANK(INDIRECT(_xlfn.CONCAT("$I", $F269 + 2)))), $F269 + 2, ""))</f>
        <v/>
      </c>
      <c r="I270" s="8" t="inlineStr">
        <is>
          <t>Wilds of Eldraine Art Series AWOE</t>
        </is>
      </c>
      <c r="J270" s="8" t="n">
        <v>81</v>
      </c>
      <c r="K270" s="9" t="n">
        <v>45177</v>
      </c>
      <c r="L270" s="8" t="inlineStr">
        <is>
          <t>en es fr de it pt ja ko ru 汉语 漢語</t>
        </is>
      </c>
    </row>
    <row r="271" ht="108" customHeight="1" s="6">
      <c r="A271" s="1">
        <f t="array" ref="A271">INDIRECT(_xlfn.CONCAT("$I", $F271))</f>
        <v/>
      </c>
      <c r="B271" s="1">
        <f t="array" ref="B271">INDIRECT(_xlfn.CONCAT("$J", $F271))</f>
        <v/>
      </c>
      <c r="C271" s="1">
        <f t="array" ref="C271">INDIRECT(_xlfn.CONCAT("$K", $F271))</f>
        <v/>
      </c>
      <c r="D271" s="1" t="n"/>
      <c r="E271" s="1">
        <f t="array" ref="E271">INDIRECT(_xlfn.CONCAT("$L", $F271))</f>
        <v/>
      </c>
      <c r="F271" s="1">
        <f t="array" ref="F271">IF(NOT(OR(ISERROR(INDIRECT(_xlfn.CONCAT("$I", $F270 + 1))), ISBLANK(INDIRECT(_xlfn.CONCAT("$I", $F270 + 1))))), $F270 + 1, IF(NOT(ISBLANK(INDIRECT(_xlfn.CONCAT("$I", $F270 + 2)))), $F270 + 2, ""))</f>
        <v/>
      </c>
    </row>
    <row r="272" ht="81" customHeight="1" s="6">
      <c r="A272" s="1">
        <f t="array" ref="A272">INDIRECT(_xlfn.CONCAT("$I", $F272))</f>
        <v/>
      </c>
      <c r="B272" s="1">
        <f t="array" ref="B272">INDIRECT(_xlfn.CONCAT("$J", $F272))</f>
        <v/>
      </c>
      <c r="C272" s="1">
        <f t="array" ref="C272">INDIRECT(_xlfn.CONCAT("$K", $F272))</f>
        <v/>
      </c>
      <c r="D272" s="1" t="n"/>
      <c r="E272" s="1">
        <f t="array" ref="E272">INDIRECT(_xlfn.CONCAT("$L", $F272))</f>
        <v/>
      </c>
      <c r="F272" s="1">
        <f t="array" ref="F272">IF(NOT(OR(ISERROR(INDIRECT(_xlfn.CONCAT("$I", $F271 + 1))), ISBLANK(INDIRECT(_xlfn.CONCAT("$I", $F271 + 1))))), $F271 + 1, IF(NOT(ISBLANK(INDIRECT(_xlfn.CONCAT("$I", $F271 + 2)))), $F271 + 2, ""))</f>
        <v/>
      </c>
      <c r="I272" s="8" t="inlineStr">
        <is>
          <t>Commander Masters CMM</t>
        </is>
      </c>
      <c r="J272" s="8" t="n">
        <v>1067</v>
      </c>
      <c r="K272" s="9" t="n">
        <v>45142</v>
      </c>
      <c r="L272" t="inlineStr">
        <is>
          <t>en es fr de it pt ja ko ru 汉语 漢語</t>
        </is>
      </c>
    </row>
    <row r="273" ht="68.25" customHeight="1" s="6">
      <c r="A273" s="1">
        <f t="array" ref="A273">INDIRECT(_xlfn.CONCAT("$I", $F273))</f>
        <v/>
      </c>
      <c r="B273" s="1">
        <f t="array" ref="B273">INDIRECT(_xlfn.CONCAT("$J", $F273))</f>
        <v/>
      </c>
      <c r="C273" s="1">
        <f t="array" ref="C273">INDIRECT(_xlfn.CONCAT("$K", $F273))</f>
        <v/>
      </c>
      <c r="D273" s="1" t="n"/>
      <c r="E273" s="1">
        <f t="array" ref="E273">INDIRECT(_xlfn.CONCAT("$L", $F273))</f>
        <v/>
      </c>
      <c r="F273" s="1">
        <f t="array" ref="F273">IF(NOT(OR(ISERROR(INDIRECT(_xlfn.CONCAT("$I", $F272 + 1))), ISBLANK(INDIRECT(_xlfn.CONCAT("$I", $F272 + 1))))), $F272 + 1, IF(NOT(ISBLANK(INDIRECT(_xlfn.CONCAT("$I", $F272 + 2)))), $F272 + 2, ""))</f>
        <v/>
      </c>
    </row>
    <row r="274" ht="57.75" customHeight="1" s="6">
      <c r="A274" s="1">
        <f t="array" ref="A274">INDIRECT(_xlfn.CONCAT("$I", $F274))</f>
        <v/>
      </c>
      <c r="B274" s="1">
        <f t="array" ref="B274">INDIRECT(_xlfn.CONCAT("$J", $F274))</f>
        <v/>
      </c>
      <c r="C274" s="1">
        <f t="array" ref="C274">INDIRECT(_xlfn.CONCAT("$K", $F274))</f>
        <v/>
      </c>
      <c r="D274" s="1" t="n"/>
      <c r="E274" s="1">
        <f t="array" ref="E274">INDIRECT(_xlfn.CONCAT("$L", $F274))</f>
        <v/>
      </c>
      <c r="F274" s="1">
        <f t="array" ref="F274">IF(NOT(OR(ISERROR(INDIRECT(_xlfn.CONCAT("$I", $F273 + 1))), ISBLANK(INDIRECT(_xlfn.CONCAT("$I", $F273 + 1))))), $F273 + 1, IF(NOT(ISBLANK(INDIRECT(_xlfn.CONCAT("$I", $F273 + 2)))), $F273 + 2, ""))</f>
        <v/>
      </c>
      <c r="I274" s="8" t="inlineStr">
        <is>
          <t>Commander Masters Tokens TCMM</t>
        </is>
      </c>
      <c r="J274" s="8" t="n">
        <v>81</v>
      </c>
      <c r="K274" s="9" t="n">
        <v>45142</v>
      </c>
      <c r="L274" s="8" t="inlineStr">
        <is>
          <t>en es fr de it pt ja ko ru 汉语 漢語</t>
        </is>
      </c>
    </row>
    <row r="275" ht="68.25" customHeight="1" s="6">
      <c r="A275" s="1">
        <f t="array" ref="A275">INDIRECT(_xlfn.CONCAT("$I", $F275))</f>
        <v/>
      </c>
      <c r="B275" s="1">
        <f t="array" ref="B275">INDIRECT(_xlfn.CONCAT("$J", $F275))</f>
        <v/>
      </c>
      <c r="C275" s="1">
        <f t="array" ref="C275">INDIRECT(_xlfn.CONCAT("$K", $F275))</f>
        <v/>
      </c>
      <c r="D275" s="1" t="n"/>
      <c r="E275" s="1">
        <f t="array" ref="E275">INDIRECT(_xlfn.CONCAT("$L", $F275))</f>
        <v/>
      </c>
      <c r="F275" s="1">
        <f t="array" ref="F275">IF(NOT(OR(ISERROR(INDIRECT(_xlfn.CONCAT("$I", $F274 + 1))), ISBLANK(INDIRECT(_xlfn.CONCAT("$I", $F274 + 1))))), $F274 + 1, IF(NOT(ISBLANK(INDIRECT(_xlfn.CONCAT("$I", $F274 + 2)))), $F274 + 2, ""))</f>
        <v/>
      </c>
    </row>
    <row r="276" ht="94.5" customHeight="1" s="6">
      <c r="A276" s="1">
        <f t="array" ref="A276">INDIRECT(_xlfn.CONCAT("$I", $F276))</f>
        <v/>
      </c>
      <c r="B276" s="1">
        <f t="array" ref="B276">INDIRECT(_xlfn.CONCAT("$J", $F276))</f>
        <v/>
      </c>
      <c r="C276" s="1">
        <f t="array" ref="C276">INDIRECT(_xlfn.CONCAT("$K", $F276))</f>
        <v/>
      </c>
      <c r="D276" s="1" t="n"/>
      <c r="E276" s="1">
        <f t="array" ref="E276">INDIRECT(_xlfn.CONCAT("$L", $F276))</f>
        <v/>
      </c>
      <c r="F276" s="1">
        <f t="array" ref="F276">IF(NOT(OR(ISERROR(INDIRECT(_xlfn.CONCAT("$I", $F275 + 1))), ISBLANK(INDIRECT(_xlfn.CONCAT("$I", $F275 + 1))))), $F275 + 1, IF(NOT(ISBLANK(INDIRECT(_xlfn.CONCAT("$I", $F275 + 2)))), $F275 + 2, ""))</f>
        <v/>
      </c>
      <c r="I276" s="8" t="inlineStr">
        <is>
          <t>Commander Masters Art Series ACMM</t>
        </is>
      </c>
      <c r="J276" s="8" t="n">
        <v>81</v>
      </c>
      <c r="K276" s="9" t="n">
        <v>45142</v>
      </c>
      <c r="L276" s="8" t="inlineStr">
        <is>
          <t>en es fr de it pt ja ko ru 汉语 漢語</t>
        </is>
      </c>
    </row>
    <row r="277" ht="68.25" customHeight="1" s="6">
      <c r="A277" s="1">
        <f t="array" ref="A277">INDIRECT(_xlfn.CONCAT("$I", $F277))</f>
        <v/>
      </c>
      <c r="B277" s="1">
        <f t="array" ref="B277">INDIRECT(_xlfn.CONCAT("$J", $F277))</f>
        <v/>
      </c>
      <c r="C277" s="1">
        <f t="array" ref="C277">INDIRECT(_xlfn.CONCAT("$K", $F277))</f>
        <v/>
      </c>
      <c r="D277" s="1" t="n"/>
      <c r="E277" s="1">
        <f t="array" ref="E277">INDIRECT(_xlfn.CONCAT("$L", $F277))</f>
        <v/>
      </c>
      <c r="F277" s="1">
        <f t="array" ref="F277">IF(NOT(OR(ISERROR(INDIRECT(_xlfn.CONCAT("$I", $F276 + 1))), ISBLANK(INDIRECT(_xlfn.CONCAT("$I", $F276 + 1))))), $F276 + 1, IF(NOT(ISBLANK(INDIRECT(_xlfn.CONCAT("$I", $F276 + 2)))), $F276 + 2, ""))</f>
        <v/>
      </c>
    </row>
    <row r="278" ht="57.75" customHeight="1" s="6">
      <c r="A278" s="1">
        <f t="array" ref="A278">INDIRECT(_xlfn.CONCAT("$I", $F278))</f>
        <v/>
      </c>
      <c r="B278" s="1">
        <f t="array" ref="B278">INDIRECT(_xlfn.CONCAT("$J", $F278))</f>
        <v/>
      </c>
      <c r="C278" s="1">
        <f t="array" ref="C278">INDIRECT(_xlfn.CONCAT("$K", $F278))</f>
        <v/>
      </c>
      <c r="D278" s="1" t="n"/>
      <c r="E278" s="1">
        <f t="array" ref="E278">INDIRECT(_xlfn.CONCAT("$L", $F278))</f>
        <v/>
      </c>
      <c r="F278" s="1">
        <f t="array" ref="F278">IF(NOT(OR(ISERROR(INDIRECT(_xlfn.CONCAT("$I", $F277 + 1))), ISBLANK(INDIRECT(_xlfn.CONCAT("$I", $F277 + 1))))), $F277 + 1, IF(NOT(ISBLANK(INDIRECT(_xlfn.CONCAT("$I", $F277 + 2)))), $F277 + 2, ""))</f>
        <v/>
      </c>
      <c r="I278" s="8" t="inlineStr">
        <is>
          <t>2022 Heroes of the Realm PH22</t>
        </is>
      </c>
      <c r="J278" s="8" t="n">
        <v>5</v>
      </c>
      <c r="K278" s="9" t="n">
        <v>45139</v>
      </c>
      <c r="L278" s="8" t="inlineStr">
        <is>
          <t>en es fr de it pt ja ko ru 汉语 漢語</t>
        </is>
      </c>
    </row>
    <row r="279" ht="57.75" customHeight="1" s="6">
      <c r="A279" s="1">
        <f t="array" ref="A279">INDIRECT(_xlfn.CONCAT("$I", $F279))</f>
        <v/>
      </c>
      <c r="B279" s="1">
        <f t="array" ref="B279">INDIRECT(_xlfn.CONCAT("$J", $F279))</f>
        <v/>
      </c>
      <c r="C279" s="1">
        <f t="array" ref="C279">INDIRECT(_xlfn.CONCAT("$K", $F279))</f>
        <v/>
      </c>
      <c r="D279" s="1" t="n"/>
      <c r="E279" s="1">
        <f t="array" ref="E279">INDIRECT(_xlfn.CONCAT("$L", $F279))</f>
        <v/>
      </c>
      <c r="F279" s="1">
        <f t="array" ref="F279">IF(NOT(OR(ISERROR(INDIRECT(_xlfn.CONCAT("$I", $F278 + 1))), ISBLANK(INDIRECT(_xlfn.CONCAT("$I", $F278 + 1))))), $F278 + 1, IF(NOT(ISBLANK(INDIRECT(_xlfn.CONCAT("$I", $F278 + 2)))), $F278 + 2, ""))</f>
        <v/>
      </c>
    </row>
    <row r="280" ht="68.25" customHeight="1" s="6">
      <c r="A280" s="1">
        <f t="array" ref="A280">INDIRECT(_xlfn.CONCAT("$I", $F280))</f>
        <v/>
      </c>
      <c r="B280" s="1">
        <f t="array" ref="B280">INDIRECT(_xlfn.CONCAT("$J", $F280))</f>
        <v/>
      </c>
      <c r="C280" s="1">
        <f t="array" ref="C280">INDIRECT(_xlfn.CONCAT("$K", $F280))</f>
        <v/>
      </c>
      <c r="D280" s="1" t="n"/>
      <c r="E280" s="1">
        <f t="array" ref="E280">INDIRECT(_xlfn.CONCAT("$L", $F280))</f>
        <v/>
      </c>
      <c r="F280" s="1">
        <f t="array" ref="F280">IF(NOT(OR(ISERROR(INDIRECT(_xlfn.CONCAT("$I", $F279 + 1))), ISBLANK(INDIRECT(_xlfn.CONCAT("$I", $F279 + 1))))), $F279 + 1, IF(NOT(ISBLANK(INDIRECT(_xlfn.CONCAT("$I", $F279 + 2)))), $F279 + 2, ""))</f>
        <v/>
      </c>
      <c r="I280" s="8" t="inlineStr">
        <is>
          <t>Explorer Anthology 3 EA3</t>
        </is>
      </c>
      <c r="J280" s="8" t="n">
        <v>25</v>
      </c>
      <c r="K280" s="9" t="n">
        <v>45125</v>
      </c>
      <c r="L280" s="8" t="inlineStr">
        <is>
          <t>en es fr de it pt ja ko ru 汉语 漢語</t>
        </is>
      </c>
    </row>
    <row r="281" ht="68.25" customHeight="1" s="6">
      <c r="A281" s="1">
        <f t="array" ref="A281">INDIRECT(_xlfn.CONCAT("$I", $F281))</f>
        <v/>
      </c>
      <c r="B281" s="1">
        <f t="array" ref="B281">INDIRECT(_xlfn.CONCAT("$J", $F281))</f>
        <v/>
      </c>
      <c r="C281" s="1">
        <f t="array" ref="C281">INDIRECT(_xlfn.CONCAT("$K", $F281))</f>
        <v/>
      </c>
      <c r="D281" s="1" t="n"/>
      <c r="E281" s="1">
        <f t="array" ref="E281">INDIRECT(_xlfn.CONCAT("$L", $F281))</f>
        <v/>
      </c>
      <c r="F281" s="1">
        <f t="array" ref="F281">IF(NOT(OR(ISERROR(INDIRECT(_xlfn.CONCAT("$I", $F280 + 1))), ISBLANK(INDIRECT(_xlfn.CONCAT("$I", $F280 + 1))))), $F280 + 1, IF(NOT(ISBLANK(INDIRECT(_xlfn.CONCAT("$I", $F280 + 2)))), $F280 + 2, ""))</f>
        <v/>
      </c>
    </row>
    <row r="282" ht="68.25" customHeight="1" s="6">
      <c r="A282" s="1">
        <f t="array" ref="A282">INDIRECT(_xlfn.CONCAT("$I", $F282))</f>
        <v/>
      </c>
      <c r="B282" s="1">
        <f t="array" ref="B282">INDIRECT(_xlfn.CONCAT("$J", $F282))</f>
        <v/>
      </c>
      <c r="C282" s="1">
        <f t="array" ref="C282">INDIRECT(_xlfn.CONCAT("$K", $F282))</f>
        <v/>
      </c>
      <c r="D282" s="1" t="n"/>
      <c r="E282" s="1">
        <f t="array" ref="E282">INDIRECT(_xlfn.CONCAT("$L", $F282))</f>
        <v/>
      </c>
      <c r="F282" s="1">
        <f t="array" ref="F282">IF(NOT(OR(ISERROR(INDIRECT(_xlfn.CONCAT("$I", $F281 + 1))), ISBLANK(INDIRECT(_xlfn.CONCAT("$I", $F281 + 1))))), $F281 + 1, IF(NOT(ISBLANK(INDIRECT(_xlfn.CONCAT("$I", $F281 + 2)))), $F281 + 2, ""))</f>
        <v/>
      </c>
      <c r="I282" s="8" t="inlineStr">
        <is>
          <t>Historic Anthology 7 HA7</t>
        </is>
      </c>
      <c r="J282" s="8" t="n">
        <v>25</v>
      </c>
      <c r="K282" s="9" t="n">
        <v>45125</v>
      </c>
      <c r="L282" s="8" t="inlineStr">
        <is>
          <t>en es fr de it pt ja ko ru 汉语 漢語</t>
        </is>
      </c>
    </row>
    <row r="283" ht="57.75" customHeight="1" s="6">
      <c r="A283" s="1">
        <f t="array" ref="A283">INDIRECT(_xlfn.CONCAT("$I", $F283))</f>
        <v/>
      </c>
      <c r="B283" s="1">
        <f t="array" ref="B283">INDIRECT(_xlfn.CONCAT("$J", $F283))</f>
        <v/>
      </c>
      <c r="C283" s="1">
        <f t="array" ref="C283">INDIRECT(_xlfn.CONCAT("$K", $F283))</f>
        <v/>
      </c>
      <c r="D283" s="1" t="n"/>
      <c r="E283" s="1">
        <f t="array" ref="E283">INDIRECT(_xlfn.CONCAT("$L", $F283))</f>
        <v/>
      </c>
      <c r="F283" s="1">
        <f t="array" ref="F283">IF(NOT(OR(ISERROR(INDIRECT(_xlfn.CONCAT("$I", $F282 + 1))), ISBLANK(INDIRECT(_xlfn.CONCAT("$I", $F282 + 1))))), $F282 + 1, IF(NOT(ISBLANK(INDIRECT(_xlfn.CONCAT("$I", $F282 + 2)))), $F282 + 2, ""))</f>
        <v/>
      </c>
    </row>
    <row r="284" ht="57.75" customHeight="1" s="6">
      <c r="A284" s="1">
        <f t="array" ref="A284">INDIRECT(_xlfn.CONCAT("$I", $F284))</f>
        <v/>
      </c>
      <c r="B284" s="1">
        <f t="array" ref="B284">INDIRECT(_xlfn.CONCAT("$J", $F284))</f>
        <v/>
      </c>
      <c r="C284" s="1">
        <f t="array" ref="C284">INDIRECT(_xlfn.CONCAT("$K", $F284))</f>
        <v/>
      </c>
      <c r="D284" s="1" t="n"/>
      <c r="E284" s="1">
        <f t="array" ref="E284">INDIRECT(_xlfn.CONCAT("$L", $F284))</f>
        <v/>
      </c>
      <c r="F284" s="1">
        <f t="array" ref="F284">IF(NOT(OR(ISERROR(INDIRECT(_xlfn.CONCAT("$I", $F283 + 1))), ISBLANK(INDIRECT(_xlfn.CONCAT("$I", $F283 + 1))))), $F283 + 1, IF(NOT(ISBLANK(INDIRECT(_xlfn.CONCAT("$I", $F283 + 2)))), $F283 + 2, ""))</f>
        <v/>
      </c>
      <c r="I284" s="8" t="inlineStr">
        <is>
          <t>MagicFest 2023 PF23</t>
        </is>
      </c>
      <c r="J284" s="8" t="n">
        <v>4</v>
      </c>
      <c r="K284" s="9" t="n">
        <v>45108</v>
      </c>
      <c r="L284" s="8" t="inlineStr">
        <is>
          <t>en es fr de it pt ja ko ru 汉语 漢語</t>
        </is>
      </c>
    </row>
    <row r="285" ht="57.75" customHeight="1" s="6">
      <c r="A285" s="1">
        <f t="array" ref="A285">INDIRECT(_xlfn.CONCAT("$I", $F285))</f>
        <v/>
      </c>
      <c r="B285" s="1">
        <f t="array" ref="B285">INDIRECT(_xlfn.CONCAT("$J", $F285))</f>
        <v/>
      </c>
      <c r="C285" s="1">
        <f t="array" ref="C285">INDIRECT(_xlfn.CONCAT("$K", $F285))</f>
        <v/>
      </c>
      <c r="D285" s="1" t="n"/>
      <c r="E285" s="1">
        <f t="array" ref="E285">INDIRECT(_xlfn.CONCAT("$L", $F285))</f>
        <v/>
      </c>
      <c r="F285" s="1">
        <f t="array" ref="F285">IF(NOT(OR(ISERROR(INDIRECT(_xlfn.CONCAT("$I", $F284 + 1))), ISBLANK(INDIRECT(_xlfn.CONCAT("$I", $F284 + 1))))), $F284 + 1, IF(NOT(ISBLANK(INDIRECT(_xlfn.CONCAT("$I", $F284 + 2)))), $F284 + 2, ""))</f>
        <v/>
      </c>
    </row>
    <row r="286" ht="68.25" customHeight="1" s="6">
      <c r="A286" s="1">
        <f t="array" ref="A286">INDIRECT(_xlfn.CONCAT("$I", $F286))</f>
        <v/>
      </c>
      <c r="B286" s="1">
        <f t="array" ref="B286">INDIRECT(_xlfn.CONCAT("$J", $F286))</f>
        <v/>
      </c>
      <c r="C286" s="1">
        <f t="array" ref="C286">INDIRECT(_xlfn.CONCAT("$K", $F286))</f>
        <v/>
      </c>
      <c r="D286" s="1" t="n"/>
      <c r="E286" s="1">
        <f t="array" ref="E286">INDIRECT(_xlfn.CONCAT("$L", $F286))</f>
        <v/>
      </c>
      <c r="F286" s="1">
        <f t="array" ref="F286">IF(NOT(OR(ISERROR(INDIRECT(_xlfn.CONCAT("$I", $F285 + 1))), ISBLANK(INDIRECT(_xlfn.CONCAT("$I", $F285 + 1))))), $F285 + 1, IF(NOT(ISBLANK(INDIRECT(_xlfn.CONCAT("$I", $F285 + 2)))), $F285 + 2, ""))</f>
        <v/>
      </c>
      <c r="I286" s="8" t="inlineStr">
        <is>
          <t>The Lord of the Rings: Tales of Middle-earth LTR</t>
        </is>
      </c>
      <c r="J286" s="8" t="n">
        <v>856</v>
      </c>
      <c r="K286" s="9" t="n">
        <v>45100</v>
      </c>
      <c r="L286" t="inlineStr">
        <is>
          <t>en es fr de it pt ja ko ru 汉语 漢語</t>
        </is>
      </c>
    </row>
    <row r="287" ht="57.75" customHeight="1" s="6">
      <c r="A287" s="1">
        <f t="array" ref="A287">INDIRECT(_xlfn.CONCAT("$I", $F287))</f>
        <v/>
      </c>
      <c r="B287" s="1">
        <f t="array" ref="B287">INDIRECT(_xlfn.CONCAT("$J", $F287))</f>
        <v/>
      </c>
      <c r="C287" s="1">
        <f t="array" ref="C287">INDIRECT(_xlfn.CONCAT("$K", $F287))</f>
        <v/>
      </c>
      <c r="D287" s="1" t="n"/>
      <c r="E287" s="1">
        <f t="array" ref="E287">INDIRECT(_xlfn.CONCAT("$L", $F287))</f>
        <v/>
      </c>
      <c r="F287" s="1">
        <f t="array" ref="F287">IF(NOT(OR(ISERROR(INDIRECT(_xlfn.CONCAT("$I", $F286 + 1))), ISBLANK(INDIRECT(_xlfn.CONCAT("$I", $F286 + 1))))), $F286 + 1, IF(NOT(ISBLANK(INDIRECT(_xlfn.CONCAT("$I", $F286 + 2)))), $F286 + 2, ""))</f>
        <v/>
      </c>
    </row>
    <row r="288" ht="57.75" customHeight="1" s="6">
      <c r="A288" s="1">
        <f t="array" ref="A288">INDIRECT(_xlfn.CONCAT("$I", $F288))</f>
        <v/>
      </c>
      <c r="B288" s="1">
        <f t="array" ref="B288">INDIRECT(_xlfn.CONCAT("$J", $F288))</f>
        <v/>
      </c>
      <c r="C288" s="1">
        <f t="array" ref="C288">INDIRECT(_xlfn.CONCAT("$K", $F288))</f>
        <v/>
      </c>
      <c r="D288" s="1" t="n"/>
      <c r="E288" s="1">
        <f t="array" ref="E288">INDIRECT(_xlfn.CONCAT("$L", $F288))</f>
        <v/>
      </c>
      <c r="F288" s="1">
        <f t="array" ref="F288">IF(NOT(OR(ISERROR(INDIRECT(_xlfn.CONCAT("$I", $F287 + 1))), ISBLANK(INDIRECT(_xlfn.CONCAT("$I", $F287 + 1))))), $F287 + 1, IF(NOT(ISBLANK(INDIRECT(_xlfn.CONCAT("$I", $F287 + 2)))), $F287 + 2, ""))</f>
        <v/>
      </c>
      <c r="I288" s="8" t="inlineStr">
        <is>
          <t>Tales of Middle-earth Promos PLTR</t>
        </is>
      </c>
      <c r="J288" s="8" t="n">
        <v>86</v>
      </c>
      <c r="K288" s="9" t="n">
        <v>45100</v>
      </c>
      <c r="L288" s="8" t="inlineStr">
        <is>
          <t>en es fr de it pt ja ko ru 汉语 漢語</t>
        </is>
      </c>
    </row>
    <row r="289" ht="68.25" customHeight="1" s="6">
      <c r="A289" s="1">
        <f t="array" ref="A289">INDIRECT(_xlfn.CONCAT("$I", $F289))</f>
        <v/>
      </c>
      <c r="B289" s="1">
        <f t="array" ref="B289">INDIRECT(_xlfn.CONCAT("$J", $F289))</f>
        <v/>
      </c>
      <c r="C289" s="1">
        <f t="array" ref="C289">INDIRECT(_xlfn.CONCAT("$K", $F289))</f>
        <v/>
      </c>
      <c r="D289" s="1" t="n"/>
      <c r="E289" s="1">
        <f t="array" ref="E289">INDIRECT(_xlfn.CONCAT("$L", $F289))</f>
        <v/>
      </c>
      <c r="F289" s="1">
        <f t="array" ref="F289">IF(NOT(OR(ISERROR(INDIRECT(_xlfn.CONCAT("$I", $F288 + 1))), ISBLANK(INDIRECT(_xlfn.CONCAT("$I", $F288 + 1))))), $F288 + 1, IF(NOT(ISBLANK(INDIRECT(_xlfn.CONCAT("$I", $F288 + 2)))), $F288 + 2, ""))</f>
        <v/>
      </c>
    </row>
    <row r="290" ht="68.25" customHeight="1" s="6">
      <c r="A290" s="1">
        <f t="array" ref="A290">INDIRECT(_xlfn.CONCAT("$I", $F290))</f>
        <v/>
      </c>
      <c r="B290" s="1">
        <f t="array" ref="B290">INDIRECT(_xlfn.CONCAT("$J", $F290))</f>
        <v/>
      </c>
      <c r="C290" s="1">
        <f t="array" ref="C290">INDIRECT(_xlfn.CONCAT("$K", $F290))</f>
        <v/>
      </c>
      <c r="D290" s="1" t="n"/>
      <c r="E290" s="1">
        <f t="array" ref="E290">INDIRECT(_xlfn.CONCAT("$L", $F290))</f>
        <v/>
      </c>
      <c r="F290" s="1">
        <f t="array" ref="F290">IF(NOT(OR(ISERROR(INDIRECT(_xlfn.CONCAT("$I", $F289 + 1))), ISBLANK(INDIRECT(_xlfn.CONCAT("$I", $F289 + 1))))), $F289 + 1, IF(NOT(ISBLANK(INDIRECT(_xlfn.CONCAT("$I", $F289 + 2)))), $F289 + 2, ""))</f>
        <v/>
      </c>
      <c r="I290" s="8" t="inlineStr">
        <is>
          <t>Tales of Middle-earth Tokens TLTR</t>
        </is>
      </c>
      <c r="J290" s="8" t="n">
        <v>25</v>
      </c>
      <c r="K290" s="9" t="n">
        <v>45100</v>
      </c>
      <c r="L290" s="8" t="inlineStr">
        <is>
          <t>en es fr de it pt ja ko ru 汉语 漢語</t>
        </is>
      </c>
    </row>
    <row r="291" ht="57.75" customHeight="1" s="6">
      <c r="A291" s="1">
        <f t="array" ref="A291">INDIRECT(_xlfn.CONCAT("$I", $F291))</f>
        <v/>
      </c>
      <c r="B291" s="1">
        <f t="array" ref="B291">INDIRECT(_xlfn.CONCAT("$J", $F291))</f>
        <v/>
      </c>
      <c r="C291" s="1">
        <f t="array" ref="C291">INDIRECT(_xlfn.CONCAT("$K", $F291))</f>
        <v/>
      </c>
      <c r="D291" s="1" t="n"/>
      <c r="E291" s="1">
        <f t="array" ref="E291">INDIRECT(_xlfn.CONCAT("$L", $F291))</f>
        <v/>
      </c>
      <c r="F291" s="1">
        <f t="array" ref="F291">IF(NOT(OR(ISERROR(INDIRECT(_xlfn.CONCAT("$I", $F290 + 1))), ISBLANK(INDIRECT(_xlfn.CONCAT("$I", $F290 + 1))))), $F290 + 1, IF(NOT(ISBLANK(INDIRECT(_xlfn.CONCAT("$I", $F290 + 2)))), $F290 + 2, ""))</f>
        <v/>
      </c>
    </row>
    <row r="292" ht="68.25" customHeight="1" s="6">
      <c r="A292" s="1">
        <f t="array" ref="A292">INDIRECT(_xlfn.CONCAT("$I", $F292))</f>
        <v/>
      </c>
      <c r="B292" s="1">
        <f t="array" ref="B292">INDIRECT(_xlfn.CONCAT("$J", $F292))</f>
        <v/>
      </c>
      <c r="C292" s="1">
        <f t="array" ref="C292">INDIRECT(_xlfn.CONCAT("$K", $F292))</f>
        <v/>
      </c>
      <c r="D292" s="1" t="n"/>
      <c r="E292" s="1">
        <f t="array" ref="E292">INDIRECT(_xlfn.CONCAT("$L", $F292))</f>
        <v/>
      </c>
      <c r="F292" s="1">
        <f t="array" ref="F292">IF(NOT(OR(ISERROR(INDIRECT(_xlfn.CONCAT("$I", $F291 + 1))), ISBLANK(INDIRECT(_xlfn.CONCAT("$I", $F291 + 1))))), $F291 + 1, IF(NOT(ISBLANK(INDIRECT(_xlfn.CONCAT("$I", $F291 + 2)))), $F291 + 2, ""))</f>
        <v/>
      </c>
      <c r="I292" s="8" t="inlineStr">
        <is>
          <t>Tales of Middle-earth Deluxe Commander Kit PLTC</t>
        </is>
      </c>
      <c r="J292" s="8" t="n">
        <v>4</v>
      </c>
      <c r="K292" s="9" t="n">
        <v>45581</v>
      </c>
      <c r="L292" s="8" t="inlineStr">
        <is>
          <t>en es fr de it pt ja ko ru 汉语 漢語</t>
        </is>
      </c>
    </row>
    <row r="293" ht="81" customHeight="1" s="6">
      <c r="A293" s="1">
        <f t="array" ref="A293">INDIRECT(_xlfn.CONCAT("$I", $F293))</f>
        <v/>
      </c>
      <c r="B293" s="1">
        <f t="array" ref="B293">INDIRECT(_xlfn.CONCAT("$J", $F293))</f>
        <v/>
      </c>
      <c r="C293" s="1">
        <f t="array" ref="C293">INDIRECT(_xlfn.CONCAT("$K", $F293))</f>
        <v/>
      </c>
      <c r="D293" s="1" t="n"/>
      <c r="E293" s="1">
        <f t="array" ref="E293">INDIRECT(_xlfn.CONCAT("$L", $F293))</f>
        <v/>
      </c>
      <c r="F293" s="1">
        <f t="array" ref="F293">IF(NOT(OR(ISERROR(INDIRECT(_xlfn.CONCAT("$I", $F292 + 1))), ISBLANK(INDIRECT(_xlfn.CONCAT("$I", $F292 + 1))))), $F292 + 1, IF(NOT(ISBLANK(INDIRECT(_xlfn.CONCAT("$I", $F292 + 2)))), $F292 + 2, ""))</f>
        <v/>
      </c>
    </row>
    <row r="294" ht="57.75" customHeight="1" s="6">
      <c r="A294" s="1">
        <f t="array" ref="A294">INDIRECT(_xlfn.CONCAT("$I", $F294))</f>
        <v/>
      </c>
      <c r="B294" s="1">
        <f t="array" ref="B294">INDIRECT(_xlfn.CONCAT("$J", $F294))</f>
        <v/>
      </c>
      <c r="C294" s="1">
        <f t="array" ref="C294">INDIRECT(_xlfn.CONCAT("$K", $F294))</f>
        <v/>
      </c>
      <c r="D294" s="1" t="n"/>
      <c r="E294" s="1">
        <f t="array" ref="E294">INDIRECT(_xlfn.CONCAT("$L", $F294))</f>
        <v/>
      </c>
      <c r="F294" s="1">
        <f t="array" ref="F294">IF(NOT(OR(ISERROR(INDIRECT(_xlfn.CONCAT("$I", $F293 + 1))), ISBLANK(INDIRECT(_xlfn.CONCAT("$I", $F293 + 1))))), $F293 + 1, IF(NOT(ISBLANK(INDIRECT(_xlfn.CONCAT("$I", $F293 + 2)))), $F293 + 2, ""))</f>
        <v/>
      </c>
      <c r="I294" s="8" t="inlineStr">
        <is>
          <t>Tales of Middle-earth Commander LTC</t>
        </is>
      </c>
      <c r="J294" s="8" t="n">
        <v>591</v>
      </c>
      <c r="K294" s="9" t="n">
        <v>45100</v>
      </c>
      <c r="L294" t="inlineStr">
        <is>
          <t>en es fr de it pt ja ko ru 汉语 漢語</t>
        </is>
      </c>
    </row>
    <row r="295" ht="68.25" customHeight="1" s="6">
      <c r="A295" s="1">
        <f t="array" ref="A295">INDIRECT(_xlfn.CONCAT("$I", $F295))</f>
        <v/>
      </c>
      <c r="B295" s="1">
        <f t="array" ref="B295">INDIRECT(_xlfn.CONCAT("$J", $F295))</f>
        <v/>
      </c>
      <c r="C295" s="1">
        <f t="array" ref="C295">INDIRECT(_xlfn.CONCAT("$K", $F295))</f>
        <v/>
      </c>
      <c r="D295" s="1" t="n"/>
      <c r="E295" s="1">
        <f t="array" ref="E295">INDIRECT(_xlfn.CONCAT("$L", $F295))</f>
        <v/>
      </c>
      <c r="F295" s="1">
        <f t="array" ref="F295">IF(NOT(OR(ISERROR(INDIRECT(_xlfn.CONCAT("$I", $F294 + 1))), ISBLANK(INDIRECT(_xlfn.CONCAT("$I", $F294 + 1))))), $F294 + 1, IF(NOT(ISBLANK(INDIRECT(_xlfn.CONCAT("$I", $F294 + 2)))), $F294 + 2, ""))</f>
        <v/>
      </c>
    </row>
    <row r="296" ht="57.75" customHeight="1" s="6">
      <c r="A296" s="1">
        <f t="array" ref="A296">INDIRECT(_xlfn.CONCAT("$I", $F296))</f>
        <v/>
      </c>
      <c r="B296" s="1">
        <f t="array" ref="B296">INDIRECT(_xlfn.CONCAT("$J", $F296))</f>
        <v/>
      </c>
      <c r="C296" s="1">
        <f t="array" ref="C296">INDIRECT(_xlfn.CONCAT("$K", $F296))</f>
        <v/>
      </c>
      <c r="D296" s="1" t="n"/>
      <c r="E296" s="1">
        <f t="array" ref="E296">INDIRECT(_xlfn.CONCAT("$L", $F296))</f>
        <v/>
      </c>
      <c r="F296" s="1">
        <f t="array" ref="F296">IF(NOT(OR(ISERROR(INDIRECT(_xlfn.CONCAT("$I", $F295 + 1))), ISBLANK(INDIRECT(_xlfn.CONCAT("$I", $F295 + 1))))), $F295 + 1, IF(NOT(ISBLANK(INDIRECT(_xlfn.CONCAT("$I", $F295 + 2)))), $F295 + 2, ""))</f>
        <v/>
      </c>
      <c r="I296" s="8" t="inlineStr">
        <is>
          <t>Tales of Middle-earth Commander Tokens TLTC</t>
        </is>
      </c>
      <c r="J296" s="8" t="n">
        <v>15</v>
      </c>
      <c r="K296" s="9" t="n">
        <v>45100</v>
      </c>
      <c r="L296" s="8" t="inlineStr">
        <is>
          <t>en es fr de it pt ja ko ru 汉语 漢語</t>
        </is>
      </c>
    </row>
    <row r="297" ht="57.75" customHeight="1" s="6">
      <c r="A297" s="1">
        <f t="array" ref="A297">INDIRECT(_xlfn.CONCAT("$I", $F297))</f>
        <v/>
      </c>
      <c r="B297" s="1">
        <f t="array" ref="B297">INDIRECT(_xlfn.CONCAT("$J", $F297))</f>
        <v/>
      </c>
      <c r="C297" s="1">
        <f t="array" ref="C297">INDIRECT(_xlfn.CONCAT("$K", $F297))</f>
        <v/>
      </c>
      <c r="D297" s="1" t="n"/>
      <c r="E297" s="1">
        <f t="array" ref="E297">INDIRECT(_xlfn.CONCAT("$L", $F297))</f>
        <v/>
      </c>
      <c r="F297" s="1">
        <f t="array" ref="F297">IF(NOT(OR(ISERROR(INDIRECT(_xlfn.CONCAT("$I", $F296 + 1))), ISBLANK(INDIRECT(_xlfn.CONCAT("$I", $F296 + 1))))), $F296 + 1, IF(NOT(ISBLANK(INDIRECT(_xlfn.CONCAT("$I", $F296 + 2)))), $F296 + 2, ""))</f>
        <v/>
      </c>
    </row>
    <row r="298" ht="57.75" customHeight="1" s="6">
      <c r="A298" s="1">
        <f t="array" ref="A298">INDIRECT(_xlfn.CONCAT("$I", $F298))</f>
        <v/>
      </c>
      <c r="B298" s="1">
        <f t="array" ref="B298">INDIRECT(_xlfn.CONCAT("$J", $F298))</f>
        <v/>
      </c>
      <c r="C298" s="1">
        <f t="array" ref="C298">INDIRECT(_xlfn.CONCAT("$K", $F298))</f>
        <v/>
      </c>
      <c r="D298" s="1" t="n"/>
      <c r="E298" s="1">
        <f t="array" ref="E298">INDIRECT(_xlfn.CONCAT("$L", $F298))</f>
        <v/>
      </c>
      <c r="F298" s="1">
        <f t="array" ref="F298">IF(NOT(OR(ISERROR(INDIRECT(_xlfn.CONCAT("$I", $F297 + 1))), ISBLANK(INDIRECT(_xlfn.CONCAT("$I", $F297 + 1))))), $F297 + 1, IF(NOT(ISBLANK(INDIRECT(_xlfn.CONCAT("$I", $F297 + 2)))), $F297 + 2, ""))</f>
        <v/>
      </c>
      <c r="I298" s="8" t="inlineStr">
        <is>
          <t>Tales of Middle-earth Scene Box ALTC</t>
        </is>
      </c>
      <c r="J298" s="8" t="n">
        <v>24</v>
      </c>
      <c r="K298" s="9" t="n">
        <v>45234</v>
      </c>
      <c r="L298" s="8" t="inlineStr">
        <is>
          <t>en es fr de it pt ja ko ru 汉语 漢語</t>
        </is>
      </c>
    </row>
    <row r="299" ht="57.75" customHeight="1" s="6">
      <c r="A299" s="1">
        <f t="array" ref="A299">INDIRECT(_xlfn.CONCAT("$I", $F299))</f>
        <v/>
      </c>
      <c r="B299" s="1">
        <f t="array" ref="B299">INDIRECT(_xlfn.CONCAT("$J", $F299))</f>
        <v/>
      </c>
      <c r="C299" s="1">
        <f t="array" ref="C299">INDIRECT(_xlfn.CONCAT("$K", $F299))</f>
        <v/>
      </c>
      <c r="D299" s="1" t="n"/>
      <c r="E299" s="1">
        <f t="array" ref="E299">INDIRECT(_xlfn.CONCAT("$L", $F299))</f>
        <v/>
      </c>
      <c r="F299" s="1">
        <f t="array" ref="F299">IF(NOT(OR(ISERROR(INDIRECT(_xlfn.CONCAT("$I", $F298 + 1))), ISBLANK(INDIRECT(_xlfn.CONCAT("$I", $F298 + 1))))), $F298 + 1, IF(NOT(ISBLANK(INDIRECT(_xlfn.CONCAT("$I", $F298 + 2)))), $F298 + 2, ""))</f>
        <v/>
      </c>
    </row>
    <row r="300" ht="57.75" customHeight="1" s="6">
      <c r="A300" s="1">
        <f t="array" ref="A300">INDIRECT(_xlfn.CONCAT("$I", $F300))</f>
        <v/>
      </c>
      <c r="B300" s="1">
        <f t="array" ref="B300">INDIRECT(_xlfn.CONCAT("$J", $F300))</f>
        <v/>
      </c>
      <c r="C300" s="1">
        <f t="array" ref="C300">INDIRECT(_xlfn.CONCAT("$K", $F300))</f>
        <v/>
      </c>
      <c r="D300" s="1" t="n"/>
      <c r="E300" s="1">
        <f t="array" ref="E300">INDIRECT(_xlfn.CONCAT("$L", $F300))</f>
        <v/>
      </c>
      <c r="F300" s="1">
        <f t="array" ref="F300">IF(NOT(OR(ISERROR(INDIRECT(_xlfn.CONCAT("$I", $F299 + 1))), ISBLANK(INDIRECT(_xlfn.CONCAT("$I", $F299 + 1))))), $F299 + 1, IF(NOT(ISBLANK(INDIRECT(_xlfn.CONCAT("$I", $F299 + 2)))), $F299 + 2, ""))</f>
        <v/>
      </c>
      <c r="I300" s="8" t="inlineStr">
        <is>
          <t>Tales of Middle-earth Art Series ALTR</t>
        </is>
      </c>
      <c r="J300" s="8" t="n">
        <v>81</v>
      </c>
      <c r="K300" s="9" t="n">
        <v>45100</v>
      </c>
      <c r="L300" s="8" t="inlineStr">
        <is>
          <t>en es fr de it pt ja ko ru 汉语 漢語</t>
        </is>
      </c>
    </row>
    <row r="301" ht="57.75" customHeight="1" s="6">
      <c r="A301" s="1">
        <f t="array" ref="A301">INDIRECT(_xlfn.CONCAT("$I", $F301))</f>
        <v/>
      </c>
      <c r="B301" s="1">
        <f t="array" ref="B301">INDIRECT(_xlfn.CONCAT("$J", $F301))</f>
        <v/>
      </c>
      <c r="C301" s="1">
        <f t="array" ref="C301">INDIRECT(_xlfn.CONCAT("$K", $F301))</f>
        <v/>
      </c>
      <c r="D301" s="1" t="n"/>
      <c r="E301" s="1">
        <f t="array" ref="E301">INDIRECT(_xlfn.CONCAT("$L", $F301))</f>
        <v/>
      </c>
      <c r="F301" s="1">
        <f t="array" ref="F301">IF(NOT(OR(ISERROR(INDIRECT(_xlfn.CONCAT("$I", $F300 + 1))), ISBLANK(INDIRECT(_xlfn.CONCAT("$I", $F300 + 1))))), $F300 + 1, IF(NOT(ISBLANK(INDIRECT(_xlfn.CONCAT("$I", $F300 + 2)))), $F300 + 2, ""))</f>
        <v/>
      </c>
    </row>
    <row r="302" ht="68.25" customHeight="1" s="6">
      <c r="A302" s="1">
        <f t="array" ref="A302">INDIRECT(_xlfn.CONCAT("$I", $F302))</f>
        <v/>
      </c>
      <c r="B302" s="1">
        <f t="array" ref="B302">INDIRECT(_xlfn.CONCAT("$J", $F302))</f>
        <v/>
      </c>
      <c r="C302" s="1">
        <f t="array" ref="C302">INDIRECT(_xlfn.CONCAT("$K", $F302))</f>
        <v/>
      </c>
      <c r="D302" s="1" t="n"/>
      <c r="E302" s="1">
        <f t="array" ref="E302">INDIRECT(_xlfn.CONCAT("$L", $F302))</f>
        <v/>
      </c>
      <c r="F302" s="1">
        <f t="array" ref="F302">IF(NOT(OR(ISERROR(INDIRECT(_xlfn.CONCAT("$I", $F301 + 1))), ISBLANK(INDIRECT(_xlfn.CONCAT("$I", $F301 + 1))))), $F301 + 1, IF(NOT(ISBLANK(INDIRECT(_xlfn.CONCAT("$I", $F301 + 2)))), $F301 + 2, ""))</f>
        <v/>
      </c>
      <c r="I302" s="8" t="inlineStr">
        <is>
          <t>Tales of Middle-earth Front Cards FLTR</t>
        </is>
      </c>
      <c r="J302" s="8" t="n">
        <v>10</v>
      </c>
      <c r="K302" s="9" t="n">
        <v>45100</v>
      </c>
      <c r="L302" s="8" t="inlineStr">
        <is>
          <t>en es fr de it pt ja ko ru 汉语 漢語</t>
        </is>
      </c>
    </row>
    <row r="303" ht="68.25" customHeight="1" s="6">
      <c r="A303" s="1">
        <f t="array" ref="A303">INDIRECT(_xlfn.CONCAT("$I", $F303))</f>
        <v/>
      </c>
      <c r="B303" s="1">
        <f t="array" ref="B303">INDIRECT(_xlfn.CONCAT("$J", $F303))</f>
        <v/>
      </c>
      <c r="C303" s="1">
        <f t="array" ref="C303">INDIRECT(_xlfn.CONCAT("$K", $F303))</f>
        <v/>
      </c>
      <c r="D303" s="1" t="n"/>
      <c r="E303" s="1">
        <f t="array" ref="E303">INDIRECT(_xlfn.CONCAT("$L", $F303))</f>
        <v/>
      </c>
      <c r="F303" s="1">
        <f t="array" ref="F303">IF(NOT(OR(ISERROR(INDIRECT(_xlfn.CONCAT("$I", $F302 + 1))), ISBLANK(INDIRECT(_xlfn.CONCAT("$I", $F302 + 1))))), $F302 + 1, IF(NOT(ISBLANK(INDIRECT(_xlfn.CONCAT("$I", $F302 + 2)))), $F302 + 2, ""))</f>
        <v/>
      </c>
    </row>
    <row r="304" ht="68.25" customHeight="1" s="6">
      <c r="A304" s="1">
        <f t="array" ref="A304">INDIRECT(_xlfn.CONCAT("$I", $F304))</f>
        <v/>
      </c>
      <c r="B304" s="1">
        <f t="array" ref="B304">INDIRECT(_xlfn.CONCAT("$J", $F304))</f>
        <v/>
      </c>
      <c r="C304" s="1">
        <f t="array" ref="C304">INDIRECT(_xlfn.CONCAT("$K", $F304))</f>
        <v/>
      </c>
      <c r="D304" s="1" t="n"/>
      <c r="E304" s="1">
        <f t="array" ref="E304">INDIRECT(_xlfn.CONCAT("$L", $F304))</f>
        <v/>
      </c>
      <c r="F304" s="1">
        <f t="array" ref="F304">IF(NOT(OR(ISERROR(INDIRECT(_xlfn.CONCAT("$I", $F303 + 1))), ISBLANK(INDIRECT(_xlfn.CONCAT("$I", $F303 + 1))))), $F303 + 1, IF(NOT(ISBLANK(INDIRECT(_xlfn.CONCAT("$I", $F303 + 2)))), $F303 + 2, ""))</f>
        <v/>
      </c>
      <c r="I304" s="8" t="inlineStr">
        <is>
          <t>The Lord of the Rings: Tales of Middle-earth Minigames MLTR</t>
        </is>
      </c>
      <c r="J304" s="8" t="n">
        <v>1</v>
      </c>
      <c r="K304" s="9" t="n">
        <v>45100</v>
      </c>
      <c r="L304" s="8" t="inlineStr">
        <is>
          <t>en es fr de it pt ja ko ru 汉语 漢語</t>
        </is>
      </c>
    </row>
    <row r="305" ht="81" customHeight="1" s="6">
      <c r="A305" s="1">
        <f t="array" ref="A305">INDIRECT(_xlfn.CONCAT("$I", $F305))</f>
        <v/>
      </c>
      <c r="B305" s="1">
        <f t="array" ref="B305">INDIRECT(_xlfn.CONCAT("$J", $F305))</f>
        <v/>
      </c>
      <c r="C305" s="1">
        <f t="array" ref="C305">INDIRECT(_xlfn.CONCAT("$K", $F305))</f>
        <v/>
      </c>
      <c r="D305" s="1" t="n"/>
      <c r="E305" s="1">
        <f t="array" ref="E305">INDIRECT(_xlfn.CONCAT("$L", $F305))</f>
        <v/>
      </c>
      <c r="F305" s="1">
        <f t="array" ref="F305">IF(NOT(OR(ISERROR(INDIRECT(_xlfn.CONCAT("$I", $F304 + 1))), ISBLANK(INDIRECT(_xlfn.CONCAT("$I", $F304 + 1))))), $F304 + 1, IF(NOT(ISBLANK(INDIRECT(_xlfn.CONCAT("$I", $F304 + 2)))), $F304 + 2, ""))</f>
        <v/>
      </c>
    </row>
    <row r="306" ht="57.75" customHeight="1" s="6">
      <c r="A306" s="1">
        <f t="array" ref="A306">INDIRECT(_xlfn.CONCAT("$I", $F306))</f>
        <v/>
      </c>
      <c r="B306" s="1">
        <f t="array" ref="B306">INDIRECT(_xlfn.CONCAT("$J", $F306))</f>
        <v/>
      </c>
      <c r="C306" s="1">
        <f t="array" ref="C306">INDIRECT(_xlfn.CONCAT("$K", $F306))</f>
        <v/>
      </c>
      <c r="D306" s="1" t="n"/>
      <c r="E306" s="1">
        <f t="array" ref="E306">INDIRECT(_xlfn.CONCAT("$L", $F306))</f>
        <v/>
      </c>
      <c r="F306" s="1">
        <f t="array" ref="F306">IF(NOT(OR(ISERROR(INDIRECT(_xlfn.CONCAT("$I", $F305 + 1))), ISBLANK(INDIRECT(_xlfn.CONCAT("$I", $F305 + 1))))), $F305 + 1, IF(NOT(ISBLANK(INDIRECT(_xlfn.CONCAT("$I", $F305 + 2)))), $F305 + 2, ""))</f>
        <v/>
      </c>
      <c r="I306" s="8" t="inlineStr">
        <is>
          <t>March of the Machine: The Aftermath MAT</t>
        </is>
      </c>
      <c r="J306" s="8" t="n">
        <v>230</v>
      </c>
      <c r="K306" s="9" t="n">
        <v>45058</v>
      </c>
      <c r="L306" t="inlineStr">
        <is>
          <t>en es fr de it pt ja ko ru 汉语 漢語</t>
        </is>
      </c>
    </row>
    <row r="307" ht="57.75" customHeight="1" s="6">
      <c r="A307" s="1">
        <f t="array" ref="A307">INDIRECT(_xlfn.CONCAT("$I", $F307))</f>
        <v/>
      </c>
      <c r="B307" s="1">
        <f t="array" ref="B307">INDIRECT(_xlfn.CONCAT("$J", $F307))</f>
        <v/>
      </c>
      <c r="C307" s="1">
        <f t="array" ref="C307">INDIRECT(_xlfn.CONCAT("$K", $F307))</f>
        <v/>
      </c>
      <c r="D307" s="1" t="n"/>
      <c r="E307" s="1">
        <f t="array" ref="E307">INDIRECT(_xlfn.CONCAT("$L", $F307))</f>
        <v/>
      </c>
      <c r="F307" s="1">
        <f t="array" ref="F307">IF(NOT(OR(ISERROR(INDIRECT(_xlfn.CONCAT("$I", $F306 + 1))), ISBLANK(INDIRECT(_xlfn.CONCAT("$I", $F306 + 1))))), $F306 + 1, IF(NOT(ISBLANK(INDIRECT(_xlfn.CONCAT("$I", $F306 + 2)))), $F306 + 2, ""))</f>
        <v/>
      </c>
    </row>
    <row r="308" ht="68.25" customHeight="1" s="6">
      <c r="A308" s="1">
        <f t="array" ref="A308">INDIRECT(_xlfn.CONCAT("$I", $F308))</f>
        <v/>
      </c>
      <c r="B308" s="1">
        <f t="array" ref="B308">INDIRECT(_xlfn.CONCAT("$J", $F308))</f>
        <v/>
      </c>
      <c r="C308" s="1">
        <f t="array" ref="C308">INDIRECT(_xlfn.CONCAT("$K", $F308))</f>
        <v/>
      </c>
      <c r="D308" s="1" t="n"/>
      <c r="E308" s="1">
        <f t="array" ref="E308">INDIRECT(_xlfn.CONCAT("$L", $F308))</f>
        <v/>
      </c>
      <c r="F308" s="1">
        <f t="array" ref="F308">IF(NOT(OR(ISERROR(INDIRECT(_xlfn.CONCAT("$I", $F307 + 1))), ISBLANK(INDIRECT(_xlfn.CONCAT("$I", $F307 + 1))))), $F307 + 1, IF(NOT(ISBLANK(INDIRECT(_xlfn.CONCAT("$I", $F307 + 2)))), $F307 + 2, ""))</f>
        <v/>
      </c>
      <c r="I308" s="8" t="inlineStr">
        <is>
          <t>March of the Machine: The Aftermath Promos PMAT</t>
        </is>
      </c>
      <c r="J308" s="8" t="n">
        <v>8</v>
      </c>
      <c r="K308" s="9" t="n">
        <v>45247</v>
      </c>
      <c r="L308" s="8" t="inlineStr">
        <is>
          <t>en es fr de it pt ja ko ru 汉语 漢語</t>
        </is>
      </c>
    </row>
    <row r="309" ht="81" customHeight="1" s="6">
      <c r="A309" s="1">
        <f t="array" ref="A309">INDIRECT(_xlfn.CONCAT("$I", $F309))</f>
        <v/>
      </c>
      <c r="B309" s="1">
        <f t="array" ref="B309">INDIRECT(_xlfn.CONCAT("$J", $F309))</f>
        <v/>
      </c>
      <c r="C309" s="1">
        <f t="array" ref="C309">INDIRECT(_xlfn.CONCAT("$K", $F309))</f>
        <v/>
      </c>
      <c r="D309" s="1" t="n"/>
      <c r="E309" s="1">
        <f t="array" ref="E309">INDIRECT(_xlfn.CONCAT("$L", $F309))</f>
        <v/>
      </c>
      <c r="F309" s="1">
        <f t="array" ref="F309">IF(NOT(OR(ISERROR(INDIRECT(_xlfn.CONCAT("$I", $F308 + 1))), ISBLANK(INDIRECT(_xlfn.CONCAT("$I", $F308 + 1))))), $F308 + 1, IF(NOT(ISBLANK(INDIRECT(_xlfn.CONCAT("$I", $F308 + 2)))), $F308 + 2, ""))</f>
        <v/>
      </c>
    </row>
    <row r="310" ht="57.75" customHeight="1" s="6">
      <c r="A310" s="1">
        <f t="array" ref="A310">INDIRECT(_xlfn.CONCAT("$I", $F310))</f>
        <v/>
      </c>
      <c r="B310" s="1">
        <f t="array" ref="B310">INDIRECT(_xlfn.CONCAT("$J", $F310))</f>
        <v/>
      </c>
      <c r="C310" s="1">
        <f t="array" ref="C310">INDIRECT(_xlfn.CONCAT("$K", $F310))</f>
        <v/>
      </c>
      <c r="D310" s="1" t="n"/>
      <c r="E310" s="1">
        <f t="array" ref="E310">INDIRECT(_xlfn.CONCAT("$L", $F310))</f>
        <v/>
      </c>
      <c r="F310" s="1">
        <f t="array" ref="F310">IF(NOT(OR(ISERROR(INDIRECT(_xlfn.CONCAT("$I", $F309 + 1))), ISBLANK(INDIRECT(_xlfn.CONCAT("$I", $F309 + 1))))), $F309 + 1, IF(NOT(ISBLANK(INDIRECT(_xlfn.CONCAT("$I", $F309 + 2)))), $F309 + 2, ""))</f>
        <v/>
      </c>
      <c r="I310" s="8" t="inlineStr">
        <is>
          <t>March of the Machine MOM</t>
        </is>
      </c>
      <c r="J310" s="8" t="n">
        <v>387</v>
      </c>
      <c r="K310" s="9" t="n">
        <v>45037</v>
      </c>
      <c r="L310" t="inlineStr">
        <is>
          <t>en es fr de it pt ja ko ru 汉语 漢語</t>
        </is>
      </c>
    </row>
    <row r="311" ht="57.75" customHeight="1" s="6">
      <c r="A311" s="1">
        <f t="array" ref="A311">INDIRECT(_xlfn.CONCAT("$I", $F311))</f>
        <v/>
      </c>
      <c r="B311" s="1">
        <f t="array" ref="B311">INDIRECT(_xlfn.CONCAT("$J", $F311))</f>
        <v/>
      </c>
      <c r="C311" s="1">
        <f t="array" ref="C311">INDIRECT(_xlfn.CONCAT("$K", $F311))</f>
        <v/>
      </c>
      <c r="D311" s="1" t="n"/>
      <c r="E311" s="1">
        <f t="array" ref="E311">INDIRECT(_xlfn.CONCAT("$L", $F311))</f>
        <v/>
      </c>
      <c r="F311" s="1">
        <f t="array" ref="F311">IF(NOT(OR(ISERROR(INDIRECT(_xlfn.CONCAT("$I", $F310 + 1))), ISBLANK(INDIRECT(_xlfn.CONCAT("$I", $F310 + 1))))), $F310 + 1, IF(NOT(ISBLANK(INDIRECT(_xlfn.CONCAT("$I", $F310 + 2)))), $F310 + 2, ""))</f>
        <v/>
      </c>
    </row>
    <row r="312" ht="68.25" customHeight="1" s="6">
      <c r="A312" s="1">
        <f t="array" ref="A312">INDIRECT(_xlfn.CONCAT("$I", $F312))</f>
        <v/>
      </c>
      <c r="B312" s="1">
        <f t="array" ref="B312">INDIRECT(_xlfn.CONCAT("$J", $F312))</f>
        <v/>
      </c>
      <c r="C312" s="1">
        <f t="array" ref="C312">INDIRECT(_xlfn.CONCAT("$K", $F312))</f>
        <v/>
      </c>
      <c r="D312" s="1" t="n"/>
      <c r="E312" s="1">
        <f t="array" ref="E312">INDIRECT(_xlfn.CONCAT("$L", $F312))</f>
        <v/>
      </c>
      <c r="F312" s="1">
        <f t="array" ref="F312">IF(NOT(OR(ISERROR(INDIRECT(_xlfn.CONCAT("$I", $F311 + 1))), ISBLANK(INDIRECT(_xlfn.CONCAT("$I", $F311 + 1))))), $F311 + 1, IF(NOT(ISBLANK(INDIRECT(_xlfn.CONCAT("$I", $F311 + 2)))), $F311 + 2, ""))</f>
        <v/>
      </c>
      <c r="I312" s="8" t="inlineStr">
        <is>
          <t>Multiverse Legends MUL</t>
        </is>
      </c>
      <c r="J312" s="8" t="n">
        <v>261</v>
      </c>
      <c r="K312" s="9" t="n">
        <v>45037</v>
      </c>
      <c r="L312" t="inlineStr">
        <is>
          <t>en es fr de it pt ja ko ru 汉语 漢語</t>
        </is>
      </c>
    </row>
    <row r="313" ht="68.25" customHeight="1" s="6">
      <c r="A313" s="1">
        <f t="array" ref="A313">INDIRECT(_xlfn.CONCAT("$I", $F313))</f>
        <v/>
      </c>
      <c r="B313" s="1">
        <f t="array" ref="B313">INDIRECT(_xlfn.CONCAT("$J", $F313))</f>
        <v/>
      </c>
      <c r="C313" s="1">
        <f t="array" ref="C313">INDIRECT(_xlfn.CONCAT("$K", $F313))</f>
        <v/>
      </c>
      <c r="D313" s="1" t="n"/>
      <c r="E313" s="1">
        <f t="array" ref="E313">INDIRECT(_xlfn.CONCAT("$L", $F313))</f>
        <v/>
      </c>
      <c r="F313" s="1">
        <f t="array" ref="F313">IF(NOT(OR(ISERROR(INDIRECT(_xlfn.CONCAT("$I", $F312 + 1))), ISBLANK(INDIRECT(_xlfn.CONCAT("$I", $F312 + 1))))), $F312 + 1, IF(NOT(ISBLANK(INDIRECT(_xlfn.CONCAT("$I", $F312 + 2)))), $F312 + 2, ""))</f>
        <v/>
      </c>
    </row>
    <row r="314" ht="81" customHeight="1" s="6">
      <c r="A314" s="1">
        <f t="array" ref="A314">INDIRECT(_xlfn.CONCAT("$I", $F314))</f>
        <v/>
      </c>
      <c r="B314" s="1">
        <f t="array" ref="B314">INDIRECT(_xlfn.CONCAT("$J", $F314))</f>
        <v/>
      </c>
      <c r="C314" s="1">
        <f t="array" ref="C314">INDIRECT(_xlfn.CONCAT("$K", $F314))</f>
        <v/>
      </c>
      <c r="D314" s="1" t="n"/>
      <c r="E314" s="1">
        <f t="array" ref="E314">INDIRECT(_xlfn.CONCAT("$L", $F314))</f>
        <v/>
      </c>
      <c r="F314" s="1">
        <f t="array" ref="F314">IF(NOT(OR(ISERROR(INDIRECT(_xlfn.CONCAT("$I", $F313 + 1))), ISBLANK(INDIRECT(_xlfn.CONCAT("$I", $F313 + 1))))), $F313 + 1, IF(NOT(ISBLANK(INDIRECT(_xlfn.CONCAT("$I", $F313 + 2)))), $F313 + 2, ""))</f>
        <v/>
      </c>
      <c r="I314" s="8" t="inlineStr">
        <is>
          <t>Multiverse Legends Tokens TMUL</t>
        </is>
      </c>
      <c r="J314" s="8" t="n">
        <v>2</v>
      </c>
      <c r="K314" s="9" t="n">
        <v>45037</v>
      </c>
      <c r="L314" s="8" t="inlineStr">
        <is>
          <t>en es fr de it pt ja ko ru 汉语 漢語</t>
        </is>
      </c>
    </row>
    <row r="315" ht="57.75" customHeight="1" s="6">
      <c r="A315" s="1">
        <f t="array" ref="A315">INDIRECT(_xlfn.CONCAT("$I", $F315))</f>
        <v/>
      </c>
      <c r="B315" s="1">
        <f t="array" ref="B315">INDIRECT(_xlfn.CONCAT("$J", $F315))</f>
        <v/>
      </c>
      <c r="C315" s="1">
        <f t="array" ref="C315">INDIRECT(_xlfn.CONCAT("$K", $F315))</f>
        <v/>
      </c>
      <c r="D315" s="1" t="n"/>
      <c r="E315" s="1">
        <f t="array" ref="E315">INDIRECT(_xlfn.CONCAT("$L", $F315))</f>
        <v/>
      </c>
      <c r="F315" s="1">
        <f t="array" ref="F315">IF(NOT(OR(ISERROR(INDIRECT(_xlfn.CONCAT("$I", $F314 + 1))), ISBLANK(INDIRECT(_xlfn.CONCAT("$I", $F314 + 1))))), $F314 + 1, IF(NOT(ISBLANK(INDIRECT(_xlfn.CONCAT("$I", $F314 + 2)))), $F314 + 2, ""))</f>
        <v/>
      </c>
    </row>
    <row r="316" ht="68.25" customHeight="1" s="6">
      <c r="A316" s="1">
        <f t="array" ref="A316">INDIRECT(_xlfn.CONCAT("$I", $F316))</f>
        <v/>
      </c>
      <c r="B316" s="1">
        <f t="array" ref="B316">INDIRECT(_xlfn.CONCAT("$J", $F316))</f>
        <v/>
      </c>
      <c r="C316" s="1">
        <f t="array" ref="C316">INDIRECT(_xlfn.CONCAT("$K", $F316))</f>
        <v/>
      </c>
      <c r="D316" s="1" t="n"/>
      <c r="E316" s="1">
        <f t="array" ref="E316">INDIRECT(_xlfn.CONCAT("$L", $F316))</f>
        <v/>
      </c>
      <c r="F316" s="1">
        <f t="array" ref="F316">IF(NOT(OR(ISERROR(INDIRECT(_xlfn.CONCAT("$I", $F315 + 1))), ISBLANK(INDIRECT(_xlfn.CONCAT("$I", $F315 + 1))))), $F315 + 1, IF(NOT(ISBLANK(INDIRECT(_xlfn.CONCAT("$I", $F315 + 2)))), $F315 + 2, ""))</f>
        <v/>
      </c>
      <c r="I316" s="8" t="inlineStr">
        <is>
          <t>March of the Machine Promos PMOM</t>
        </is>
      </c>
      <c r="J316" s="8" t="n">
        <v>134</v>
      </c>
      <c r="K316" s="9" t="n">
        <v>45037</v>
      </c>
      <c r="L316" s="8" t="inlineStr">
        <is>
          <t>en es fr de it pt ja ko ru 汉语 漢語</t>
        </is>
      </c>
    </row>
    <row r="317" ht="81" customHeight="1" s="6">
      <c r="A317" s="1">
        <f t="array" ref="A317">INDIRECT(_xlfn.CONCAT("$I", $F317))</f>
        <v/>
      </c>
      <c r="B317" s="1">
        <f t="array" ref="B317">INDIRECT(_xlfn.CONCAT("$J", $F317))</f>
        <v/>
      </c>
      <c r="C317" s="1">
        <f t="array" ref="C317">INDIRECT(_xlfn.CONCAT("$K", $F317))</f>
        <v/>
      </c>
      <c r="D317" s="1" t="n"/>
      <c r="E317" s="1">
        <f t="array" ref="E317">INDIRECT(_xlfn.CONCAT("$L", $F317))</f>
        <v/>
      </c>
      <c r="F317" s="1">
        <f t="array" ref="F317">IF(NOT(OR(ISERROR(INDIRECT(_xlfn.CONCAT("$I", $F316 + 1))), ISBLANK(INDIRECT(_xlfn.CONCAT("$I", $F316 + 1))))), $F316 + 1, IF(NOT(ISBLANK(INDIRECT(_xlfn.CONCAT("$I", $F316 + 2)))), $F316 + 2, ""))</f>
        <v/>
      </c>
    </row>
    <row r="318" ht="57.75" customHeight="1" s="6">
      <c r="A318" s="1">
        <f t="array" ref="A318">INDIRECT(_xlfn.CONCAT("$I", $F318))</f>
        <v/>
      </c>
      <c r="B318" s="1">
        <f t="array" ref="B318">INDIRECT(_xlfn.CONCAT("$J", $F318))</f>
        <v/>
      </c>
      <c r="C318" s="1">
        <f t="array" ref="C318">INDIRECT(_xlfn.CONCAT("$K", $F318))</f>
        <v/>
      </c>
      <c r="D318" s="1" t="n"/>
      <c r="E318" s="1">
        <f t="array" ref="E318">INDIRECT(_xlfn.CONCAT("$L", $F318))</f>
        <v/>
      </c>
      <c r="F318" s="1">
        <f t="array" ref="F318">IF(NOT(OR(ISERROR(INDIRECT(_xlfn.CONCAT("$I", $F317 + 1))), ISBLANK(INDIRECT(_xlfn.CONCAT("$I", $F317 + 1))))), $F317 + 1, IF(NOT(ISBLANK(INDIRECT(_xlfn.CONCAT("$I", $F317 + 2)))), $F317 + 2, ""))</f>
        <v/>
      </c>
      <c r="I318" s="8" t="inlineStr">
        <is>
          <t>March of the Machine Tokens TMOM</t>
        </is>
      </c>
      <c r="J318" s="8" t="n">
        <v>23</v>
      </c>
      <c r="K318" s="9" t="n">
        <v>45037</v>
      </c>
      <c r="L318" s="8" t="inlineStr">
        <is>
          <t>en es fr de it pt ja ko ru 汉语 漢語</t>
        </is>
      </c>
    </row>
    <row r="319" ht="68.25" customHeight="1" s="6">
      <c r="A319" s="1">
        <f t="array" ref="A319">INDIRECT(_xlfn.CONCAT("$I", $F319))</f>
        <v/>
      </c>
      <c r="B319" s="1">
        <f t="array" ref="B319">INDIRECT(_xlfn.CONCAT("$J", $F319))</f>
        <v/>
      </c>
      <c r="C319" s="1">
        <f t="array" ref="C319">INDIRECT(_xlfn.CONCAT("$K", $F319))</f>
        <v/>
      </c>
      <c r="D319" s="1" t="n"/>
      <c r="E319" s="1">
        <f t="array" ref="E319">INDIRECT(_xlfn.CONCAT("$L", $F319))</f>
        <v/>
      </c>
      <c r="F319" s="1">
        <f t="array" ref="F319">IF(NOT(OR(ISERROR(INDIRECT(_xlfn.CONCAT("$I", $F318 + 1))), ISBLANK(INDIRECT(_xlfn.CONCAT("$I", $F318 + 1))))), $F318 + 1, IF(NOT(ISBLANK(INDIRECT(_xlfn.CONCAT("$I", $F318 + 2)))), $F318 + 2, ""))</f>
        <v/>
      </c>
    </row>
    <row r="320" ht="57.75" customHeight="1" s="6">
      <c r="A320" s="1">
        <f t="array" ref="A320">INDIRECT(_xlfn.CONCAT("$I", $F320))</f>
        <v/>
      </c>
      <c r="B320" s="1">
        <f t="array" ref="B320">INDIRECT(_xlfn.CONCAT("$J", $F320))</f>
        <v/>
      </c>
      <c r="C320" s="1">
        <f t="array" ref="C320">INDIRECT(_xlfn.CONCAT("$K", $F320))</f>
        <v/>
      </c>
      <c r="D320" s="1" t="n"/>
      <c r="E320" s="1">
        <f t="array" ref="E320">INDIRECT(_xlfn.CONCAT("$L", $F320))</f>
        <v/>
      </c>
      <c r="F320" s="1">
        <f t="array" ref="F320">IF(NOT(OR(ISERROR(INDIRECT(_xlfn.CONCAT("$I", $F319 + 1))), ISBLANK(INDIRECT(_xlfn.CONCAT("$I", $F319 + 1))))), $F319 + 1, IF(NOT(ISBLANK(INDIRECT(_xlfn.CONCAT("$I", $F319 + 2)))), $F319 + 2, ""))</f>
        <v/>
      </c>
      <c r="I320" s="8" t="inlineStr">
        <is>
          <t>March of the Machine Jumpstart Front Cards FMOM</t>
        </is>
      </c>
      <c r="J320" s="8" t="n">
        <v>5</v>
      </c>
      <c r="K320" s="9" t="n">
        <v>45037</v>
      </c>
      <c r="L320" s="8" t="inlineStr">
        <is>
          <t>en es fr de it pt ja ko ru 汉语 漢語</t>
        </is>
      </c>
    </row>
    <row r="321" ht="81" customHeight="1" s="6">
      <c r="A321" s="1">
        <f t="array" ref="A321">INDIRECT(_xlfn.CONCAT("$I", $F321))</f>
        <v/>
      </c>
      <c r="B321" s="1">
        <f t="array" ref="B321">INDIRECT(_xlfn.CONCAT("$J", $F321))</f>
        <v/>
      </c>
      <c r="C321" s="1">
        <f t="array" ref="C321">INDIRECT(_xlfn.CONCAT("$K", $F321))</f>
        <v/>
      </c>
      <c r="D321" s="1" t="n"/>
      <c r="E321" s="1">
        <f t="array" ref="E321">INDIRECT(_xlfn.CONCAT("$L", $F321))</f>
        <v/>
      </c>
      <c r="F321" s="1">
        <f t="array" ref="F321">IF(NOT(OR(ISERROR(INDIRECT(_xlfn.CONCAT("$I", $F320 + 1))), ISBLANK(INDIRECT(_xlfn.CONCAT("$I", $F320 + 1))))), $F320 + 1, IF(NOT(ISBLANK(INDIRECT(_xlfn.CONCAT("$I", $F320 + 2)))), $F320 + 2, ""))</f>
        <v/>
      </c>
    </row>
    <row r="322" ht="57.75" customHeight="1" s="6">
      <c r="A322" s="1">
        <f t="array" ref="A322">INDIRECT(_xlfn.CONCAT("$I", $F322))</f>
        <v/>
      </c>
      <c r="B322" s="1">
        <f t="array" ref="B322">INDIRECT(_xlfn.CONCAT("$J", $F322))</f>
        <v/>
      </c>
      <c r="C322" s="1">
        <f t="array" ref="C322">INDIRECT(_xlfn.CONCAT("$K", $F322))</f>
        <v/>
      </c>
      <c r="D322" s="1" t="n"/>
      <c r="E322" s="1">
        <f t="array" ref="E322">INDIRECT(_xlfn.CONCAT("$L", $F322))</f>
        <v/>
      </c>
      <c r="F322" s="1">
        <f t="array" ref="F322">IF(NOT(OR(ISERROR(INDIRECT(_xlfn.CONCAT("$I", $F321 + 1))), ISBLANK(INDIRECT(_xlfn.CONCAT("$I", $F321 + 1))))), $F321 + 1, IF(NOT(ISBLANK(INDIRECT(_xlfn.CONCAT("$I", $F321 + 2)))), $F321 + 2, ""))</f>
        <v/>
      </c>
      <c r="I322" s="8" t="inlineStr">
        <is>
          <t>March of the Machine Commander MOC</t>
        </is>
      </c>
      <c r="J322" s="8" t="n">
        <v>450</v>
      </c>
      <c r="K322" s="9" t="n">
        <v>45037</v>
      </c>
      <c r="L322" t="inlineStr">
        <is>
          <t>en es fr de it pt ja ko ru 汉语 漢語</t>
        </is>
      </c>
    </row>
    <row r="323" ht="68.25" customHeight="1" s="6">
      <c r="A323" s="1">
        <f t="array" ref="A323">INDIRECT(_xlfn.CONCAT("$I", $F323))</f>
        <v/>
      </c>
      <c r="B323" s="1">
        <f t="array" ref="B323">INDIRECT(_xlfn.CONCAT("$J", $F323))</f>
        <v/>
      </c>
      <c r="C323" s="1">
        <f t="array" ref="C323">INDIRECT(_xlfn.CONCAT("$K", $F323))</f>
        <v/>
      </c>
      <c r="D323" s="1" t="n"/>
      <c r="E323" s="1">
        <f t="array" ref="E323">INDIRECT(_xlfn.CONCAT("$L", $F323))</f>
        <v/>
      </c>
      <c r="F323" s="1">
        <f t="array" ref="F323">IF(NOT(OR(ISERROR(INDIRECT(_xlfn.CONCAT("$I", $F322 + 1))), ISBLANK(INDIRECT(_xlfn.CONCAT("$I", $F322 + 1))))), $F322 + 1, IF(NOT(ISBLANK(INDIRECT(_xlfn.CONCAT("$I", $F322 + 2)))), $F322 + 2, ""))</f>
        <v/>
      </c>
    </row>
    <row r="324" ht="81" customHeight="1" s="6">
      <c r="A324" s="1">
        <f t="array" ref="A324">INDIRECT(_xlfn.CONCAT("$I", $F324))</f>
        <v/>
      </c>
      <c r="B324" s="1">
        <f t="array" ref="B324">INDIRECT(_xlfn.CONCAT("$J", $F324))</f>
        <v/>
      </c>
      <c r="C324" s="1">
        <f t="array" ref="C324">INDIRECT(_xlfn.CONCAT("$K", $F324))</f>
        <v/>
      </c>
      <c r="D324" s="1" t="n"/>
      <c r="E324" s="1">
        <f t="array" ref="E324">INDIRECT(_xlfn.CONCAT("$L", $F324))</f>
        <v/>
      </c>
      <c r="F324" s="1">
        <f t="array" ref="F324">IF(NOT(OR(ISERROR(INDIRECT(_xlfn.CONCAT("$I", $F323 + 1))), ISBLANK(INDIRECT(_xlfn.CONCAT("$I", $F323 + 1))))), $F323 + 1, IF(NOT(ISBLANK(INDIRECT(_xlfn.CONCAT("$I", $F323 + 2)))), $F323 + 2, ""))</f>
        <v/>
      </c>
      <c r="I324" s="8" t="inlineStr">
        <is>
          <t>March of the Machine Commander Tokens TMOC</t>
        </is>
      </c>
      <c r="J324" s="8" t="n">
        <v>46</v>
      </c>
      <c r="K324" s="9" t="n">
        <v>45037</v>
      </c>
      <c r="L324" s="8" t="inlineStr">
        <is>
          <t>en es fr de it pt ja ko ru 汉语 漢語</t>
        </is>
      </c>
    </row>
    <row r="325" ht="81" customHeight="1" s="6">
      <c r="A325" s="1">
        <f t="array" ref="A325">INDIRECT(_xlfn.CONCAT("$I", $F325))</f>
        <v/>
      </c>
      <c r="B325" s="1">
        <f t="array" ref="B325">INDIRECT(_xlfn.CONCAT("$J", $F325))</f>
        <v/>
      </c>
      <c r="C325" s="1">
        <f t="array" ref="C325">INDIRECT(_xlfn.CONCAT("$K", $F325))</f>
        <v/>
      </c>
      <c r="D325" s="1" t="n"/>
      <c r="E325" s="1">
        <f t="array" ref="E325">INDIRECT(_xlfn.CONCAT("$L", $F325))</f>
        <v/>
      </c>
      <c r="F325" s="1">
        <f t="array" ref="F325">IF(NOT(OR(ISERROR(INDIRECT(_xlfn.CONCAT("$I", $F324 + 1))), ISBLANK(INDIRECT(_xlfn.CONCAT("$I", $F324 + 1))))), $F324 + 1, IF(NOT(ISBLANK(INDIRECT(_xlfn.CONCAT("$I", $F324 + 2)))), $F324 + 2, ""))</f>
        <v/>
      </c>
    </row>
    <row r="326" ht="68.25" customHeight="1" s="6">
      <c r="A326" s="1">
        <f t="array" ref="A326">INDIRECT(_xlfn.CONCAT("$I", $F326))</f>
        <v/>
      </c>
      <c r="B326" s="1">
        <f t="array" ref="B326">INDIRECT(_xlfn.CONCAT("$J", $F326))</f>
        <v/>
      </c>
      <c r="C326" s="1">
        <f t="array" ref="C326">INDIRECT(_xlfn.CONCAT("$K", $F326))</f>
        <v/>
      </c>
      <c r="D326" s="1" t="n"/>
      <c r="E326" s="1">
        <f t="array" ref="E326">INDIRECT(_xlfn.CONCAT("$L", $F326))</f>
        <v/>
      </c>
      <c r="F326" s="1">
        <f t="array" ref="F326">IF(NOT(OR(ISERROR(INDIRECT(_xlfn.CONCAT("$I", $F325 + 1))), ISBLANK(INDIRECT(_xlfn.CONCAT("$I", $F325 + 1))))), $F325 + 1, IF(NOT(ISBLANK(INDIRECT(_xlfn.CONCAT("$I", $F325 + 2)))), $F325 + 2, ""))</f>
        <v/>
      </c>
      <c r="I326" s="8" t="inlineStr">
        <is>
          <t>MOM Japanese Promo Tokens WMOM</t>
        </is>
      </c>
      <c r="J326" s="8" t="n">
        <v>12</v>
      </c>
      <c r="K326" s="9" t="n">
        <v>45037</v>
      </c>
      <c r="L326" s="8" t="inlineStr">
        <is>
          <t>en es fr de it pt ja ko ru 汉语 漢語</t>
        </is>
      </c>
    </row>
    <row r="327" ht="81" customHeight="1" s="6">
      <c r="A327" s="1">
        <f t="array" ref="A327">INDIRECT(_xlfn.CONCAT("$I", $F327))</f>
        <v/>
      </c>
      <c r="B327" s="1">
        <f t="array" ref="B327">INDIRECT(_xlfn.CONCAT("$J", $F327))</f>
        <v/>
      </c>
      <c r="C327" s="1">
        <f t="array" ref="C327">INDIRECT(_xlfn.CONCAT("$K", $F327))</f>
        <v/>
      </c>
      <c r="D327" s="1" t="n"/>
      <c r="E327" s="1">
        <f t="array" ref="E327">INDIRECT(_xlfn.CONCAT("$L", $F327))</f>
        <v/>
      </c>
      <c r="F327" s="1">
        <f t="array" ref="F327">IF(NOT(OR(ISERROR(INDIRECT(_xlfn.CONCAT("$I", $F326 + 1))), ISBLANK(INDIRECT(_xlfn.CONCAT("$I", $F326 + 1))))), $F326 + 1, IF(NOT(ISBLANK(INDIRECT(_xlfn.CONCAT("$I", $F326 + 2)))), $F326 + 2, ""))</f>
        <v/>
      </c>
    </row>
    <row r="328" ht="57.75" customHeight="1" s="6">
      <c r="A328" s="1">
        <f t="array" ref="A328">INDIRECT(_xlfn.CONCAT("$I", $F328))</f>
        <v/>
      </c>
      <c r="B328" s="1">
        <f t="array" ref="B328">INDIRECT(_xlfn.CONCAT("$J", $F328))</f>
        <v/>
      </c>
      <c r="C328" s="1">
        <f t="array" ref="C328">INDIRECT(_xlfn.CONCAT("$K", $F328))</f>
        <v/>
      </c>
      <c r="D328" s="1" t="n"/>
      <c r="E328" s="1">
        <f t="array" ref="E328">INDIRECT(_xlfn.CONCAT("$L", $F328))</f>
        <v/>
      </c>
      <c r="F328" s="1">
        <f t="array" ref="F328">IF(NOT(OR(ISERROR(INDIRECT(_xlfn.CONCAT("$I", $F327 + 1))), ISBLANK(INDIRECT(_xlfn.CONCAT("$I", $F327 + 1))))), $F327 + 1, IF(NOT(ISBLANK(INDIRECT(_xlfn.CONCAT("$I", $F327 + 2)))), $F327 + 2, ""))</f>
        <v/>
      </c>
      <c r="I328" s="8" t="inlineStr">
        <is>
          <t>March of the Machine Art Series AMOM</t>
        </is>
      </c>
      <c r="J328" s="8" t="n">
        <v>81</v>
      </c>
      <c r="K328" s="9" t="n">
        <v>45037</v>
      </c>
      <c r="L328" s="8" t="inlineStr">
        <is>
          <t>en es fr de it pt ja ko ru 汉语 漢語</t>
        </is>
      </c>
    </row>
    <row r="329" ht="68.25" customHeight="1" s="6">
      <c r="A329" s="1">
        <f t="array" ref="A329">INDIRECT(_xlfn.CONCAT("$I", $F329))</f>
        <v/>
      </c>
      <c r="B329" s="1">
        <f t="array" ref="B329">INDIRECT(_xlfn.CONCAT("$J", $F329))</f>
        <v/>
      </c>
      <c r="C329" s="1">
        <f t="array" ref="C329">INDIRECT(_xlfn.CONCAT("$K", $F329))</f>
        <v/>
      </c>
      <c r="D329" s="1" t="n"/>
      <c r="E329" s="1">
        <f t="array" ref="E329">INDIRECT(_xlfn.CONCAT("$L", $F329))</f>
        <v/>
      </c>
      <c r="F329" s="1">
        <f t="array" ref="F329">IF(NOT(OR(ISERROR(INDIRECT(_xlfn.CONCAT("$I", $F328 + 1))), ISBLANK(INDIRECT(_xlfn.CONCAT("$I", $F328 + 1))))), $F328 + 1, IF(NOT(ISBLANK(INDIRECT(_xlfn.CONCAT("$I", $F328 + 2)))), $F328 + 2, ""))</f>
        <v/>
      </c>
    </row>
    <row r="330" ht="81" customHeight="1" s="6">
      <c r="A330" s="1">
        <f t="array" ref="A330">INDIRECT(_xlfn.CONCAT("$I", $F330))</f>
        <v/>
      </c>
      <c r="B330" s="1">
        <f t="array" ref="B330">INDIRECT(_xlfn.CONCAT("$J", $F330))</f>
        <v/>
      </c>
      <c r="C330" s="1">
        <f t="array" ref="C330">INDIRECT(_xlfn.CONCAT("$K", $F330))</f>
        <v/>
      </c>
      <c r="D330" s="1" t="n"/>
      <c r="E330" s="1">
        <f t="array" ref="E330">INDIRECT(_xlfn.CONCAT("$L", $F330))</f>
        <v/>
      </c>
      <c r="F330" s="1">
        <f t="array" ref="F330">IF(NOT(OR(ISERROR(INDIRECT(_xlfn.CONCAT("$I", $F329 + 1))), ISBLANK(INDIRECT(_xlfn.CONCAT("$I", $F329 + 1))))), $F329 + 1, IF(NOT(ISBLANK(INDIRECT(_xlfn.CONCAT("$I", $F329 + 2)))), $F329 + 2, ""))</f>
        <v/>
      </c>
      <c r="I330" s="8" t="inlineStr">
        <is>
          <t>March of the Machine Substitute Cards SMOM</t>
        </is>
      </c>
      <c r="J330" s="8" t="n">
        <v>1</v>
      </c>
      <c r="K330" s="9" t="n">
        <v>45037</v>
      </c>
      <c r="L330" s="8" t="inlineStr">
        <is>
          <t>en es fr de it pt ja ko ru 汉语 漢語</t>
        </is>
      </c>
    </row>
    <row r="331" ht="81" customHeight="1" s="6">
      <c r="A331" s="1">
        <f t="array" ref="A331">INDIRECT(_xlfn.CONCAT("$I", $F331))</f>
        <v/>
      </c>
      <c r="B331" s="1">
        <f t="array" ref="B331">INDIRECT(_xlfn.CONCAT("$J", $F331))</f>
        <v/>
      </c>
      <c r="C331" s="1">
        <f t="array" ref="C331">INDIRECT(_xlfn.CONCAT("$K", $F331))</f>
        <v/>
      </c>
      <c r="D331" s="1" t="n"/>
      <c r="E331" s="1">
        <f t="array" ref="E331">INDIRECT(_xlfn.CONCAT("$L", $F331))</f>
        <v/>
      </c>
      <c r="F331" s="1">
        <f t="array" ref="F331">IF(NOT(OR(ISERROR(INDIRECT(_xlfn.CONCAT("$I", $F330 + 1))), ISBLANK(INDIRECT(_xlfn.CONCAT("$I", $F330 + 1))))), $F330 + 1, IF(NOT(ISBLANK(INDIRECT(_xlfn.CONCAT("$I", $F330 + 2)))), $F330 + 2, ""))</f>
        <v/>
      </c>
    </row>
    <row r="332" ht="54.75" customHeight="1" s="6">
      <c r="A332" s="1">
        <f t="array" ref="A332">INDIRECT(_xlfn.CONCAT("$I", $F332))</f>
        <v/>
      </c>
      <c r="B332" s="1">
        <f t="array" ref="B332">INDIRECT(_xlfn.CONCAT("$J", $F332))</f>
        <v/>
      </c>
      <c r="C332" s="1">
        <f t="array" ref="C332">INDIRECT(_xlfn.CONCAT("$K", $F332))</f>
        <v/>
      </c>
      <c r="D332" s="1" t="n"/>
      <c r="E332" s="1">
        <f t="array" ref="E332">INDIRECT(_xlfn.CONCAT("$L", $F332))</f>
        <v/>
      </c>
      <c r="F332" s="1">
        <f t="array" ref="F332">IF(NOT(OR(ISERROR(INDIRECT(_xlfn.CONCAT("$I", $F331 + 1))), ISBLANK(INDIRECT(_xlfn.CONCAT("$I", $F331 + 1))))), $F331 + 1, IF(NOT(ISBLANK(INDIRECT(_xlfn.CONCAT("$I", $F331 + 2)))), $F331 + 2, ""))</f>
        <v/>
      </c>
      <c r="I332" s="8" t="inlineStr">
        <is>
          <t>Shadows over Innistrad Remastered SIR</t>
        </is>
      </c>
      <c r="J332" s="8" t="n">
        <v>294</v>
      </c>
      <c r="K332" s="9" t="n">
        <v>45006</v>
      </c>
      <c r="L332" s="8" t="inlineStr">
        <is>
          <t>en es fr de it pt ja ko ru 汉语 漢語</t>
        </is>
      </c>
    </row>
    <row r="333" ht="57.75" customHeight="1" s="6">
      <c r="A333" s="1">
        <f t="array" ref="A333">INDIRECT(_xlfn.CONCAT("$I", $F333))</f>
        <v/>
      </c>
      <c r="B333" s="1">
        <f t="array" ref="B333">INDIRECT(_xlfn.CONCAT("$J", $F333))</f>
        <v/>
      </c>
      <c r="C333" s="1">
        <f t="array" ref="C333">INDIRECT(_xlfn.CONCAT("$K", $F333))</f>
        <v/>
      </c>
      <c r="D333" s="1" t="n"/>
      <c r="E333" s="1">
        <f t="array" ref="E333">INDIRECT(_xlfn.CONCAT("$L", $F333))</f>
        <v/>
      </c>
      <c r="F333" s="1">
        <f t="array" ref="F333">IF(NOT(OR(ISERROR(INDIRECT(_xlfn.CONCAT("$I", $F332 + 1))), ISBLANK(INDIRECT(_xlfn.CONCAT("$I", $F332 + 1))))), $F332 + 1, IF(NOT(ISBLANK(INDIRECT(_xlfn.CONCAT("$I", $F332 + 2)))), $F332 + 2, ""))</f>
        <v/>
      </c>
    </row>
    <row r="334" ht="68.25" customHeight="1" s="6">
      <c r="A334" s="1">
        <f t="array" ref="A334">INDIRECT(_xlfn.CONCAT("$I", $F334))</f>
        <v/>
      </c>
      <c r="B334" s="1">
        <f t="array" ref="B334">INDIRECT(_xlfn.CONCAT("$J", $F334))</f>
        <v/>
      </c>
      <c r="C334" s="1">
        <f t="array" ref="C334">INDIRECT(_xlfn.CONCAT("$K", $F334))</f>
        <v/>
      </c>
      <c r="D334" s="1" t="n"/>
      <c r="E334" s="1">
        <f t="array" ref="E334">INDIRECT(_xlfn.CONCAT("$L", $F334))</f>
        <v/>
      </c>
      <c r="F334" s="1">
        <f t="array" ref="F334">IF(NOT(OR(ISERROR(INDIRECT(_xlfn.CONCAT("$I", $F333 + 1))), ISBLANK(INDIRECT(_xlfn.CONCAT("$I", $F333 + 1))))), $F333 + 1, IF(NOT(ISBLANK(INDIRECT(_xlfn.CONCAT("$I", $F333 + 2)))), $F333 + 2, ""))</f>
        <v/>
      </c>
      <c r="I334" s="8" t="inlineStr">
        <is>
          <t>Shadows of the Past SIS</t>
        </is>
      </c>
      <c r="J334" s="8" t="n">
        <v>76</v>
      </c>
      <c r="K334" s="9" t="n">
        <v>45006</v>
      </c>
      <c r="L334" s="8" t="inlineStr">
        <is>
          <t>en es fr de it pt ja ko ru 汉语 漢語</t>
        </is>
      </c>
    </row>
    <row r="335" ht="57.75" customHeight="1" s="6">
      <c r="A335" s="1">
        <f t="array" ref="A335">INDIRECT(_xlfn.CONCAT("$I", $F335))</f>
        <v/>
      </c>
      <c r="B335" s="1">
        <f t="array" ref="B335">INDIRECT(_xlfn.CONCAT("$J", $F335))</f>
        <v/>
      </c>
      <c r="C335" s="1">
        <f t="array" ref="C335">INDIRECT(_xlfn.CONCAT("$K", $F335))</f>
        <v/>
      </c>
      <c r="D335" s="1" t="n"/>
      <c r="E335" s="1">
        <f t="array" ref="E335">INDIRECT(_xlfn.CONCAT("$L", $F335))</f>
        <v/>
      </c>
      <c r="F335" s="1">
        <f t="array" ref="F335">IF(NOT(OR(ISERROR(INDIRECT(_xlfn.CONCAT("$I", $F334 + 1))), ISBLANK(INDIRECT(_xlfn.CONCAT("$I", $F334 + 1))))), $F334 + 1, IF(NOT(ISBLANK(INDIRECT(_xlfn.CONCAT("$I", $F334 + 2)))), $F334 + 2, ""))</f>
        <v/>
      </c>
    </row>
    <row r="336" ht="57.75" customHeight="1" s="6">
      <c r="A336" s="1">
        <f t="array" ref="A336">INDIRECT(_xlfn.CONCAT("$I", $F336))</f>
        <v/>
      </c>
      <c r="B336" s="1">
        <f t="array" ref="B336">INDIRECT(_xlfn.CONCAT("$J", $F336))</f>
        <v/>
      </c>
      <c r="C336" s="1">
        <f t="array" ref="C336">INDIRECT(_xlfn.CONCAT("$K", $F336))</f>
        <v/>
      </c>
      <c r="D336" s="1" t="n"/>
      <c r="E336" s="1">
        <f t="array" ref="E336">INDIRECT(_xlfn.CONCAT("$L", $F336))</f>
        <v/>
      </c>
      <c r="F336" s="1">
        <f t="array" ref="F336">IF(NOT(OR(ISERROR(INDIRECT(_xlfn.CONCAT("$I", $F335 + 1))), ISBLANK(INDIRECT(_xlfn.CONCAT("$I", $F335 + 1))))), $F335 + 1, IF(NOT(ISBLANK(INDIRECT(_xlfn.CONCAT("$I", $F335 + 2)))), $F335 + 2, ""))</f>
        <v/>
      </c>
      <c r="I336" s="8" t="inlineStr">
        <is>
          <t>Unknown Event UNK</t>
        </is>
      </c>
      <c r="J336" s="8" t="n">
        <v>471</v>
      </c>
      <c r="K336" s="9" t="n">
        <v>44972</v>
      </c>
      <c r="L336" s="8" t="inlineStr">
        <is>
          <t>en es fr de it pt ja ko ru 汉语 漢語</t>
        </is>
      </c>
    </row>
    <row r="337" ht="57.75" customHeight="1" s="6">
      <c r="A337" s="1">
        <f t="array" ref="A337">INDIRECT(_xlfn.CONCAT("$I", $F337))</f>
        <v/>
      </c>
      <c r="B337" s="1">
        <f t="array" ref="B337">INDIRECT(_xlfn.CONCAT("$J", $F337))</f>
        <v/>
      </c>
      <c r="C337" s="1">
        <f t="array" ref="C337">INDIRECT(_xlfn.CONCAT("$K", $F337))</f>
        <v/>
      </c>
      <c r="D337" s="1" t="n"/>
      <c r="E337" s="1">
        <f t="array" ref="E337">INDIRECT(_xlfn.CONCAT("$L", $F337))</f>
        <v/>
      </c>
      <c r="F337" s="1">
        <f t="array" ref="F337">IF(NOT(OR(ISERROR(INDIRECT(_xlfn.CONCAT("$I", $F336 + 1))), ISBLANK(INDIRECT(_xlfn.CONCAT("$I", $F336 + 1))))), $F336 + 1, IF(NOT(ISBLANK(INDIRECT(_xlfn.CONCAT("$I", $F336 + 2)))), $F336 + 2, ""))</f>
        <v/>
      </c>
    </row>
    <row r="338" ht="57.75" customHeight="1" s="6">
      <c r="A338" s="1">
        <f t="array" ref="A338">INDIRECT(_xlfn.CONCAT("$I", $F338))</f>
        <v/>
      </c>
      <c r="B338" s="1">
        <f t="array" ref="B338">INDIRECT(_xlfn.CONCAT("$J", $F338))</f>
        <v/>
      </c>
      <c r="C338" s="1">
        <f t="array" ref="C338">INDIRECT(_xlfn.CONCAT("$K", $F338))</f>
        <v/>
      </c>
      <c r="D338" s="1" t="n"/>
      <c r="E338" s="1">
        <f t="array" ref="E338">INDIRECT(_xlfn.CONCAT("$L", $F338))</f>
        <v/>
      </c>
      <c r="F338" s="1">
        <f t="array" ref="F338">IF(NOT(OR(ISERROR(INDIRECT(_xlfn.CONCAT("$I", $F337 + 1))), ISBLANK(INDIRECT(_xlfn.CONCAT("$I", $F337 + 1))))), $F337 + 1, IF(NOT(ISBLANK(INDIRECT(_xlfn.CONCAT("$I", $F337 + 2)))), $F337 + 2, ""))</f>
        <v/>
      </c>
      <c r="I338" s="8" t="inlineStr">
        <is>
          <t>Black Lotus Unknown Planechase PUNK</t>
        </is>
      </c>
      <c r="J338" s="8" t="n">
        <v>52</v>
      </c>
      <c r="K338" s="9" t="n">
        <v>45346</v>
      </c>
      <c r="L338" s="8" t="inlineStr">
        <is>
          <t>en es fr de it pt ja ko ru 汉语 漢語</t>
        </is>
      </c>
    </row>
    <row r="339" ht="57.75" customHeight="1" s="6">
      <c r="A339" s="1">
        <f t="array" ref="A339">INDIRECT(_xlfn.CONCAT("$I", $F339))</f>
        <v/>
      </c>
      <c r="B339" s="1">
        <f t="array" ref="B339">INDIRECT(_xlfn.CONCAT("$J", $F339))</f>
        <v/>
      </c>
      <c r="C339" s="1">
        <f t="array" ref="C339">INDIRECT(_xlfn.CONCAT("$K", $F339))</f>
        <v/>
      </c>
      <c r="D339" s="1" t="n"/>
      <c r="E339" s="1">
        <f t="array" ref="E339">INDIRECT(_xlfn.CONCAT("$L", $F339))</f>
        <v/>
      </c>
      <c r="F339" s="1">
        <f t="array" ref="F339">IF(NOT(OR(ISERROR(INDIRECT(_xlfn.CONCAT("$I", $F338 + 1))), ISBLANK(INDIRECT(_xlfn.CONCAT("$I", $F338 + 1))))), $F338 + 1, IF(NOT(ISBLANK(INDIRECT(_xlfn.CONCAT("$I", $F338 + 2)))), $F338 + 2, ""))</f>
        <v/>
      </c>
    </row>
    <row r="340" ht="57.75" customHeight="1" s="6">
      <c r="A340" s="1">
        <f t="array" ref="A340">INDIRECT(_xlfn.CONCAT("$I", $F340))</f>
        <v/>
      </c>
      <c r="B340" s="1">
        <f t="array" ref="B340">INDIRECT(_xlfn.CONCAT("$J", $F340))</f>
        <v/>
      </c>
      <c r="C340" s="1">
        <f t="array" ref="C340">INDIRECT(_xlfn.CONCAT("$K", $F340))</f>
        <v/>
      </c>
      <c r="D340" s="1" t="n"/>
      <c r="E340" s="1">
        <f t="array" ref="E340">INDIRECT(_xlfn.CONCAT("$L", $F340))</f>
        <v/>
      </c>
      <c r="F340" s="1">
        <f t="array" ref="F340">IF(NOT(OR(ISERROR(INDIRECT(_xlfn.CONCAT("$I", $F339 + 1))), ISBLANK(INDIRECT(_xlfn.CONCAT("$I", $F339 + 1))))), $F339 + 1, IF(NOT(ISBLANK(INDIRECT(_xlfn.CONCAT("$I", $F339 + 2)))), $F339 + 2, ""))</f>
        <v/>
      </c>
      <c r="I340" s="8" t="inlineStr">
        <is>
          <t>Year of the Rabbit 2023 PL23</t>
        </is>
      </c>
      <c r="J340" s="8" t="n">
        <v>6</v>
      </c>
      <c r="K340" s="9" t="n">
        <v>44967</v>
      </c>
      <c r="L340" t="inlineStr">
        <is>
          <t>en es fr de it pt ja ko ru 汉语 漢語</t>
        </is>
      </c>
    </row>
    <row r="341" ht="57.75" customHeight="1" s="6">
      <c r="A341" s="1">
        <f t="array" ref="A341">INDIRECT(_xlfn.CONCAT("$I", $F341))</f>
        <v/>
      </c>
      <c r="B341" s="1">
        <f t="array" ref="B341">INDIRECT(_xlfn.CONCAT("$J", $F341))</f>
        <v/>
      </c>
      <c r="C341" s="1">
        <f t="array" ref="C341">INDIRECT(_xlfn.CONCAT("$K", $F341))</f>
        <v/>
      </c>
      <c r="D341" s="1" t="n"/>
      <c r="E341" s="1">
        <f t="array" ref="E341">INDIRECT(_xlfn.CONCAT("$L", $F341))</f>
        <v/>
      </c>
      <c r="F341" s="1">
        <f t="array" ref="F341">IF(NOT(OR(ISERROR(INDIRECT(_xlfn.CONCAT("$I", $F340 + 1))), ISBLANK(INDIRECT(_xlfn.CONCAT("$I", $F340 + 1))))), $F340 + 1, IF(NOT(ISBLANK(INDIRECT(_xlfn.CONCAT("$I", $F340 + 2)))), $F340 + 2, ""))</f>
        <v/>
      </c>
    </row>
    <row r="342" ht="57.75" customHeight="1" s="6">
      <c r="A342" s="1">
        <f t="array" ref="A342">INDIRECT(_xlfn.CONCAT("$I", $F342))</f>
        <v/>
      </c>
      <c r="B342" s="1">
        <f t="array" ref="B342">INDIRECT(_xlfn.CONCAT("$J", $F342))</f>
        <v/>
      </c>
      <c r="C342" s="1">
        <f t="array" ref="C342">INDIRECT(_xlfn.CONCAT("$K", $F342))</f>
        <v/>
      </c>
      <c r="D342" s="1" t="n"/>
      <c r="E342" s="1">
        <f t="array" ref="E342">INDIRECT(_xlfn.CONCAT("$L", $F342))</f>
        <v/>
      </c>
      <c r="F342" s="1">
        <f t="array" ref="F342">IF(NOT(OR(ISERROR(INDIRECT(_xlfn.CONCAT("$I", $F341 + 1))), ISBLANK(INDIRECT(_xlfn.CONCAT("$I", $F341 + 1))))), $F341 + 1, IF(NOT(ISBLANK(INDIRECT(_xlfn.CONCAT("$I", $F341 + 2)))), $F341 + 2, ""))</f>
        <v/>
      </c>
      <c r="I342" s="8" t="inlineStr">
        <is>
          <t>Phyrexia: All Will Be One ONE</t>
        </is>
      </c>
      <c r="J342" s="8" t="n">
        <v>479</v>
      </c>
      <c r="K342" s="9" t="n">
        <v>44967</v>
      </c>
      <c r="L342" t="inlineStr">
        <is>
          <t>en es fr de it pt ja ko ru 汉语 漢語</t>
        </is>
      </c>
    </row>
    <row r="343" ht="57.75" customHeight="1" s="6">
      <c r="A343" s="1">
        <f t="array" ref="A343">INDIRECT(_xlfn.CONCAT("$I", $F343))</f>
        <v/>
      </c>
      <c r="B343" s="1">
        <f t="array" ref="B343">INDIRECT(_xlfn.CONCAT("$J", $F343))</f>
        <v/>
      </c>
      <c r="C343" s="1">
        <f t="array" ref="C343">INDIRECT(_xlfn.CONCAT("$K", $F343))</f>
        <v/>
      </c>
      <c r="D343" s="1" t="n"/>
      <c r="E343" s="1">
        <f t="array" ref="E343">INDIRECT(_xlfn.CONCAT("$L", $F343))</f>
        <v/>
      </c>
      <c r="F343" s="1">
        <f t="array" ref="F343">IF(NOT(OR(ISERROR(INDIRECT(_xlfn.CONCAT("$I", $F342 + 1))), ISBLANK(INDIRECT(_xlfn.CONCAT("$I", $F342 + 1))))), $F342 + 1, IF(NOT(ISBLANK(INDIRECT(_xlfn.CONCAT("$I", $F342 + 2)))), $F342 + 2, ""))</f>
        <v/>
      </c>
    </row>
    <row r="344" ht="68.25" customHeight="1" s="6">
      <c r="A344" s="1">
        <f t="array" ref="A344">INDIRECT(_xlfn.CONCAT("$I", $F344))</f>
        <v/>
      </c>
      <c r="B344" s="1">
        <f t="array" ref="B344">INDIRECT(_xlfn.CONCAT("$J", $F344))</f>
        <v/>
      </c>
      <c r="C344" s="1">
        <f t="array" ref="C344">INDIRECT(_xlfn.CONCAT("$K", $F344))</f>
        <v/>
      </c>
      <c r="D344" s="1" t="n"/>
      <c r="E344" s="1">
        <f t="array" ref="E344">INDIRECT(_xlfn.CONCAT("$L", $F344))</f>
        <v/>
      </c>
      <c r="F344" s="1">
        <f t="array" ref="F344">IF(NOT(OR(ISERROR(INDIRECT(_xlfn.CONCAT("$I", $F343 + 1))), ISBLANK(INDIRECT(_xlfn.CONCAT("$I", $F343 + 1))))), $F343 + 1, IF(NOT(ISBLANK(INDIRECT(_xlfn.CONCAT("$I", $F343 + 2)))), $F343 + 2, ""))</f>
        <v/>
      </c>
      <c r="I344" s="8" t="inlineStr">
        <is>
          <t>Phyrexia: All Will Be One Promos PONE</t>
        </is>
      </c>
      <c r="J344" s="8" t="n">
        <v>160</v>
      </c>
      <c r="K344" s="9" t="n">
        <v>44967</v>
      </c>
      <c r="L344" s="8" t="inlineStr">
        <is>
          <t>en es fr de it pt ja ko ru 汉语 漢語</t>
        </is>
      </c>
    </row>
    <row r="345" ht="68.25" customHeight="1" s="6">
      <c r="A345" s="1">
        <f t="array" ref="A345">INDIRECT(_xlfn.CONCAT("$I", $F345))</f>
        <v/>
      </c>
      <c r="B345" s="1">
        <f t="array" ref="B345">INDIRECT(_xlfn.CONCAT("$J", $F345))</f>
        <v/>
      </c>
      <c r="C345" s="1">
        <f t="array" ref="C345">INDIRECT(_xlfn.CONCAT("$K", $F345))</f>
        <v/>
      </c>
      <c r="D345" s="1" t="n"/>
      <c r="E345" s="1">
        <f t="array" ref="E345">INDIRECT(_xlfn.CONCAT("$L", $F345))</f>
        <v/>
      </c>
      <c r="F345" s="1">
        <f t="array" ref="F345">IF(NOT(OR(ISERROR(INDIRECT(_xlfn.CONCAT("$I", $F344 + 1))), ISBLANK(INDIRECT(_xlfn.CONCAT("$I", $F344 + 1))))), $F344 + 1, IF(NOT(ISBLANK(INDIRECT(_xlfn.CONCAT("$I", $F344 + 2)))), $F344 + 2, ""))</f>
        <v/>
      </c>
    </row>
    <row r="346" ht="81" customHeight="1" s="6">
      <c r="A346" s="1">
        <f t="array" ref="A346">INDIRECT(_xlfn.CONCAT("$I", $F346))</f>
        <v/>
      </c>
      <c r="B346" s="1">
        <f t="array" ref="B346">INDIRECT(_xlfn.CONCAT("$J", $F346))</f>
        <v/>
      </c>
      <c r="C346" s="1">
        <f t="array" ref="C346">INDIRECT(_xlfn.CONCAT("$K", $F346))</f>
        <v/>
      </c>
      <c r="D346" s="1" t="n"/>
      <c r="E346" s="1">
        <f t="array" ref="E346">INDIRECT(_xlfn.CONCAT("$L", $F346))</f>
        <v/>
      </c>
      <c r="F346" s="1">
        <f t="array" ref="F346">IF(NOT(OR(ISERROR(INDIRECT(_xlfn.CONCAT("$I", $F345 + 1))), ISBLANK(INDIRECT(_xlfn.CONCAT("$I", $F345 + 1))))), $F345 + 1, IF(NOT(ISBLANK(INDIRECT(_xlfn.CONCAT("$I", $F345 + 2)))), $F345 + 2, ""))</f>
        <v/>
      </c>
      <c r="I346" s="8" t="inlineStr">
        <is>
          <t>Phyrexia: All Will Be One Tokens TONE</t>
        </is>
      </c>
      <c r="J346" s="8" t="n">
        <v>14</v>
      </c>
      <c r="K346" s="9" t="n">
        <v>44960</v>
      </c>
      <c r="L346" s="8" t="inlineStr">
        <is>
          <t>en es fr de it pt ja ko ru 汉语 漢語</t>
        </is>
      </c>
    </row>
    <row r="347" ht="68.25" customHeight="1" s="6">
      <c r="A347" s="1">
        <f t="array" ref="A347">INDIRECT(_xlfn.CONCAT("$I", $F347))</f>
        <v/>
      </c>
      <c r="B347" s="1">
        <f t="array" ref="B347">INDIRECT(_xlfn.CONCAT("$J", $F347))</f>
        <v/>
      </c>
      <c r="C347" s="1">
        <f t="array" ref="C347">INDIRECT(_xlfn.CONCAT("$K", $F347))</f>
        <v/>
      </c>
      <c r="D347" s="1" t="n"/>
      <c r="E347" s="1">
        <f t="array" ref="E347">INDIRECT(_xlfn.CONCAT("$L", $F347))</f>
        <v/>
      </c>
      <c r="F347" s="1">
        <f t="array" ref="F347">IF(NOT(OR(ISERROR(INDIRECT(_xlfn.CONCAT("$I", $F346 + 1))), ISBLANK(INDIRECT(_xlfn.CONCAT("$I", $F346 + 1))))), $F346 + 1, IF(NOT(ISBLANK(INDIRECT(_xlfn.CONCAT("$I", $F346 + 2)))), $F346 + 2, ""))</f>
        <v/>
      </c>
    </row>
    <row r="348" ht="57.75" customHeight="1" s="6">
      <c r="A348" s="1">
        <f t="array" ref="A348">INDIRECT(_xlfn.CONCAT("$I", $F348))</f>
        <v/>
      </c>
      <c r="B348" s="1">
        <f t="array" ref="B348">INDIRECT(_xlfn.CONCAT("$J", $F348))</f>
        <v/>
      </c>
      <c r="C348" s="1">
        <f t="array" ref="C348">INDIRECT(_xlfn.CONCAT("$K", $F348))</f>
        <v/>
      </c>
      <c r="D348" s="1" t="n"/>
      <c r="E348" s="1">
        <f t="array" ref="E348">INDIRECT(_xlfn.CONCAT("$L", $F348))</f>
        <v/>
      </c>
      <c r="F348" s="1">
        <f t="array" ref="F348">IF(NOT(OR(ISERROR(INDIRECT(_xlfn.CONCAT("$I", $F347 + 1))), ISBLANK(INDIRECT(_xlfn.CONCAT("$I", $F347 + 1))))), $F347 + 1, IF(NOT(ISBLANK(INDIRECT(_xlfn.CONCAT("$I", $F347 + 2)))), $F347 + 2, ""))</f>
        <v/>
      </c>
      <c r="I348" s="8" t="inlineStr">
        <is>
          <t>Alchemy: Phyrexia YONE</t>
        </is>
      </c>
      <c r="J348" s="8" t="n">
        <v>30</v>
      </c>
      <c r="K348" s="9" t="n">
        <v>44985</v>
      </c>
      <c r="L348" s="8" t="inlineStr">
        <is>
          <t>en es fr de it pt ja ko ru 汉语 漢語</t>
        </is>
      </c>
    </row>
    <row r="349" ht="57.75" customHeight="1" s="6">
      <c r="A349" s="1">
        <f t="array" ref="A349">INDIRECT(_xlfn.CONCAT("$I", $F349))</f>
        <v/>
      </c>
      <c r="B349" s="1">
        <f t="array" ref="B349">INDIRECT(_xlfn.CONCAT("$J", $F349))</f>
        <v/>
      </c>
      <c r="C349" s="1">
        <f t="array" ref="C349">INDIRECT(_xlfn.CONCAT("$K", $F349))</f>
        <v/>
      </c>
      <c r="D349" s="1" t="n"/>
      <c r="E349" s="1">
        <f t="array" ref="E349">INDIRECT(_xlfn.CONCAT("$L", $F349))</f>
        <v/>
      </c>
      <c r="F349" s="1">
        <f t="array" ref="F349">IF(NOT(OR(ISERROR(INDIRECT(_xlfn.CONCAT("$I", $F348 + 1))), ISBLANK(INDIRECT(_xlfn.CONCAT("$I", $F348 + 1))))), $F348 + 1, IF(NOT(ISBLANK(INDIRECT(_xlfn.CONCAT("$I", $F348 + 2)))), $F348 + 2, ""))</f>
        <v/>
      </c>
    </row>
    <row r="350" ht="57.75" customHeight="1" s="6">
      <c r="A350" s="1">
        <f t="array" ref="A350">INDIRECT(_xlfn.CONCAT("$I", $F350))</f>
        <v/>
      </c>
      <c r="B350" s="1">
        <f t="array" ref="B350">INDIRECT(_xlfn.CONCAT("$J", $F350))</f>
        <v/>
      </c>
      <c r="C350" s="1">
        <f t="array" ref="C350">INDIRECT(_xlfn.CONCAT("$K", $F350))</f>
        <v/>
      </c>
      <c r="D350" s="1" t="n"/>
      <c r="E350" s="1">
        <f t="array" ref="E350">INDIRECT(_xlfn.CONCAT("$L", $F350))</f>
        <v/>
      </c>
      <c r="F350" s="1">
        <f t="array" ref="F350">IF(NOT(OR(ISERROR(INDIRECT(_xlfn.CONCAT("$I", $F349 + 1))), ISBLANK(INDIRECT(_xlfn.CONCAT("$I", $F349 + 1))))), $F349 + 1, IF(NOT(ISBLANK(INDIRECT(_xlfn.CONCAT("$I", $F349 + 2)))), $F349 + 2, ""))</f>
        <v/>
      </c>
      <c r="I350" s="8" t="inlineStr">
        <is>
          <t>Phyrexia: All Will Be One Commander ONC</t>
        </is>
      </c>
      <c r="J350" s="8" t="n">
        <v>174</v>
      </c>
      <c r="K350" s="9" t="n">
        <v>44967</v>
      </c>
      <c r="L350" t="inlineStr">
        <is>
          <t>en es fr de it pt ja ko ru 汉语 漢語</t>
        </is>
      </c>
    </row>
    <row r="351" ht="68.25" customHeight="1" s="6">
      <c r="A351" s="1">
        <f t="array" ref="A351">INDIRECT(_xlfn.CONCAT("$I", $F351))</f>
        <v/>
      </c>
      <c r="B351" s="1">
        <f t="array" ref="B351">INDIRECT(_xlfn.CONCAT("$J", $F351))</f>
        <v/>
      </c>
      <c r="C351" s="1">
        <f t="array" ref="C351">INDIRECT(_xlfn.CONCAT("$K", $F351))</f>
        <v/>
      </c>
      <c r="D351" s="1" t="n"/>
      <c r="E351" s="1">
        <f t="array" ref="E351">INDIRECT(_xlfn.CONCAT("$L", $F351))</f>
        <v/>
      </c>
      <c r="F351" s="1">
        <f t="array" ref="F351">IF(NOT(OR(ISERROR(INDIRECT(_xlfn.CONCAT("$I", $F350 + 1))), ISBLANK(INDIRECT(_xlfn.CONCAT("$I", $F350 + 1))))), $F350 + 1, IF(NOT(ISBLANK(INDIRECT(_xlfn.CONCAT("$I", $F350 + 2)))), $F350 + 2, ""))</f>
        <v/>
      </c>
    </row>
    <row r="352" ht="57.75" customHeight="1" s="6">
      <c r="A352" s="1">
        <f t="array" ref="A352">INDIRECT(_xlfn.CONCAT("$I", $F352))</f>
        <v/>
      </c>
      <c r="B352" s="1">
        <f t="array" ref="B352">INDIRECT(_xlfn.CONCAT("$J", $F352))</f>
        <v/>
      </c>
      <c r="C352" s="1">
        <f t="array" ref="C352">INDIRECT(_xlfn.CONCAT("$K", $F352))</f>
        <v/>
      </c>
      <c r="D352" s="1" t="n"/>
      <c r="E352" s="1">
        <f t="array" ref="E352">INDIRECT(_xlfn.CONCAT("$L", $F352))</f>
        <v/>
      </c>
      <c r="F352" s="1">
        <f t="array" ref="F352">IF(NOT(OR(ISERROR(INDIRECT(_xlfn.CONCAT("$I", $F351 + 1))), ISBLANK(INDIRECT(_xlfn.CONCAT("$I", $F351 + 1))))), $F351 + 1, IF(NOT(ISBLANK(INDIRECT(_xlfn.CONCAT("$I", $F351 + 2)))), $F351 + 2, ""))</f>
        <v/>
      </c>
      <c r="I352" s="8" t="inlineStr">
        <is>
          <t>Phyrexia: All Will Be One Commander Tokens TONC</t>
        </is>
      </c>
      <c r="J352" s="8" t="n">
        <v>23</v>
      </c>
      <c r="K352" s="9" t="n">
        <v>44960</v>
      </c>
      <c r="L352" s="8" t="inlineStr">
        <is>
          <t>en es fr de it pt ja ko ru 汉语 漢語</t>
        </is>
      </c>
    </row>
    <row r="353" ht="57.75" customHeight="1" s="6">
      <c r="A353" s="1">
        <f t="array" ref="A353">INDIRECT(_xlfn.CONCAT("$I", $F353))</f>
        <v/>
      </c>
      <c r="B353" s="1">
        <f t="array" ref="B353">INDIRECT(_xlfn.CONCAT("$J", $F353))</f>
        <v/>
      </c>
      <c r="C353" s="1">
        <f t="array" ref="C353">INDIRECT(_xlfn.CONCAT("$K", $F353))</f>
        <v/>
      </c>
      <c r="D353" s="1" t="n"/>
      <c r="E353" s="1">
        <f t="array" ref="E353">INDIRECT(_xlfn.CONCAT("$L", $F353))</f>
        <v/>
      </c>
      <c r="F353" s="1">
        <f t="array" ref="F353">IF(NOT(OR(ISERROR(INDIRECT(_xlfn.CONCAT("$I", $F352 + 1))), ISBLANK(INDIRECT(_xlfn.CONCAT("$I", $F352 + 1))))), $F352 + 1, IF(NOT(ISBLANK(INDIRECT(_xlfn.CONCAT("$I", $F352 + 2)))), $F352 + 2, ""))</f>
        <v/>
      </c>
    </row>
    <row r="354" ht="57.75" customHeight="1" s="6">
      <c r="A354" s="1">
        <f t="array" ref="A354">INDIRECT(_xlfn.CONCAT("$I", $F354))</f>
        <v/>
      </c>
      <c r="B354" s="1">
        <f t="array" ref="B354">INDIRECT(_xlfn.CONCAT("$J", $F354))</f>
        <v/>
      </c>
      <c r="C354" s="1">
        <f t="array" ref="C354">INDIRECT(_xlfn.CONCAT("$K", $F354))</f>
        <v/>
      </c>
      <c r="D354" s="1" t="n"/>
      <c r="E354" s="1">
        <f t="array" ref="E354">INDIRECT(_xlfn.CONCAT("$L", $F354))</f>
        <v/>
      </c>
      <c r="F354" s="1">
        <f t="array" ref="F354">IF(NOT(OR(ISERROR(INDIRECT(_xlfn.CONCAT("$I", $F353 + 1))), ISBLANK(INDIRECT(_xlfn.CONCAT("$I", $F353 + 1))))), $F353 + 1, IF(NOT(ISBLANK(INDIRECT(_xlfn.CONCAT("$I", $F353 + 2)))), $F353 + 2, ""))</f>
        <v/>
      </c>
      <c r="I354" s="8" t="inlineStr">
        <is>
          <t>Phyrexia: All Will Be One Minigames MONE</t>
        </is>
      </c>
      <c r="J354" s="8" t="n">
        <v>5</v>
      </c>
      <c r="K354" s="9" t="n">
        <v>44960</v>
      </c>
      <c r="L354" s="8" t="inlineStr">
        <is>
          <t>en es fr de it pt ja ko ru 汉语 漢語</t>
        </is>
      </c>
    </row>
    <row r="355" ht="57.75" customHeight="1" s="6">
      <c r="A355" s="1">
        <f t="array" ref="A355">INDIRECT(_xlfn.CONCAT("$I", $F355))</f>
        <v/>
      </c>
      <c r="B355" s="1">
        <f t="array" ref="B355">INDIRECT(_xlfn.CONCAT("$J", $F355))</f>
        <v/>
      </c>
      <c r="C355" s="1">
        <f t="array" ref="C355">INDIRECT(_xlfn.CONCAT("$K", $F355))</f>
        <v/>
      </c>
      <c r="D355" s="1" t="n"/>
      <c r="E355" s="1">
        <f t="array" ref="E355">INDIRECT(_xlfn.CONCAT("$L", $F355))</f>
        <v/>
      </c>
      <c r="F355" s="1">
        <f t="array" ref="F355">IF(NOT(OR(ISERROR(INDIRECT(_xlfn.CONCAT("$I", $F354 + 1))), ISBLANK(INDIRECT(_xlfn.CONCAT("$I", $F354 + 1))))), $F354 + 1, IF(NOT(ISBLANK(INDIRECT(_xlfn.CONCAT("$I", $F354 + 2)))), $F354 + 2, ""))</f>
        <v/>
      </c>
    </row>
    <row r="356" ht="57.75" customHeight="1" s="6">
      <c r="A356" s="1">
        <f t="array" ref="A356">INDIRECT(_xlfn.CONCAT("$I", $F356))</f>
        <v/>
      </c>
      <c r="B356" s="1">
        <f t="array" ref="B356">INDIRECT(_xlfn.CONCAT("$J", $F356))</f>
        <v/>
      </c>
      <c r="C356" s="1">
        <f t="array" ref="C356">INDIRECT(_xlfn.CONCAT("$K", $F356))</f>
        <v/>
      </c>
      <c r="D356" s="1" t="n"/>
      <c r="E356" s="1">
        <f t="array" ref="E356">INDIRECT(_xlfn.CONCAT("$L", $F356))</f>
        <v/>
      </c>
      <c r="F356" s="1">
        <f t="array" ref="F356">IF(NOT(OR(ISERROR(INDIRECT(_xlfn.CONCAT("$I", $F355 + 1))), ISBLANK(INDIRECT(_xlfn.CONCAT("$I", $F355 + 1))))), $F355 + 1, IF(NOT(ISBLANK(INDIRECT(_xlfn.CONCAT("$I", $F355 + 2)))), $F355 + 2, ""))</f>
        <v/>
      </c>
      <c r="I356" s="8" t="inlineStr">
        <is>
          <t>Phyrexia: All Will Be One Art Series AONE</t>
        </is>
      </c>
      <c r="J356" s="8" t="n">
        <v>81</v>
      </c>
      <c r="K356" s="9" t="n">
        <v>44960</v>
      </c>
      <c r="L356" s="8" t="inlineStr">
        <is>
          <t>en es fr de it pt ja ko ru 汉语 漢語</t>
        </is>
      </c>
    </row>
    <row r="357" ht="57.75" customHeight="1" s="6">
      <c r="A357" s="1">
        <f t="array" ref="A357">INDIRECT(_xlfn.CONCAT("$I", $F357))</f>
        <v/>
      </c>
      <c r="B357" s="1">
        <f t="array" ref="B357">INDIRECT(_xlfn.CONCAT("$J", $F357))</f>
        <v/>
      </c>
      <c r="C357" s="1">
        <f t="array" ref="C357">INDIRECT(_xlfn.CONCAT("$K", $F357))</f>
        <v/>
      </c>
      <c r="D357" s="1" t="n"/>
      <c r="E357" s="1">
        <f t="array" ref="E357">INDIRECT(_xlfn.CONCAT("$L", $F357))</f>
        <v/>
      </c>
      <c r="F357" s="1">
        <f t="array" ref="F357">IF(NOT(OR(ISERROR(INDIRECT(_xlfn.CONCAT("$I", $F356 + 1))), ISBLANK(INDIRECT(_xlfn.CONCAT("$I", $F356 + 1))))), $F356 + 1, IF(NOT(ISBLANK(INDIRECT(_xlfn.CONCAT("$I", $F356 + 2)))), $F356 + 2, ""))</f>
        <v/>
      </c>
    </row>
    <row r="358" ht="57.75" customHeight="1" s="6">
      <c r="A358" s="1">
        <f t="array" ref="A358">INDIRECT(_xlfn.CONCAT("$I", $F358))</f>
        <v/>
      </c>
      <c r="B358" s="1">
        <f t="array" ref="B358">INDIRECT(_xlfn.CONCAT("$J", $F358))</f>
        <v/>
      </c>
      <c r="C358" s="1">
        <f t="array" ref="C358">INDIRECT(_xlfn.CONCAT("$K", $F358))</f>
        <v/>
      </c>
      <c r="D358" s="1" t="n"/>
      <c r="E358" s="1">
        <f t="array" ref="E358">INDIRECT(_xlfn.CONCAT("$L", $F358))</f>
        <v/>
      </c>
      <c r="F358" s="1">
        <f t="array" ref="F358">IF(NOT(OR(ISERROR(INDIRECT(_xlfn.CONCAT("$I", $F357 + 1))), ISBLANK(INDIRECT(_xlfn.CONCAT("$I", $F357 + 1))))), $F357 + 1, IF(NOT(ISBLANK(INDIRECT(_xlfn.CONCAT("$I", $F357 + 2)))), $F357 + 2, ""))</f>
        <v/>
      </c>
      <c r="I358" s="8" t="inlineStr">
        <is>
          <t>Phyrexia: All Will Be One Jumpstart Front Cards FONE</t>
        </is>
      </c>
      <c r="J358" s="8" t="n">
        <v>5</v>
      </c>
      <c r="K358" s="9" t="n">
        <v>44960</v>
      </c>
      <c r="L358" s="8" t="inlineStr">
        <is>
          <t>en es fr de it pt ja ko ru 汉语 漢語</t>
        </is>
      </c>
    </row>
    <row r="359" ht="57.75" customHeight="1" s="6">
      <c r="A359" s="1">
        <f t="array" ref="A359">INDIRECT(_xlfn.CONCAT("$I", $F359))</f>
        <v/>
      </c>
      <c r="B359" s="1">
        <f t="array" ref="B359">INDIRECT(_xlfn.CONCAT("$J", $F359))</f>
        <v/>
      </c>
      <c r="C359" s="1">
        <f t="array" ref="C359">INDIRECT(_xlfn.CONCAT("$K", $F359))</f>
        <v/>
      </c>
      <c r="D359" s="1" t="n"/>
      <c r="E359" s="1">
        <f t="array" ref="E359">INDIRECT(_xlfn.CONCAT("$L", $F359))</f>
        <v/>
      </c>
      <c r="F359" s="1">
        <f t="array" ref="F359">IF(NOT(OR(ISERROR(INDIRECT(_xlfn.CONCAT("$I", $F358 + 1))), ISBLANK(INDIRECT(_xlfn.CONCAT("$I", $F358 + 1))))), $F358 + 1, IF(NOT(ISBLANK(INDIRECT(_xlfn.CONCAT("$I", $F358 + 2)))), $F358 + 2, ""))</f>
        <v/>
      </c>
    </row>
    <row r="360" ht="57.75" customHeight="1" s="6">
      <c r="A360" s="1">
        <f t="array" ref="A360">INDIRECT(_xlfn.CONCAT("$I", $F360))</f>
        <v/>
      </c>
      <c r="B360" s="1">
        <f t="array" ref="B360">INDIRECT(_xlfn.CONCAT("$J", $F360))</f>
        <v/>
      </c>
      <c r="C360" s="1">
        <f t="array" ref="C360">INDIRECT(_xlfn.CONCAT("$K", $F360))</f>
        <v/>
      </c>
      <c r="D360" s="1" t="n"/>
      <c r="E360" s="1">
        <f t="array" ref="E360">INDIRECT(_xlfn.CONCAT("$L", $F360))</f>
        <v/>
      </c>
      <c r="F360" s="1">
        <f t="array" ref="F360">IF(NOT(OR(ISERROR(INDIRECT(_xlfn.CONCAT("$I", $F359 + 1))), ISBLANK(INDIRECT(_xlfn.CONCAT("$I", $F359 + 1))))), $F359 + 1, IF(NOT(ISBLANK(INDIRECT(_xlfn.CONCAT("$I", $F359 + 2)))), $F359 + 2, ""))</f>
        <v/>
      </c>
      <c r="I360" s="8" t="inlineStr">
        <is>
          <t>ONE Japanese Promo Tokens WONE</t>
        </is>
      </c>
      <c r="J360" s="8" t="n">
        <v>6</v>
      </c>
      <c r="K360" s="9" t="n">
        <v>44953</v>
      </c>
      <c r="L360" s="8" t="inlineStr">
        <is>
          <t>en es fr de it pt ja ko ru 汉语 漢語</t>
        </is>
      </c>
    </row>
    <row r="361" ht="57.75" customHeight="1" s="6">
      <c r="A361" s="1">
        <f t="array" ref="A361">INDIRECT(_xlfn.CONCAT("$I", $F361))</f>
        <v/>
      </c>
      <c r="B361" s="1">
        <f t="array" ref="B361">INDIRECT(_xlfn.CONCAT("$J", $F361))</f>
        <v/>
      </c>
      <c r="C361" s="1">
        <f t="array" ref="C361">INDIRECT(_xlfn.CONCAT("$K", $F361))</f>
        <v/>
      </c>
      <c r="D361" s="1" t="n"/>
      <c r="E361" s="1">
        <f t="array" ref="E361">INDIRECT(_xlfn.CONCAT("$L", $F361))</f>
        <v/>
      </c>
      <c r="F361" s="1">
        <f t="array" ref="F361">IF(NOT(OR(ISERROR(INDIRECT(_xlfn.CONCAT("$I", $F360 + 1))), ISBLANK(INDIRECT(_xlfn.CONCAT("$I", $F360 + 1))))), $F360 + 1, IF(NOT(ISBLANK(INDIRECT(_xlfn.CONCAT("$I", $F360 + 2)))), $F360 + 2, ""))</f>
        <v/>
      </c>
    </row>
    <row r="362" ht="57.75" customHeight="1" s="6">
      <c r="A362" s="1">
        <f t="array" ref="A362">INDIRECT(_xlfn.CONCAT("$I", $F362))</f>
        <v/>
      </c>
      <c r="B362" s="1">
        <f t="array" ref="B362">INDIRECT(_xlfn.CONCAT("$J", $F362))</f>
        <v/>
      </c>
      <c r="C362" s="1">
        <f t="array" ref="C362">INDIRECT(_xlfn.CONCAT("$K", $F362))</f>
        <v/>
      </c>
      <c r="D362" s="1" t="n"/>
      <c r="E362" s="1">
        <f t="array" ref="E362">INDIRECT(_xlfn.CONCAT("$L", $F362))</f>
        <v/>
      </c>
      <c r="F362" s="1">
        <f t="array" ref="F362">IF(NOT(OR(ISERROR(INDIRECT(_xlfn.CONCAT("$I", $F361 + 1))), ISBLANK(INDIRECT(_xlfn.CONCAT("$I", $F361 + 1))))), $F361 + 1, IF(NOT(ISBLANK(INDIRECT(_xlfn.CONCAT("$I", $F361 + 2)))), $F361 + 2, ""))</f>
        <v/>
      </c>
      <c r="I362" s="8" t="inlineStr">
        <is>
          <t>Dominaria Remastered DMR</t>
        </is>
      </c>
      <c r="J362" s="8" t="n">
        <v>457</v>
      </c>
      <c r="K362" s="9" t="n">
        <v>44939</v>
      </c>
      <c r="L362" t="inlineStr">
        <is>
          <t>en es fr de it pt ja ko ru 汉语 漢語</t>
        </is>
      </c>
    </row>
    <row r="363" ht="57.75" customHeight="1" s="6">
      <c r="A363" s="1">
        <f t="array" ref="A363">INDIRECT(_xlfn.CONCAT("$I", $F363))</f>
        <v/>
      </c>
      <c r="B363" s="1">
        <f t="array" ref="B363">INDIRECT(_xlfn.CONCAT("$J", $F363))</f>
        <v/>
      </c>
      <c r="C363" s="1">
        <f t="array" ref="C363">INDIRECT(_xlfn.CONCAT("$K", $F363))</f>
        <v/>
      </c>
      <c r="D363" s="1" t="n"/>
      <c r="E363" s="1">
        <f t="array" ref="E363">INDIRECT(_xlfn.CONCAT("$L", $F363))</f>
        <v/>
      </c>
      <c r="F363" s="1">
        <f t="array" ref="F363">IF(NOT(OR(ISERROR(INDIRECT(_xlfn.CONCAT("$I", $F362 + 1))), ISBLANK(INDIRECT(_xlfn.CONCAT("$I", $F362 + 1))))), $F362 + 1, IF(NOT(ISBLANK(INDIRECT(_xlfn.CONCAT("$I", $F362 + 2)))), $F362 + 2, ""))</f>
        <v/>
      </c>
    </row>
    <row r="364" ht="57.75" customHeight="1" s="6">
      <c r="A364" s="1">
        <f t="array" ref="A364">INDIRECT(_xlfn.CONCAT("$I", $F364))</f>
        <v/>
      </c>
      <c r="B364" s="1">
        <f t="array" ref="B364">INDIRECT(_xlfn.CONCAT("$J", $F364))</f>
        <v/>
      </c>
      <c r="C364" s="1">
        <f t="array" ref="C364">INDIRECT(_xlfn.CONCAT("$K", $F364))</f>
        <v/>
      </c>
      <c r="D364" s="1" t="n"/>
      <c r="E364" s="1">
        <f t="array" ref="E364">INDIRECT(_xlfn.CONCAT("$L", $F364))</f>
        <v/>
      </c>
      <c r="F364" s="1">
        <f t="array" ref="F364">IF(NOT(OR(ISERROR(INDIRECT(_xlfn.CONCAT("$I", $F363 + 1))), ISBLANK(INDIRECT(_xlfn.CONCAT("$I", $F363 + 1))))), $F363 + 1, IF(NOT(ISBLANK(INDIRECT(_xlfn.CONCAT("$I", $F363 + 2)))), $F363 + 2, ""))</f>
        <v/>
      </c>
      <c r="I364" s="8" t="inlineStr">
        <is>
          <t>Dominaria Remastered Tokens TDMR</t>
        </is>
      </c>
      <c r="J364" s="8" t="n">
        <v>14</v>
      </c>
      <c r="K364" s="9" t="n">
        <v>44939</v>
      </c>
      <c r="L364" s="8" t="inlineStr">
        <is>
          <t>en es fr de it pt ja ko ru 汉语 漢語</t>
        </is>
      </c>
    </row>
    <row r="365" ht="57.75" customHeight="1" s="6">
      <c r="A365" s="1">
        <f t="array" ref="A365">INDIRECT(_xlfn.CONCAT("$I", $F365))</f>
        <v/>
      </c>
      <c r="B365" s="1">
        <f t="array" ref="B365">INDIRECT(_xlfn.CONCAT("$J", $F365))</f>
        <v/>
      </c>
      <c r="C365" s="1">
        <f t="array" ref="C365">INDIRECT(_xlfn.CONCAT("$K", $F365))</f>
        <v/>
      </c>
      <c r="D365" s="1" t="n"/>
      <c r="E365" s="1">
        <f t="array" ref="E365">INDIRECT(_xlfn.CONCAT("$L", $F365))</f>
        <v/>
      </c>
      <c r="F365" s="1">
        <f t="array" ref="F365">IF(NOT(OR(ISERROR(INDIRECT(_xlfn.CONCAT("$I", $F364 + 1))), ISBLANK(INDIRECT(_xlfn.CONCAT("$I", $F364 + 1))))), $F364 + 1, IF(NOT(ISBLANK(INDIRECT(_xlfn.CONCAT("$I", $F364 + 2)))), $F364 + 2, ""))</f>
        <v/>
      </c>
    </row>
    <row r="366" ht="57.75" customHeight="1" s="6">
      <c r="A366" s="1">
        <f t="array" ref="A366">INDIRECT(_xlfn.CONCAT("$I", $F366))</f>
        <v/>
      </c>
      <c r="B366" s="1">
        <f t="array" ref="B366">INDIRECT(_xlfn.CONCAT("$J", $F366))</f>
        <v/>
      </c>
      <c r="C366" s="1">
        <f t="array" ref="C366">INDIRECT(_xlfn.CONCAT("$K", $F366))</f>
        <v/>
      </c>
      <c r="D366" s="1" t="n"/>
      <c r="E366" s="1">
        <f t="array" ref="E366">INDIRECT(_xlfn.CONCAT("$L", $F366))</f>
        <v/>
      </c>
      <c r="F366" s="1">
        <f t="array" ref="F366">IF(NOT(OR(ISERROR(INDIRECT(_xlfn.CONCAT("$I", $F365 + 1))), ISBLANK(INDIRECT(_xlfn.CONCAT("$I", $F365 + 1))))), $F365 + 1, IF(NOT(ISBLANK(INDIRECT(_xlfn.CONCAT("$I", $F365 + 2)))), $F365 + 2, ""))</f>
        <v/>
      </c>
      <c r="I366" s="8" t="inlineStr">
        <is>
          <t>Regional Championship Qualifiers 2023 PR23</t>
        </is>
      </c>
      <c r="J366" s="8" t="n">
        <v>3</v>
      </c>
      <c r="K366" s="9" t="n">
        <v>44933</v>
      </c>
      <c r="L366" s="8" t="inlineStr">
        <is>
          <t>en es fr de it pt ja ko ru 汉语 漢語</t>
        </is>
      </c>
    </row>
    <row r="367" ht="57.75" customHeight="1" s="6">
      <c r="A367" s="1">
        <f t="array" ref="A367">INDIRECT(_xlfn.CONCAT("$I", $F367))</f>
        <v/>
      </c>
      <c r="B367" s="1">
        <f t="array" ref="B367">INDIRECT(_xlfn.CONCAT("$J", $F367))</f>
        <v/>
      </c>
      <c r="C367" s="1">
        <f t="array" ref="C367">INDIRECT(_xlfn.CONCAT("$K", $F367))</f>
        <v/>
      </c>
      <c r="D367" s="1" t="n"/>
      <c r="E367" s="1">
        <f t="array" ref="E367">INDIRECT(_xlfn.CONCAT("$L", $F367))</f>
        <v/>
      </c>
      <c r="F367" s="1">
        <f t="array" ref="F367">IF(NOT(OR(ISERROR(INDIRECT(_xlfn.CONCAT("$I", $F366 + 1))), ISBLANK(INDIRECT(_xlfn.CONCAT("$I", $F366 + 1))))), $F366 + 1, IF(NOT(ISBLANK(INDIRECT(_xlfn.CONCAT("$I", $F366 + 2)))), $F366 + 2, ""))</f>
        <v/>
      </c>
    </row>
    <row r="368" ht="57.75" customHeight="1" s="6">
      <c r="A368" s="1">
        <f t="array" ref="A368">INDIRECT(_xlfn.CONCAT("$I", $F368))</f>
        <v/>
      </c>
      <c r="B368" s="1">
        <f t="array" ref="B368">INDIRECT(_xlfn.CONCAT("$J", $F368))</f>
        <v/>
      </c>
      <c r="C368" s="1">
        <f t="array" ref="C368">INDIRECT(_xlfn.CONCAT("$K", $F368))</f>
        <v/>
      </c>
      <c r="D368" s="1" t="n"/>
      <c r="E368" s="1">
        <f t="array" ref="E368">INDIRECT(_xlfn.CONCAT("$L", $F368))</f>
        <v/>
      </c>
      <c r="F368" s="1">
        <f t="array" ref="F368">IF(NOT(OR(ISERROR(INDIRECT(_xlfn.CONCAT("$I", $F367 + 1))), ISBLANK(INDIRECT(_xlfn.CONCAT("$I", $F367 + 1))))), $F367 + 1, IF(NOT(ISBLANK(INDIRECT(_xlfn.CONCAT("$I", $F367 + 2)))), $F367 + 2, ""))</f>
        <v/>
      </c>
      <c r="I368" s="8" t="inlineStr">
        <is>
          <t>Wizards Play Network 2023 PW23</t>
        </is>
      </c>
      <c r="J368" s="8" t="n">
        <v>11</v>
      </c>
      <c r="K368" s="9" t="n">
        <v>44927</v>
      </c>
      <c r="L368" t="inlineStr">
        <is>
          <t>en es fr de it pt ja ko ru 汉语 漢語</t>
        </is>
      </c>
    </row>
    <row r="369" ht="57.75" customHeight="1" s="6">
      <c r="A369" s="1">
        <f t="array" ref="A369">INDIRECT(_xlfn.CONCAT("$I", $F369))</f>
        <v/>
      </c>
      <c r="B369" s="1">
        <f t="array" ref="B369">INDIRECT(_xlfn.CONCAT("$J", $F369))</f>
        <v/>
      </c>
      <c r="C369" s="1">
        <f t="array" ref="C369">INDIRECT(_xlfn.CONCAT("$K", $F369))</f>
        <v/>
      </c>
      <c r="D369" s="1" t="n"/>
      <c r="E369" s="1">
        <f t="array" ref="E369">INDIRECT(_xlfn.CONCAT("$L", $F369))</f>
        <v/>
      </c>
      <c r="F369" s="1">
        <f t="array" ref="F369">IF(NOT(OR(ISERROR(INDIRECT(_xlfn.CONCAT("$I", $F368 + 1))), ISBLANK(INDIRECT(_xlfn.CONCAT("$I", $F368 + 1))))), $F368 + 1, IF(NOT(ISBLANK(INDIRECT(_xlfn.CONCAT("$I", $F368 + 2)))), $F368 + 2, ""))</f>
        <v/>
      </c>
    </row>
    <row r="370" ht="57.75" customHeight="1" s="6">
      <c r="A370" s="1">
        <f t="array" ref="A370">INDIRECT(_xlfn.CONCAT("$I", $F370))</f>
        <v/>
      </c>
      <c r="B370" s="1">
        <f t="array" ref="B370">INDIRECT(_xlfn.CONCAT("$J", $F370))</f>
        <v/>
      </c>
      <c r="C370" s="1">
        <f t="array" ref="C370">INDIRECT(_xlfn.CONCAT("$K", $F370))</f>
        <v/>
      </c>
      <c r="D370" s="1" t="n"/>
      <c r="E370" s="1">
        <f t="array" ref="E370">INDIRECT(_xlfn.CONCAT("$L", $F370))</f>
        <v/>
      </c>
      <c r="F370" s="1">
        <f t="array" ref="F370">IF(NOT(OR(ISERROR(INDIRECT(_xlfn.CONCAT("$I", $F369 + 1))), ISBLANK(INDIRECT(_xlfn.CONCAT("$I", $F369 + 1))))), $F369 + 1, IF(NOT(ISBLANK(INDIRECT(_xlfn.CONCAT("$I", $F369 + 2)))), $F369 + 2, ""))</f>
        <v/>
      </c>
      <c r="I370" s="8" t="inlineStr">
        <is>
          <t>Judge Gift Cards 2023 P23</t>
        </is>
      </c>
      <c r="J370" s="8" t="n">
        <v>10</v>
      </c>
      <c r="K370" s="9" t="n">
        <v>44927</v>
      </c>
      <c r="L370" s="8" t="inlineStr">
        <is>
          <t>en es fr de it pt ja ko ru 汉语 漢語</t>
        </is>
      </c>
    </row>
    <row r="371" ht="57.75" customHeight="1" s="6">
      <c r="A371" s="1">
        <f t="array" ref="A371">INDIRECT(_xlfn.CONCAT("$I", $F371))</f>
        <v/>
      </c>
      <c r="B371" s="1">
        <f t="array" ref="B371">INDIRECT(_xlfn.CONCAT("$J", $F371))</f>
        <v/>
      </c>
      <c r="C371" s="1">
        <f t="array" ref="C371">INDIRECT(_xlfn.CONCAT("$K", $F371))</f>
        <v/>
      </c>
      <c r="D371" s="1" t="n"/>
      <c r="E371" s="1">
        <f t="array" ref="E371">INDIRECT(_xlfn.CONCAT("$L", $F371))</f>
        <v/>
      </c>
      <c r="F371" s="1">
        <f t="array" ref="F371">IF(NOT(OR(ISERROR(INDIRECT(_xlfn.CONCAT("$I", $F370 + 1))), ISBLANK(INDIRECT(_xlfn.CONCAT("$I", $F370 + 1))))), $F370 + 1, IF(NOT(ISBLANK(INDIRECT(_xlfn.CONCAT("$I", $F370 + 2)))), $F370 + 2, ""))</f>
        <v/>
      </c>
    </row>
    <row r="372" ht="68.25" customHeight="1" s="6">
      <c r="A372" s="1">
        <f t="array" ref="A372">INDIRECT(_xlfn.CONCAT("$I", $F372))</f>
        <v/>
      </c>
      <c r="B372" s="1">
        <f t="array" ref="B372">INDIRECT(_xlfn.CONCAT("$J", $F372))</f>
        <v/>
      </c>
      <c r="C372" s="1">
        <f t="array" ref="C372">INDIRECT(_xlfn.CONCAT("$K", $F372))</f>
        <v/>
      </c>
      <c r="D372" s="1" t="n"/>
      <c r="E372" s="1">
        <f t="array" ref="E372">INDIRECT(_xlfn.CONCAT("$L", $F372))</f>
        <v/>
      </c>
      <c r="F372" s="1">
        <f t="array" ref="F372">IF(NOT(OR(ISERROR(INDIRECT(_xlfn.CONCAT("$I", $F371 + 1))), ISBLANK(INDIRECT(_xlfn.CONCAT("$I", $F371 + 1))))), $F371 + 1, IF(NOT(ISBLANK(INDIRECT(_xlfn.CONCAT("$I", $F371 + 2)))), $F371 + 2, ""))</f>
        <v/>
      </c>
      <c r="I372" s="8" t="inlineStr">
        <is>
          <t>Explorer Anthology 2 EA2</t>
        </is>
      </c>
      <c r="J372" s="8" t="n">
        <v>25</v>
      </c>
      <c r="K372" s="9" t="n">
        <v>44908</v>
      </c>
      <c r="L372" s="8" t="inlineStr">
        <is>
          <t>en es fr de it pt ja ko ru 汉语 漢語</t>
        </is>
      </c>
    </row>
    <row r="373" ht="57.75" customHeight="1" s="6">
      <c r="A373" s="1">
        <f t="array" ref="A373">INDIRECT(_xlfn.CONCAT("$I", $F373))</f>
        <v/>
      </c>
      <c r="B373" s="1">
        <f t="array" ref="B373">INDIRECT(_xlfn.CONCAT("$J", $F373))</f>
        <v/>
      </c>
      <c r="C373" s="1">
        <f t="array" ref="C373">INDIRECT(_xlfn.CONCAT("$K", $F373))</f>
        <v/>
      </c>
      <c r="D373" s="1" t="n"/>
      <c r="E373" s="1">
        <f t="array" ref="E373">INDIRECT(_xlfn.CONCAT("$L", $F373))</f>
        <v/>
      </c>
      <c r="F373" s="1">
        <f t="array" ref="F373">IF(NOT(OR(ISERROR(INDIRECT(_xlfn.CONCAT("$I", $F372 + 1))), ISBLANK(INDIRECT(_xlfn.CONCAT("$I", $F372 + 1))))), $F372 + 1, IF(NOT(ISBLANK(INDIRECT(_xlfn.CONCAT("$I", $F372 + 2)))), $F372 + 2, ""))</f>
        <v/>
      </c>
    </row>
    <row r="374" ht="57.75" customHeight="1" s="6">
      <c r="A374" s="1">
        <f t="array" ref="A374">INDIRECT(_xlfn.CONCAT("$I", $F374))</f>
        <v/>
      </c>
      <c r="B374" s="1">
        <f t="array" ref="B374">INDIRECT(_xlfn.CONCAT("$J", $F374))</f>
        <v/>
      </c>
      <c r="C374" s="1">
        <f t="array" ref="C374">INDIRECT(_xlfn.CONCAT("$K", $F374))</f>
        <v/>
      </c>
      <c r="D374" s="1" t="n"/>
      <c r="E374" s="1">
        <f t="array" ref="E374">INDIRECT(_xlfn.CONCAT("$L", $F374))</f>
        <v/>
      </c>
      <c r="F374" s="1">
        <f t="array" ref="F374">IF(NOT(OR(ISERROR(INDIRECT(_xlfn.CONCAT("$I", $F373 + 1))), ISBLANK(INDIRECT(_xlfn.CONCAT("$I", $F373 + 1))))), $F373 + 1, IF(NOT(ISBLANK(INDIRECT(_xlfn.CONCAT("$I", $F373 + 2)))), $F373 + 2, ""))</f>
        <v/>
      </c>
      <c r="I374" s="8" t="inlineStr">
        <is>
          <t>Starter Commander Decks SCD</t>
        </is>
      </c>
      <c r="J374" s="8" t="n">
        <v>352</v>
      </c>
      <c r="K374" s="9" t="n">
        <v>44897</v>
      </c>
      <c r="L374" s="8" t="inlineStr">
        <is>
          <t>en es fr de it pt ja ko ru 汉语 漢語</t>
        </is>
      </c>
    </row>
    <row r="375" ht="57.75" customHeight="1" s="6">
      <c r="A375" s="1">
        <f t="array" ref="A375">INDIRECT(_xlfn.CONCAT("$I", $F375))</f>
        <v/>
      </c>
      <c r="B375" s="1">
        <f t="array" ref="B375">INDIRECT(_xlfn.CONCAT("$J", $F375))</f>
        <v/>
      </c>
      <c r="C375" s="1">
        <f t="array" ref="C375">INDIRECT(_xlfn.CONCAT("$K", $F375))</f>
        <v/>
      </c>
      <c r="D375" s="1" t="n"/>
      <c r="E375" s="1">
        <f t="array" ref="E375">INDIRECT(_xlfn.CONCAT("$L", $F375))</f>
        <v/>
      </c>
      <c r="F375" s="1">
        <f t="array" ref="F375">IF(NOT(OR(ISERROR(INDIRECT(_xlfn.CONCAT("$I", $F374 + 1))), ISBLANK(INDIRECT(_xlfn.CONCAT("$I", $F374 + 1))))), $F374 + 1, IF(NOT(ISBLANK(INDIRECT(_xlfn.CONCAT("$I", $F374 + 2)))), $F374 + 2, ""))</f>
        <v/>
      </c>
    </row>
    <row r="376" ht="57.75" customHeight="1" s="6">
      <c r="A376" s="1">
        <f t="array" ref="A376">INDIRECT(_xlfn.CONCAT("$I", $F376))</f>
        <v/>
      </c>
      <c r="B376" s="1">
        <f t="array" ref="B376">INDIRECT(_xlfn.CONCAT("$J", $F376))</f>
        <v/>
      </c>
      <c r="C376" s="1">
        <f t="array" ref="C376">INDIRECT(_xlfn.CONCAT("$K", $F376))</f>
        <v/>
      </c>
      <c r="D376" s="1" t="n"/>
      <c r="E376" s="1">
        <f t="array" ref="E376">INDIRECT(_xlfn.CONCAT("$L", $F376))</f>
        <v/>
      </c>
      <c r="F376" s="1">
        <f t="array" ref="F376">IF(NOT(OR(ISERROR(INDIRECT(_xlfn.CONCAT("$I", $F375 + 1))), ISBLANK(INDIRECT(_xlfn.CONCAT("$I", $F375 + 1))))), $F375 + 1, IF(NOT(ISBLANK(INDIRECT(_xlfn.CONCAT("$I", $F375 + 2)))), $F375 + 2, ""))</f>
        <v/>
      </c>
      <c r="I376" s="8" t="inlineStr">
        <is>
          <t>Starter Commander Deck Tokens TSCD</t>
        </is>
      </c>
      <c r="J376" s="8" t="n">
        <v>27</v>
      </c>
      <c r="K376" s="9" t="n">
        <v>44897</v>
      </c>
      <c r="L376" s="8" t="inlineStr">
        <is>
          <t>en es fr de it pt ja ko ru 汉语 漢語</t>
        </is>
      </c>
    </row>
    <row r="377" ht="57.75" customHeight="1" s="6">
      <c r="A377" s="1">
        <f t="array" ref="A377">INDIRECT(_xlfn.CONCAT("$I", $F377))</f>
        <v/>
      </c>
      <c r="B377" s="1">
        <f t="array" ref="B377">INDIRECT(_xlfn.CONCAT("$J", $F377))</f>
        <v/>
      </c>
      <c r="C377" s="1">
        <f t="array" ref="C377">INDIRECT(_xlfn.CONCAT("$K", $F377))</f>
        <v/>
      </c>
      <c r="D377" s="1" t="n"/>
      <c r="E377" s="1">
        <f t="array" ref="E377">INDIRECT(_xlfn.CONCAT("$L", $F377))</f>
        <v/>
      </c>
      <c r="F377" s="1">
        <f t="array" ref="F377">IF(NOT(OR(ISERROR(INDIRECT(_xlfn.CONCAT("$I", $F376 + 1))), ISBLANK(INDIRECT(_xlfn.CONCAT("$I", $F376 + 1))))), $F376 + 1, IF(NOT(ISBLANK(INDIRECT(_xlfn.CONCAT("$I", $F376 + 2)))), $F376 + 2, ""))</f>
        <v/>
      </c>
    </row>
    <row r="378" ht="57.75" customHeight="1" s="6">
      <c r="A378" s="1">
        <f t="array" ref="A378">INDIRECT(_xlfn.CONCAT("$I", $F378))</f>
        <v/>
      </c>
      <c r="B378" s="1">
        <f t="array" ref="B378">INDIRECT(_xlfn.CONCAT("$J", $F378))</f>
        <v/>
      </c>
      <c r="C378" s="1">
        <f t="array" ref="C378">INDIRECT(_xlfn.CONCAT("$K", $F378))</f>
        <v/>
      </c>
      <c r="D378" s="1" t="n"/>
      <c r="E378" s="1">
        <f t="array" ref="E378">INDIRECT(_xlfn.CONCAT("$L", $F378))</f>
        <v/>
      </c>
      <c r="F378" s="1">
        <f t="array" ref="F378">IF(NOT(OR(ISERROR(INDIRECT(_xlfn.CONCAT("$I", $F377 + 1))), ISBLANK(INDIRECT(_xlfn.CONCAT("$I", $F377 + 1))))), $F377 + 1, IF(NOT(ISBLANK(INDIRECT(_xlfn.CONCAT("$I", $F377 + 2)))), $F377 + 2, ""))</f>
        <v/>
      </c>
      <c r="I378" s="8" t="inlineStr">
        <is>
          <t>Jumpstart 2022 J22</t>
        </is>
      </c>
      <c r="J378" s="8" t="n">
        <v>835</v>
      </c>
      <c r="K378" s="9" t="n">
        <v>44897</v>
      </c>
      <c r="L378" t="inlineStr">
        <is>
          <t>en es fr de it pt ja ko ru 汉语 漢語</t>
        </is>
      </c>
    </row>
    <row r="379" ht="57.75" customHeight="1" s="6">
      <c r="A379" s="1">
        <f t="array" ref="A379">INDIRECT(_xlfn.CONCAT("$I", $F379))</f>
        <v/>
      </c>
      <c r="B379" s="1">
        <f t="array" ref="B379">INDIRECT(_xlfn.CONCAT("$J", $F379))</f>
        <v/>
      </c>
      <c r="C379" s="1">
        <f t="array" ref="C379">INDIRECT(_xlfn.CONCAT("$K", $F379))</f>
        <v/>
      </c>
      <c r="D379" s="1" t="n"/>
      <c r="E379" s="1">
        <f t="array" ref="E379">INDIRECT(_xlfn.CONCAT("$L", $F379))</f>
        <v/>
      </c>
      <c r="F379" s="1">
        <f t="array" ref="F379">IF(NOT(OR(ISERROR(INDIRECT(_xlfn.CONCAT("$I", $F378 + 1))), ISBLANK(INDIRECT(_xlfn.CONCAT("$I", $F378 + 1))))), $F378 + 1, IF(NOT(ISBLANK(INDIRECT(_xlfn.CONCAT("$I", $F378 + 2)))), $F378 + 2, ""))</f>
        <v/>
      </c>
    </row>
    <row r="380" ht="68.25" customHeight="1" s="6">
      <c r="A380" s="1">
        <f t="array" ref="A380">INDIRECT(_xlfn.CONCAT("$I", $F380))</f>
        <v/>
      </c>
      <c r="B380" s="1">
        <f t="array" ref="B380">INDIRECT(_xlfn.CONCAT("$J", $F380))</f>
        <v/>
      </c>
      <c r="C380" s="1">
        <f t="array" ref="C380">INDIRECT(_xlfn.CONCAT("$K", $F380))</f>
        <v/>
      </c>
      <c r="D380" s="1" t="n"/>
      <c r="E380" s="1">
        <f t="array" ref="E380">INDIRECT(_xlfn.CONCAT("$L", $F380))</f>
        <v/>
      </c>
      <c r="F380" s="1">
        <f t="array" ref="F380">IF(NOT(OR(ISERROR(INDIRECT(_xlfn.CONCAT("$I", $F379 + 1))), ISBLANK(INDIRECT(_xlfn.CONCAT("$I", $F379 + 1))))), $F379 + 1, IF(NOT(ISBLANK(INDIRECT(_xlfn.CONCAT("$I", $F379 + 2)))), $F379 + 2, ""))</f>
        <v/>
      </c>
      <c r="I380" s="8" t="inlineStr">
        <is>
          <t>Jumpstart 2022 Front Cards FJ22</t>
        </is>
      </c>
      <c r="J380" s="8" t="n">
        <v>46</v>
      </c>
      <c r="K380" s="9" t="n">
        <v>44897</v>
      </c>
      <c r="L380" s="8" t="inlineStr">
        <is>
          <t>en es fr de it pt ja ko ru 汉语 漢語</t>
        </is>
      </c>
    </row>
    <row r="381" ht="68.25" customHeight="1" s="6">
      <c r="A381" s="1">
        <f t="array" ref="A381">INDIRECT(_xlfn.CONCAT("$I", $F381))</f>
        <v/>
      </c>
      <c r="B381" s="1">
        <f t="array" ref="B381">INDIRECT(_xlfn.CONCAT("$J", $F381))</f>
        <v/>
      </c>
      <c r="C381" s="1">
        <f t="array" ref="C381">INDIRECT(_xlfn.CONCAT("$K", $F381))</f>
        <v/>
      </c>
      <c r="D381" s="1" t="n"/>
      <c r="E381" s="1">
        <f t="array" ref="E381">INDIRECT(_xlfn.CONCAT("$L", $F381))</f>
        <v/>
      </c>
      <c r="F381" s="1">
        <f t="array" ref="F381">IF(NOT(OR(ISERROR(INDIRECT(_xlfn.CONCAT("$I", $F380 + 1))), ISBLANK(INDIRECT(_xlfn.CONCAT("$I", $F380 + 1))))), $F380 + 1, IF(NOT(ISBLANK(INDIRECT(_xlfn.CONCAT("$I", $F380 + 2)))), $F380 + 2, ""))</f>
        <v/>
      </c>
    </row>
    <row r="382" ht="54.75" customHeight="1" s="6">
      <c r="A382" s="1">
        <f t="array" ref="A382">INDIRECT(_xlfn.CONCAT("$I", $F382))</f>
        <v/>
      </c>
      <c r="B382" s="1">
        <f t="array" ref="B382">INDIRECT(_xlfn.CONCAT("$J", $F382))</f>
        <v/>
      </c>
      <c r="C382" s="1">
        <f t="array" ref="C382">INDIRECT(_xlfn.CONCAT("$K", $F382))</f>
        <v/>
      </c>
      <c r="D382" s="1" t="n"/>
      <c r="E382" s="1">
        <f t="array" ref="E382">INDIRECT(_xlfn.CONCAT("$L", $F382))</f>
        <v/>
      </c>
      <c r="F382" s="1">
        <f t="array" ref="F382">IF(NOT(OR(ISERROR(INDIRECT(_xlfn.CONCAT("$I", $F381 + 1))), ISBLANK(INDIRECT(_xlfn.CONCAT("$I", $F381 + 1))))), $F381 + 1, IF(NOT(ISBLANK(INDIRECT(_xlfn.CONCAT("$I", $F381 + 2)))), $F381 + 2, ""))</f>
        <v/>
      </c>
      <c r="I382" s="8" t="inlineStr">
        <is>
          <t>30th Anniversary Edition 30A</t>
        </is>
      </c>
      <c r="J382" s="8" t="n">
        <v>594</v>
      </c>
      <c r="K382" s="9" t="n">
        <v>44893</v>
      </c>
      <c r="L382" s="8" t="inlineStr">
        <is>
          <t>en es fr de it pt ja ko ru 汉语 漢語</t>
        </is>
      </c>
    </row>
    <row r="383" ht="41.25" customHeight="1" s="6">
      <c r="A383" s="1">
        <f t="array" ref="A383">INDIRECT(_xlfn.CONCAT("$I", $F383))</f>
        <v/>
      </c>
      <c r="B383" s="1">
        <f t="array" ref="B383">INDIRECT(_xlfn.CONCAT("$J", $F383))</f>
        <v/>
      </c>
      <c r="C383" s="1">
        <f t="array" ref="C383">INDIRECT(_xlfn.CONCAT("$K", $F383))</f>
        <v/>
      </c>
      <c r="D383" s="1" t="n"/>
      <c r="E383" s="1">
        <f t="array" ref="E383">INDIRECT(_xlfn.CONCAT("$L", $F383))</f>
        <v/>
      </c>
      <c r="F383" s="1">
        <f t="array" ref="F383">IF(NOT(OR(ISERROR(INDIRECT(_xlfn.CONCAT("$I", $F382 + 1))), ISBLANK(INDIRECT(_xlfn.CONCAT("$I", $F382 + 1))))), $F382 + 1, IF(NOT(ISBLANK(INDIRECT(_xlfn.CONCAT("$I", $F382 + 2)))), $F382 + 2, ""))</f>
        <v/>
      </c>
    </row>
    <row r="384" ht="57.75" customHeight="1" s="6">
      <c r="A384" s="1">
        <f t="array" ref="A384">INDIRECT(_xlfn.CONCAT("$I", $F384))</f>
        <v/>
      </c>
      <c r="B384" s="1">
        <f t="array" ref="B384">INDIRECT(_xlfn.CONCAT("$J", $F384))</f>
        <v/>
      </c>
      <c r="C384" s="1">
        <f t="array" ref="C384">INDIRECT(_xlfn.CONCAT("$K", $F384))</f>
        <v/>
      </c>
      <c r="D384" s="1" t="n"/>
      <c r="E384" s="1">
        <f t="array" ref="E384">INDIRECT(_xlfn.CONCAT("$L", $F384))</f>
        <v/>
      </c>
      <c r="F384" s="1">
        <f t="array" ref="F384">IF(NOT(OR(ISERROR(INDIRECT(_xlfn.CONCAT("$I", $F383 + 1))), ISBLANK(INDIRECT(_xlfn.CONCAT("$I", $F383 + 1))))), $F383 + 1, IF(NOT(ISBLANK(INDIRECT(_xlfn.CONCAT("$I", $F383 + 2)))), $F383 + 2, ""))</f>
        <v/>
      </c>
      <c r="I384" s="8" t="inlineStr">
        <is>
          <t>30th Anniversary Play Promos P30A</t>
        </is>
      </c>
      <c r="J384" s="8" t="n">
        <v>30</v>
      </c>
      <c r="K384" s="9" t="n">
        <v>44806</v>
      </c>
      <c r="L384" t="inlineStr">
        <is>
          <t>en es fr de it pt ja ko ru 汉语 漢語</t>
        </is>
      </c>
    </row>
    <row r="385" ht="57.75" customHeight="1" s="6">
      <c r="A385" s="1">
        <f t="array" ref="A385">INDIRECT(_xlfn.CONCAT("$I", $F385))</f>
        <v/>
      </c>
      <c r="B385" s="1">
        <f t="array" ref="B385">INDIRECT(_xlfn.CONCAT("$J", $F385))</f>
        <v/>
      </c>
      <c r="C385" s="1">
        <f t="array" ref="C385">INDIRECT(_xlfn.CONCAT("$K", $F385))</f>
        <v/>
      </c>
      <c r="D385" s="1" t="n"/>
      <c r="E385" s="1">
        <f t="array" ref="E385">INDIRECT(_xlfn.CONCAT("$L", $F385))</f>
        <v/>
      </c>
      <c r="F385" s="1">
        <f t="array" ref="F385">IF(NOT(OR(ISERROR(INDIRECT(_xlfn.CONCAT("$I", $F384 + 1))), ISBLANK(INDIRECT(_xlfn.CONCAT("$I", $F384 + 1))))), $F384 + 1, IF(NOT(ISBLANK(INDIRECT(_xlfn.CONCAT("$I", $F384 + 2)))), $F384 + 2, ""))</f>
        <v/>
      </c>
    </row>
    <row r="386" ht="57.75" customHeight="1" s="6">
      <c r="A386" s="1">
        <f t="array" ref="A386">INDIRECT(_xlfn.CONCAT("$I", $F386))</f>
        <v/>
      </c>
      <c r="B386" s="1">
        <f t="array" ref="B386">INDIRECT(_xlfn.CONCAT("$J", $F386))</f>
        <v/>
      </c>
      <c r="C386" s="1">
        <f t="array" ref="C386">INDIRECT(_xlfn.CONCAT("$K", $F386))</f>
        <v/>
      </c>
      <c r="D386" s="1" t="n"/>
      <c r="E386" s="1">
        <f t="array" ref="E386">INDIRECT(_xlfn.CONCAT("$L", $F386))</f>
        <v/>
      </c>
      <c r="F386" s="1">
        <f t="array" ref="F386">IF(NOT(OR(ISERROR(INDIRECT(_xlfn.CONCAT("$I", $F385 + 1))), ISBLANK(INDIRECT(_xlfn.CONCAT("$I", $F385 + 1))))), $F385 + 1, IF(NOT(ISBLANK(INDIRECT(_xlfn.CONCAT("$I", $F385 + 2)))), $F385 + 2, ""))</f>
        <v/>
      </c>
      <c r="I386" s="8" t="inlineStr">
        <is>
          <t>30th Anniversary Tokens T30A</t>
        </is>
      </c>
      <c r="J386" s="8" t="n">
        <v>16</v>
      </c>
      <c r="K386" s="9" t="n">
        <v>44893</v>
      </c>
      <c r="L386" s="8" t="inlineStr">
        <is>
          <t>en es fr de it pt ja ko ru 汉语 漢語</t>
        </is>
      </c>
    </row>
    <row r="387" ht="57.75" customHeight="1" s="6">
      <c r="A387" s="1">
        <f t="array" ref="A387">INDIRECT(_xlfn.CONCAT("$I", $F387))</f>
        <v/>
      </c>
      <c r="B387" s="1">
        <f t="array" ref="B387">INDIRECT(_xlfn.CONCAT("$J", $F387))</f>
        <v/>
      </c>
      <c r="C387" s="1">
        <f t="array" ref="C387">INDIRECT(_xlfn.CONCAT("$K", $F387))</f>
        <v/>
      </c>
      <c r="D387" s="1" t="n"/>
      <c r="E387" s="1">
        <f t="array" ref="E387">INDIRECT(_xlfn.CONCAT("$L", $F387))</f>
        <v/>
      </c>
      <c r="F387" s="1">
        <f t="array" ref="F387">IF(NOT(OR(ISERROR(INDIRECT(_xlfn.CONCAT("$I", $F386 + 1))), ISBLANK(INDIRECT(_xlfn.CONCAT("$I", $F386 + 1))))), $F386 + 1, IF(NOT(ISBLANK(INDIRECT(_xlfn.CONCAT("$I", $F386 + 2)))), $F386 + 2, ""))</f>
        <v/>
      </c>
    </row>
    <row r="388" ht="57.75" customHeight="1" s="6">
      <c r="A388" s="1">
        <f t="array" ref="A388">INDIRECT(_xlfn.CONCAT("$I", $F388))</f>
        <v/>
      </c>
      <c r="B388" s="1">
        <f t="array" ref="B388">INDIRECT(_xlfn.CONCAT("$J", $F388))</f>
        <v/>
      </c>
      <c r="C388" s="1">
        <f t="array" ref="C388">INDIRECT(_xlfn.CONCAT("$K", $F388))</f>
        <v/>
      </c>
      <c r="D388" s="1" t="n"/>
      <c r="E388" s="1">
        <f t="array" ref="E388">INDIRECT(_xlfn.CONCAT("$L", $F388))</f>
        <v/>
      </c>
      <c r="F388" s="1">
        <f t="array" ref="F388">IF(NOT(OR(ISERROR(INDIRECT(_xlfn.CONCAT("$I", $F387 + 1))), ISBLANK(INDIRECT(_xlfn.CONCAT("$I", $F387 + 1))))), $F387 + 1, IF(NOT(ISBLANK(INDIRECT(_xlfn.CONCAT("$I", $F387 + 2)))), $F387 + 2, ""))</f>
        <v/>
      </c>
      <c r="I388" s="8" t="inlineStr">
        <is>
          <t>30th Anniversary Celebration Tokyo P30T</t>
        </is>
      </c>
      <c r="J388" s="8" t="n">
        <v>2</v>
      </c>
      <c r="K388" s="9" t="n">
        <v>45170</v>
      </c>
      <c r="L388" s="8" t="inlineStr">
        <is>
          <t>en es fr de it pt ja ko ru 汉语 漢語</t>
        </is>
      </c>
    </row>
    <row r="389" ht="57.75" customHeight="1" s="6">
      <c r="A389" s="1">
        <f t="array" ref="A389">INDIRECT(_xlfn.CONCAT("$I", $F389))</f>
        <v/>
      </c>
      <c r="B389" s="1">
        <f t="array" ref="B389">INDIRECT(_xlfn.CONCAT("$J", $F389))</f>
        <v/>
      </c>
      <c r="C389" s="1">
        <f t="array" ref="C389">INDIRECT(_xlfn.CONCAT("$K", $F389))</f>
        <v/>
      </c>
      <c r="D389" s="1" t="n"/>
      <c r="E389" s="1">
        <f t="array" ref="E389">INDIRECT(_xlfn.CONCAT("$L", $F389))</f>
        <v/>
      </c>
      <c r="F389" s="1">
        <f t="array" ref="F389">IF(NOT(OR(ISERROR(INDIRECT(_xlfn.CONCAT("$I", $F388 + 1))), ISBLANK(INDIRECT(_xlfn.CONCAT("$I", $F388 + 1))))), $F388 + 1, IF(NOT(ISBLANK(INDIRECT(_xlfn.CONCAT("$I", $F388 + 2)))), $F388 + 2, ""))</f>
        <v/>
      </c>
    </row>
    <row r="390" ht="57.75" customHeight="1" s="6">
      <c r="A390" s="1">
        <f t="array" ref="A390">INDIRECT(_xlfn.CONCAT("$I", $F390))</f>
        <v/>
      </c>
      <c r="B390" s="1">
        <f t="array" ref="B390">INDIRECT(_xlfn.CONCAT("$J", $F390))</f>
        <v/>
      </c>
      <c r="C390" s="1">
        <f t="array" ref="C390">INDIRECT(_xlfn.CONCAT("$K", $F390))</f>
        <v/>
      </c>
      <c r="D390" s="1" t="n"/>
      <c r="E390" s="1">
        <f t="array" ref="E390">INDIRECT(_xlfn.CONCAT("$L", $F390))</f>
        <v/>
      </c>
      <c r="F390" s="1">
        <f t="array" ref="F390">IF(NOT(OR(ISERROR(INDIRECT(_xlfn.CONCAT("$I", $F389 + 1))), ISBLANK(INDIRECT(_xlfn.CONCAT("$I", $F389 + 1))))), $F389 + 1, IF(NOT(ISBLANK(INDIRECT(_xlfn.CONCAT("$I", $F389 + 2)))), $F389 + 2, ""))</f>
        <v/>
      </c>
      <c r="I390" s="8" t="inlineStr">
        <is>
          <t>30th Anniversary History Promos P30H</t>
        </is>
      </c>
      <c r="J390" s="8" t="n">
        <v>10</v>
      </c>
      <c r="K390" s="9" t="n">
        <v>44813</v>
      </c>
      <c r="L390" t="inlineStr">
        <is>
          <t>en es fr de it pt ja ko ru 汉语 漢語</t>
        </is>
      </c>
    </row>
    <row r="391" ht="57.75" customHeight="1" s="6">
      <c r="A391" s="1">
        <f t="array" ref="A391">INDIRECT(_xlfn.CONCAT("$I", $F391))</f>
        <v/>
      </c>
      <c r="B391" s="1">
        <f t="array" ref="B391">INDIRECT(_xlfn.CONCAT("$J", $F391))</f>
        <v/>
      </c>
      <c r="C391" s="1">
        <f t="array" ref="C391">INDIRECT(_xlfn.CONCAT("$K", $F391))</f>
        <v/>
      </c>
      <c r="D391" s="1" t="n"/>
      <c r="E391" s="1">
        <f t="array" ref="E391">INDIRECT(_xlfn.CONCAT("$L", $F391))</f>
        <v/>
      </c>
      <c r="F391" s="1">
        <f t="array" ref="F391">IF(NOT(OR(ISERROR(INDIRECT(_xlfn.CONCAT("$I", $F390 + 1))), ISBLANK(INDIRECT(_xlfn.CONCAT("$I", $F390 + 1))))), $F390 + 1, IF(NOT(ISBLANK(INDIRECT(_xlfn.CONCAT("$I", $F390 + 2)))), $F390 + 2, ""))</f>
        <v/>
      </c>
    </row>
    <row r="392" ht="57.75" customHeight="1" s="6">
      <c r="A392" s="1">
        <f t="array" ref="A392">INDIRECT(_xlfn.CONCAT("$I", $F392))</f>
        <v/>
      </c>
      <c r="B392" s="1">
        <f t="array" ref="B392">INDIRECT(_xlfn.CONCAT("$J", $F392))</f>
        <v/>
      </c>
      <c r="C392" s="1">
        <f t="array" ref="C392">INDIRECT(_xlfn.CONCAT("$K", $F392))</f>
        <v/>
      </c>
      <c r="D392" s="1" t="n"/>
      <c r="E392" s="1">
        <f t="array" ref="E392">INDIRECT(_xlfn.CONCAT("$L", $F392))</f>
        <v/>
      </c>
      <c r="F392" s="1">
        <f t="array" ref="F392">IF(NOT(OR(ISERROR(INDIRECT(_xlfn.CONCAT("$I", $F391 + 1))), ISBLANK(INDIRECT(_xlfn.CONCAT("$I", $F391 + 1))))), $F391 + 1, IF(NOT(ISBLANK(INDIRECT(_xlfn.CONCAT("$I", $F391 + 2)))), $F391 + 2, ""))</f>
        <v/>
      </c>
      <c r="I392" s="8" t="inlineStr">
        <is>
          <t>30th Anniversary Misc Promos P30M</t>
        </is>
      </c>
      <c r="J392" s="8" t="n">
        <v>5</v>
      </c>
      <c r="K392" s="9" t="n">
        <v>44806</v>
      </c>
      <c r="L392" s="8" t="inlineStr">
        <is>
          <t>en es fr de it pt ja ko ru 汉语 漢語</t>
        </is>
      </c>
    </row>
    <row r="393" ht="57.75" customHeight="1" s="6">
      <c r="A393" s="1">
        <f t="array" ref="A393">INDIRECT(_xlfn.CONCAT("$I", $F393))</f>
        <v/>
      </c>
      <c r="B393" s="1">
        <f t="array" ref="B393">INDIRECT(_xlfn.CONCAT("$J", $F393))</f>
        <v/>
      </c>
      <c r="C393" s="1">
        <f t="array" ref="C393">INDIRECT(_xlfn.CONCAT("$K", $F393))</f>
        <v/>
      </c>
      <c r="D393" s="1" t="n"/>
      <c r="E393" s="1">
        <f t="array" ref="E393">INDIRECT(_xlfn.CONCAT("$L", $F393))</f>
        <v/>
      </c>
      <c r="F393" s="1">
        <f t="array" ref="F393">IF(NOT(OR(ISERROR(INDIRECT(_xlfn.CONCAT("$I", $F392 + 1))), ISBLANK(INDIRECT(_xlfn.CONCAT("$I", $F392 + 1))))), $F392 + 1, IF(NOT(ISBLANK(INDIRECT(_xlfn.CONCAT("$I", $F392 + 2)))), $F392 + 2, ""))</f>
        <v/>
      </c>
    </row>
    <row r="394" ht="57.75" customHeight="1" s="6">
      <c r="A394" s="1">
        <f t="array" ref="A394">INDIRECT(_xlfn.CONCAT("$I", $F394))</f>
        <v/>
      </c>
      <c r="B394" s="1">
        <f t="array" ref="B394">INDIRECT(_xlfn.CONCAT("$J", $F394))</f>
        <v/>
      </c>
      <c r="C394" s="1">
        <f t="array" ref="C394">INDIRECT(_xlfn.CONCAT("$K", $F394))</f>
        <v/>
      </c>
      <c r="D394" s="1" t="n"/>
      <c r="E394" s="1">
        <f t="array" ref="E394">INDIRECT(_xlfn.CONCAT("$L", $F394))</f>
        <v/>
      </c>
      <c r="F394" s="1">
        <f t="array" ref="F394">IF(NOT(OR(ISERROR(INDIRECT(_xlfn.CONCAT("$I", $F393 + 1))), ISBLANK(INDIRECT(_xlfn.CONCAT("$I", $F393 + 1))))), $F393 + 1, IF(NOT(ISBLANK(INDIRECT(_xlfn.CONCAT("$I", $F393 + 2)))), $F393 + 2, ""))</f>
        <v/>
      </c>
      <c r="I394" s="8" t="inlineStr">
        <is>
          <t>Eternal Weekend PEWK</t>
        </is>
      </c>
      <c r="J394" s="8" t="n">
        <v>8</v>
      </c>
      <c r="K394" s="9" t="n">
        <v>44891</v>
      </c>
      <c r="L394" s="8" t="inlineStr">
        <is>
          <t>en es fr de it pt ja ko ru 汉语 漢語</t>
        </is>
      </c>
    </row>
    <row r="395" ht="57.75" customHeight="1" s="6">
      <c r="A395" s="1">
        <f t="array" ref="A395">INDIRECT(_xlfn.CONCAT("$I", $F395))</f>
        <v/>
      </c>
      <c r="B395" s="1">
        <f t="array" ref="B395">INDIRECT(_xlfn.CONCAT("$J", $F395))</f>
        <v/>
      </c>
      <c r="C395" s="1">
        <f t="array" ref="C395">INDIRECT(_xlfn.CONCAT("$K", $F395))</f>
        <v/>
      </c>
      <c r="D395" s="1" t="n"/>
      <c r="E395" s="1">
        <f t="array" ref="E395">INDIRECT(_xlfn.CONCAT("$L", $F395))</f>
        <v/>
      </c>
      <c r="F395" s="1">
        <f t="array" ref="F395">IF(NOT(OR(ISERROR(INDIRECT(_xlfn.CONCAT("$I", $F394 + 1))), ISBLANK(INDIRECT(_xlfn.CONCAT("$I", $F394 + 1))))), $F394 + 1, IF(NOT(ISBLANK(INDIRECT(_xlfn.CONCAT("$I", $F394 + 2)))), $F394 + 2, ""))</f>
        <v/>
      </c>
    </row>
    <row r="396" ht="41.25" customHeight="1" s="6">
      <c r="A396" s="1">
        <f t="array" ref="A396">INDIRECT(_xlfn.CONCAT("$I", $F396))</f>
        <v/>
      </c>
      <c r="B396" s="1">
        <f t="array" ref="B396">INDIRECT(_xlfn.CONCAT("$J", $F396))</f>
        <v/>
      </c>
      <c r="C396" s="1">
        <f t="array" ref="C396">INDIRECT(_xlfn.CONCAT("$K", $F396))</f>
        <v/>
      </c>
      <c r="D396" s="1" t="n"/>
      <c r="E396" s="1">
        <f t="array" ref="E396">INDIRECT(_xlfn.CONCAT("$L", $F396))</f>
        <v/>
      </c>
      <c r="F396" s="1">
        <f t="array" ref="F396">IF(NOT(OR(ISERROR(INDIRECT(_xlfn.CONCAT("$I", $F395 + 1))), ISBLANK(INDIRECT(_xlfn.CONCAT("$I", $F395 + 1))))), $F395 + 1, IF(NOT(ISBLANK(INDIRECT(_xlfn.CONCAT("$I", $F395 + 2)))), $F395 + 2, ""))</f>
        <v/>
      </c>
      <c r="I396" s="8" t="inlineStr">
        <is>
          <t>The Brothers' War BRO</t>
        </is>
      </c>
      <c r="J396" s="8" t="n">
        <v>399</v>
      </c>
      <c r="K396" s="9" t="n">
        <v>44883</v>
      </c>
      <c r="L396" t="inlineStr">
        <is>
          <t>en es fr de it pt ja ko ru 汉语 漢語</t>
        </is>
      </c>
    </row>
    <row r="397" ht="57.75" customHeight="1" s="6">
      <c r="A397" s="1">
        <f t="array" ref="A397">INDIRECT(_xlfn.CONCAT("$I", $F397))</f>
        <v/>
      </c>
      <c r="B397" s="1">
        <f t="array" ref="B397">INDIRECT(_xlfn.CONCAT("$J", $F397))</f>
        <v/>
      </c>
      <c r="C397" s="1">
        <f t="array" ref="C397">INDIRECT(_xlfn.CONCAT("$K", $F397))</f>
        <v/>
      </c>
      <c r="D397" s="1" t="n"/>
      <c r="E397" s="1">
        <f t="array" ref="E397">INDIRECT(_xlfn.CONCAT("$L", $F397))</f>
        <v/>
      </c>
      <c r="F397" s="1">
        <f t="array" ref="F397">IF(NOT(OR(ISERROR(INDIRECT(_xlfn.CONCAT("$I", $F396 + 1))), ISBLANK(INDIRECT(_xlfn.CONCAT("$I", $F396 + 1))))), $F396 + 1, IF(NOT(ISBLANK(INDIRECT(_xlfn.CONCAT("$I", $F396 + 2)))), $F396 + 2, ""))</f>
        <v/>
      </c>
    </row>
    <row r="398" ht="57.75" customHeight="1" s="6">
      <c r="A398" s="1">
        <f t="array" ref="A398">INDIRECT(_xlfn.CONCAT("$I", $F398))</f>
        <v/>
      </c>
      <c r="B398" s="1">
        <f t="array" ref="B398">INDIRECT(_xlfn.CONCAT("$J", $F398))</f>
        <v/>
      </c>
      <c r="C398" s="1">
        <f t="array" ref="C398">INDIRECT(_xlfn.CONCAT("$K", $F398))</f>
        <v/>
      </c>
      <c r="D398" s="1" t="n"/>
      <c r="E398" s="1">
        <f t="array" ref="E398">INDIRECT(_xlfn.CONCAT("$L", $F398))</f>
        <v/>
      </c>
      <c r="F398" s="1">
        <f t="array" ref="F398">IF(NOT(OR(ISERROR(INDIRECT(_xlfn.CONCAT("$I", $F397 + 1))), ISBLANK(INDIRECT(_xlfn.CONCAT("$I", $F397 + 1))))), $F397 + 1, IF(NOT(ISBLANK(INDIRECT(_xlfn.CONCAT("$I", $F397 + 2)))), $F397 + 2, ""))</f>
        <v/>
      </c>
      <c r="I398" s="8" t="inlineStr">
        <is>
          <t>The Brothers' War Retro Artifacts BRR</t>
        </is>
      </c>
      <c r="J398" s="8" t="n">
        <v>189</v>
      </c>
      <c r="K398" s="9" t="n">
        <v>44883</v>
      </c>
      <c r="L398" t="inlineStr">
        <is>
          <t>en es fr de it pt ja ko ru 汉语 漢語</t>
        </is>
      </c>
    </row>
    <row r="399" ht="57.75" customHeight="1" s="6">
      <c r="A399" s="1">
        <f t="array" ref="A399">INDIRECT(_xlfn.CONCAT("$I", $F399))</f>
        <v/>
      </c>
      <c r="B399" s="1">
        <f t="array" ref="B399">INDIRECT(_xlfn.CONCAT("$J", $F399))</f>
        <v/>
      </c>
      <c r="C399" s="1">
        <f t="array" ref="C399">INDIRECT(_xlfn.CONCAT("$K", $F399))</f>
        <v/>
      </c>
      <c r="D399" s="1" t="n"/>
      <c r="E399" s="1">
        <f t="array" ref="E399">INDIRECT(_xlfn.CONCAT("$L", $F399))</f>
        <v/>
      </c>
      <c r="F399" s="1">
        <f t="array" ref="F399">IF(NOT(OR(ISERROR(INDIRECT(_xlfn.CONCAT("$I", $F398 + 1))), ISBLANK(INDIRECT(_xlfn.CONCAT("$I", $F398 + 1))))), $F398 + 1, IF(NOT(ISBLANK(INDIRECT(_xlfn.CONCAT("$I", $F398 + 2)))), $F398 + 2, ""))</f>
        <v/>
      </c>
    </row>
    <row r="400" ht="68.25" customHeight="1" s="6">
      <c r="A400" s="1">
        <f t="array" ref="A400">INDIRECT(_xlfn.CONCAT("$I", $F400))</f>
        <v/>
      </c>
      <c r="B400" s="1">
        <f t="array" ref="B400">INDIRECT(_xlfn.CONCAT("$J", $F400))</f>
        <v/>
      </c>
      <c r="C400" s="1">
        <f t="array" ref="C400">INDIRECT(_xlfn.CONCAT("$K", $F400))</f>
        <v/>
      </c>
      <c r="D400" s="1" t="n"/>
      <c r="E400" s="1">
        <f t="array" ref="E400">INDIRECT(_xlfn.CONCAT("$L", $F400))</f>
        <v/>
      </c>
      <c r="F400" s="1">
        <f t="array" ref="F400">IF(NOT(OR(ISERROR(INDIRECT(_xlfn.CONCAT("$I", $F399 + 1))), ISBLANK(INDIRECT(_xlfn.CONCAT("$I", $F399 + 1))))), $F399 + 1, IF(NOT(ISBLANK(INDIRECT(_xlfn.CONCAT("$I", $F399 + 2)))), $F399 + 2, ""))</f>
        <v/>
      </c>
      <c r="I400" s="8" t="inlineStr">
        <is>
          <t>The Brothers' War Promos PBRO</t>
        </is>
      </c>
      <c r="J400" s="8" t="n">
        <v>171</v>
      </c>
      <c r="K400" s="9" t="n">
        <v>44883</v>
      </c>
      <c r="L400" s="8" t="inlineStr">
        <is>
          <t>en es fr de it pt ja ko ru 汉语 漢語</t>
        </is>
      </c>
    </row>
    <row r="401" ht="68.25" customHeight="1" s="6">
      <c r="A401" s="1">
        <f t="array" ref="A401">INDIRECT(_xlfn.CONCAT("$I", $F401))</f>
        <v/>
      </c>
      <c r="B401" s="1">
        <f t="array" ref="B401">INDIRECT(_xlfn.CONCAT("$J", $F401))</f>
        <v/>
      </c>
      <c r="C401" s="1">
        <f t="array" ref="C401">INDIRECT(_xlfn.CONCAT("$K", $F401))</f>
        <v/>
      </c>
      <c r="D401" s="1" t="n"/>
      <c r="E401" s="1">
        <f t="array" ref="E401">INDIRECT(_xlfn.CONCAT("$L", $F401))</f>
        <v/>
      </c>
      <c r="F401" s="1">
        <f t="array" ref="F401">IF(NOT(OR(ISERROR(INDIRECT(_xlfn.CONCAT("$I", $F400 + 1))), ISBLANK(INDIRECT(_xlfn.CONCAT("$I", $F400 + 1))))), $F400 + 1, IF(NOT(ISBLANK(INDIRECT(_xlfn.CONCAT("$I", $F400 + 2)))), $F400 + 2, ""))</f>
        <v/>
      </c>
    </row>
    <row r="402" ht="57.75" customHeight="1" s="6">
      <c r="A402" s="1">
        <f t="array" ref="A402">INDIRECT(_xlfn.CONCAT("$I", $F402))</f>
        <v/>
      </c>
      <c r="B402" s="1">
        <f t="array" ref="B402">INDIRECT(_xlfn.CONCAT("$J", $F402))</f>
        <v/>
      </c>
      <c r="C402" s="1">
        <f t="array" ref="C402">INDIRECT(_xlfn.CONCAT("$K", $F402))</f>
        <v/>
      </c>
      <c r="D402" s="1" t="n"/>
      <c r="E402" s="1">
        <f t="array" ref="E402">INDIRECT(_xlfn.CONCAT("$L", $F402))</f>
        <v/>
      </c>
      <c r="F402" s="1">
        <f t="array" ref="F402">IF(NOT(OR(ISERROR(INDIRECT(_xlfn.CONCAT("$I", $F401 + 1))), ISBLANK(INDIRECT(_xlfn.CONCAT("$I", $F401 + 1))))), $F401 + 1, IF(NOT(ISBLANK(INDIRECT(_xlfn.CONCAT("$I", $F401 + 2)))), $F401 + 2, ""))</f>
        <v/>
      </c>
      <c r="I402" s="8" t="inlineStr">
        <is>
          <t>The Brothers' War Tokens TBRO</t>
        </is>
      </c>
      <c r="J402" s="8" t="n">
        <v>12</v>
      </c>
      <c r="K402" s="9" t="n">
        <v>44883</v>
      </c>
      <c r="L402" s="8" t="inlineStr">
        <is>
          <t>en es fr de it pt ja ko ru 汉语 漢語</t>
        </is>
      </c>
    </row>
    <row r="403" ht="57.75" customHeight="1" s="6">
      <c r="A403" s="1">
        <f t="array" ref="A403">INDIRECT(_xlfn.CONCAT("$I", $F403))</f>
        <v/>
      </c>
      <c r="B403" s="1">
        <f t="array" ref="B403">INDIRECT(_xlfn.CONCAT("$J", $F403))</f>
        <v/>
      </c>
      <c r="C403" s="1">
        <f t="array" ref="C403">INDIRECT(_xlfn.CONCAT("$K", $F403))</f>
        <v/>
      </c>
      <c r="D403" s="1" t="n"/>
      <c r="E403" s="1">
        <f t="array" ref="E403">INDIRECT(_xlfn.CONCAT("$L", $F403))</f>
        <v/>
      </c>
      <c r="F403" s="1">
        <f t="array" ref="F403">IF(NOT(OR(ISERROR(INDIRECT(_xlfn.CONCAT("$I", $F402 + 1))), ISBLANK(INDIRECT(_xlfn.CONCAT("$I", $F402 + 1))))), $F402 + 1, IF(NOT(ISBLANK(INDIRECT(_xlfn.CONCAT("$I", $F402 + 2)))), $F402 + 2, ""))</f>
        <v/>
      </c>
    </row>
    <row r="404" ht="57.75" customHeight="1" s="6">
      <c r="A404" s="1">
        <f t="array" ref="A404">INDIRECT(_xlfn.CONCAT("$I", $F404))</f>
        <v/>
      </c>
      <c r="B404" s="1">
        <f t="array" ref="B404">INDIRECT(_xlfn.CONCAT("$J", $F404))</f>
        <v/>
      </c>
      <c r="C404" s="1">
        <f t="array" ref="C404">INDIRECT(_xlfn.CONCAT("$K", $F404))</f>
        <v/>
      </c>
      <c r="D404" s="1" t="n"/>
      <c r="E404" s="1">
        <f t="array" ref="E404">INDIRECT(_xlfn.CONCAT("$L", $F404))</f>
        <v/>
      </c>
      <c r="F404" s="1">
        <f t="array" ref="F404">IF(NOT(OR(ISERROR(INDIRECT(_xlfn.CONCAT("$I", $F403 + 1))), ISBLANK(INDIRECT(_xlfn.CONCAT("$I", $F403 + 1))))), $F403 + 1, IF(NOT(ISBLANK(INDIRECT(_xlfn.CONCAT("$I", $F403 + 2)))), $F403 + 2, ""))</f>
        <v/>
      </c>
      <c r="I404" s="8" t="inlineStr">
        <is>
          <t>Alchemy: The Brothers' War YBRO</t>
        </is>
      </c>
      <c r="J404" s="8" t="n">
        <v>31</v>
      </c>
      <c r="K404" s="9" t="n">
        <v>44908</v>
      </c>
      <c r="L404" s="8" t="inlineStr">
        <is>
          <t>en es fr de it pt ja ko ru 汉语 漢語</t>
        </is>
      </c>
    </row>
    <row r="405" ht="57.75" customHeight="1" s="6">
      <c r="A405" s="1">
        <f t="array" ref="A405">INDIRECT(_xlfn.CONCAT("$I", $F405))</f>
        <v/>
      </c>
      <c r="B405" s="1">
        <f t="array" ref="B405">INDIRECT(_xlfn.CONCAT("$J", $F405))</f>
        <v/>
      </c>
      <c r="C405" s="1">
        <f t="array" ref="C405">INDIRECT(_xlfn.CONCAT("$K", $F405))</f>
        <v/>
      </c>
      <c r="D405" s="1" t="n"/>
      <c r="E405" s="1">
        <f t="array" ref="E405">INDIRECT(_xlfn.CONCAT("$L", $F405))</f>
        <v/>
      </c>
      <c r="F405" s="1">
        <f t="array" ref="F405">IF(NOT(OR(ISERROR(INDIRECT(_xlfn.CONCAT("$I", $F404 + 1))), ISBLANK(INDIRECT(_xlfn.CONCAT("$I", $F404 + 1))))), $F404 + 1, IF(NOT(ISBLANK(INDIRECT(_xlfn.CONCAT("$I", $F404 + 2)))), $F404 + 2, ""))</f>
        <v/>
      </c>
    </row>
    <row r="406" ht="57.75" customHeight="1" s="6">
      <c r="A406" s="1">
        <f t="array" ref="A406">INDIRECT(_xlfn.CONCAT("$I", $F406))</f>
        <v/>
      </c>
      <c r="B406" s="1">
        <f t="array" ref="B406">INDIRECT(_xlfn.CONCAT("$J", $F406))</f>
        <v/>
      </c>
      <c r="C406" s="1">
        <f t="array" ref="C406">INDIRECT(_xlfn.CONCAT("$K", $F406))</f>
        <v/>
      </c>
      <c r="D406" s="1" t="n"/>
      <c r="E406" s="1">
        <f t="array" ref="E406">INDIRECT(_xlfn.CONCAT("$L", $F406))</f>
        <v/>
      </c>
      <c r="F406" s="1">
        <f t="array" ref="F406">IF(NOT(OR(ISERROR(INDIRECT(_xlfn.CONCAT("$I", $F405 + 1))), ISBLANK(INDIRECT(_xlfn.CONCAT("$I", $F405 + 1))))), $F405 + 1, IF(NOT(ISBLANK(INDIRECT(_xlfn.CONCAT("$I", $F405 + 2)))), $F405 + 2, ""))</f>
        <v/>
      </c>
      <c r="I406" s="8" t="inlineStr">
        <is>
          <t>The Brothers' War Commander BRC</t>
        </is>
      </c>
      <c r="J406" s="8" t="n">
        <v>209</v>
      </c>
      <c r="K406" s="9" t="n">
        <v>44883</v>
      </c>
      <c r="L406" t="inlineStr">
        <is>
          <t>en es fr de it pt ja ko ru 汉语 漢語</t>
        </is>
      </c>
    </row>
    <row r="407" ht="57.75" customHeight="1" s="6">
      <c r="A407" s="1">
        <f t="array" ref="A407">INDIRECT(_xlfn.CONCAT("$I", $F407))</f>
        <v/>
      </c>
      <c r="B407" s="1">
        <f t="array" ref="B407">INDIRECT(_xlfn.CONCAT("$J", $F407))</f>
        <v/>
      </c>
      <c r="C407" s="1">
        <f t="array" ref="C407">INDIRECT(_xlfn.CONCAT("$K", $F407))</f>
        <v/>
      </c>
      <c r="D407" s="1" t="n"/>
      <c r="E407" s="1">
        <f t="array" ref="E407">INDIRECT(_xlfn.CONCAT("$L", $F407))</f>
        <v/>
      </c>
      <c r="F407" s="1">
        <f t="array" ref="F407">IF(NOT(OR(ISERROR(INDIRECT(_xlfn.CONCAT("$I", $F406 + 1))), ISBLANK(INDIRECT(_xlfn.CONCAT("$I", $F406 + 1))))), $F406 + 1, IF(NOT(ISBLANK(INDIRECT(_xlfn.CONCAT("$I", $F406 + 2)))), $F406 + 2, ""))</f>
        <v/>
      </c>
    </row>
    <row r="408" ht="57.75" customHeight="1" s="6">
      <c r="A408" s="1">
        <f t="array" ref="A408">INDIRECT(_xlfn.CONCAT("$I", $F408))</f>
        <v/>
      </c>
      <c r="B408" s="1">
        <f t="array" ref="B408">INDIRECT(_xlfn.CONCAT("$J", $F408))</f>
        <v/>
      </c>
      <c r="C408" s="1">
        <f t="array" ref="C408">INDIRECT(_xlfn.CONCAT("$K", $F408))</f>
        <v/>
      </c>
      <c r="D408" s="1" t="n"/>
      <c r="E408" s="1">
        <f t="array" ref="E408">INDIRECT(_xlfn.CONCAT("$L", $F408))</f>
        <v/>
      </c>
      <c r="F408" s="1">
        <f t="array" ref="F408">IF(NOT(OR(ISERROR(INDIRECT(_xlfn.CONCAT("$I", $F407 + 1))), ISBLANK(INDIRECT(_xlfn.CONCAT("$I", $F407 + 1))))), $F407 + 1, IF(NOT(ISBLANK(INDIRECT(_xlfn.CONCAT("$I", $F407 + 2)))), $F407 + 2, ""))</f>
        <v/>
      </c>
      <c r="I408" s="8" t="inlineStr">
        <is>
          <t>The Brothers' War Commander Tokens TBRC</t>
        </is>
      </c>
      <c r="J408" s="8" t="n">
        <v>14</v>
      </c>
      <c r="K408" s="9" t="n">
        <v>44883</v>
      </c>
      <c r="L408" s="8" t="inlineStr">
        <is>
          <t>en es fr de it pt ja ko ru 汉语 漢語</t>
        </is>
      </c>
    </row>
    <row r="409" ht="68.25" customHeight="1" s="6">
      <c r="A409" s="1">
        <f t="array" ref="A409">INDIRECT(_xlfn.CONCAT("$I", $F409))</f>
        <v/>
      </c>
      <c r="B409" s="1">
        <f t="array" ref="B409">INDIRECT(_xlfn.CONCAT("$J", $F409))</f>
        <v/>
      </c>
      <c r="C409" s="1">
        <f t="array" ref="C409">INDIRECT(_xlfn.CONCAT("$K", $F409))</f>
        <v/>
      </c>
      <c r="D409" s="1" t="n"/>
      <c r="E409" s="1">
        <f t="array" ref="E409">INDIRECT(_xlfn.CONCAT("$L", $F409))</f>
        <v/>
      </c>
      <c r="F409" s="1">
        <f t="array" ref="F409">IF(NOT(OR(ISERROR(INDIRECT(_xlfn.CONCAT("$I", $F408 + 1))), ISBLANK(INDIRECT(_xlfn.CONCAT("$I", $F408 + 1))))), $F408 + 1, IF(NOT(ISBLANK(INDIRECT(_xlfn.CONCAT("$I", $F408 + 2)))), $F408 + 2, ""))</f>
        <v/>
      </c>
    </row>
    <row r="410" ht="68.25" customHeight="1" s="6">
      <c r="A410" s="1">
        <f t="array" ref="A410">INDIRECT(_xlfn.CONCAT("$I", $F410))</f>
        <v/>
      </c>
      <c r="B410" s="1">
        <f t="array" ref="B410">INDIRECT(_xlfn.CONCAT("$J", $F410))</f>
        <v/>
      </c>
      <c r="C410" s="1">
        <f t="array" ref="C410">INDIRECT(_xlfn.CONCAT("$K", $F410))</f>
        <v/>
      </c>
      <c r="D410" s="1" t="n"/>
      <c r="E410" s="1">
        <f t="array" ref="E410">INDIRECT(_xlfn.CONCAT("$L", $F410))</f>
        <v/>
      </c>
      <c r="F410" s="1">
        <f t="array" ref="F410">IF(NOT(OR(ISERROR(INDIRECT(_xlfn.CONCAT("$I", $F409 + 1))), ISBLANK(INDIRECT(_xlfn.CONCAT("$I", $F409 + 1))))), $F409 + 1, IF(NOT(ISBLANK(INDIRECT(_xlfn.CONCAT("$I", $F409 + 2)))), $F409 + 2, ""))</f>
        <v/>
      </c>
      <c r="I410" s="8" t="inlineStr">
        <is>
          <t>Transformers BOT</t>
        </is>
      </c>
      <c r="J410" s="8" t="n">
        <v>29</v>
      </c>
      <c r="K410" s="9" t="n">
        <v>44883</v>
      </c>
      <c r="L410" s="8" t="inlineStr">
        <is>
          <t>en es fr de it pt ja ko ru 汉语 漢語</t>
        </is>
      </c>
    </row>
    <row r="411" ht="57.75" customHeight="1" s="6">
      <c r="A411" s="1">
        <f t="array" ref="A411">INDIRECT(_xlfn.CONCAT("$I", $F411))</f>
        <v/>
      </c>
      <c r="B411" s="1">
        <f t="array" ref="B411">INDIRECT(_xlfn.CONCAT("$J", $F411))</f>
        <v/>
      </c>
      <c r="C411" s="1">
        <f t="array" ref="C411">INDIRECT(_xlfn.CONCAT("$K", $F411))</f>
        <v/>
      </c>
      <c r="D411" s="1" t="n"/>
      <c r="E411" s="1">
        <f t="array" ref="E411">INDIRECT(_xlfn.CONCAT("$L", $F411))</f>
        <v/>
      </c>
      <c r="F411" s="1">
        <f t="array" ref="F411">IF(NOT(OR(ISERROR(INDIRECT(_xlfn.CONCAT("$I", $F410 + 1))), ISBLANK(INDIRECT(_xlfn.CONCAT("$I", $F410 + 1))))), $F410 + 1, IF(NOT(ISBLANK(INDIRECT(_xlfn.CONCAT("$I", $F410 + 2)))), $F410 + 2, ""))</f>
        <v/>
      </c>
    </row>
    <row r="412" ht="57.75" customHeight="1" s="6">
      <c r="A412" s="1">
        <f t="array" ref="A412">INDIRECT(_xlfn.CONCAT("$I", $F412))</f>
        <v/>
      </c>
      <c r="B412" s="1">
        <f t="array" ref="B412">INDIRECT(_xlfn.CONCAT("$J", $F412))</f>
        <v/>
      </c>
      <c r="C412" s="1">
        <f t="array" ref="C412">INDIRECT(_xlfn.CONCAT("$K", $F412))</f>
        <v/>
      </c>
      <c r="D412" s="1" t="n"/>
      <c r="E412" s="1">
        <f t="array" ref="E412">INDIRECT(_xlfn.CONCAT("$L", $F412))</f>
        <v/>
      </c>
      <c r="F412" s="1">
        <f t="array" ref="F412">IF(NOT(OR(ISERROR(INDIRECT(_xlfn.CONCAT("$I", $F411 + 1))), ISBLANK(INDIRECT(_xlfn.CONCAT("$I", $F411 + 1))))), $F411 + 1, IF(NOT(ISBLANK(INDIRECT(_xlfn.CONCAT("$I", $F411 + 2)))), $F411 + 2, ""))</f>
        <v/>
      </c>
      <c r="I412" s="8" t="inlineStr">
        <is>
          <t>Transformers Tokens TBOT</t>
        </is>
      </c>
      <c r="J412" s="8" t="n">
        <v>2</v>
      </c>
      <c r="K412" s="9" t="n">
        <v>44883</v>
      </c>
      <c r="L412" s="8" t="inlineStr">
        <is>
          <t>en es fr de it pt ja ko ru 汉语 漢語</t>
        </is>
      </c>
    </row>
    <row r="413" ht="57.75" customHeight="1" s="6">
      <c r="A413" s="1">
        <f t="array" ref="A413">INDIRECT(_xlfn.CONCAT("$I", $F413))</f>
        <v/>
      </c>
      <c r="B413" s="1">
        <f t="array" ref="B413">INDIRECT(_xlfn.CONCAT("$J", $F413))</f>
        <v/>
      </c>
      <c r="C413" s="1">
        <f t="array" ref="C413">INDIRECT(_xlfn.CONCAT("$K", $F413))</f>
        <v/>
      </c>
      <c r="D413" s="1" t="n"/>
      <c r="E413" s="1">
        <f t="array" ref="E413">INDIRECT(_xlfn.CONCAT("$L", $F413))</f>
        <v/>
      </c>
      <c r="F413" s="1">
        <f t="array" ref="F413">IF(NOT(OR(ISERROR(INDIRECT(_xlfn.CONCAT("$I", $F412 + 1))), ISBLANK(INDIRECT(_xlfn.CONCAT("$I", $F412 + 1))))), $F412 + 1, IF(NOT(ISBLANK(INDIRECT(_xlfn.CONCAT("$I", $F412 + 2)))), $F412 + 2, ""))</f>
        <v/>
      </c>
    </row>
    <row r="414" ht="57.75" customHeight="1" s="6">
      <c r="A414" s="1">
        <f t="array" ref="A414">INDIRECT(_xlfn.CONCAT("$I", $F414))</f>
        <v/>
      </c>
      <c r="B414" s="1">
        <f t="array" ref="B414">INDIRECT(_xlfn.CONCAT("$J", $F414))</f>
        <v/>
      </c>
      <c r="C414" s="1">
        <f t="array" ref="C414">INDIRECT(_xlfn.CONCAT("$K", $F414))</f>
        <v/>
      </c>
      <c r="D414" s="1" t="n"/>
      <c r="E414" s="1">
        <f t="array" ref="E414">INDIRECT(_xlfn.CONCAT("$L", $F414))</f>
        <v/>
      </c>
      <c r="F414" s="1">
        <f t="array" ref="F414">IF(NOT(OR(ISERROR(INDIRECT(_xlfn.CONCAT("$I", $F413 + 1))), ISBLANK(INDIRECT(_xlfn.CONCAT("$I", $F413 + 1))))), $F413 + 1, IF(NOT(ISBLANK(INDIRECT(_xlfn.CONCAT("$I", $F413 + 2)))), $F413 + 2, ""))</f>
        <v/>
      </c>
      <c r="I414" s="8" t="inlineStr">
        <is>
          <t>The Brothers' War Southeast Asia Tokens PTBRO</t>
        </is>
      </c>
      <c r="J414" s="8" t="n">
        <v>3</v>
      </c>
      <c r="K414" s="9" t="n">
        <v>44883</v>
      </c>
      <c r="L414" s="8" t="inlineStr">
        <is>
          <t>en es fr de it pt ja ko ru 汉语 漢語</t>
        </is>
      </c>
    </row>
    <row r="415" ht="57.75" customHeight="1" s="6">
      <c r="A415" s="1">
        <f t="array" ref="A415">INDIRECT(_xlfn.CONCAT("$I", $F415))</f>
        <v/>
      </c>
      <c r="B415" s="1">
        <f t="array" ref="B415">INDIRECT(_xlfn.CONCAT("$J", $F415))</f>
        <v/>
      </c>
      <c r="C415" s="1">
        <f t="array" ref="C415">INDIRECT(_xlfn.CONCAT("$K", $F415))</f>
        <v/>
      </c>
      <c r="D415" s="1" t="n"/>
      <c r="E415" s="1">
        <f t="array" ref="E415">INDIRECT(_xlfn.CONCAT("$L", $F415))</f>
        <v/>
      </c>
      <c r="F415" s="1">
        <f t="array" ref="F415">IF(NOT(OR(ISERROR(INDIRECT(_xlfn.CONCAT("$I", $F414 + 1))), ISBLANK(INDIRECT(_xlfn.CONCAT("$I", $F414 + 1))))), $F414 + 1, IF(NOT(ISBLANK(INDIRECT(_xlfn.CONCAT("$I", $F414 + 2)))), $F414 + 2, ""))</f>
        <v/>
      </c>
    </row>
    <row r="416" ht="57.75" customHeight="1" s="6">
      <c r="A416" s="1">
        <f t="array" ref="A416">INDIRECT(_xlfn.CONCAT("$I", $F416))</f>
        <v/>
      </c>
      <c r="B416" s="1">
        <f t="array" ref="B416">INDIRECT(_xlfn.CONCAT("$J", $F416))</f>
        <v/>
      </c>
      <c r="C416" s="1">
        <f t="array" ref="C416">INDIRECT(_xlfn.CONCAT("$K", $F416))</f>
        <v/>
      </c>
      <c r="D416" s="1" t="n"/>
      <c r="E416" s="1">
        <f t="array" ref="E416">INDIRECT(_xlfn.CONCAT("$L", $F416))</f>
        <v/>
      </c>
      <c r="F416" s="1">
        <f t="array" ref="F416">IF(NOT(OR(ISERROR(INDIRECT(_xlfn.CONCAT("$I", $F415 + 1))), ISBLANK(INDIRECT(_xlfn.CONCAT("$I", $F415 + 1))))), $F415 + 1, IF(NOT(ISBLANK(INDIRECT(_xlfn.CONCAT("$I", $F415 + 2)))), $F415 + 2, ""))</f>
        <v/>
      </c>
      <c r="I416" s="8" t="inlineStr">
        <is>
          <t>The Brothers' War Substitute Cards SBRO</t>
        </is>
      </c>
      <c r="J416" s="8" t="n">
        <v>1</v>
      </c>
      <c r="K416" s="9" t="n">
        <v>44883</v>
      </c>
      <c r="L416" s="8" t="inlineStr">
        <is>
          <t>en es fr de it pt ja ko ru 汉语 漢語</t>
        </is>
      </c>
    </row>
    <row r="417" ht="57.75" customHeight="1" s="6">
      <c r="A417" s="1">
        <f t="array" ref="A417">INDIRECT(_xlfn.CONCAT("$I", $F417))</f>
        <v/>
      </c>
      <c r="B417" s="1">
        <f t="array" ref="B417">INDIRECT(_xlfn.CONCAT("$J", $F417))</f>
        <v/>
      </c>
      <c r="C417" s="1">
        <f t="array" ref="C417">INDIRECT(_xlfn.CONCAT("$K", $F417))</f>
        <v/>
      </c>
      <c r="D417" s="1" t="n"/>
      <c r="E417" s="1">
        <f t="array" ref="E417">INDIRECT(_xlfn.CONCAT("$L", $F417))</f>
        <v/>
      </c>
      <c r="F417" s="1">
        <f t="array" ref="F417">IF(NOT(OR(ISERROR(INDIRECT(_xlfn.CONCAT("$I", $F416 + 1))), ISBLANK(INDIRECT(_xlfn.CONCAT("$I", $F416 + 1))))), $F416 + 1, IF(NOT(ISBLANK(INDIRECT(_xlfn.CONCAT("$I", $F416 + 2)))), $F416 + 2, ""))</f>
        <v/>
      </c>
    </row>
    <row r="418" ht="57.75" customHeight="1" s="6">
      <c r="A418" s="1">
        <f t="array" ref="A418">INDIRECT(_xlfn.CONCAT("$I", $F418))</f>
        <v/>
      </c>
      <c r="B418" s="1">
        <f t="array" ref="B418">INDIRECT(_xlfn.CONCAT("$J", $F418))</f>
        <v/>
      </c>
      <c r="C418" s="1">
        <f t="array" ref="C418">INDIRECT(_xlfn.CONCAT("$K", $F418))</f>
        <v/>
      </c>
      <c r="D418" s="1" t="n"/>
      <c r="E418" s="1">
        <f t="array" ref="E418">INDIRECT(_xlfn.CONCAT("$L", $F418))</f>
        <v/>
      </c>
      <c r="F418" s="1">
        <f t="array" ref="F418">IF(NOT(OR(ISERROR(INDIRECT(_xlfn.CONCAT("$I", $F417 + 1))), ISBLANK(INDIRECT(_xlfn.CONCAT("$I", $F417 + 1))))), $F417 + 1, IF(NOT(ISBLANK(INDIRECT(_xlfn.CONCAT("$I", $F417 + 2)))), $F417 + 2, ""))</f>
        <v/>
      </c>
      <c r="I418" s="8" t="inlineStr">
        <is>
          <t>The Brothers' War Art Series ABRO</t>
        </is>
      </c>
      <c r="J418" s="8" t="n">
        <v>81</v>
      </c>
      <c r="K418" s="9" t="n">
        <v>44883</v>
      </c>
      <c r="L418" s="8" t="inlineStr">
        <is>
          <t>en es fr de it pt ja ko ru 汉语 漢語</t>
        </is>
      </c>
    </row>
    <row r="419" ht="57.75" customHeight="1" s="6">
      <c r="A419" s="1">
        <f t="array" ref="A419">INDIRECT(_xlfn.CONCAT("$I", $F419))</f>
        <v/>
      </c>
      <c r="B419" s="1">
        <f t="array" ref="B419">INDIRECT(_xlfn.CONCAT("$J", $F419))</f>
        <v/>
      </c>
      <c r="C419" s="1">
        <f t="array" ref="C419">INDIRECT(_xlfn.CONCAT("$K", $F419))</f>
        <v/>
      </c>
      <c r="D419" s="1" t="n"/>
      <c r="E419" s="1">
        <f t="array" ref="E419">INDIRECT(_xlfn.CONCAT("$L", $F419))</f>
        <v/>
      </c>
      <c r="F419" s="1">
        <f t="array" ref="F419">IF(NOT(OR(ISERROR(INDIRECT(_xlfn.CONCAT("$I", $F418 + 1))), ISBLANK(INDIRECT(_xlfn.CONCAT("$I", $F418 + 1))))), $F418 + 1, IF(NOT(ISBLANK(INDIRECT(_xlfn.CONCAT("$I", $F418 + 2)))), $F418 + 2, ""))</f>
        <v/>
      </c>
    </row>
    <row r="420" ht="57.75" customHeight="1" s="6">
      <c r="A420" s="1">
        <f t="array" ref="A420">INDIRECT(_xlfn.CONCAT("$I", $F420))</f>
        <v/>
      </c>
      <c r="B420" s="1">
        <f t="array" ref="B420">INDIRECT(_xlfn.CONCAT("$J", $F420))</f>
        <v/>
      </c>
      <c r="C420" s="1">
        <f t="array" ref="C420">INDIRECT(_xlfn.CONCAT("$K", $F420))</f>
        <v/>
      </c>
      <c r="D420" s="1" t="n"/>
      <c r="E420" s="1">
        <f t="array" ref="E420">INDIRECT(_xlfn.CONCAT("$L", $F420))</f>
        <v/>
      </c>
      <c r="F420" s="1">
        <f t="array" ref="F420">IF(NOT(OR(ISERROR(INDIRECT(_xlfn.CONCAT("$I", $F419 + 1))), ISBLANK(INDIRECT(_xlfn.CONCAT("$I", $F419 + 1))))), $F419 + 1, IF(NOT(ISBLANK(INDIRECT(_xlfn.CONCAT("$I", $F419 + 2)))), $F419 + 2, ""))</f>
        <v/>
      </c>
      <c r="I420" s="8" t="inlineStr">
        <is>
          <t>The Brothers' War Minigames MBRO</t>
        </is>
      </c>
      <c r="J420" s="8" t="n">
        <v>3</v>
      </c>
      <c r="K420" s="9" t="n">
        <v>44883</v>
      </c>
      <c r="L420" s="8" t="inlineStr">
        <is>
          <t>en es fr de it pt ja ko ru 汉语 漢語</t>
        </is>
      </c>
    </row>
    <row r="421" ht="57.75" customHeight="1" s="6">
      <c r="A421" s="1">
        <f t="array" ref="A421">INDIRECT(_xlfn.CONCAT("$I", $F421))</f>
        <v/>
      </c>
      <c r="B421" s="1">
        <f t="array" ref="B421">INDIRECT(_xlfn.CONCAT("$J", $F421))</f>
        <v/>
      </c>
      <c r="C421" s="1">
        <f t="array" ref="C421">INDIRECT(_xlfn.CONCAT("$K", $F421))</f>
        <v/>
      </c>
      <c r="D421" s="1" t="n"/>
      <c r="E421" s="1">
        <f t="array" ref="E421">INDIRECT(_xlfn.CONCAT("$L", $F421))</f>
        <v/>
      </c>
      <c r="F421" s="1">
        <f t="array" ref="F421">IF(NOT(OR(ISERROR(INDIRECT(_xlfn.CONCAT("$I", $F420 + 1))), ISBLANK(INDIRECT(_xlfn.CONCAT("$I", $F420 + 1))))), $F420 + 1, IF(NOT(ISBLANK(INDIRECT(_xlfn.CONCAT("$I", $F420 + 2)))), $F420 + 2, ""))</f>
        <v/>
      </c>
    </row>
    <row r="422" ht="81" customHeight="1" s="6">
      <c r="A422" s="1">
        <f t="array" ref="A422">INDIRECT(_xlfn.CONCAT("$I", $F422))</f>
        <v/>
      </c>
      <c r="B422" s="1">
        <f t="array" ref="B422">INDIRECT(_xlfn.CONCAT("$J", $F422))</f>
        <v/>
      </c>
      <c r="C422" s="1">
        <f t="array" ref="C422">INDIRECT(_xlfn.CONCAT("$K", $F422))</f>
        <v/>
      </c>
      <c r="D422" s="1" t="n"/>
      <c r="E422" s="1">
        <f t="array" ref="E422">INDIRECT(_xlfn.CONCAT("$L", $F422))</f>
        <v/>
      </c>
      <c r="F422" s="1">
        <f t="array" ref="F422">IF(NOT(OR(ISERROR(INDIRECT(_xlfn.CONCAT("$I", $F421 + 1))), ISBLANK(INDIRECT(_xlfn.CONCAT("$I", $F421 + 1))))), $F421 + 1, IF(NOT(ISBLANK(INDIRECT(_xlfn.CONCAT("$I", $F421 + 2)))), $F421 + 2, ""))</f>
        <v/>
      </c>
      <c r="I422" s="8" t="inlineStr">
        <is>
          <t>The Brothers' War Jumpstart Front Cards FBRO</t>
        </is>
      </c>
      <c r="J422" s="8" t="n">
        <v>5</v>
      </c>
      <c r="K422" s="9" t="n">
        <v>44883</v>
      </c>
      <c r="L422" s="8" t="inlineStr">
        <is>
          <t>en es fr de it pt ja ko ru 汉语 漢語</t>
        </is>
      </c>
    </row>
    <row r="423" ht="57.75" customHeight="1" s="6">
      <c r="A423" s="1">
        <f t="array" ref="A423">INDIRECT(_xlfn.CONCAT("$I", $F423))</f>
        <v/>
      </c>
      <c r="B423" s="1">
        <f t="array" ref="B423">INDIRECT(_xlfn.CONCAT("$J", $F423))</f>
        <v/>
      </c>
      <c r="C423" s="1">
        <f t="array" ref="C423">INDIRECT(_xlfn.CONCAT("$K", $F423))</f>
        <v/>
      </c>
      <c r="D423" s="1" t="n"/>
      <c r="E423" s="1">
        <f t="array" ref="E423">INDIRECT(_xlfn.CONCAT("$L", $F423))</f>
        <v/>
      </c>
      <c r="F423" s="1">
        <f t="array" ref="F423">IF(NOT(OR(ISERROR(INDIRECT(_xlfn.CONCAT("$I", $F422 + 1))), ISBLANK(INDIRECT(_xlfn.CONCAT("$I", $F422 + 1))))), $F422 + 1, IF(NOT(ISBLANK(INDIRECT(_xlfn.CONCAT("$I", $F422 + 2)))), $F422 + 2, ""))</f>
        <v/>
      </c>
    </row>
    <row r="424" ht="57.75" customHeight="1" s="6">
      <c r="A424" s="1">
        <f t="array" ref="A424">INDIRECT(_xlfn.CONCAT("$I", $F424))</f>
        <v/>
      </c>
      <c r="B424" s="1">
        <f t="array" ref="B424">INDIRECT(_xlfn.CONCAT("$J", $F424))</f>
        <v/>
      </c>
      <c r="C424" s="1">
        <f t="array" ref="C424">INDIRECT(_xlfn.CONCAT("$K", $F424))</f>
        <v/>
      </c>
      <c r="D424" s="1" t="n"/>
      <c r="E424" s="1">
        <f t="array" ref="E424">INDIRECT(_xlfn.CONCAT("$L", $F424))</f>
        <v/>
      </c>
      <c r="F424" s="1">
        <f t="array" ref="F424">IF(NOT(OR(ISERROR(INDIRECT(_xlfn.CONCAT("$I", $F423 + 1))), ISBLANK(INDIRECT(_xlfn.CONCAT("$I", $F423 + 1))))), $F423 + 1, IF(NOT(ISBLANK(INDIRECT(_xlfn.CONCAT("$I", $F423 + 2)))), $F423 + 2, ""))</f>
        <v/>
      </c>
      <c r="I424" s="8" t="inlineStr">
        <is>
          <t>Game Night: Free-for-All GN3</t>
        </is>
      </c>
      <c r="J424" s="8" t="n">
        <v>135</v>
      </c>
      <c r="K424" s="9" t="n">
        <v>44848</v>
      </c>
      <c r="L424" t="inlineStr">
        <is>
          <t>en es fr de it pt ja ko ru 汉语 漢語</t>
        </is>
      </c>
    </row>
    <row r="425" ht="57.75" customHeight="1" s="6">
      <c r="A425" s="1">
        <f t="array" ref="A425">INDIRECT(_xlfn.CONCAT("$I", $F425))</f>
        <v/>
      </c>
      <c r="B425" s="1">
        <f t="array" ref="B425">INDIRECT(_xlfn.CONCAT("$J", $F425))</f>
        <v/>
      </c>
      <c r="C425" s="1">
        <f t="array" ref="C425">INDIRECT(_xlfn.CONCAT("$K", $F425))</f>
        <v/>
      </c>
      <c r="D425" s="1" t="n"/>
      <c r="E425" s="1">
        <f t="array" ref="E425">INDIRECT(_xlfn.CONCAT("$L", $F425))</f>
        <v/>
      </c>
      <c r="F425" s="1">
        <f t="array" ref="F425">IF(NOT(OR(ISERROR(INDIRECT(_xlfn.CONCAT("$I", $F424 + 1))), ISBLANK(INDIRECT(_xlfn.CONCAT("$I", $F424 + 1))))), $F424 + 1, IF(NOT(ISBLANK(INDIRECT(_xlfn.CONCAT("$I", $F424 + 2)))), $F424 + 2, ""))</f>
        <v/>
      </c>
    </row>
    <row r="426" ht="57.75" customHeight="1" s="6">
      <c r="A426" s="1">
        <f t="array" ref="A426">INDIRECT(_xlfn.CONCAT("$I", $F426))</f>
        <v/>
      </c>
      <c r="B426" s="1">
        <f t="array" ref="B426">INDIRECT(_xlfn.CONCAT("$J", $F426))</f>
        <v/>
      </c>
      <c r="C426" s="1">
        <f t="array" ref="C426">INDIRECT(_xlfn.CONCAT("$K", $F426))</f>
        <v/>
      </c>
      <c r="D426" s="1" t="n"/>
      <c r="E426" s="1">
        <f t="array" ref="E426">INDIRECT(_xlfn.CONCAT("$L", $F426))</f>
        <v/>
      </c>
      <c r="F426" s="1">
        <f t="array" ref="F426">IF(NOT(OR(ISERROR(INDIRECT(_xlfn.CONCAT("$I", $F425 + 1))), ISBLANK(INDIRECT(_xlfn.CONCAT("$I", $F425 + 1))))), $F425 + 1, IF(NOT(ISBLANK(INDIRECT(_xlfn.CONCAT("$I", $F425 + 2)))), $F425 + 2, ""))</f>
        <v/>
      </c>
      <c r="I426" s="8" t="inlineStr">
        <is>
          <t>Game Night: Free-for-All Tokens TGN3</t>
        </is>
      </c>
      <c r="J426" s="8" t="n">
        <v>10</v>
      </c>
      <c r="K426" s="9" t="n">
        <v>44848</v>
      </c>
      <c r="L426" s="8" t="inlineStr">
        <is>
          <t>en es fr de it pt ja ko ru 汉语 漢語</t>
        </is>
      </c>
    </row>
    <row r="427" ht="81" customHeight="1" s="6">
      <c r="A427" s="1">
        <f t="array" ref="A427">INDIRECT(_xlfn.CONCAT("$I", $F427))</f>
        <v/>
      </c>
      <c r="B427" s="1">
        <f t="array" ref="B427">INDIRECT(_xlfn.CONCAT("$J", $F427))</f>
        <v/>
      </c>
      <c r="C427" s="1">
        <f t="array" ref="C427">INDIRECT(_xlfn.CONCAT("$K", $F427))</f>
        <v/>
      </c>
      <c r="D427" s="1" t="n"/>
      <c r="E427" s="1">
        <f t="array" ref="E427">INDIRECT(_xlfn.CONCAT("$L", $F427))</f>
        <v/>
      </c>
      <c r="F427" s="1">
        <f t="array" ref="F427">IF(NOT(OR(ISERROR(INDIRECT(_xlfn.CONCAT("$I", $F426 + 1))), ISBLANK(INDIRECT(_xlfn.CONCAT("$I", $F426 + 1))))), $F426 + 1, IF(NOT(ISBLANK(INDIRECT(_xlfn.CONCAT("$I", $F426 + 2)))), $F426 + 2, ""))</f>
        <v/>
      </c>
    </row>
    <row r="428" ht="41.25" customHeight="1" s="6">
      <c r="A428" s="1">
        <f t="array" ref="A428">INDIRECT(_xlfn.CONCAT("$I", $F428))</f>
        <v/>
      </c>
      <c r="B428" s="1">
        <f t="array" ref="B428">INDIRECT(_xlfn.CONCAT("$J", $F428))</f>
        <v/>
      </c>
      <c r="C428" s="1">
        <f t="array" ref="C428">INDIRECT(_xlfn.CONCAT("$K", $F428))</f>
        <v/>
      </c>
      <c r="D428" s="1" t="n"/>
      <c r="E428" s="1">
        <f t="array" ref="E428">INDIRECT(_xlfn.CONCAT("$L", $F428))</f>
        <v/>
      </c>
      <c r="F428" s="1">
        <f t="array" ref="F428">IF(NOT(OR(ISERROR(INDIRECT(_xlfn.CONCAT("$I", $F427 + 1))), ISBLANK(INDIRECT(_xlfn.CONCAT("$I", $F427 + 1))))), $F427 + 1, IF(NOT(ISBLANK(INDIRECT(_xlfn.CONCAT("$I", $F427 + 2)))), $F427 + 2, ""))</f>
        <v/>
      </c>
      <c r="I428" s="8" t="inlineStr">
        <is>
          <t>Unfinity UNF</t>
        </is>
      </c>
      <c r="J428" s="8" t="n">
        <v>639</v>
      </c>
      <c r="K428" s="9" t="n">
        <v>44841</v>
      </c>
      <c r="L428" s="8" t="inlineStr">
        <is>
          <t>en es fr de it pt ja ko ru 汉语 漢語</t>
        </is>
      </c>
    </row>
    <row r="429" ht="57.75" customHeight="1" s="6">
      <c r="A429" s="1">
        <f t="array" ref="A429">INDIRECT(_xlfn.CONCAT("$I", $F429))</f>
        <v/>
      </c>
      <c r="B429" s="1">
        <f t="array" ref="B429">INDIRECT(_xlfn.CONCAT("$J", $F429))</f>
        <v/>
      </c>
      <c r="C429" s="1">
        <f t="array" ref="C429">INDIRECT(_xlfn.CONCAT("$K", $F429))</f>
        <v/>
      </c>
      <c r="D429" s="1" t="n"/>
      <c r="E429" s="1">
        <f t="array" ref="E429">INDIRECT(_xlfn.CONCAT("$L", $F429))</f>
        <v/>
      </c>
      <c r="F429" s="1">
        <f t="array" ref="F429">IF(NOT(OR(ISERROR(INDIRECT(_xlfn.CONCAT("$I", $F428 + 1))), ISBLANK(INDIRECT(_xlfn.CONCAT("$I", $F428 + 1))))), $F428 + 1, IF(NOT(ISBLANK(INDIRECT(_xlfn.CONCAT("$I", $F428 + 2)))), $F428 + 2, ""))</f>
        <v/>
      </c>
    </row>
    <row r="430" ht="57.75" customHeight="1" s="6">
      <c r="A430" s="1">
        <f t="array" ref="A430">INDIRECT(_xlfn.CONCAT("$I", $F430))</f>
        <v/>
      </c>
      <c r="B430" s="1">
        <f t="array" ref="B430">INDIRECT(_xlfn.CONCAT("$J", $F430))</f>
        <v/>
      </c>
      <c r="C430" s="1">
        <f t="array" ref="C430">INDIRECT(_xlfn.CONCAT("$K", $F430))</f>
        <v/>
      </c>
      <c r="D430" s="1" t="n"/>
      <c r="E430" s="1">
        <f t="array" ref="E430">INDIRECT(_xlfn.CONCAT("$L", $F430))</f>
        <v/>
      </c>
      <c r="F430" s="1">
        <f t="array" ref="F430">IF(NOT(OR(ISERROR(INDIRECT(_xlfn.CONCAT("$I", $F429 + 1))), ISBLANK(INDIRECT(_xlfn.CONCAT("$I", $F429 + 1))))), $F429 + 1, IF(NOT(ISBLANK(INDIRECT(_xlfn.CONCAT("$I", $F429 + 2)))), $F429 + 2, ""))</f>
        <v/>
      </c>
      <c r="I430" s="8" t="inlineStr">
        <is>
          <t>Unfinity Tokens TUNF</t>
        </is>
      </c>
      <c r="J430" s="8" t="n">
        <v>14</v>
      </c>
      <c r="K430" s="9" t="n">
        <v>44841</v>
      </c>
      <c r="L430" s="8" t="inlineStr">
        <is>
          <t>en es fr de it pt ja ko ru 汉语 漢語</t>
        </is>
      </c>
    </row>
    <row r="431" ht="57.75" customHeight="1" s="6">
      <c r="A431" s="1">
        <f t="array" ref="A431">INDIRECT(_xlfn.CONCAT("$I", $F431))</f>
        <v/>
      </c>
      <c r="B431" s="1">
        <f t="array" ref="B431">INDIRECT(_xlfn.CONCAT("$J", $F431))</f>
        <v/>
      </c>
      <c r="C431" s="1">
        <f t="array" ref="C431">INDIRECT(_xlfn.CONCAT("$K", $F431))</f>
        <v/>
      </c>
      <c r="D431" s="1" t="n"/>
      <c r="E431" s="1">
        <f t="array" ref="E431">INDIRECT(_xlfn.CONCAT("$L", $F431))</f>
        <v/>
      </c>
      <c r="F431" s="1">
        <f t="array" ref="F431">IF(NOT(OR(ISERROR(INDIRECT(_xlfn.CONCAT("$I", $F430 + 1))), ISBLANK(INDIRECT(_xlfn.CONCAT("$I", $F430 + 1))))), $F430 + 1, IF(NOT(ISBLANK(INDIRECT(_xlfn.CONCAT("$I", $F430 + 2)))), $F430 + 2, ""))</f>
        <v/>
      </c>
    </row>
    <row r="432" ht="57.75" customHeight="1" s="6">
      <c r="A432" s="1">
        <f t="array" ref="A432">INDIRECT(_xlfn.CONCAT("$I", $F432))</f>
        <v/>
      </c>
      <c r="B432" s="1">
        <f t="array" ref="B432">INDIRECT(_xlfn.CONCAT("$J", $F432))</f>
        <v/>
      </c>
      <c r="C432" s="1">
        <f t="array" ref="C432">INDIRECT(_xlfn.CONCAT("$K", $F432))</f>
        <v/>
      </c>
      <c r="D432" s="1" t="n"/>
      <c r="E432" s="1">
        <f t="array" ref="E432">INDIRECT(_xlfn.CONCAT("$L", $F432))</f>
        <v/>
      </c>
      <c r="F432" s="1">
        <f t="array" ref="F432">IF(NOT(OR(ISERROR(INDIRECT(_xlfn.CONCAT("$I", $F431 + 1))), ISBLANK(INDIRECT(_xlfn.CONCAT("$I", $F431 + 1))))), $F431 + 1, IF(NOT(ISBLANK(INDIRECT(_xlfn.CONCAT("$I", $F431 + 2)))), $F431 + 2, ""))</f>
        <v/>
      </c>
      <c r="I432" s="8" t="inlineStr">
        <is>
          <t>Unfinity Sticker Sheets SUNF</t>
        </is>
      </c>
      <c r="J432" s="8" t="n">
        <v>48</v>
      </c>
      <c r="K432" s="9" t="n">
        <v>44841</v>
      </c>
      <c r="L432" s="8" t="inlineStr">
        <is>
          <t>en es fr de it pt ja ko ru 汉语 漢語</t>
        </is>
      </c>
    </row>
    <row r="433" ht="57.75" customHeight="1" s="6">
      <c r="A433" s="1">
        <f t="array" ref="A433">INDIRECT(_xlfn.CONCAT("$I", $F433))</f>
        <v/>
      </c>
      <c r="B433" s="1">
        <f t="array" ref="B433">INDIRECT(_xlfn.CONCAT("$J", $F433))</f>
        <v/>
      </c>
      <c r="C433" s="1">
        <f t="array" ref="C433">INDIRECT(_xlfn.CONCAT("$K", $F433))</f>
        <v/>
      </c>
      <c r="D433" s="1" t="n"/>
      <c r="E433" s="1">
        <f t="array" ref="E433">INDIRECT(_xlfn.CONCAT("$L", $F433))</f>
        <v/>
      </c>
      <c r="F433" s="1">
        <f t="array" ref="F433">IF(NOT(OR(ISERROR(INDIRECT(_xlfn.CONCAT("$I", $F432 + 1))), ISBLANK(INDIRECT(_xlfn.CONCAT("$I", $F432 + 1))))), $F432 + 1, IF(NOT(ISBLANK(INDIRECT(_xlfn.CONCAT("$I", $F432 + 2)))), $F432 + 2, ""))</f>
        <v/>
      </c>
    </row>
    <row r="434" ht="57.75" customHeight="1" s="6">
      <c r="A434" s="1">
        <f t="array" ref="A434">INDIRECT(_xlfn.CONCAT("$I", $F434))</f>
        <v/>
      </c>
      <c r="B434" s="1">
        <f t="array" ref="B434">INDIRECT(_xlfn.CONCAT("$J", $F434))</f>
        <v/>
      </c>
      <c r="C434" s="1">
        <f t="array" ref="C434">INDIRECT(_xlfn.CONCAT("$K", $F434))</f>
        <v/>
      </c>
      <c r="D434" s="1" t="n"/>
      <c r="E434" s="1">
        <f t="array" ref="E434">INDIRECT(_xlfn.CONCAT("$L", $F434))</f>
        <v/>
      </c>
      <c r="F434" s="1">
        <f t="array" ref="F434">IF(NOT(OR(ISERROR(INDIRECT(_xlfn.CONCAT("$I", $F433 + 1))), ISBLANK(INDIRECT(_xlfn.CONCAT("$I", $F433 + 1))))), $F433 + 1, IF(NOT(ISBLANK(INDIRECT(_xlfn.CONCAT("$I", $F433 + 2)))), $F433 + 2, ""))</f>
        <v/>
      </c>
      <c r="I434" s="8" t="inlineStr">
        <is>
          <t>Warhammer 40,000 Commander 40K</t>
        </is>
      </c>
      <c r="J434" s="8" t="n">
        <v>617</v>
      </c>
      <c r="K434" s="9" t="n">
        <v>44841</v>
      </c>
      <c r="L434" t="inlineStr">
        <is>
          <t>en es fr de it pt ja ko ru 汉语 漢語</t>
        </is>
      </c>
    </row>
    <row r="435" ht="57.75" customHeight="1" s="6">
      <c r="A435" s="1">
        <f t="array" ref="A435">INDIRECT(_xlfn.CONCAT("$I", $F435))</f>
        <v/>
      </c>
      <c r="B435" s="1">
        <f t="array" ref="B435">INDIRECT(_xlfn.CONCAT("$J", $F435))</f>
        <v/>
      </c>
      <c r="C435" s="1">
        <f t="array" ref="C435">INDIRECT(_xlfn.CONCAT("$K", $F435))</f>
        <v/>
      </c>
      <c r="D435" s="1" t="n"/>
      <c r="E435" s="1">
        <f t="array" ref="E435">INDIRECT(_xlfn.CONCAT("$L", $F435))</f>
        <v/>
      </c>
      <c r="F435" s="1">
        <f t="array" ref="F435">IF(NOT(OR(ISERROR(INDIRECT(_xlfn.CONCAT("$I", $F434 + 1))), ISBLANK(INDIRECT(_xlfn.CONCAT("$I", $F434 + 1))))), $F434 + 1, IF(NOT(ISBLANK(INDIRECT(_xlfn.CONCAT("$I", $F434 + 2)))), $F434 + 2, ""))</f>
        <v/>
      </c>
    </row>
    <row r="436" ht="57.75" customHeight="1" s="6">
      <c r="A436" s="1">
        <f t="array" ref="A436">INDIRECT(_xlfn.CONCAT("$I", $F436))</f>
        <v/>
      </c>
      <c r="B436" s="1">
        <f t="array" ref="B436">INDIRECT(_xlfn.CONCAT("$J", $F436))</f>
        <v/>
      </c>
      <c r="C436" s="1">
        <f t="array" ref="C436">INDIRECT(_xlfn.CONCAT("$K", $F436))</f>
        <v/>
      </c>
      <c r="D436" s="1" t="n"/>
      <c r="E436" s="1">
        <f t="array" ref="E436">INDIRECT(_xlfn.CONCAT("$L", $F436))</f>
        <v/>
      </c>
      <c r="F436" s="1">
        <f t="array" ref="F436">IF(NOT(OR(ISERROR(INDIRECT(_xlfn.CONCAT("$I", $F435 + 1))), ISBLANK(INDIRECT(_xlfn.CONCAT("$I", $F435 + 1))))), $F435 + 1, IF(NOT(ISBLANK(INDIRECT(_xlfn.CONCAT("$I", $F435 + 2)))), $F435 + 2, ""))</f>
        <v/>
      </c>
      <c r="I436" s="8" t="inlineStr">
        <is>
          <t>Warhammer 40,000 Tokens T40K</t>
        </is>
      </c>
      <c r="J436" s="8" t="n">
        <v>31</v>
      </c>
      <c r="K436" s="9" t="n">
        <v>44841</v>
      </c>
      <c r="L436" s="8" t="inlineStr">
        <is>
          <t>en es fr de it pt ja ko ru 汉语 漢語</t>
        </is>
      </c>
    </row>
    <row r="437" ht="57.75" customHeight="1" s="6">
      <c r="A437" s="1">
        <f t="array" ref="A437">INDIRECT(_xlfn.CONCAT("$I", $F437))</f>
        <v/>
      </c>
      <c r="B437" s="1">
        <f t="array" ref="B437">INDIRECT(_xlfn.CONCAT("$J", $F437))</f>
        <v/>
      </c>
      <c r="C437" s="1">
        <f t="array" ref="C437">INDIRECT(_xlfn.CONCAT("$K", $F437))</f>
        <v/>
      </c>
      <c r="D437" s="1" t="n"/>
      <c r="E437" s="1">
        <f t="array" ref="E437">INDIRECT(_xlfn.CONCAT("$L", $F437))</f>
        <v/>
      </c>
      <c r="F437" s="1">
        <f t="array" ref="F437">IF(NOT(OR(ISERROR(INDIRECT(_xlfn.CONCAT("$I", $F436 + 1))), ISBLANK(INDIRECT(_xlfn.CONCAT("$I", $F436 + 1))))), $F436 + 1, IF(NOT(ISBLANK(INDIRECT(_xlfn.CONCAT("$I", $F436 + 2)))), $F436 + 2, ""))</f>
        <v/>
      </c>
    </row>
    <row r="438" ht="57.75" customHeight="1" s="6">
      <c r="A438" s="1">
        <f t="array" ref="A438">INDIRECT(_xlfn.CONCAT("$I", $F438))</f>
        <v/>
      </c>
      <c r="B438" s="1">
        <f t="array" ref="B438">INDIRECT(_xlfn.CONCAT("$J", $F438))</f>
        <v/>
      </c>
      <c r="C438" s="1">
        <f t="array" ref="C438">INDIRECT(_xlfn.CONCAT("$K", $F438))</f>
        <v/>
      </c>
      <c r="D438" s="1" t="n"/>
      <c r="E438" s="1">
        <f t="array" ref="E438">INDIRECT(_xlfn.CONCAT("$L", $F438))</f>
        <v/>
      </c>
      <c r="F438" s="1">
        <f t="array" ref="F438">IF(NOT(OR(ISERROR(INDIRECT(_xlfn.CONCAT("$I", $F437 + 1))), ISBLANK(INDIRECT(_xlfn.CONCAT("$I", $F437 + 1))))), $F437 + 1, IF(NOT(ISBLANK(INDIRECT(_xlfn.CONCAT("$I", $F437 + 2)))), $F437 + 2, ""))</f>
        <v/>
      </c>
      <c r="I438" s="8" t="inlineStr">
        <is>
          <t>Regional Championship Qualifiers 2022 PRCQ</t>
        </is>
      </c>
      <c r="J438" s="8" t="n">
        <v>3</v>
      </c>
      <c r="K438" s="9" t="n">
        <v>44835</v>
      </c>
      <c r="L438" s="8" t="inlineStr">
        <is>
          <t>en es fr de it pt ja ko ru 汉语 漢語</t>
        </is>
      </c>
    </row>
    <row r="439" ht="57.75" customHeight="1" s="6">
      <c r="A439" s="1">
        <f t="array" ref="A439">INDIRECT(_xlfn.CONCAT("$I", $F439))</f>
        <v/>
      </c>
      <c r="B439" s="1">
        <f t="array" ref="B439">INDIRECT(_xlfn.CONCAT("$J", $F439))</f>
        <v/>
      </c>
      <c r="C439" s="1">
        <f t="array" ref="C439">INDIRECT(_xlfn.CONCAT("$K", $F439))</f>
        <v/>
      </c>
      <c r="D439" s="1" t="n"/>
      <c r="E439" s="1">
        <f t="array" ref="E439">INDIRECT(_xlfn.CONCAT("$L", $F439))</f>
        <v/>
      </c>
      <c r="F439" s="1">
        <f t="array" ref="F439">IF(NOT(OR(ISERROR(INDIRECT(_xlfn.CONCAT("$I", $F438 + 1))), ISBLANK(INDIRECT(_xlfn.CONCAT("$I", $F438 + 1))))), $F438 + 1, IF(NOT(ISBLANK(INDIRECT(_xlfn.CONCAT("$I", $F438 + 2)))), $F438 + 2, ""))</f>
        <v/>
      </c>
    </row>
    <row r="440" ht="57.75" customHeight="1" s="6">
      <c r="A440" s="1">
        <f t="array" ref="A440">INDIRECT(_xlfn.CONCAT("$I", $F440))</f>
        <v/>
      </c>
      <c r="B440" s="1">
        <f t="array" ref="B440">INDIRECT(_xlfn.CONCAT("$J", $F440))</f>
        <v/>
      </c>
      <c r="C440" s="1">
        <f t="array" ref="C440">INDIRECT(_xlfn.CONCAT("$K", $F440))</f>
        <v/>
      </c>
      <c r="D440" s="1" t="n"/>
      <c r="E440" s="1">
        <f t="array" ref="E440">INDIRECT(_xlfn.CONCAT("$L", $F440))</f>
        <v/>
      </c>
      <c r="F440" s="1">
        <f t="array" ref="F440">IF(NOT(OR(ISERROR(INDIRECT(_xlfn.CONCAT("$I", $F439 + 1))), ISBLANK(INDIRECT(_xlfn.CONCAT("$I", $F439 + 1))))), $F439 + 1, IF(NOT(ISBLANK(INDIRECT(_xlfn.CONCAT("$I", $F439 + 2)))), $F439 + 2, ""))</f>
        <v/>
      </c>
      <c r="I440" s="8" t="inlineStr">
        <is>
          <t>Dominaria United DMU</t>
        </is>
      </c>
      <c r="J440" s="8" t="n">
        <v>453</v>
      </c>
      <c r="K440" s="9" t="n">
        <v>44813</v>
      </c>
      <c r="L440" t="inlineStr">
        <is>
          <t>en es fr de it pt ja ko ru 汉语 漢語</t>
        </is>
      </c>
    </row>
    <row r="441" ht="57.75" customHeight="1" s="6">
      <c r="A441" s="1">
        <f t="array" ref="A441">INDIRECT(_xlfn.CONCAT("$I", $F441))</f>
        <v/>
      </c>
      <c r="B441" s="1">
        <f t="array" ref="B441">INDIRECT(_xlfn.CONCAT("$J", $F441))</f>
        <v/>
      </c>
      <c r="C441" s="1">
        <f t="array" ref="C441">INDIRECT(_xlfn.CONCAT("$K", $F441))</f>
        <v/>
      </c>
      <c r="D441" s="1" t="n"/>
      <c r="E441" s="1">
        <f t="array" ref="E441">INDIRECT(_xlfn.CONCAT("$L", $F441))</f>
        <v/>
      </c>
      <c r="F441" s="1">
        <f t="array" ref="F441">IF(NOT(OR(ISERROR(INDIRECT(_xlfn.CONCAT("$I", $F440 + 1))), ISBLANK(INDIRECT(_xlfn.CONCAT("$I", $F440 + 1))))), $F440 + 1, IF(NOT(ISBLANK(INDIRECT(_xlfn.CONCAT("$I", $F440 + 2)))), $F440 + 2, ""))</f>
        <v/>
      </c>
    </row>
    <row r="442" ht="57.75" customHeight="1" s="6">
      <c r="A442" s="1">
        <f t="array" ref="A442">INDIRECT(_xlfn.CONCAT("$I", $F442))</f>
        <v/>
      </c>
      <c r="B442" s="1">
        <f t="array" ref="B442">INDIRECT(_xlfn.CONCAT("$J", $F442))</f>
        <v/>
      </c>
      <c r="C442" s="1">
        <f t="array" ref="C442">INDIRECT(_xlfn.CONCAT("$K", $F442))</f>
        <v/>
      </c>
      <c r="D442" s="1" t="n"/>
      <c r="E442" s="1">
        <f t="array" ref="E442">INDIRECT(_xlfn.CONCAT("$L", $F442))</f>
        <v/>
      </c>
      <c r="F442" s="1">
        <f t="array" ref="F442">IF(NOT(OR(ISERROR(INDIRECT(_xlfn.CONCAT("$I", $F441 + 1))), ISBLANK(INDIRECT(_xlfn.CONCAT("$I", $F441 + 1))))), $F441 + 1, IF(NOT(ISBLANK(INDIRECT(_xlfn.CONCAT("$I", $F441 + 2)))), $F441 + 2, ""))</f>
        <v/>
      </c>
      <c r="I442" s="8" t="inlineStr">
        <is>
          <t>Dominaria United Promos PDMU</t>
        </is>
      </c>
      <c r="J442" s="8" t="n">
        <v>161</v>
      </c>
      <c r="K442" s="9" t="n">
        <v>44813</v>
      </c>
      <c r="L442" s="8" t="inlineStr">
        <is>
          <t>en es fr de it pt ja ko ru 汉语 漢語</t>
        </is>
      </c>
    </row>
    <row r="443" ht="57.75" customHeight="1" s="6">
      <c r="A443" s="1">
        <f t="array" ref="A443">INDIRECT(_xlfn.CONCAT("$I", $F443))</f>
        <v/>
      </c>
      <c r="B443" s="1">
        <f t="array" ref="B443">INDIRECT(_xlfn.CONCAT("$J", $F443))</f>
        <v/>
      </c>
      <c r="C443" s="1">
        <f t="array" ref="C443">INDIRECT(_xlfn.CONCAT("$K", $F443))</f>
        <v/>
      </c>
      <c r="D443" s="1" t="n"/>
      <c r="E443" s="1">
        <f t="array" ref="E443">INDIRECT(_xlfn.CONCAT("$L", $F443))</f>
        <v/>
      </c>
      <c r="F443" s="1">
        <f t="array" ref="F443">IF(NOT(OR(ISERROR(INDIRECT(_xlfn.CONCAT("$I", $F442 + 1))), ISBLANK(INDIRECT(_xlfn.CONCAT("$I", $F442 + 1))))), $F442 + 1, IF(NOT(ISBLANK(INDIRECT(_xlfn.CONCAT("$I", $F442 + 2)))), $F442 + 2, ""))</f>
        <v/>
      </c>
    </row>
    <row r="444" ht="57.75" customHeight="1" s="6">
      <c r="A444" s="1">
        <f t="array" ref="A444">INDIRECT(_xlfn.CONCAT("$I", $F444))</f>
        <v/>
      </c>
      <c r="B444" s="1">
        <f t="array" ref="B444">INDIRECT(_xlfn.CONCAT("$J", $F444))</f>
        <v/>
      </c>
      <c r="C444" s="1">
        <f t="array" ref="C444">INDIRECT(_xlfn.CONCAT("$K", $F444))</f>
        <v/>
      </c>
      <c r="D444" s="1" t="n"/>
      <c r="E444" s="1">
        <f t="array" ref="E444">INDIRECT(_xlfn.CONCAT("$L", $F444))</f>
        <v/>
      </c>
      <c r="F444" s="1">
        <f t="array" ref="F444">IF(NOT(OR(ISERROR(INDIRECT(_xlfn.CONCAT("$I", $F443 + 1))), ISBLANK(INDIRECT(_xlfn.CONCAT("$I", $F443 + 1))))), $F443 + 1, IF(NOT(ISBLANK(INDIRECT(_xlfn.CONCAT("$I", $F443 + 2)))), $F443 + 2, ""))</f>
        <v/>
      </c>
      <c r="I444" s="8" t="inlineStr">
        <is>
          <t>Dominaria United Tokens TDMU</t>
        </is>
      </c>
      <c r="J444" s="8" t="n">
        <v>26</v>
      </c>
      <c r="K444" s="9" t="n">
        <v>44813</v>
      </c>
      <c r="L444" s="8" t="inlineStr">
        <is>
          <t>en es fr de it pt ja ko ru 汉语 漢語</t>
        </is>
      </c>
    </row>
    <row r="445" ht="57.75" customHeight="1" s="6">
      <c r="A445" s="1">
        <f t="array" ref="A445">INDIRECT(_xlfn.CONCAT("$I", $F445))</f>
        <v/>
      </c>
      <c r="B445" s="1">
        <f t="array" ref="B445">INDIRECT(_xlfn.CONCAT("$J", $F445))</f>
        <v/>
      </c>
      <c r="C445" s="1">
        <f t="array" ref="C445">INDIRECT(_xlfn.CONCAT("$K", $F445))</f>
        <v/>
      </c>
      <c r="D445" s="1" t="n"/>
      <c r="E445" s="1">
        <f t="array" ref="E445">INDIRECT(_xlfn.CONCAT("$L", $F445))</f>
        <v/>
      </c>
      <c r="F445" s="1">
        <f t="array" ref="F445">IF(NOT(OR(ISERROR(INDIRECT(_xlfn.CONCAT("$I", $F444 + 1))), ISBLANK(INDIRECT(_xlfn.CONCAT("$I", $F444 + 1))))), $F444 + 1, IF(NOT(ISBLANK(INDIRECT(_xlfn.CONCAT("$I", $F444 + 2)))), $F444 + 2, ""))</f>
        <v/>
      </c>
    </row>
    <row r="446" ht="57.75" customHeight="1" s="6">
      <c r="A446" s="1">
        <f t="array" ref="A446">INDIRECT(_xlfn.CONCAT("$I", $F446))</f>
        <v/>
      </c>
      <c r="B446" s="1">
        <f t="array" ref="B446">INDIRECT(_xlfn.CONCAT("$J", $F446))</f>
        <v/>
      </c>
      <c r="C446" s="1">
        <f t="array" ref="C446">INDIRECT(_xlfn.CONCAT("$K", $F446))</f>
        <v/>
      </c>
      <c r="D446" s="1" t="n"/>
      <c r="E446" s="1">
        <f t="array" ref="E446">INDIRECT(_xlfn.CONCAT("$L", $F446))</f>
        <v/>
      </c>
      <c r="F446" s="1">
        <f t="array" ref="F446">IF(NOT(OR(ISERROR(INDIRECT(_xlfn.CONCAT("$I", $F445 + 1))), ISBLANK(INDIRECT(_xlfn.CONCAT("$I", $F445 + 1))))), $F445 + 1, IF(NOT(ISBLANK(INDIRECT(_xlfn.CONCAT("$I", $F445 + 2)))), $F445 + 2, ""))</f>
        <v/>
      </c>
      <c r="I446" s="8" t="inlineStr">
        <is>
          <t>Alchemy: Dominaria YDMU</t>
        </is>
      </c>
      <c r="J446" s="8" t="n">
        <v>39</v>
      </c>
      <c r="K446" s="9" t="n">
        <v>44839</v>
      </c>
      <c r="L446" s="8" t="inlineStr">
        <is>
          <t>en es fr de it pt ja ko ru 汉语 漢語</t>
        </is>
      </c>
    </row>
    <row r="447" ht="57.75" customHeight="1" s="6">
      <c r="A447" s="1">
        <f t="array" ref="A447">INDIRECT(_xlfn.CONCAT("$I", $F447))</f>
        <v/>
      </c>
      <c r="B447" s="1">
        <f t="array" ref="B447">INDIRECT(_xlfn.CONCAT("$J", $F447))</f>
        <v/>
      </c>
      <c r="C447" s="1">
        <f t="array" ref="C447">INDIRECT(_xlfn.CONCAT("$K", $F447))</f>
        <v/>
      </c>
      <c r="D447" s="1" t="n"/>
      <c r="E447" s="1">
        <f t="array" ref="E447">INDIRECT(_xlfn.CONCAT("$L", $F447))</f>
        <v/>
      </c>
      <c r="F447" s="1">
        <f t="array" ref="F447">IF(NOT(OR(ISERROR(INDIRECT(_xlfn.CONCAT("$I", $F446 + 1))), ISBLANK(INDIRECT(_xlfn.CONCAT("$I", $F446 + 1))))), $F446 + 1, IF(NOT(ISBLANK(INDIRECT(_xlfn.CONCAT("$I", $F446 + 2)))), $F446 + 2, ""))</f>
        <v/>
      </c>
    </row>
    <row r="448" ht="57.75" customHeight="1" s="6">
      <c r="A448" s="1">
        <f t="array" ref="A448">INDIRECT(_xlfn.CONCAT("$I", $F448))</f>
        <v/>
      </c>
      <c r="B448" s="1">
        <f t="array" ref="B448">INDIRECT(_xlfn.CONCAT("$J", $F448))</f>
        <v/>
      </c>
      <c r="C448" s="1">
        <f t="array" ref="C448">INDIRECT(_xlfn.CONCAT("$K", $F448))</f>
        <v/>
      </c>
      <c r="D448" s="1" t="n"/>
      <c r="E448" s="1">
        <f t="array" ref="E448">INDIRECT(_xlfn.CONCAT("$L", $F448))</f>
        <v/>
      </c>
      <c r="F448" s="1">
        <f t="array" ref="F448">IF(NOT(OR(ISERROR(INDIRECT(_xlfn.CONCAT("$I", $F447 + 1))), ISBLANK(INDIRECT(_xlfn.CONCAT("$I", $F447 + 1))))), $F447 + 1, IF(NOT(ISBLANK(INDIRECT(_xlfn.CONCAT("$I", $F447 + 2)))), $F447 + 2, ""))</f>
        <v/>
      </c>
      <c r="I448" s="8" t="inlineStr">
        <is>
          <t>Dominaria United Southeast Asia Tokens PTDMU</t>
        </is>
      </c>
      <c r="J448" s="8" t="n">
        <v>3</v>
      </c>
      <c r="K448" s="9" t="n">
        <v>44813</v>
      </c>
      <c r="L448" s="8" t="inlineStr">
        <is>
          <t>en es fr de it pt ja ko ru 汉语 漢語</t>
        </is>
      </c>
    </row>
    <row r="449" ht="57.75" customHeight="1" s="6">
      <c r="A449" s="1">
        <f t="array" ref="A449">INDIRECT(_xlfn.CONCAT("$I", $F449))</f>
        <v/>
      </c>
      <c r="B449" s="1">
        <f t="array" ref="B449">INDIRECT(_xlfn.CONCAT("$J", $F449))</f>
        <v/>
      </c>
      <c r="C449" s="1">
        <f t="array" ref="C449">INDIRECT(_xlfn.CONCAT("$K", $F449))</f>
        <v/>
      </c>
      <c r="D449" s="1" t="n"/>
      <c r="E449" s="1">
        <f t="array" ref="E449">INDIRECT(_xlfn.CONCAT("$L", $F449))</f>
        <v/>
      </c>
      <c r="F449" s="1">
        <f t="array" ref="F449">IF(NOT(OR(ISERROR(INDIRECT(_xlfn.CONCAT("$I", $F448 + 1))), ISBLANK(INDIRECT(_xlfn.CONCAT("$I", $F448 + 1))))), $F448 + 1, IF(NOT(ISBLANK(INDIRECT(_xlfn.CONCAT("$I", $F448 + 2)))), $F448 + 2, ""))</f>
        <v/>
      </c>
    </row>
    <row r="450" ht="57.75" customHeight="1" s="6">
      <c r="A450" s="1">
        <f t="array" ref="A450">INDIRECT(_xlfn.CONCAT("$I", $F450))</f>
        <v/>
      </c>
      <c r="B450" s="1">
        <f t="array" ref="B450">INDIRECT(_xlfn.CONCAT("$J", $F450))</f>
        <v/>
      </c>
      <c r="C450" s="1">
        <f t="array" ref="C450">INDIRECT(_xlfn.CONCAT("$K", $F450))</f>
        <v/>
      </c>
      <c r="D450" s="1" t="n"/>
      <c r="E450" s="1">
        <f t="array" ref="E450">INDIRECT(_xlfn.CONCAT("$L", $F450))</f>
        <v/>
      </c>
      <c r="F450" s="1">
        <f t="array" ref="F450">IF(NOT(OR(ISERROR(INDIRECT(_xlfn.CONCAT("$I", $F449 + 1))), ISBLANK(INDIRECT(_xlfn.CONCAT("$I", $F449 + 1))))), $F449 + 1, IF(NOT(ISBLANK(INDIRECT(_xlfn.CONCAT("$I", $F449 + 2)))), $F449 + 2, ""))</f>
        <v/>
      </c>
      <c r="I450" s="8" t="inlineStr">
        <is>
          <t>Dominaria United Jumpstart Front Cards FDMU</t>
        </is>
      </c>
      <c r="J450" s="8" t="n">
        <v>10</v>
      </c>
      <c r="K450" s="9" t="n">
        <v>44813</v>
      </c>
      <c r="L450" s="8" t="inlineStr">
        <is>
          <t>en es fr de it pt ja ko ru 汉语 漢語</t>
        </is>
      </c>
    </row>
    <row r="451" ht="57.75" customHeight="1" s="6">
      <c r="A451" s="1">
        <f t="array" ref="A451">INDIRECT(_xlfn.CONCAT("$I", $F451))</f>
        <v/>
      </c>
      <c r="B451" s="1">
        <f t="array" ref="B451">INDIRECT(_xlfn.CONCAT("$J", $F451))</f>
        <v/>
      </c>
      <c r="C451" s="1">
        <f t="array" ref="C451">INDIRECT(_xlfn.CONCAT("$K", $F451))</f>
        <v/>
      </c>
      <c r="D451" s="1" t="n"/>
      <c r="E451" s="1">
        <f t="array" ref="E451">INDIRECT(_xlfn.CONCAT("$L", $F451))</f>
        <v/>
      </c>
      <c r="F451" s="1">
        <f t="array" ref="F451">IF(NOT(OR(ISERROR(INDIRECT(_xlfn.CONCAT("$I", $F450 + 1))), ISBLANK(INDIRECT(_xlfn.CONCAT("$I", $F450 + 1))))), $F450 + 1, IF(NOT(ISBLANK(INDIRECT(_xlfn.CONCAT("$I", $F450 + 2)))), $F450 + 2, ""))</f>
        <v/>
      </c>
    </row>
    <row r="452" ht="57.75" customHeight="1" s="6">
      <c r="A452" s="1">
        <f t="array" ref="A452">INDIRECT(_xlfn.CONCAT("$I", $F452))</f>
        <v/>
      </c>
      <c r="B452" s="1">
        <f t="array" ref="B452">INDIRECT(_xlfn.CONCAT("$J", $F452))</f>
        <v/>
      </c>
      <c r="C452" s="1">
        <f t="array" ref="C452">INDIRECT(_xlfn.CONCAT("$K", $F452))</f>
        <v/>
      </c>
      <c r="D452" s="1" t="n"/>
      <c r="E452" s="1">
        <f t="array" ref="E452">INDIRECT(_xlfn.CONCAT("$L", $F452))</f>
        <v/>
      </c>
      <c r="F452" s="1">
        <f t="array" ref="F452">IF(NOT(OR(ISERROR(INDIRECT(_xlfn.CONCAT("$I", $F451 + 1))), ISBLANK(INDIRECT(_xlfn.CONCAT("$I", $F451 + 1))))), $F451 + 1, IF(NOT(ISBLANK(INDIRECT(_xlfn.CONCAT("$I", $F451 + 2)))), $F451 + 2, ""))</f>
        <v/>
      </c>
      <c r="I452" s="8" t="inlineStr">
        <is>
          <t>DMU Japanese Promo Tokens WDMU</t>
        </is>
      </c>
      <c r="J452" s="8" t="n">
        <v>5</v>
      </c>
      <c r="K452" s="9" t="n">
        <v>44813</v>
      </c>
      <c r="L452" s="8" t="inlineStr">
        <is>
          <t>en es fr de it pt ja ko ru 汉语 漢語</t>
        </is>
      </c>
    </row>
    <row r="453" ht="57.75" customHeight="1" s="6">
      <c r="A453" s="1">
        <f t="array" ref="A453">INDIRECT(_xlfn.CONCAT("$I", $F453))</f>
        <v/>
      </c>
      <c r="B453" s="1">
        <f t="array" ref="B453">INDIRECT(_xlfn.CONCAT("$J", $F453))</f>
        <v/>
      </c>
      <c r="C453" s="1">
        <f t="array" ref="C453">INDIRECT(_xlfn.CONCAT("$K", $F453))</f>
        <v/>
      </c>
      <c r="D453" s="1" t="n"/>
      <c r="E453" s="1">
        <f t="array" ref="E453">INDIRECT(_xlfn.CONCAT("$L", $F453))</f>
        <v/>
      </c>
      <c r="F453" s="1">
        <f t="array" ref="F453">IF(NOT(OR(ISERROR(INDIRECT(_xlfn.CONCAT("$I", $F452 + 1))), ISBLANK(INDIRECT(_xlfn.CONCAT("$I", $F452 + 1))))), $F452 + 1, IF(NOT(ISBLANK(INDIRECT(_xlfn.CONCAT("$I", $F452 + 2)))), $F452 + 2, ""))</f>
        <v/>
      </c>
    </row>
    <row r="454" ht="57.75" customHeight="1" s="6">
      <c r="A454" s="1">
        <f t="array" ref="A454">INDIRECT(_xlfn.CONCAT("$I", $F454))</f>
        <v/>
      </c>
      <c r="B454" s="1">
        <f t="array" ref="B454">INDIRECT(_xlfn.CONCAT("$J", $F454))</f>
        <v/>
      </c>
      <c r="C454" s="1">
        <f t="array" ref="C454">INDIRECT(_xlfn.CONCAT("$K", $F454))</f>
        <v/>
      </c>
      <c r="D454" s="1" t="n"/>
      <c r="E454" s="1">
        <f t="array" ref="E454">INDIRECT(_xlfn.CONCAT("$L", $F454))</f>
        <v/>
      </c>
      <c r="F454" s="1">
        <f t="array" ref="F454">IF(NOT(OR(ISERROR(INDIRECT(_xlfn.CONCAT("$I", $F453 + 1))), ISBLANK(INDIRECT(_xlfn.CONCAT("$I", $F453 + 1))))), $F453 + 1, IF(NOT(ISBLANK(INDIRECT(_xlfn.CONCAT("$I", $F453 + 2)))), $F453 + 2, ""))</f>
        <v/>
      </c>
      <c r="I454" s="8" t="inlineStr">
        <is>
          <t>Dominaria United Art Series ADMU</t>
        </is>
      </c>
      <c r="J454" s="8" t="n">
        <v>81</v>
      </c>
      <c r="K454" s="9" t="n">
        <v>44813</v>
      </c>
      <c r="L454" s="8" t="inlineStr">
        <is>
          <t>en es fr de it pt ja ko ru 汉语 漢語</t>
        </is>
      </c>
    </row>
    <row r="455" ht="57.75" customHeight="1" s="6">
      <c r="A455" s="1">
        <f t="array" ref="A455">INDIRECT(_xlfn.CONCAT("$I", $F455))</f>
        <v/>
      </c>
      <c r="B455" s="1">
        <f t="array" ref="B455">INDIRECT(_xlfn.CONCAT("$J", $F455))</f>
        <v/>
      </c>
      <c r="C455" s="1">
        <f t="array" ref="C455">INDIRECT(_xlfn.CONCAT("$K", $F455))</f>
        <v/>
      </c>
      <c r="D455" s="1" t="n"/>
      <c r="E455" s="1">
        <f t="array" ref="E455">INDIRECT(_xlfn.CONCAT("$L", $F455))</f>
        <v/>
      </c>
      <c r="F455" s="1">
        <f t="array" ref="F455">IF(NOT(OR(ISERROR(INDIRECT(_xlfn.CONCAT("$I", $F454 + 1))), ISBLANK(INDIRECT(_xlfn.CONCAT("$I", $F454 + 1))))), $F454 + 1, IF(NOT(ISBLANK(INDIRECT(_xlfn.CONCAT("$I", $F454 + 2)))), $F454 + 2, ""))</f>
        <v/>
      </c>
    </row>
    <row r="456" ht="57.75" customHeight="1" s="6">
      <c r="A456" s="1">
        <f t="array" ref="A456">INDIRECT(_xlfn.CONCAT("$I", $F456))</f>
        <v/>
      </c>
      <c r="B456" s="1">
        <f t="array" ref="B456">INDIRECT(_xlfn.CONCAT("$J", $F456))</f>
        <v/>
      </c>
      <c r="C456" s="1">
        <f t="array" ref="C456">INDIRECT(_xlfn.CONCAT("$K", $F456))</f>
        <v/>
      </c>
      <c r="D456" s="1" t="n"/>
      <c r="E456" s="1">
        <f t="array" ref="E456">INDIRECT(_xlfn.CONCAT("$L", $F456))</f>
        <v/>
      </c>
      <c r="F456" s="1">
        <f t="array" ref="F456">IF(NOT(OR(ISERROR(INDIRECT(_xlfn.CONCAT("$I", $F455 + 1))), ISBLANK(INDIRECT(_xlfn.CONCAT("$I", $F455 + 1))))), $F455 + 1, IF(NOT(ISBLANK(INDIRECT(_xlfn.CONCAT("$I", $F455 + 2)))), $F455 + 2, ""))</f>
        <v/>
      </c>
      <c r="I456" s="8" t="inlineStr">
        <is>
          <t>Dominaria United Commander DMC</t>
        </is>
      </c>
      <c r="J456" s="8" t="n">
        <v>240</v>
      </c>
      <c r="K456" s="9" t="n">
        <v>44813</v>
      </c>
      <c r="L456" t="inlineStr">
        <is>
          <t>en es fr de it pt ja ko ru 汉语 漢語</t>
        </is>
      </c>
    </row>
    <row r="457" ht="57.75" customHeight="1" s="6">
      <c r="A457" s="1">
        <f t="array" ref="A457">INDIRECT(_xlfn.CONCAT("$I", $F457))</f>
        <v/>
      </c>
      <c r="B457" s="1">
        <f t="array" ref="B457">INDIRECT(_xlfn.CONCAT("$J", $F457))</f>
        <v/>
      </c>
      <c r="C457" s="1">
        <f t="array" ref="C457">INDIRECT(_xlfn.CONCAT("$K", $F457))</f>
        <v/>
      </c>
      <c r="D457" s="1" t="n"/>
      <c r="E457" s="1">
        <f t="array" ref="E457">INDIRECT(_xlfn.CONCAT("$L", $F457))</f>
        <v/>
      </c>
      <c r="F457" s="1">
        <f t="array" ref="F457">IF(NOT(OR(ISERROR(INDIRECT(_xlfn.CONCAT("$I", $F456 + 1))), ISBLANK(INDIRECT(_xlfn.CONCAT("$I", $F456 + 1))))), $F456 + 1, IF(NOT(ISBLANK(INDIRECT(_xlfn.CONCAT("$I", $F456 + 2)))), $F456 + 2, ""))</f>
        <v/>
      </c>
    </row>
    <row r="458" ht="57.75" customHeight="1" s="6">
      <c r="A458" s="1">
        <f t="array" ref="A458">INDIRECT(_xlfn.CONCAT("$I", $F458))</f>
        <v/>
      </c>
      <c r="B458" s="1">
        <f t="array" ref="B458">INDIRECT(_xlfn.CONCAT("$J", $F458))</f>
        <v/>
      </c>
      <c r="C458" s="1">
        <f t="array" ref="C458">INDIRECT(_xlfn.CONCAT("$K", $F458))</f>
        <v/>
      </c>
      <c r="D458" s="1" t="n"/>
      <c r="E458" s="1">
        <f t="array" ref="E458">INDIRECT(_xlfn.CONCAT("$L", $F458))</f>
        <v/>
      </c>
      <c r="F458" s="1">
        <f t="array" ref="F458">IF(NOT(OR(ISERROR(INDIRECT(_xlfn.CONCAT("$I", $F457 + 1))), ISBLANK(INDIRECT(_xlfn.CONCAT("$I", $F457 + 1))))), $F457 + 1, IF(NOT(ISBLANK(INDIRECT(_xlfn.CONCAT("$I", $F457 + 2)))), $F457 + 2, ""))</f>
        <v/>
      </c>
      <c r="I458" s="8" t="inlineStr">
        <is>
          <t>Dominaria United Commander Tokens TDMC</t>
        </is>
      </c>
      <c r="J458" s="8" t="n">
        <v>12</v>
      </c>
      <c r="K458" s="9" t="n">
        <v>44813</v>
      </c>
      <c r="L458" s="8" t="inlineStr">
        <is>
          <t>en es fr de it pt ja ko ru 汉语 漢語</t>
        </is>
      </c>
    </row>
    <row r="459" ht="57.75" customHeight="1" s="6">
      <c r="A459" s="1">
        <f t="array" ref="A459">INDIRECT(_xlfn.CONCAT("$I", $F459))</f>
        <v/>
      </c>
      <c r="B459" s="1">
        <f t="array" ref="B459">INDIRECT(_xlfn.CONCAT("$J", $F459))</f>
        <v/>
      </c>
      <c r="C459" s="1">
        <f t="array" ref="C459">INDIRECT(_xlfn.CONCAT("$K", $F459))</f>
        <v/>
      </c>
      <c r="D459" s="1" t="n"/>
      <c r="E459" s="1">
        <f t="array" ref="E459">INDIRECT(_xlfn.CONCAT("$L", $F459))</f>
        <v/>
      </c>
      <c r="F459" s="1">
        <f t="array" ref="F459">IF(NOT(OR(ISERROR(INDIRECT(_xlfn.CONCAT("$I", $F458 + 1))), ISBLANK(INDIRECT(_xlfn.CONCAT("$I", $F458 + 1))))), $F458 + 1, IF(NOT(ISBLANK(INDIRECT(_xlfn.CONCAT("$I", $F458 + 2)))), $F458 + 2, ""))</f>
        <v/>
      </c>
    </row>
    <row r="460" ht="57.75" customHeight="1" s="6">
      <c r="A460" s="1">
        <f t="array" ref="A460">INDIRECT(_xlfn.CONCAT("$I", $F460))</f>
        <v/>
      </c>
      <c r="B460" s="1">
        <f t="array" ref="B460">INDIRECT(_xlfn.CONCAT("$J", $F460))</f>
        <v/>
      </c>
      <c r="C460" s="1">
        <f t="array" ref="C460">INDIRECT(_xlfn.CONCAT("$K", $F460))</f>
        <v/>
      </c>
      <c r="D460" s="1" t="n"/>
      <c r="E460" s="1">
        <f t="array" ref="E460">INDIRECT(_xlfn.CONCAT("$L", $F460))</f>
        <v/>
      </c>
      <c r="F460" s="1">
        <f t="array" ref="F460">IF(NOT(OR(ISERROR(INDIRECT(_xlfn.CONCAT("$I", $F459 + 1))), ISBLANK(INDIRECT(_xlfn.CONCAT("$I", $F459 + 1))))), $F459 + 1, IF(NOT(ISBLANK(INDIRECT(_xlfn.CONCAT("$I", $F459 + 2)))), $F459 + 2, ""))</f>
        <v/>
      </c>
      <c r="I460" s="8" t="inlineStr">
        <is>
          <t>Dominaria United Minigames MDMU</t>
        </is>
      </c>
      <c r="J460" s="8" t="n">
        <v>3</v>
      </c>
      <c r="K460" s="9" t="n">
        <v>44813</v>
      </c>
      <c r="L460" s="8" t="inlineStr">
        <is>
          <t>en es fr de it pt ja ko ru 汉语 漢語</t>
        </is>
      </c>
    </row>
    <row r="461" ht="57.75" customHeight="1" s="6">
      <c r="A461" s="1">
        <f t="array" ref="A461">INDIRECT(_xlfn.CONCAT("$I", $F461))</f>
        <v/>
      </c>
      <c r="B461" s="1">
        <f t="array" ref="B461">INDIRECT(_xlfn.CONCAT("$J", $F461))</f>
        <v/>
      </c>
      <c r="C461" s="1">
        <f t="array" ref="C461">INDIRECT(_xlfn.CONCAT("$K", $F461))</f>
        <v/>
      </c>
      <c r="D461" s="1" t="n"/>
      <c r="E461" s="1">
        <f t="array" ref="E461">INDIRECT(_xlfn.CONCAT("$L", $F461))</f>
        <v/>
      </c>
      <c r="F461" s="1">
        <f t="array" ref="F461">IF(NOT(OR(ISERROR(INDIRECT(_xlfn.CONCAT("$I", $F460 + 1))), ISBLANK(INDIRECT(_xlfn.CONCAT("$I", $F460 + 1))))), $F460 + 1, IF(NOT(ISBLANK(INDIRECT(_xlfn.CONCAT("$I", $F460 + 2)))), $F460 + 2, ""))</f>
        <v/>
      </c>
    </row>
    <row r="462" ht="57.75" customHeight="1" s="6">
      <c r="A462" s="1">
        <f t="array" ref="A462">INDIRECT(_xlfn.CONCAT("$I", $F462))</f>
        <v/>
      </c>
      <c r="B462" s="1">
        <f t="array" ref="B462">INDIRECT(_xlfn.CONCAT("$J", $F462))</f>
        <v/>
      </c>
      <c r="C462" s="1">
        <f t="array" ref="C462">INDIRECT(_xlfn.CONCAT("$K", $F462))</f>
        <v/>
      </c>
      <c r="D462" s="1" t="n"/>
      <c r="E462" s="1">
        <f t="array" ref="E462">INDIRECT(_xlfn.CONCAT("$L", $F462))</f>
        <v/>
      </c>
      <c r="F462" s="1">
        <f t="array" ref="F462">IF(NOT(OR(ISERROR(INDIRECT(_xlfn.CONCAT("$I", $F461 + 1))), ISBLANK(INDIRECT(_xlfn.CONCAT("$I", $F461 + 1))))), $F461 + 1, IF(NOT(ISBLANK(INDIRECT(_xlfn.CONCAT("$I", $F461 + 2)))), $F461 + 2, ""))</f>
        <v/>
      </c>
      <c r="I462" s="8" t="inlineStr">
        <is>
          <t>Summer Vacation Promos 2022 PSVC</t>
        </is>
      </c>
      <c r="J462" s="8" t="n">
        <v>3</v>
      </c>
      <c r="K462" s="9" t="n">
        <v>44774</v>
      </c>
      <c r="L462" s="8" t="inlineStr">
        <is>
          <t>en es fr de it pt ja ko ru 汉语 漢語</t>
        </is>
      </c>
    </row>
    <row r="463" ht="57.75" customHeight="1" s="6">
      <c r="A463" s="1">
        <f t="array" ref="A463">INDIRECT(_xlfn.CONCAT("$I", $F463))</f>
        <v/>
      </c>
      <c r="B463" s="1">
        <f t="array" ref="B463">INDIRECT(_xlfn.CONCAT("$J", $F463))</f>
        <v/>
      </c>
      <c r="C463" s="1">
        <f t="array" ref="C463">INDIRECT(_xlfn.CONCAT("$K", $F463))</f>
        <v/>
      </c>
      <c r="D463" s="1" t="n"/>
      <c r="E463" s="1">
        <f t="array" ref="E463">INDIRECT(_xlfn.CONCAT("$L", $F463))</f>
        <v/>
      </c>
      <c r="F463" s="1">
        <f t="array" ref="F463">IF(NOT(OR(ISERROR(INDIRECT(_xlfn.CONCAT("$I", $F462 + 1))), ISBLANK(INDIRECT(_xlfn.CONCAT("$I", $F462 + 1))))), $F462 + 1, IF(NOT(ISBLANK(INDIRECT(_xlfn.CONCAT("$I", $F462 + 2)))), $F462 + 2, ""))</f>
        <v/>
      </c>
    </row>
    <row r="464" ht="57.75" customHeight="1" s="6">
      <c r="A464" s="1">
        <f t="array" ref="A464">INDIRECT(_xlfn.CONCAT("$I", $F464))</f>
        <v/>
      </c>
      <c r="B464" s="1">
        <f t="array" ref="B464">INDIRECT(_xlfn.CONCAT("$J", $F464))</f>
        <v/>
      </c>
      <c r="C464" s="1">
        <f t="array" ref="C464">INDIRECT(_xlfn.CONCAT("$K", $F464))</f>
        <v/>
      </c>
      <c r="D464" s="1" t="n"/>
      <c r="E464" s="1">
        <f t="array" ref="E464">INDIRECT(_xlfn.CONCAT("$L", $F464))</f>
        <v/>
      </c>
      <c r="F464" s="1">
        <f t="array" ref="F464">IF(NOT(OR(ISERROR(INDIRECT(_xlfn.CONCAT("$I", $F463 + 1))), ISBLANK(INDIRECT(_xlfn.CONCAT("$I", $F463 + 1))))), $F463 + 1, IF(NOT(ISBLANK(INDIRECT(_xlfn.CONCAT("$I", $F463 + 2)))), $F463 + 2, ""))</f>
        <v/>
      </c>
      <c r="I464" s="8" t="inlineStr">
        <is>
          <t>2021 Heroes of the Realm PH21</t>
        </is>
      </c>
      <c r="J464" s="8" t="n">
        <v>4</v>
      </c>
      <c r="K464" s="9" t="n">
        <v>44774</v>
      </c>
      <c r="L464" s="8" t="inlineStr">
        <is>
          <t>en es fr de it pt ja ko ru 汉语 漢語</t>
        </is>
      </c>
    </row>
    <row r="465" ht="57.75" customHeight="1" s="6">
      <c r="A465" s="1">
        <f t="array" ref="A465">INDIRECT(_xlfn.CONCAT("$I", $F465))</f>
        <v/>
      </c>
      <c r="B465" s="1">
        <f t="array" ref="B465">INDIRECT(_xlfn.CONCAT("$J", $F465))</f>
        <v/>
      </c>
      <c r="C465" s="1">
        <f t="array" ref="C465">INDIRECT(_xlfn.CONCAT("$K", $F465))</f>
        <v/>
      </c>
      <c r="D465" s="1" t="n"/>
      <c r="E465" s="1">
        <f t="array" ref="E465">INDIRECT(_xlfn.CONCAT("$L", $F465))</f>
        <v/>
      </c>
      <c r="F465" s="1">
        <f t="array" ref="F465">IF(NOT(OR(ISERROR(INDIRECT(_xlfn.CONCAT("$I", $F464 + 1))), ISBLANK(INDIRECT(_xlfn.CONCAT("$I", $F464 + 1))))), $F464 + 1, IF(NOT(ISBLANK(INDIRECT(_xlfn.CONCAT("$I", $F464 + 2)))), $F464 + 2, ""))</f>
        <v/>
      </c>
    </row>
    <row r="466" ht="57.75" customHeight="1" s="6">
      <c r="A466" s="1">
        <f t="array" ref="A466">INDIRECT(_xlfn.CONCAT("$I", $F466))</f>
        <v/>
      </c>
      <c r="B466" s="1">
        <f t="array" ref="B466">INDIRECT(_xlfn.CONCAT("$J", $F466))</f>
        <v/>
      </c>
      <c r="C466" s="1">
        <f t="array" ref="C466">INDIRECT(_xlfn.CONCAT("$K", $F466))</f>
        <v/>
      </c>
      <c r="D466" s="1" t="n"/>
      <c r="E466" s="1">
        <f t="array" ref="E466">INDIRECT(_xlfn.CONCAT("$L", $F466))</f>
        <v/>
      </c>
      <c r="F466" s="1">
        <f t="array" ref="F466">IF(NOT(OR(ISERROR(INDIRECT(_xlfn.CONCAT("$I", $F465 + 1))), ISBLANK(INDIRECT(_xlfn.CONCAT("$I", $F465 + 1))))), $F465 + 1, IF(NOT(ISBLANK(INDIRECT(_xlfn.CONCAT("$I", $F465 + 2)))), $F465 + 2, ""))</f>
        <v/>
      </c>
      <c r="I466" s="8" t="inlineStr">
        <is>
          <t>Explorer Anthology 1 EA1</t>
        </is>
      </c>
      <c r="J466" s="8" t="n">
        <v>20</v>
      </c>
      <c r="K466" s="9" t="n">
        <v>44770</v>
      </c>
      <c r="L466" s="8" t="inlineStr">
        <is>
          <t>en es fr de it pt ja ko ru 汉语 漢語</t>
        </is>
      </c>
    </row>
    <row r="467" ht="57.75" customHeight="1" s="6">
      <c r="A467" s="1">
        <f t="array" ref="A467">INDIRECT(_xlfn.CONCAT("$I", $F467))</f>
        <v/>
      </c>
      <c r="B467" s="1">
        <f t="array" ref="B467">INDIRECT(_xlfn.CONCAT("$J", $F467))</f>
        <v/>
      </c>
      <c r="C467" s="1">
        <f t="array" ref="C467">INDIRECT(_xlfn.CONCAT("$K", $F467))</f>
        <v/>
      </c>
      <c r="D467" s="1" t="n"/>
      <c r="E467" s="1">
        <f t="array" ref="E467">INDIRECT(_xlfn.CONCAT("$L", $F467))</f>
        <v/>
      </c>
      <c r="F467" s="1">
        <f t="array" ref="F467">IF(NOT(OR(ISERROR(INDIRECT(_xlfn.CONCAT("$I", $F466 + 1))), ISBLANK(INDIRECT(_xlfn.CONCAT("$I", $F466 + 1))))), $F466 + 1, IF(NOT(ISBLANK(INDIRECT(_xlfn.CONCAT("$I", $F466 + 2)))), $F466 + 2, ""))</f>
        <v/>
      </c>
    </row>
    <row r="468" ht="57.75" customHeight="1" s="6">
      <c r="A468" s="1">
        <f t="array" ref="A468">INDIRECT(_xlfn.CONCAT("$I", $F468))</f>
        <v/>
      </c>
      <c r="B468" s="1">
        <f t="array" ref="B468">INDIRECT(_xlfn.CONCAT("$J", $F468))</f>
        <v/>
      </c>
      <c r="C468" s="1">
        <f t="array" ref="C468">INDIRECT(_xlfn.CONCAT("$K", $F468))</f>
        <v/>
      </c>
      <c r="D468" s="1" t="n"/>
      <c r="E468" s="1">
        <f t="array" ref="E468">INDIRECT(_xlfn.CONCAT("$L", $F468))</f>
        <v/>
      </c>
      <c r="F468" s="1">
        <f t="array" ref="F468">IF(NOT(OR(ISERROR(INDIRECT(_xlfn.CONCAT("$I", $F467 + 1))), ISBLANK(INDIRECT(_xlfn.CONCAT("$I", $F467 + 1))))), $F467 + 1, IF(NOT(ISBLANK(INDIRECT(_xlfn.CONCAT("$I", $F467 + 2)))), $F467 + 2, ""))</f>
        <v/>
      </c>
      <c r="I468" s="8" t="inlineStr">
        <is>
          <t>Historic Anthology 6 HA6</t>
        </is>
      </c>
      <c r="J468" s="8" t="n">
        <v>20</v>
      </c>
      <c r="K468" s="9" t="n">
        <v>44770</v>
      </c>
      <c r="L468" s="8" t="inlineStr">
        <is>
          <t>en es fr de it pt ja ko ru 汉语 漢語</t>
        </is>
      </c>
    </row>
    <row r="469" ht="41.25" customHeight="1" s="6">
      <c r="A469" s="1">
        <f t="array" ref="A469">INDIRECT(_xlfn.CONCAT("$I", $F469))</f>
        <v/>
      </c>
      <c r="B469" s="1">
        <f t="array" ref="B469">INDIRECT(_xlfn.CONCAT("$J", $F469))</f>
        <v/>
      </c>
      <c r="C469" s="1">
        <f t="array" ref="C469">INDIRECT(_xlfn.CONCAT("$K", $F469))</f>
        <v/>
      </c>
      <c r="D469" s="1" t="n"/>
      <c r="E469" s="1">
        <f t="array" ref="E469">INDIRECT(_xlfn.CONCAT("$L", $F469))</f>
        <v/>
      </c>
      <c r="F469" s="1">
        <f t="array" ref="F469">IF(NOT(OR(ISERROR(INDIRECT(_xlfn.CONCAT("$I", $F468 + 1))), ISBLANK(INDIRECT(_xlfn.CONCAT("$I", $F468 + 1))))), $F468 + 1, IF(NOT(ISBLANK(INDIRECT(_xlfn.CONCAT("$I", $F468 + 2)))), $F468 + 2, ""))</f>
        <v/>
      </c>
    </row>
    <row r="470" ht="57.75" customHeight="1" s="6">
      <c r="A470" s="1">
        <f t="array" ref="A470">INDIRECT(_xlfn.CONCAT("$I", $F470))</f>
        <v/>
      </c>
      <c r="B470" s="1">
        <f t="array" ref="B470">INDIRECT(_xlfn.CONCAT("$J", $F470))</f>
        <v/>
      </c>
      <c r="C470" s="1">
        <f t="array" ref="C470">INDIRECT(_xlfn.CONCAT("$K", $F470))</f>
        <v/>
      </c>
      <c r="D470" s="1" t="n"/>
      <c r="E470" s="1">
        <f t="array" ref="E470">INDIRECT(_xlfn.CONCAT("$L", $F470))</f>
        <v/>
      </c>
      <c r="F470" s="1">
        <f t="array" ref="F470">IF(NOT(OR(ISERROR(INDIRECT(_xlfn.CONCAT("$I", $F469 + 1))), ISBLANK(INDIRECT(_xlfn.CONCAT("$I", $F469 + 1))))), $F469 + 1, IF(NOT(ISBLANK(INDIRECT(_xlfn.CONCAT("$I", $F469 + 2)))), $F469 + 2, ""))</f>
        <v/>
      </c>
      <c r="I470" s="8" t="inlineStr">
        <is>
          <t>Store Championships SCH</t>
        </is>
      </c>
      <c r="J470" s="8" t="n">
        <v>44</v>
      </c>
      <c r="K470" s="9" t="n">
        <v>44751</v>
      </c>
      <c r="L470" s="8" t="inlineStr">
        <is>
          <t>en es fr de it pt ja ko ru 汉语 漢語</t>
        </is>
      </c>
    </row>
    <row r="471" ht="57.75" customHeight="1" s="6">
      <c r="A471" s="1">
        <f t="array" ref="A471">INDIRECT(_xlfn.CONCAT("$I", $F471))</f>
        <v/>
      </c>
      <c r="B471" s="1">
        <f t="array" ref="B471">INDIRECT(_xlfn.CONCAT("$J", $F471))</f>
        <v/>
      </c>
      <c r="C471" s="1">
        <f t="array" ref="C471">INDIRECT(_xlfn.CONCAT("$K", $F471))</f>
        <v/>
      </c>
      <c r="D471" s="1" t="n"/>
      <c r="E471" s="1">
        <f t="array" ref="E471">INDIRECT(_xlfn.CONCAT("$L", $F471))</f>
        <v/>
      </c>
      <c r="F471" s="1">
        <f t="array" ref="F471">IF(NOT(OR(ISERROR(INDIRECT(_xlfn.CONCAT("$I", $F470 + 1))), ISBLANK(INDIRECT(_xlfn.CONCAT("$I", $F470 + 1))))), $F470 + 1, IF(NOT(ISBLANK(INDIRECT(_xlfn.CONCAT("$I", $F470 + 2)))), $F470 + 2, ""))</f>
        <v/>
      </c>
    </row>
    <row r="472" ht="57.75" customHeight="1" s="6">
      <c r="A472" s="1">
        <f t="array" ref="A472">INDIRECT(_xlfn.CONCAT("$I", $F472))</f>
        <v/>
      </c>
      <c r="B472" s="1">
        <f t="array" ref="B472">INDIRECT(_xlfn.CONCAT("$J", $F472))</f>
        <v/>
      </c>
      <c r="C472" s="1">
        <f t="array" ref="C472">INDIRECT(_xlfn.CONCAT("$K", $F472))</f>
        <v/>
      </c>
      <c r="D472" s="1" t="n"/>
      <c r="E472" s="1">
        <f t="array" ref="E472">INDIRECT(_xlfn.CONCAT("$L", $F472))</f>
        <v/>
      </c>
      <c r="F472" s="1">
        <f t="array" ref="F472">IF(NOT(OR(ISERROR(INDIRECT(_xlfn.CONCAT("$I", $F471 + 1))), ISBLANK(INDIRECT(_xlfn.CONCAT("$I", $F471 + 1))))), $F471 + 1, IF(NOT(ISBLANK(INDIRECT(_xlfn.CONCAT("$I", $F471 + 2)))), $F471 + 2, ""))</f>
        <v/>
      </c>
      <c r="I472" s="8" t="inlineStr">
        <is>
          <t>Double Masters 2022 2X2</t>
        </is>
      </c>
      <c r="J472" s="8" t="n">
        <v>579</v>
      </c>
      <c r="K472" s="9" t="n">
        <v>44750</v>
      </c>
      <c r="L472" t="inlineStr">
        <is>
          <t>en es fr de it pt ja ko ru 汉语 漢語</t>
        </is>
      </c>
    </row>
    <row r="473" ht="68.25" customHeight="1" s="6">
      <c r="A473" s="1">
        <f t="array" ref="A473">INDIRECT(_xlfn.CONCAT("$I", $F473))</f>
        <v/>
      </c>
      <c r="B473" s="1">
        <f t="array" ref="B473">INDIRECT(_xlfn.CONCAT("$J", $F473))</f>
        <v/>
      </c>
      <c r="C473" s="1">
        <f t="array" ref="C473">INDIRECT(_xlfn.CONCAT("$K", $F473))</f>
        <v/>
      </c>
      <c r="D473" s="1" t="n"/>
      <c r="E473" s="1">
        <f t="array" ref="E473">INDIRECT(_xlfn.CONCAT("$L", $F473))</f>
        <v/>
      </c>
      <c r="F473" s="1">
        <f t="array" ref="F473">IF(NOT(OR(ISERROR(INDIRECT(_xlfn.CONCAT("$I", $F472 + 1))), ISBLANK(INDIRECT(_xlfn.CONCAT("$I", $F472 + 1))))), $F472 + 1, IF(NOT(ISBLANK(INDIRECT(_xlfn.CONCAT("$I", $F472 + 2)))), $F472 + 2, ""))</f>
        <v/>
      </c>
    </row>
    <row r="474" ht="68.25" customHeight="1" s="6">
      <c r="A474" s="1">
        <f t="array" ref="A474">INDIRECT(_xlfn.CONCAT("$I", $F474))</f>
        <v/>
      </c>
      <c r="B474" s="1">
        <f t="array" ref="B474">INDIRECT(_xlfn.CONCAT("$J", $F474))</f>
        <v/>
      </c>
      <c r="C474" s="1">
        <f t="array" ref="C474">INDIRECT(_xlfn.CONCAT("$K", $F474))</f>
        <v/>
      </c>
      <c r="D474" s="1" t="n"/>
      <c r="E474" s="1">
        <f t="array" ref="E474">INDIRECT(_xlfn.CONCAT("$L", $F474))</f>
        <v/>
      </c>
      <c r="F474" s="1">
        <f t="array" ref="F474">IF(NOT(OR(ISERROR(INDIRECT(_xlfn.CONCAT("$I", $F473 + 1))), ISBLANK(INDIRECT(_xlfn.CONCAT("$I", $F473 + 1))))), $F473 + 1, IF(NOT(ISBLANK(INDIRECT(_xlfn.CONCAT("$I", $F473 + 2)))), $F473 + 2, ""))</f>
        <v/>
      </c>
      <c r="I474" s="8" t="inlineStr">
        <is>
          <t>Double Masters 2022 Tokens T2X2</t>
        </is>
      </c>
      <c r="J474" s="8" t="n">
        <v>24</v>
      </c>
      <c r="K474" s="9" t="n">
        <v>44750</v>
      </c>
      <c r="L474" s="8" t="inlineStr">
        <is>
          <t>en es fr de it pt ja ko ru 汉语 漢語</t>
        </is>
      </c>
    </row>
    <row r="475" ht="57.75" customHeight="1" s="6">
      <c r="A475" s="1">
        <f t="array" ref="A475">INDIRECT(_xlfn.CONCAT("$I", $F475))</f>
        <v/>
      </c>
      <c r="B475" s="1">
        <f t="array" ref="B475">INDIRECT(_xlfn.CONCAT("$J", $F475))</f>
        <v/>
      </c>
      <c r="C475" s="1">
        <f t="array" ref="C475">INDIRECT(_xlfn.CONCAT("$K", $F475))</f>
        <v/>
      </c>
      <c r="D475" s="1" t="n"/>
      <c r="E475" s="1">
        <f t="array" ref="E475">INDIRECT(_xlfn.CONCAT("$L", $F475))</f>
        <v/>
      </c>
      <c r="F475" s="1">
        <f t="array" ref="F475">IF(NOT(OR(ISERROR(INDIRECT(_xlfn.CONCAT("$I", $F474 + 1))), ISBLANK(INDIRECT(_xlfn.CONCAT("$I", $F474 + 1))))), $F474 + 1, IF(NOT(ISBLANK(INDIRECT(_xlfn.CONCAT("$I", $F474 + 2)))), $F474 + 2, ""))</f>
        <v/>
      </c>
    </row>
    <row r="476" ht="57.75" customHeight="1" s="6">
      <c r="A476" s="1">
        <f t="array" ref="A476">INDIRECT(_xlfn.CONCAT("$I", $F476))</f>
        <v/>
      </c>
      <c r="B476" s="1">
        <f t="array" ref="B476">INDIRECT(_xlfn.CONCAT("$J", $F476))</f>
        <v/>
      </c>
      <c r="C476" s="1">
        <f t="array" ref="C476">INDIRECT(_xlfn.CONCAT("$K", $F476))</f>
        <v/>
      </c>
      <c r="D476" s="1" t="n"/>
      <c r="E476" s="1">
        <f t="array" ref="E476">INDIRECT(_xlfn.CONCAT("$L", $F476))</f>
        <v/>
      </c>
      <c r="F476" s="1">
        <f t="array" ref="F476">IF(NOT(OR(ISERROR(INDIRECT(_xlfn.CONCAT("$I", $F475 + 1))), ISBLANK(INDIRECT(_xlfn.CONCAT("$I", $F475 + 1))))), $F475 + 1, IF(NOT(ISBLANK(INDIRECT(_xlfn.CONCAT("$I", $F475 + 2)))), $F475 + 2, ""))</f>
        <v/>
      </c>
      <c r="I476" s="8" t="inlineStr">
        <is>
          <t>Alchemy Horizons: Baldur's Gate HBG</t>
        </is>
      </c>
      <c r="J476" s="8" t="n">
        <v>436</v>
      </c>
      <c r="K476" s="9" t="n">
        <v>44749</v>
      </c>
      <c r="L476" s="8" t="inlineStr">
        <is>
          <t>en es fr de it pt ja ko ru 汉语 漢語</t>
        </is>
      </c>
    </row>
    <row r="477" ht="57.75" customHeight="1" s="6">
      <c r="A477" s="1">
        <f t="array" ref="A477">INDIRECT(_xlfn.CONCAT("$I", $F477))</f>
        <v/>
      </c>
      <c r="B477" s="1">
        <f t="array" ref="B477">INDIRECT(_xlfn.CONCAT("$J", $F477))</f>
        <v/>
      </c>
      <c r="C477" s="1">
        <f t="array" ref="C477">INDIRECT(_xlfn.CONCAT("$K", $F477))</f>
        <v/>
      </c>
      <c r="D477" s="1" t="n"/>
      <c r="E477" s="1">
        <f t="array" ref="E477">INDIRECT(_xlfn.CONCAT("$L", $F477))</f>
        <v/>
      </c>
      <c r="F477" s="1">
        <f t="array" ref="F477">IF(NOT(OR(ISERROR(INDIRECT(_xlfn.CONCAT("$I", $F476 + 1))), ISBLANK(INDIRECT(_xlfn.CONCAT("$I", $F476 + 1))))), $F476 + 1, IF(NOT(ISBLANK(INDIRECT(_xlfn.CONCAT("$I", $F476 + 2)))), $F476 + 2, ""))</f>
        <v/>
      </c>
    </row>
    <row r="478" ht="57.75" customHeight="1" s="6">
      <c r="A478" s="1">
        <f t="array" ref="A478">INDIRECT(_xlfn.CONCAT("$I", $F478))</f>
        <v/>
      </c>
      <c r="B478" s="1">
        <f t="array" ref="B478">INDIRECT(_xlfn.CONCAT("$J", $F478))</f>
        <v/>
      </c>
      <c r="C478" s="1">
        <f t="array" ref="C478">INDIRECT(_xlfn.CONCAT("$K", $F478))</f>
        <v/>
      </c>
      <c r="D478" s="1" t="n"/>
      <c r="E478" s="1">
        <f t="array" ref="E478">INDIRECT(_xlfn.CONCAT("$L", $F478))</f>
        <v/>
      </c>
      <c r="F478" s="1">
        <f t="array" ref="F478">IF(NOT(OR(ISERROR(INDIRECT(_xlfn.CONCAT("$I", $F477 + 1))), ISBLANK(INDIRECT(_xlfn.CONCAT("$I", $F477 + 1))))), $F477 + 1, IF(NOT(ISBLANK(INDIRECT(_xlfn.CONCAT("$I", $F477 + 2)))), $F477 + 2, ""))</f>
        <v/>
      </c>
      <c r="I478" s="8" t="inlineStr">
        <is>
          <t>Love Your LGS 2022 PLG22</t>
        </is>
      </c>
      <c r="J478" s="8" t="n">
        <v>2</v>
      </c>
      <c r="K478" s="9" t="n">
        <v>44743</v>
      </c>
      <c r="L478" s="8" t="inlineStr">
        <is>
          <t>en es fr de it pt ja ko ru 汉语 漢語</t>
        </is>
      </c>
    </row>
    <row r="479" ht="57.75" customHeight="1" s="6">
      <c r="A479" s="1">
        <f t="array" ref="A479">INDIRECT(_xlfn.CONCAT("$I", $F479))</f>
        <v/>
      </c>
      <c r="B479" s="1">
        <f t="array" ref="B479">INDIRECT(_xlfn.CONCAT("$J", $F479))</f>
        <v/>
      </c>
      <c r="C479" s="1">
        <f t="array" ref="C479">INDIRECT(_xlfn.CONCAT("$K", $F479))</f>
        <v/>
      </c>
      <c r="D479" s="1" t="n"/>
      <c r="E479" s="1">
        <f t="array" ref="E479">INDIRECT(_xlfn.CONCAT("$L", $F479))</f>
        <v/>
      </c>
      <c r="F479" s="1">
        <f t="array" ref="F479">IF(NOT(OR(ISERROR(INDIRECT(_xlfn.CONCAT("$I", $F478 + 1))), ISBLANK(INDIRECT(_xlfn.CONCAT("$I", $F478 + 1))))), $F478 + 1, IF(NOT(ISBLANK(INDIRECT(_xlfn.CONCAT("$I", $F478 + 2)))), $F478 + 2, ""))</f>
        <v/>
      </c>
    </row>
    <row r="480" ht="57.75" customHeight="1" s="6">
      <c r="A480" s="1">
        <f t="array" ref="A480">INDIRECT(_xlfn.CONCAT("$I", $F480))</f>
        <v/>
      </c>
      <c r="B480" s="1">
        <f t="array" ref="B480">INDIRECT(_xlfn.CONCAT("$J", $F480))</f>
        <v/>
      </c>
      <c r="C480" s="1">
        <f t="array" ref="C480">INDIRECT(_xlfn.CONCAT("$K", $F480))</f>
        <v/>
      </c>
      <c r="D480" s="1" t="n"/>
      <c r="E480" s="1">
        <f t="array" ref="E480">INDIRECT(_xlfn.CONCAT("$L", $F480))</f>
        <v/>
      </c>
      <c r="F480" s="1">
        <f t="array" ref="F480">IF(NOT(OR(ISERROR(INDIRECT(_xlfn.CONCAT("$I", $F479 + 1))), ISBLANK(INDIRECT(_xlfn.CONCAT("$I", $F479 + 1))))), $F479 + 1, IF(NOT(ISBLANK(INDIRECT(_xlfn.CONCAT("$I", $F479 + 2)))), $F479 + 2, ""))</f>
        <v/>
      </c>
      <c r="I480" s="8" t="inlineStr">
        <is>
          <t>Commander Legends: Battle for Baldur's Gate CLB</t>
        </is>
      </c>
      <c r="J480" s="8" t="n">
        <v>936</v>
      </c>
      <c r="K480" s="9" t="n">
        <v>44722</v>
      </c>
      <c r="L480" t="inlineStr">
        <is>
          <t>en es fr de it pt ja ko ru 汉语 漢語</t>
        </is>
      </c>
    </row>
    <row r="481" ht="81" customHeight="1" s="6">
      <c r="A481" s="1">
        <f t="array" ref="A481">INDIRECT(_xlfn.CONCAT("$I", $F481))</f>
        <v/>
      </c>
      <c r="B481" s="1">
        <f t="array" ref="B481">INDIRECT(_xlfn.CONCAT("$J", $F481))</f>
        <v/>
      </c>
      <c r="C481" s="1">
        <f t="array" ref="C481">INDIRECT(_xlfn.CONCAT("$K", $F481))</f>
        <v/>
      </c>
      <c r="D481" s="1" t="n"/>
      <c r="E481" s="1">
        <f t="array" ref="E481">INDIRECT(_xlfn.CONCAT("$L", $F481))</f>
        <v/>
      </c>
      <c r="F481" s="1">
        <f t="array" ref="F481">IF(NOT(OR(ISERROR(INDIRECT(_xlfn.CONCAT("$I", $F480 + 1))), ISBLANK(INDIRECT(_xlfn.CONCAT("$I", $F480 + 1))))), $F480 + 1, IF(NOT(ISBLANK(INDIRECT(_xlfn.CONCAT("$I", $F480 + 2)))), $F480 + 2, ""))</f>
        <v/>
      </c>
    </row>
    <row r="482" ht="57.75" customHeight="1" s="6">
      <c r="A482" s="1">
        <f t="array" ref="A482">INDIRECT(_xlfn.CONCAT("$I", $F482))</f>
        <v/>
      </c>
      <c r="B482" s="1">
        <f t="array" ref="B482">INDIRECT(_xlfn.CONCAT("$J", $F482))</f>
        <v/>
      </c>
      <c r="C482" s="1">
        <f t="array" ref="C482">INDIRECT(_xlfn.CONCAT("$K", $F482))</f>
        <v/>
      </c>
      <c r="D482" s="1" t="n"/>
      <c r="E482" s="1">
        <f t="array" ref="E482">INDIRECT(_xlfn.CONCAT("$L", $F482))</f>
        <v/>
      </c>
      <c r="F482" s="1">
        <f t="array" ref="F482">IF(NOT(OR(ISERROR(INDIRECT(_xlfn.CONCAT("$I", $F481 + 1))), ISBLANK(INDIRECT(_xlfn.CONCAT("$I", $F481 + 1))))), $F481 + 1, IF(NOT(ISBLANK(INDIRECT(_xlfn.CONCAT("$I", $F481 + 2)))), $F481 + 2, ""))</f>
        <v/>
      </c>
      <c r="I482" s="8" t="inlineStr">
        <is>
          <t>Battle for Baldur's Gate Promos PCLB</t>
        </is>
      </c>
      <c r="J482" s="8" t="n">
        <v>104</v>
      </c>
      <c r="K482" s="9" t="n">
        <v>44722</v>
      </c>
      <c r="L482" s="8" t="inlineStr">
        <is>
          <t>en es fr de it pt ja ko ru 汉语 漢語</t>
        </is>
      </c>
    </row>
    <row r="483" ht="41.25" customHeight="1" s="6">
      <c r="A483" s="1">
        <f t="array" ref="A483">INDIRECT(_xlfn.CONCAT("$I", $F483))</f>
        <v/>
      </c>
      <c r="B483" s="1">
        <f t="array" ref="B483">INDIRECT(_xlfn.CONCAT("$J", $F483))</f>
        <v/>
      </c>
      <c r="C483" s="1">
        <f t="array" ref="C483">INDIRECT(_xlfn.CONCAT("$K", $F483))</f>
        <v/>
      </c>
      <c r="D483" s="1" t="n"/>
      <c r="E483" s="1">
        <f t="array" ref="E483">INDIRECT(_xlfn.CONCAT("$L", $F483))</f>
        <v/>
      </c>
      <c r="F483" s="1">
        <f t="array" ref="F483">IF(NOT(OR(ISERROR(INDIRECT(_xlfn.CONCAT("$I", $F482 + 1))), ISBLANK(INDIRECT(_xlfn.CONCAT("$I", $F482 + 1))))), $F482 + 1, IF(NOT(ISBLANK(INDIRECT(_xlfn.CONCAT("$I", $F482 + 2)))), $F482 + 2, ""))</f>
        <v/>
      </c>
    </row>
    <row r="484" ht="68.25" customHeight="1" s="6">
      <c r="A484" s="1">
        <f t="array" ref="A484">INDIRECT(_xlfn.CONCAT("$I", $F484))</f>
        <v/>
      </c>
      <c r="B484" s="1">
        <f t="array" ref="B484">INDIRECT(_xlfn.CONCAT("$J", $F484))</f>
        <v/>
      </c>
      <c r="C484" s="1">
        <f t="array" ref="C484">INDIRECT(_xlfn.CONCAT("$K", $F484))</f>
        <v/>
      </c>
      <c r="D484" s="1" t="n"/>
      <c r="E484" s="1">
        <f t="array" ref="E484">INDIRECT(_xlfn.CONCAT("$L", $F484))</f>
        <v/>
      </c>
      <c r="F484" s="1">
        <f t="array" ref="F484">IF(NOT(OR(ISERROR(INDIRECT(_xlfn.CONCAT("$I", $F483 + 1))), ISBLANK(INDIRECT(_xlfn.CONCAT("$I", $F483 + 1))))), $F483 + 1, IF(NOT(ISBLANK(INDIRECT(_xlfn.CONCAT("$I", $F483 + 2)))), $F483 + 2, ""))</f>
        <v/>
      </c>
      <c r="I484" s="8" t="inlineStr">
        <is>
          <t>Battle for Baldur's Gate Tokens TCLB</t>
        </is>
      </c>
      <c r="J484" s="8" t="n">
        <v>51</v>
      </c>
      <c r="K484" s="9" t="n">
        <v>44722</v>
      </c>
      <c r="L484" s="8" t="inlineStr">
        <is>
          <t>en es fr de it pt ja ko ru 汉语 漢語</t>
        </is>
      </c>
    </row>
    <row r="485" ht="81" customHeight="1" s="6">
      <c r="A485" s="1">
        <f t="array" ref="A485">INDIRECT(_xlfn.CONCAT("$I", $F485))</f>
        <v/>
      </c>
      <c r="B485" s="1">
        <f t="array" ref="B485">INDIRECT(_xlfn.CONCAT("$J", $F485))</f>
        <v/>
      </c>
      <c r="C485" s="1">
        <f t="array" ref="C485">INDIRECT(_xlfn.CONCAT("$K", $F485))</f>
        <v/>
      </c>
      <c r="D485" s="1" t="n"/>
      <c r="E485" s="1">
        <f t="array" ref="E485">INDIRECT(_xlfn.CONCAT("$L", $F485))</f>
        <v/>
      </c>
      <c r="F485" s="1">
        <f t="array" ref="F485">IF(NOT(OR(ISERROR(INDIRECT(_xlfn.CONCAT("$I", $F484 + 1))), ISBLANK(INDIRECT(_xlfn.CONCAT("$I", $F484 + 1))))), $F484 + 1, IF(NOT(ISBLANK(INDIRECT(_xlfn.CONCAT("$I", $F484 + 2)))), $F484 + 2, ""))</f>
        <v/>
      </c>
    </row>
    <row r="486" ht="57.75" customHeight="1" s="6">
      <c r="A486" s="1">
        <f t="array" ref="A486">INDIRECT(_xlfn.CONCAT("$I", $F486))</f>
        <v/>
      </c>
      <c r="B486" s="1">
        <f t="array" ref="B486">INDIRECT(_xlfn.CONCAT("$J", $F486))</f>
        <v/>
      </c>
      <c r="C486" s="1">
        <f t="array" ref="C486">INDIRECT(_xlfn.CONCAT("$K", $F486))</f>
        <v/>
      </c>
      <c r="D486" s="1" t="n"/>
      <c r="E486" s="1">
        <f t="array" ref="E486">INDIRECT(_xlfn.CONCAT("$L", $F486))</f>
        <v/>
      </c>
      <c r="F486" s="1">
        <f t="array" ref="F486">IF(NOT(OR(ISERROR(INDIRECT(_xlfn.CONCAT("$I", $F485 + 1))), ISBLANK(INDIRECT(_xlfn.CONCAT("$I", $F485 + 1))))), $F485 + 1, IF(NOT(ISBLANK(INDIRECT(_xlfn.CONCAT("$I", $F485 + 2)))), $F485 + 2, ""))</f>
        <v/>
      </c>
      <c r="I486" s="8" t="inlineStr">
        <is>
          <t>Commander Legends: Battle for Baldur's Gate Minigames MCLB</t>
        </is>
      </c>
      <c r="J486" s="8" t="n">
        <v>3</v>
      </c>
      <c r="K486" s="9" t="n">
        <v>44722</v>
      </c>
      <c r="L486" s="8" t="inlineStr">
        <is>
          <t>en es fr de it pt ja ko ru 汉语 漢語</t>
        </is>
      </c>
    </row>
    <row r="487" ht="57.75" customHeight="1" s="6">
      <c r="A487" s="1">
        <f t="array" ref="A487">INDIRECT(_xlfn.CONCAT("$I", $F487))</f>
        <v/>
      </c>
      <c r="B487" s="1">
        <f t="array" ref="B487">INDIRECT(_xlfn.CONCAT("$J", $F487))</f>
        <v/>
      </c>
      <c r="C487" s="1">
        <f t="array" ref="C487">INDIRECT(_xlfn.CONCAT("$K", $F487))</f>
        <v/>
      </c>
      <c r="D487" s="1" t="n"/>
      <c r="E487" s="1">
        <f t="array" ref="E487">INDIRECT(_xlfn.CONCAT("$L", $F487))</f>
        <v/>
      </c>
      <c r="F487" s="1">
        <f t="array" ref="F487">IF(NOT(OR(ISERROR(INDIRECT(_xlfn.CONCAT("$I", $F486 + 1))), ISBLANK(INDIRECT(_xlfn.CONCAT("$I", $F486 + 1))))), $F486 + 1, IF(NOT(ISBLANK(INDIRECT(_xlfn.CONCAT("$I", $F486 + 2)))), $F486 + 2, ""))</f>
        <v/>
      </c>
    </row>
    <row r="488" ht="57.75" customHeight="1" s="6">
      <c r="A488" s="1">
        <f t="array" ref="A488">INDIRECT(_xlfn.CONCAT("$I", $F488))</f>
        <v/>
      </c>
      <c r="B488" s="1">
        <f t="array" ref="B488">INDIRECT(_xlfn.CONCAT("$J", $F488))</f>
        <v/>
      </c>
      <c r="C488" s="1">
        <f t="array" ref="C488">INDIRECT(_xlfn.CONCAT("$K", $F488))</f>
        <v/>
      </c>
      <c r="D488" s="1" t="n"/>
      <c r="E488" s="1">
        <f t="array" ref="E488">INDIRECT(_xlfn.CONCAT("$L", $F488))</f>
        <v/>
      </c>
      <c r="F488" s="1">
        <f t="array" ref="F488">IF(NOT(OR(ISERROR(INDIRECT(_xlfn.CONCAT("$I", $F487 + 1))), ISBLANK(INDIRECT(_xlfn.CONCAT("$I", $F487 + 1))))), $F487 + 1, IF(NOT(ISBLANK(INDIRECT(_xlfn.CONCAT("$I", $F487 + 2)))), $F487 + 2, ""))</f>
        <v/>
      </c>
      <c r="I488" s="8" t="inlineStr">
        <is>
          <t>Battle for Baldur's Gate Oversized Cards OCLB</t>
        </is>
      </c>
      <c r="J488" s="8" t="n">
        <v>1</v>
      </c>
      <c r="K488" s="9" t="n">
        <v>44722</v>
      </c>
      <c r="L488" s="8" t="inlineStr">
        <is>
          <t>en es fr de it pt ja ko ru 汉语 漢語</t>
        </is>
      </c>
    </row>
    <row r="489" ht="54.75" customHeight="1" s="6">
      <c r="A489" s="1">
        <f t="array" ref="A489">INDIRECT(_xlfn.CONCAT("$I", $F489))</f>
        <v/>
      </c>
      <c r="B489" s="1">
        <f t="array" ref="B489">INDIRECT(_xlfn.CONCAT("$J", $F489))</f>
        <v/>
      </c>
      <c r="C489" s="1">
        <f t="array" ref="C489">INDIRECT(_xlfn.CONCAT("$K", $F489))</f>
        <v/>
      </c>
      <c r="D489" s="1" t="n"/>
      <c r="E489" s="1">
        <f t="array" ref="E489">INDIRECT(_xlfn.CONCAT("$L", $F489))</f>
        <v/>
      </c>
      <c r="F489" s="1">
        <f t="array" ref="F489">IF(NOT(OR(ISERROR(INDIRECT(_xlfn.CONCAT("$I", $F488 + 1))), ISBLANK(INDIRECT(_xlfn.CONCAT("$I", $F488 + 1))))), $F488 + 1, IF(NOT(ISBLANK(INDIRECT(_xlfn.CONCAT("$I", $F488 + 2)))), $F488 + 2, ""))</f>
        <v/>
      </c>
    </row>
    <row r="490" ht="57.75" customHeight="1" s="6">
      <c r="A490" s="1">
        <f t="array" ref="A490">INDIRECT(_xlfn.CONCAT("$I", $F490))</f>
        <v/>
      </c>
      <c r="B490" s="1">
        <f t="array" ref="B490">INDIRECT(_xlfn.CONCAT("$J", $F490))</f>
        <v/>
      </c>
      <c r="C490" s="1">
        <f t="array" ref="C490">INDIRECT(_xlfn.CONCAT("$K", $F490))</f>
        <v/>
      </c>
      <c r="D490" s="1" t="n"/>
      <c r="E490" s="1">
        <f t="array" ref="E490">INDIRECT(_xlfn.CONCAT("$L", $F490))</f>
        <v/>
      </c>
      <c r="F490" s="1">
        <f t="array" ref="F490">IF(NOT(OR(ISERROR(INDIRECT(_xlfn.CONCAT("$I", $F489 + 1))), ISBLANK(INDIRECT(_xlfn.CONCAT("$I", $F489 + 1))))), $F489 + 1, IF(NOT(ISBLANK(INDIRECT(_xlfn.CONCAT("$I", $F489 + 2)))), $F489 + 2, ""))</f>
        <v/>
      </c>
      <c r="I490" s="8" t="inlineStr">
        <is>
          <t>Battle for Baldur's Gate Art Series ACLB</t>
        </is>
      </c>
      <c r="J490" s="8" t="n">
        <v>81</v>
      </c>
      <c r="K490" s="9" t="n">
        <v>44722</v>
      </c>
      <c r="L490" s="8" t="inlineStr">
        <is>
          <t>en es fr de it pt ja ko ru 汉语 漢語</t>
        </is>
      </c>
    </row>
    <row r="491" ht="57.75" customHeight="1" s="6">
      <c r="A491" s="1">
        <f t="array" ref="A491">INDIRECT(_xlfn.CONCAT("$I", $F491))</f>
        <v/>
      </c>
      <c r="B491" s="1">
        <f t="array" ref="B491">INDIRECT(_xlfn.CONCAT("$J", $F491))</f>
        <v/>
      </c>
      <c r="C491" s="1">
        <f t="array" ref="C491">INDIRECT(_xlfn.CONCAT("$K", $F491))</f>
        <v/>
      </c>
      <c r="D491" s="1" t="n"/>
      <c r="E491" s="1">
        <f t="array" ref="E491">INDIRECT(_xlfn.CONCAT("$L", $F491))</f>
        <v/>
      </c>
      <c r="F491" s="1">
        <f t="array" ref="F491">IF(NOT(OR(ISERROR(INDIRECT(_xlfn.CONCAT("$I", $F490 + 1))), ISBLANK(INDIRECT(_xlfn.CONCAT("$I", $F490 + 1))))), $F490 + 1, IF(NOT(ISBLANK(INDIRECT(_xlfn.CONCAT("$I", $F490 + 2)))), $F490 + 2, ""))</f>
        <v/>
      </c>
    </row>
    <row r="492" ht="57.75" customHeight="1" s="6">
      <c r="A492" s="1">
        <f t="array" ref="A492">INDIRECT(_xlfn.CONCAT("$I", $F492))</f>
        <v/>
      </c>
      <c r="B492" s="1">
        <f t="array" ref="B492">INDIRECT(_xlfn.CONCAT("$J", $F492))</f>
        <v/>
      </c>
      <c r="C492" s="1">
        <f t="array" ref="C492">INDIRECT(_xlfn.CONCAT("$K", $F492))</f>
        <v/>
      </c>
      <c r="D492" s="1" t="n"/>
      <c r="E492" s="1">
        <f t="array" ref="E492">INDIRECT(_xlfn.CONCAT("$L", $F492))</f>
        <v/>
      </c>
      <c r="F492" s="1">
        <f t="array" ref="F492">IF(NOT(OR(ISERROR(INDIRECT(_xlfn.CONCAT("$I", $F491 + 1))), ISBLANK(INDIRECT(_xlfn.CONCAT("$I", $F491 + 1))))), $F491 + 1, IF(NOT(ISBLANK(INDIRECT(_xlfn.CONCAT("$I", $F491 + 2)))), $F491 + 2, ""))</f>
        <v/>
      </c>
      <c r="I492" s="8" t="inlineStr">
        <is>
          <t>Streets of New Capenna SNC</t>
        </is>
      </c>
      <c r="J492" s="8" t="n">
        <v>513</v>
      </c>
      <c r="K492" s="9" t="n">
        <v>44680</v>
      </c>
      <c r="L492" t="inlineStr">
        <is>
          <t>en es fr de it pt ja ko ru 汉语 漢語</t>
        </is>
      </c>
    </row>
    <row r="493" ht="68.25" customHeight="1" s="6">
      <c r="A493" s="1">
        <f t="array" ref="A493">INDIRECT(_xlfn.CONCAT("$I", $F493))</f>
        <v/>
      </c>
      <c r="B493" s="1">
        <f t="array" ref="B493">INDIRECT(_xlfn.CONCAT("$J", $F493))</f>
        <v/>
      </c>
      <c r="C493" s="1">
        <f t="array" ref="C493">INDIRECT(_xlfn.CONCAT("$K", $F493))</f>
        <v/>
      </c>
      <c r="D493" s="1" t="n"/>
      <c r="E493" s="1">
        <f t="array" ref="E493">INDIRECT(_xlfn.CONCAT("$L", $F493))</f>
        <v/>
      </c>
      <c r="F493" s="1">
        <f t="array" ref="F493">IF(NOT(OR(ISERROR(INDIRECT(_xlfn.CONCAT("$I", $F492 + 1))), ISBLANK(INDIRECT(_xlfn.CONCAT("$I", $F492 + 1))))), $F492 + 1, IF(NOT(ISBLANK(INDIRECT(_xlfn.CONCAT("$I", $F492 + 2)))), $F492 + 2, ""))</f>
        <v/>
      </c>
    </row>
    <row r="494" ht="81" customHeight="1" s="6">
      <c r="A494" s="1">
        <f t="array" ref="A494">INDIRECT(_xlfn.CONCAT("$I", $F494))</f>
        <v/>
      </c>
      <c r="B494" s="1">
        <f t="array" ref="B494">INDIRECT(_xlfn.CONCAT("$J", $F494))</f>
        <v/>
      </c>
      <c r="C494" s="1">
        <f t="array" ref="C494">INDIRECT(_xlfn.CONCAT("$K", $F494))</f>
        <v/>
      </c>
      <c r="D494" s="1" t="n"/>
      <c r="E494" s="1">
        <f t="array" ref="E494">INDIRECT(_xlfn.CONCAT("$L", $F494))</f>
        <v/>
      </c>
      <c r="F494" s="1">
        <f t="array" ref="F494">IF(NOT(OR(ISERROR(INDIRECT(_xlfn.CONCAT("$I", $F493 + 1))), ISBLANK(INDIRECT(_xlfn.CONCAT("$I", $F493 + 1))))), $F493 + 1, IF(NOT(ISBLANK(INDIRECT(_xlfn.CONCAT("$I", $F493 + 2)))), $F493 + 2, ""))</f>
        <v/>
      </c>
      <c r="I494" s="8" t="inlineStr">
        <is>
          <t>Streets of New Capenna Promos PSNC</t>
        </is>
      </c>
      <c r="J494" s="8" t="n">
        <v>161</v>
      </c>
      <c r="K494" s="9" t="n">
        <v>44680</v>
      </c>
      <c r="L494" s="8" t="inlineStr">
        <is>
          <t>en es fr de it pt ja ko ru 汉语 漢語</t>
        </is>
      </c>
    </row>
    <row r="495" ht="57.75" customHeight="1" s="6">
      <c r="A495" s="1">
        <f t="array" ref="A495">INDIRECT(_xlfn.CONCAT("$I", $F495))</f>
        <v/>
      </c>
      <c r="B495" s="1">
        <f t="array" ref="B495">INDIRECT(_xlfn.CONCAT("$J", $F495))</f>
        <v/>
      </c>
      <c r="C495" s="1">
        <f t="array" ref="C495">INDIRECT(_xlfn.CONCAT("$K", $F495))</f>
        <v/>
      </c>
      <c r="D495" s="1" t="n"/>
      <c r="E495" s="1">
        <f t="array" ref="E495">INDIRECT(_xlfn.CONCAT("$L", $F495))</f>
        <v/>
      </c>
      <c r="F495" s="1">
        <f t="array" ref="F495">IF(NOT(OR(ISERROR(INDIRECT(_xlfn.CONCAT("$I", $F494 + 1))), ISBLANK(INDIRECT(_xlfn.CONCAT("$I", $F494 + 1))))), $F494 + 1, IF(NOT(ISBLANK(INDIRECT(_xlfn.CONCAT("$I", $F494 + 2)))), $F494 + 2, ""))</f>
        <v/>
      </c>
    </row>
    <row r="496" ht="57.75" customHeight="1" s="6">
      <c r="A496" s="1">
        <f t="array" ref="A496">INDIRECT(_xlfn.CONCAT("$I", $F496))</f>
        <v/>
      </c>
      <c r="B496" s="1">
        <f t="array" ref="B496">INDIRECT(_xlfn.CONCAT("$J", $F496))</f>
        <v/>
      </c>
      <c r="C496" s="1">
        <f t="array" ref="C496">INDIRECT(_xlfn.CONCAT("$K", $F496))</f>
        <v/>
      </c>
      <c r="D496" s="1" t="n"/>
      <c r="E496" s="1">
        <f t="array" ref="E496">INDIRECT(_xlfn.CONCAT("$L", $F496))</f>
        <v/>
      </c>
      <c r="F496" s="1">
        <f t="array" ref="F496">IF(NOT(OR(ISERROR(INDIRECT(_xlfn.CONCAT("$I", $F495 + 1))), ISBLANK(INDIRECT(_xlfn.CONCAT("$I", $F495 + 1))))), $F495 + 1, IF(NOT(ISBLANK(INDIRECT(_xlfn.CONCAT("$I", $F495 + 2)))), $F495 + 2, ""))</f>
        <v/>
      </c>
      <c r="I496" s="8" t="inlineStr">
        <is>
          <t>Streets of New Capenna Southeast Asia Tokens PTSNC</t>
        </is>
      </c>
      <c r="J496" s="8" t="n">
        <v>6</v>
      </c>
      <c r="K496" s="9" t="n">
        <v>44681</v>
      </c>
      <c r="L496" s="8" t="inlineStr">
        <is>
          <t>en es fr de it pt ja ko ru 汉语 漢語</t>
        </is>
      </c>
    </row>
    <row r="497" ht="57.75" customHeight="1" s="6">
      <c r="A497" s="1">
        <f t="array" ref="A497">INDIRECT(_xlfn.CONCAT("$I", $F497))</f>
        <v/>
      </c>
      <c r="B497" s="1">
        <f t="array" ref="B497">INDIRECT(_xlfn.CONCAT("$J", $F497))</f>
        <v/>
      </c>
      <c r="C497" s="1">
        <f t="array" ref="C497">INDIRECT(_xlfn.CONCAT("$K", $F497))</f>
        <v/>
      </c>
      <c r="D497" s="1" t="n"/>
      <c r="E497" s="1">
        <f t="array" ref="E497">INDIRECT(_xlfn.CONCAT("$L", $F497))</f>
        <v/>
      </c>
      <c r="F497" s="1">
        <f t="array" ref="F497">IF(NOT(OR(ISERROR(INDIRECT(_xlfn.CONCAT("$I", $F496 + 1))), ISBLANK(INDIRECT(_xlfn.CONCAT("$I", $F496 + 1))))), $F496 + 1, IF(NOT(ISBLANK(INDIRECT(_xlfn.CONCAT("$I", $F496 + 2)))), $F496 + 2, ""))</f>
        <v/>
      </c>
    </row>
    <row r="498" ht="57.75" customHeight="1" s="6">
      <c r="A498" s="1">
        <f t="array" ref="A498">INDIRECT(_xlfn.CONCAT("$I", $F498))</f>
        <v/>
      </c>
      <c r="B498" s="1">
        <f t="array" ref="B498">INDIRECT(_xlfn.CONCAT("$J", $F498))</f>
        <v/>
      </c>
      <c r="C498" s="1">
        <f t="array" ref="C498">INDIRECT(_xlfn.CONCAT("$K", $F498))</f>
        <v/>
      </c>
      <c r="D498" s="1" t="n"/>
      <c r="E498" s="1">
        <f t="array" ref="E498">INDIRECT(_xlfn.CONCAT("$L", $F498))</f>
        <v/>
      </c>
      <c r="F498" s="1">
        <f t="array" ref="F498">IF(NOT(OR(ISERROR(INDIRECT(_xlfn.CONCAT("$I", $F497 + 1))), ISBLANK(INDIRECT(_xlfn.CONCAT("$I", $F497 + 1))))), $F497 + 1, IF(NOT(ISBLANK(INDIRECT(_xlfn.CONCAT("$I", $F497 + 2)))), $F497 + 2, ""))</f>
        <v/>
      </c>
      <c r="I498" s="8" t="inlineStr">
        <is>
          <t>Streets of New Capenna Tokens TSNC</t>
        </is>
      </c>
      <c r="J498" s="8" t="n">
        <v>19</v>
      </c>
      <c r="K498" s="9" t="n">
        <v>44680</v>
      </c>
      <c r="L498" s="8" t="inlineStr">
        <is>
          <t>en es fr de it pt ja ko ru 汉语 漢語</t>
        </is>
      </c>
    </row>
    <row r="499" ht="57.75" customHeight="1" s="6">
      <c r="A499" s="1">
        <f t="array" ref="A499">INDIRECT(_xlfn.CONCAT("$I", $F499))</f>
        <v/>
      </c>
      <c r="B499" s="1">
        <f t="array" ref="B499">INDIRECT(_xlfn.CONCAT("$J", $F499))</f>
        <v/>
      </c>
      <c r="C499" s="1">
        <f t="array" ref="C499">INDIRECT(_xlfn.CONCAT("$K", $F499))</f>
        <v/>
      </c>
      <c r="D499" s="1" t="n"/>
      <c r="E499" s="1">
        <f t="array" ref="E499">INDIRECT(_xlfn.CONCAT("$L", $F499))</f>
        <v/>
      </c>
      <c r="F499" s="1">
        <f t="array" ref="F499">IF(NOT(OR(ISERROR(INDIRECT(_xlfn.CONCAT("$I", $F498 + 1))), ISBLANK(INDIRECT(_xlfn.CONCAT("$I", $F498 + 1))))), $F498 + 1, IF(NOT(ISBLANK(INDIRECT(_xlfn.CONCAT("$I", $F498 + 2)))), $F498 + 2, ""))</f>
        <v/>
      </c>
    </row>
    <row r="500" ht="57.75" customHeight="1" s="6">
      <c r="A500" s="1">
        <f t="array" ref="A500">INDIRECT(_xlfn.CONCAT("$I", $F500))</f>
        <v/>
      </c>
      <c r="B500" s="1">
        <f t="array" ref="B500">INDIRECT(_xlfn.CONCAT("$J", $F500))</f>
        <v/>
      </c>
      <c r="C500" s="1">
        <f t="array" ref="C500">INDIRECT(_xlfn.CONCAT("$K", $F500))</f>
        <v/>
      </c>
      <c r="D500" s="1" t="n"/>
      <c r="E500" s="1">
        <f t="array" ref="E500">INDIRECT(_xlfn.CONCAT("$L", $F500))</f>
        <v/>
      </c>
      <c r="F500" s="1">
        <f t="array" ref="F500">IF(NOT(OR(ISERROR(INDIRECT(_xlfn.CONCAT("$I", $F499 + 1))), ISBLANK(INDIRECT(_xlfn.CONCAT("$I", $F499 + 1))))), $F499 + 1, IF(NOT(ISBLANK(INDIRECT(_xlfn.CONCAT("$I", $F499 + 2)))), $F499 + 2, ""))</f>
        <v/>
      </c>
      <c r="I500" s="8" t="inlineStr">
        <is>
          <t>Alchemy: New Capenna YSNC</t>
        </is>
      </c>
      <c r="J500" s="8" t="n">
        <v>30</v>
      </c>
      <c r="K500" s="9" t="n">
        <v>44714</v>
      </c>
      <c r="L500" s="8" t="inlineStr">
        <is>
          <t>en es fr de it pt ja ko ru 汉语 漢語</t>
        </is>
      </c>
    </row>
    <row r="501" ht="57.75" customHeight="1" s="6">
      <c r="A501" s="1">
        <f t="array" ref="A501">INDIRECT(_xlfn.CONCAT("$I", $F501))</f>
        <v/>
      </c>
      <c r="B501" s="1">
        <f t="array" ref="B501">INDIRECT(_xlfn.CONCAT("$J", $F501))</f>
        <v/>
      </c>
      <c r="C501" s="1">
        <f t="array" ref="C501">INDIRECT(_xlfn.CONCAT("$K", $F501))</f>
        <v/>
      </c>
      <c r="D501" s="1" t="n"/>
      <c r="E501" s="1">
        <f t="array" ref="E501">INDIRECT(_xlfn.CONCAT("$L", $F501))</f>
        <v/>
      </c>
      <c r="F501" s="1">
        <f t="array" ref="F501">IF(NOT(OR(ISERROR(INDIRECT(_xlfn.CONCAT("$I", $F500 + 1))), ISBLANK(INDIRECT(_xlfn.CONCAT("$I", $F500 + 1))))), $F500 + 1, IF(NOT(ISBLANK(INDIRECT(_xlfn.CONCAT("$I", $F500 + 2)))), $F500 + 2, ""))</f>
        <v/>
      </c>
    </row>
    <row r="502" ht="57.75" customHeight="1" s="6">
      <c r="A502" s="1">
        <f t="array" ref="A502">INDIRECT(_xlfn.CONCAT("$I", $F502))</f>
        <v/>
      </c>
      <c r="B502" s="1">
        <f t="array" ref="B502">INDIRECT(_xlfn.CONCAT("$J", $F502))</f>
        <v/>
      </c>
      <c r="C502" s="1">
        <f t="array" ref="C502">INDIRECT(_xlfn.CONCAT("$K", $F502))</f>
        <v/>
      </c>
      <c r="D502" s="1" t="n"/>
      <c r="E502" s="1">
        <f t="array" ref="E502">INDIRECT(_xlfn.CONCAT("$L", $F502))</f>
        <v/>
      </c>
      <c r="F502" s="1">
        <f t="array" ref="F502">IF(NOT(OR(ISERROR(INDIRECT(_xlfn.CONCAT("$I", $F501 + 1))), ISBLANK(INDIRECT(_xlfn.CONCAT("$I", $F501 + 1))))), $F501 + 1, IF(NOT(ISBLANK(INDIRECT(_xlfn.CONCAT("$I", $F501 + 2)))), $F501 + 2, ""))</f>
        <v/>
      </c>
      <c r="I502" s="8" t="inlineStr">
        <is>
          <t>New Capenna Commander NCC</t>
        </is>
      </c>
      <c r="J502" s="8" t="n">
        <v>447</v>
      </c>
      <c r="K502" s="9" t="n">
        <v>44680</v>
      </c>
      <c r="L502" t="inlineStr">
        <is>
          <t>en es fr de it pt ja ko ru 汉语 漢語</t>
        </is>
      </c>
    </row>
    <row r="503" ht="57.75" customHeight="1" s="6">
      <c r="A503" s="1">
        <f t="array" ref="A503">INDIRECT(_xlfn.CONCAT("$I", $F503))</f>
        <v/>
      </c>
      <c r="B503" s="1">
        <f t="array" ref="B503">INDIRECT(_xlfn.CONCAT("$J", $F503))</f>
        <v/>
      </c>
      <c r="C503" s="1">
        <f t="array" ref="C503">INDIRECT(_xlfn.CONCAT("$K", $F503))</f>
        <v/>
      </c>
      <c r="D503" s="1" t="n"/>
      <c r="E503" s="1">
        <f t="array" ref="E503">INDIRECT(_xlfn.CONCAT("$L", $F503))</f>
        <v/>
      </c>
      <c r="F503" s="1">
        <f t="array" ref="F503">IF(NOT(OR(ISERROR(INDIRECT(_xlfn.CONCAT("$I", $F502 + 1))), ISBLANK(INDIRECT(_xlfn.CONCAT("$I", $F502 + 1))))), $F502 + 1, IF(NOT(ISBLANK(INDIRECT(_xlfn.CONCAT("$I", $F502 + 2)))), $F502 + 2, ""))</f>
        <v/>
      </c>
    </row>
    <row r="504" ht="57.75" customHeight="1" s="6">
      <c r="A504" s="1">
        <f t="array" ref="A504">INDIRECT(_xlfn.CONCAT("$I", $F504))</f>
        <v/>
      </c>
      <c r="B504" s="1">
        <f t="array" ref="B504">INDIRECT(_xlfn.CONCAT("$J", $F504))</f>
        <v/>
      </c>
      <c r="C504" s="1">
        <f t="array" ref="C504">INDIRECT(_xlfn.CONCAT("$K", $F504))</f>
        <v/>
      </c>
      <c r="D504" s="1" t="n"/>
      <c r="E504" s="1">
        <f t="array" ref="E504">INDIRECT(_xlfn.CONCAT("$L", $F504))</f>
        <v/>
      </c>
      <c r="F504" s="1">
        <f t="array" ref="F504">IF(NOT(OR(ISERROR(INDIRECT(_xlfn.CONCAT("$I", $F503 + 1))), ISBLANK(INDIRECT(_xlfn.CONCAT("$I", $F503 + 1))))), $F503 + 1, IF(NOT(ISBLANK(INDIRECT(_xlfn.CONCAT("$I", $F503 + 2)))), $F503 + 2, ""))</f>
        <v/>
      </c>
      <c r="I504" s="8" t="inlineStr">
        <is>
          <t>New Capenna Commander Promos PNCC</t>
        </is>
      </c>
      <c r="J504" s="8" t="n">
        <v>75</v>
      </c>
      <c r="K504" s="9" t="n">
        <v>44680</v>
      </c>
      <c r="L504" s="8" t="inlineStr">
        <is>
          <t>en es fr de it pt ja ko ru 汉语 漢語</t>
        </is>
      </c>
    </row>
    <row r="505" ht="57.75" customHeight="1" s="6">
      <c r="A505" s="1">
        <f t="array" ref="A505">INDIRECT(_xlfn.CONCAT("$I", $F505))</f>
        <v/>
      </c>
      <c r="B505" s="1">
        <f t="array" ref="B505">INDIRECT(_xlfn.CONCAT("$J", $F505))</f>
        <v/>
      </c>
      <c r="C505" s="1">
        <f t="array" ref="C505">INDIRECT(_xlfn.CONCAT("$K", $F505))</f>
        <v/>
      </c>
      <c r="D505" s="1" t="n"/>
      <c r="E505" s="1">
        <f t="array" ref="E505">INDIRECT(_xlfn.CONCAT("$L", $F505))</f>
        <v/>
      </c>
      <c r="F505" s="1">
        <f t="array" ref="F505">IF(NOT(OR(ISERROR(INDIRECT(_xlfn.CONCAT("$I", $F504 + 1))), ISBLANK(INDIRECT(_xlfn.CONCAT("$I", $F504 + 1))))), $F504 + 1, IF(NOT(ISBLANK(INDIRECT(_xlfn.CONCAT("$I", $F504 + 2)))), $F504 + 2, ""))</f>
        <v/>
      </c>
    </row>
    <row r="506" ht="57.75" customHeight="1" s="6">
      <c r="A506" s="1">
        <f t="array" ref="A506">INDIRECT(_xlfn.CONCAT("$I", $F506))</f>
        <v/>
      </c>
      <c r="B506" s="1">
        <f t="array" ref="B506">INDIRECT(_xlfn.CONCAT("$J", $F506))</f>
        <v/>
      </c>
      <c r="C506" s="1">
        <f t="array" ref="C506">INDIRECT(_xlfn.CONCAT("$K", $F506))</f>
        <v/>
      </c>
      <c r="D506" s="1" t="n"/>
      <c r="E506" s="1">
        <f t="array" ref="E506">INDIRECT(_xlfn.CONCAT("$L", $F506))</f>
        <v/>
      </c>
      <c r="F506" s="1">
        <f t="array" ref="F506">IF(NOT(OR(ISERROR(INDIRECT(_xlfn.CONCAT("$I", $F505 + 1))), ISBLANK(INDIRECT(_xlfn.CONCAT("$I", $F505 + 1))))), $F505 + 1, IF(NOT(ISBLANK(INDIRECT(_xlfn.CONCAT("$I", $F505 + 2)))), $F505 + 2, ""))</f>
        <v/>
      </c>
      <c r="I506" s="8" t="inlineStr">
        <is>
          <t>New Capenna Commander Tokens TNCC</t>
        </is>
      </c>
      <c r="J506" s="8" t="n">
        <v>36</v>
      </c>
      <c r="K506" s="9" t="n">
        <v>44680</v>
      </c>
      <c r="L506" s="8" t="inlineStr">
        <is>
          <t>en es fr de it pt ja ko ru 汉语 漢語</t>
        </is>
      </c>
    </row>
    <row r="507" ht="57.75" customHeight="1" s="6">
      <c r="A507" s="1">
        <f t="array" ref="A507">INDIRECT(_xlfn.CONCAT("$I", $F507))</f>
        <v/>
      </c>
      <c r="B507" s="1">
        <f t="array" ref="B507">INDIRECT(_xlfn.CONCAT("$J", $F507))</f>
        <v/>
      </c>
      <c r="C507" s="1">
        <f t="array" ref="C507">INDIRECT(_xlfn.CONCAT("$K", $F507))</f>
        <v/>
      </c>
      <c r="D507" s="1" t="n"/>
      <c r="E507" s="1">
        <f t="array" ref="E507">INDIRECT(_xlfn.CONCAT("$L", $F507))</f>
        <v/>
      </c>
      <c r="F507" s="1">
        <f t="array" ref="F507">IF(NOT(OR(ISERROR(INDIRECT(_xlfn.CONCAT("$I", $F506 + 1))), ISBLANK(INDIRECT(_xlfn.CONCAT("$I", $F506 + 1))))), $F506 + 1, IF(NOT(ISBLANK(INDIRECT(_xlfn.CONCAT("$I", $F506 + 2)))), $F506 + 2, ""))</f>
        <v/>
      </c>
    </row>
    <row r="508" ht="57.75" customHeight="1" s="6">
      <c r="A508" s="1">
        <f t="array" ref="A508">INDIRECT(_xlfn.CONCAT("$I", $F508))</f>
        <v/>
      </c>
      <c r="B508" s="1">
        <f t="array" ref="B508">INDIRECT(_xlfn.CONCAT("$J", $F508))</f>
        <v/>
      </c>
      <c r="C508" s="1">
        <f t="array" ref="C508">INDIRECT(_xlfn.CONCAT("$K", $F508))</f>
        <v/>
      </c>
      <c r="D508" s="1" t="n"/>
      <c r="E508" s="1">
        <f t="array" ref="E508">INDIRECT(_xlfn.CONCAT("$L", $F508))</f>
        <v/>
      </c>
      <c r="F508" s="1">
        <f t="array" ref="F508">IF(NOT(OR(ISERROR(INDIRECT(_xlfn.CONCAT("$I", $F507 + 1))), ISBLANK(INDIRECT(_xlfn.CONCAT("$I", $F507 + 1))))), $F507 + 1, IF(NOT(ISBLANK(INDIRECT(_xlfn.CONCAT("$I", $F507 + 2)))), $F507 + 2, ""))</f>
        <v/>
      </c>
      <c r="I508" s="8" t="inlineStr">
        <is>
          <t>Streets of New Capenna Minigames MSNC</t>
        </is>
      </c>
      <c r="J508" s="8" t="n">
        <v>3</v>
      </c>
      <c r="K508" s="9" t="n">
        <v>44680</v>
      </c>
      <c r="L508" s="8" t="inlineStr">
        <is>
          <t>en es fr de it pt ja ko ru 汉语 漢語</t>
        </is>
      </c>
    </row>
    <row r="509" ht="57.75" customHeight="1" s="6">
      <c r="A509" s="1">
        <f t="array" ref="A509">INDIRECT(_xlfn.CONCAT("$I", $F509))</f>
        <v/>
      </c>
      <c r="B509" s="1">
        <f t="array" ref="B509">INDIRECT(_xlfn.CONCAT("$J", $F509))</f>
        <v/>
      </c>
      <c r="C509" s="1">
        <f t="array" ref="C509">INDIRECT(_xlfn.CONCAT("$K", $F509))</f>
        <v/>
      </c>
      <c r="D509" s="1" t="n"/>
      <c r="E509" s="1">
        <f t="array" ref="E509">INDIRECT(_xlfn.CONCAT("$L", $F509))</f>
        <v/>
      </c>
      <c r="F509" s="1">
        <f t="array" ref="F509">IF(NOT(OR(ISERROR(INDIRECT(_xlfn.CONCAT("$I", $F508 + 1))), ISBLANK(INDIRECT(_xlfn.CONCAT("$I", $F508 + 1))))), $F508 + 1, IF(NOT(ISBLANK(INDIRECT(_xlfn.CONCAT("$I", $F508 + 2)))), $F508 + 2, ""))</f>
        <v/>
      </c>
    </row>
    <row r="510" ht="57.75" customHeight="1" s="6">
      <c r="A510" s="1">
        <f t="array" ref="A510">INDIRECT(_xlfn.CONCAT("$I", $F510))</f>
        <v/>
      </c>
      <c r="B510" s="1">
        <f t="array" ref="B510">INDIRECT(_xlfn.CONCAT("$J", $F510))</f>
        <v/>
      </c>
      <c r="C510" s="1">
        <f t="array" ref="C510">INDIRECT(_xlfn.CONCAT("$K", $F510))</f>
        <v/>
      </c>
      <c r="D510" s="1" t="n"/>
      <c r="E510" s="1">
        <f t="array" ref="E510">INDIRECT(_xlfn.CONCAT("$L", $F510))</f>
        <v/>
      </c>
      <c r="F510" s="1">
        <f t="array" ref="F510">IF(NOT(OR(ISERROR(INDIRECT(_xlfn.CONCAT("$I", $F509 + 1))), ISBLANK(INDIRECT(_xlfn.CONCAT("$I", $F509 + 1))))), $F509 + 1, IF(NOT(ISBLANK(INDIRECT(_xlfn.CONCAT("$I", $F509 + 2)))), $F509 + 2, ""))</f>
        <v/>
      </c>
      <c r="I510" s="8" t="inlineStr">
        <is>
          <t>New Capenna Art Series ASNC</t>
        </is>
      </c>
      <c r="J510" s="8" t="n">
        <v>81</v>
      </c>
      <c r="K510" s="9" t="n">
        <v>44680</v>
      </c>
      <c r="L510" s="8" t="inlineStr">
        <is>
          <t>en es fr de it pt ja ko ru 汉语 漢語</t>
        </is>
      </c>
    </row>
    <row r="511" ht="68.25" customHeight="1" s="6">
      <c r="A511" s="1">
        <f t="array" ref="A511">INDIRECT(_xlfn.CONCAT("$I", $F511))</f>
        <v/>
      </c>
      <c r="B511" s="1">
        <f t="array" ref="B511">INDIRECT(_xlfn.CONCAT("$J", $F511))</f>
        <v/>
      </c>
      <c r="C511" s="1">
        <f t="array" ref="C511">INDIRECT(_xlfn.CONCAT("$K", $F511))</f>
        <v/>
      </c>
      <c r="D511" s="1" t="n"/>
      <c r="E511" s="1">
        <f t="array" ref="E511">INDIRECT(_xlfn.CONCAT("$L", $F511))</f>
        <v/>
      </c>
      <c r="F511" s="1">
        <f t="array" ref="F511">IF(NOT(OR(ISERROR(INDIRECT(_xlfn.CONCAT("$I", $F510 + 1))), ISBLANK(INDIRECT(_xlfn.CONCAT("$I", $F510 + 1))))), $F510 + 1, IF(NOT(ISBLANK(INDIRECT(_xlfn.CONCAT("$I", $F510 + 2)))), $F510 + 2, ""))</f>
        <v/>
      </c>
    </row>
    <row r="512" ht="81" customHeight="1" s="6">
      <c r="A512" s="1">
        <f t="array" ref="A512">INDIRECT(_xlfn.CONCAT("$I", $F512))</f>
        <v/>
      </c>
      <c r="B512" s="1">
        <f t="array" ref="B512">INDIRECT(_xlfn.CONCAT("$J", $F512))</f>
        <v/>
      </c>
      <c r="C512" s="1">
        <f t="array" ref="C512">INDIRECT(_xlfn.CONCAT("$K", $F512))</f>
        <v/>
      </c>
      <c r="D512" s="1" t="n"/>
      <c r="E512" s="1">
        <f t="array" ref="E512">INDIRECT(_xlfn.CONCAT("$L", $F512))</f>
        <v/>
      </c>
      <c r="F512" s="1">
        <f t="array" ref="F512">IF(NOT(OR(ISERROR(INDIRECT(_xlfn.CONCAT("$I", $F511 + 1))), ISBLANK(INDIRECT(_xlfn.CONCAT("$I", $F511 + 1))))), $F511 + 1, IF(NOT(ISBLANK(INDIRECT(_xlfn.CONCAT("$I", $F511 + 2)))), $F511 + 2, ""))</f>
        <v/>
      </c>
      <c r="I512" s="8" t="inlineStr">
        <is>
          <t>Game Day Promos GDY</t>
        </is>
      </c>
      <c r="J512" s="8" t="n">
        <v>9</v>
      </c>
      <c r="K512" s="9" t="n">
        <v>44659</v>
      </c>
      <c r="L512" s="8" t="inlineStr">
        <is>
          <t>en es fr de it pt ja ko ru 汉语 漢語</t>
        </is>
      </c>
    </row>
    <row r="513" ht="57.75" customHeight="1" s="6">
      <c r="A513" s="1">
        <f t="array" ref="A513">INDIRECT(_xlfn.CONCAT("$I", $F513))</f>
        <v/>
      </c>
      <c r="B513" s="1">
        <f t="array" ref="B513">INDIRECT(_xlfn.CONCAT("$J", $F513))</f>
        <v/>
      </c>
      <c r="C513" s="1">
        <f t="array" ref="C513">INDIRECT(_xlfn.CONCAT("$K", $F513))</f>
        <v/>
      </c>
      <c r="D513" s="1" t="n"/>
      <c r="E513" s="1">
        <f t="array" ref="E513">INDIRECT(_xlfn.CONCAT("$L", $F513))</f>
        <v/>
      </c>
      <c r="F513" s="1">
        <f t="array" ref="F513">IF(NOT(OR(ISERROR(INDIRECT(_xlfn.CONCAT("$I", $F512 + 1))), ISBLANK(INDIRECT(_xlfn.CONCAT("$I", $F512 + 1))))), $F512 + 1, IF(NOT(ISBLANK(INDIRECT(_xlfn.CONCAT("$I", $F512 + 2)))), $F512 + 2, ""))</f>
        <v/>
      </c>
    </row>
    <row r="514" ht="57.75" customHeight="1" s="6">
      <c r="A514" s="1">
        <f t="array" ref="A514">INDIRECT(_xlfn.CONCAT("$I", $F514))</f>
        <v/>
      </c>
      <c r="B514" s="1">
        <f t="array" ref="B514">INDIRECT(_xlfn.CONCAT("$J", $F514))</f>
        <v/>
      </c>
      <c r="C514" s="1">
        <f t="array" ref="C514">INDIRECT(_xlfn.CONCAT("$K", $F514))</f>
        <v/>
      </c>
      <c r="D514" s="1" t="n"/>
      <c r="E514" s="1">
        <f t="array" ref="E514">INDIRECT(_xlfn.CONCAT("$L", $F514))</f>
        <v/>
      </c>
      <c r="F514" s="1">
        <f t="array" ref="F514">IF(NOT(OR(ISERROR(INDIRECT(_xlfn.CONCAT("$I", $F513 + 1))), ISBLANK(INDIRECT(_xlfn.CONCAT("$I", $F513 + 1))))), $F513 + 1, IF(NOT(ISBLANK(INDIRECT(_xlfn.CONCAT("$I", $F513 + 2)))), $F513 + 2, ""))</f>
        <v/>
      </c>
      <c r="I514" s="8" t="inlineStr">
        <is>
          <t>Challenger Decks 2022 Q07</t>
        </is>
      </c>
      <c r="J514" s="8" t="n">
        <v>1</v>
      </c>
      <c r="K514" s="9" t="n">
        <v>44652</v>
      </c>
      <c r="L514" s="8" t="inlineStr">
        <is>
          <t>en es fr de it pt ja ko ru 汉语 漢語</t>
        </is>
      </c>
    </row>
    <row r="515" ht="57.75" customHeight="1" s="6">
      <c r="A515" s="1">
        <f t="array" ref="A515">INDIRECT(_xlfn.CONCAT("$I", $F515))</f>
        <v/>
      </c>
      <c r="B515" s="1">
        <f t="array" ref="B515">INDIRECT(_xlfn.CONCAT("$J", $F515))</f>
        <v/>
      </c>
      <c r="C515" s="1">
        <f t="array" ref="C515">INDIRECT(_xlfn.CONCAT("$K", $F515))</f>
        <v/>
      </c>
      <c r="D515" s="1" t="n"/>
      <c r="E515" s="1">
        <f t="array" ref="E515">INDIRECT(_xlfn.CONCAT("$L", $F515))</f>
        <v/>
      </c>
      <c r="F515" s="1">
        <f t="array" ref="F515">IF(NOT(OR(ISERROR(INDIRECT(_xlfn.CONCAT("$I", $F514 + 1))), ISBLANK(INDIRECT(_xlfn.CONCAT("$I", $F514 + 1))))), $F514 + 1, IF(NOT(ISBLANK(INDIRECT(_xlfn.CONCAT("$I", $F514 + 2)))), $F514 + 2, ""))</f>
        <v/>
      </c>
    </row>
    <row r="516" ht="57.75" customHeight="1" s="6">
      <c r="A516" s="1">
        <f t="array" ref="A516">INDIRECT(_xlfn.CONCAT("$I", $F516))</f>
        <v/>
      </c>
      <c r="B516" s="1">
        <f t="array" ref="B516">INDIRECT(_xlfn.CONCAT("$J", $F516))</f>
        <v/>
      </c>
      <c r="C516" s="1">
        <f t="array" ref="C516">INDIRECT(_xlfn.CONCAT("$K", $F516))</f>
        <v/>
      </c>
      <c r="D516" s="1" t="n"/>
      <c r="E516" s="1">
        <f t="array" ref="E516">INDIRECT(_xlfn.CONCAT("$L", $F516))</f>
        <v/>
      </c>
      <c r="F516" s="1">
        <f t="array" ref="F516">IF(NOT(OR(ISERROR(INDIRECT(_xlfn.CONCAT("$I", $F515 + 1))), ISBLANK(INDIRECT(_xlfn.CONCAT("$I", $F515 + 1))))), $F515 + 1, IF(NOT(ISBLANK(INDIRECT(_xlfn.CONCAT("$I", $F515 + 2)))), $F515 + 2, ""))</f>
        <v/>
      </c>
      <c r="I516" s="8" t="inlineStr">
        <is>
          <t>Wizards Play Network 2022 PW22</t>
        </is>
      </c>
      <c r="J516" s="8" t="n">
        <v>6</v>
      </c>
      <c r="K516" s="9" t="n">
        <v>44625</v>
      </c>
      <c r="L516" s="8" t="inlineStr">
        <is>
          <t>en es fr de it pt ja ko ru 汉语 漢語</t>
        </is>
      </c>
    </row>
    <row r="517" ht="57.75" customHeight="1" s="6">
      <c r="A517" s="1">
        <f t="array" ref="A517">INDIRECT(_xlfn.CONCAT("$I", $F517))</f>
        <v/>
      </c>
      <c r="B517" s="1">
        <f t="array" ref="B517">INDIRECT(_xlfn.CONCAT("$J", $F517))</f>
        <v/>
      </c>
      <c r="C517" s="1">
        <f t="array" ref="C517">INDIRECT(_xlfn.CONCAT("$K", $F517))</f>
        <v/>
      </c>
      <c r="D517" s="1" t="n"/>
      <c r="E517" s="1">
        <f t="array" ref="E517">INDIRECT(_xlfn.CONCAT("$L", $F517))</f>
        <v/>
      </c>
      <c r="F517" s="1">
        <f t="array" ref="F517">IF(NOT(OR(ISERROR(INDIRECT(_xlfn.CONCAT("$I", $F516 + 1))), ISBLANK(INDIRECT(_xlfn.CONCAT("$I", $F516 + 1))))), $F516 + 1, IF(NOT(ISBLANK(INDIRECT(_xlfn.CONCAT("$I", $F516 + 2)))), $F516 + 2, ""))</f>
        <v/>
      </c>
    </row>
    <row r="518" ht="57.75" customHeight="1" s="6">
      <c r="A518" s="1">
        <f t="array" ref="A518">INDIRECT(_xlfn.CONCAT("$I", $F518))</f>
        <v/>
      </c>
      <c r="B518" s="1">
        <f t="array" ref="B518">INDIRECT(_xlfn.CONCAT("$J", $F518))</f>
        <v/>
      </c>
      <c r="C518" s="1">
        <f t="array" ref="C518">INDIRECT(_xlfn.CONCAT("$K", $F518))</f>
        <v/>
      </c>
      <c r="D518" s="1" t="n"/>
      <c r="E518" s="1">
        <f t="array" ref="E518">INDIRECT(_xlfn.CONCAT("$L", $F518))</f>
        <v/>
      </c>
      <c r="F518" s="1">
        <f t="array" ref="F518">IF(NOT(OR(ISERROR(INDIRECT(_xlfn.CONCAT("$I", $F517 + 1))), ISBLANK(INDIRECT(_xlfn.CONCAT("$I", $F517 + 1))))), $F517 + 1, IF(NOT(ISBLANK(INDIRECT(_xlfn.CONCAT("$I", $F517 + 2)))), $F517 + 2, ""))</f>
        <v/>
      </c>
      <c r="I518" s="8" t="inlineStr">
        <is>
          <t>Year of the Tiger 2022 PL22</t>
        </is>
      </c>
      <c r="J518" s="8" t="n">
        <v>5</v>
      </c>
      <c r="K518" s="9" t="n">
        <v>44617</v>
      </c>
      <c r="L518" t="inlineStr">
        <is>
          <t>en es fr de it pt ja ko ru 汉语 漢語</t>
        </is>
      </c>
    </row>
    <row r="519" ht="57.75" customHeight="1" s="6">
      <c r="A519" s="1">
        <f t="array" ref="A519">INDIRECT(_xlfn.CONCAT("$I", $F519))</f>
        <v/>
      </c>
      <c r="B519" s="1">
        <f t="array" ref="B519">INDIRECT(_xlfn.CONCAT("$J", $F519))</f>
        <v/>
      </c>
      <c r="C519" s="1">
        <f t="array" ref="C519">INDIRECT(_xlfn.CONCAT("$K", $F519))</f>
        <v/>
      </c>
      <c r="D519" s="1" t="n"/>
      <c r="E519" s="1">
        <f t="array" ref="E519">INDIRECT(_xlfn.CONCAT("$L", $F519))</f>
        <v/>
      </c>
      <c r="F519" s="1">
        <f t="array" ref="F519">IF(NOT(OR(ISERROR(INDIRECT(_xlfn.CONCAT("$I", $F518 + 1))), ISBLANK(INDIRECT(_xlfn.CONCAT("$I", $F518 + 1))))), $F518 + 1, IF(NOT(ISBLANK(INDIRECT(_xlfn.CONCAT("$I", $F518 + 2)))), $F518 + 2, ""))</f>
        <v/>
      </c>
    </row>
    <row r="520" ht="57.75" customHeight="1" s="6">
      <c r="A520" s="1">
        <f t="array" ref="A520">INDIRECT(_xlfn.CONCAT("$I", $F520))</f>
        <v/>
      </c>
      <c r="B520" s="1">
        <f t="array" ref="B520">INDIRECT(_xlfn.CONCAT("$J", $F520))</f>
        <v/>
      </c>
      <c r="C520" s="1">
        <f t="array" ref="C520">INDIRECT(_xlfn.CONCAT("$K", $F520))</f>
        <v/>
      </c>
      <c r="D520" s="1" t="n"/>
      <c r="E520" s="1">
        <f t="array" ref="E520">INDIRECT(_xlfn.CONCAT("$L", $F520))</f>
        <v/>
      </c>
      <c r="F520" s="1">
        <f t="array" ref="F520">IF(NOT(OR(ISERROR(INDIRECT(_xlfn.CONCAT("$I", $F519 + 1))), ISBLANK(INDIRECT(_xlfn.CONCAT("$I", $F519 + 1))))), $F519 + 1, IF(NOT(ISBLANK(INDIRECT(_xlfn.CONCAT("$I", $F519 + 2)))), $F519 + 2, ""))</f>
        <v/>
      </c>
      <c r="I520" s="8" t="inlineStr">
        <is>
          <t>Kamigawa: Neon Dynasty NEO</t>
        </is>
      </c>
      <c r="J520" s="8" t="n">
        <v>531</v>
      </c>
      <c r="K520" s="9" t="n">
        <v>44610</v>
      </c>
      <c r="L520" t="inlineStr">
        <is>
          <t>en es fr de it pt ja ko ru 汉语 漢語</t>
        </is>
      </c>
    </row>
    <row r="521" ht="41.25" customHeight="1" s="6">
      <c r="A521" s="1">
        <f t="array" ref="A521">INDIRECT(_xlfn.CONCAT("$I", $F521))</f>
        <v/>
      </c>
      <c r="B521" s="1">
        <f t="array" ref="B521">INDIRECT(_xlfn.CONCAT("$J", $F521))</f>
        <v/>
      </c>
      <c r="C521" s="1">
        <f t="array" ref="C521">INDIRECT(_xlfn.CONCAT("$K", $F521))</f>
        <v/>
      </c>
      <c r="D521" s="1" t="n"/>
      <c r="E521" s="1">
        <f t="array" ref="E521">INDIRECT(_xlfn.CONCAT("$L", $F521))</f>
        <v/>
      </c>
      <c r="F521" s="1">
        <f t="array" ref="F521">IF(NOT(OR(ISERROR(INDIRECT(_xlfn.CONCAT("$I", $F520 + 1))), ISBLANK(INDIRECT(_xlfn.CONCAT("$I", $F520 + 1))))), $F520 + 1, IF(NOT(ISBLANK(INDIRECT(_xlfn.CONCAT("$I", $F520 + 2)))), $F520 + 2, ""))</f>
        <v/>
      </c>
    </row>
    <row r="522" ht="57.75" customHeight="1" s="6">
      <c r="A522" s="1">
        <f t="array" ref="A522">INDIRECT(_xlfn.CONCAT("$I", $F522))</f>
        <v/>
      </c>
      <c r="B522" s="1">
        <f t="array" ref="B522">INDIRECT(_xlfn.CONCAT("$J", $F522))</f>
        <v/>
      </c>
      <c r="C522" s="1">
        <f t="array" ref="C522">INDIRECT(_xlfn.CONCAT("$K", $F522))</f>
        <v/>
      </c>
      <c r="D522" s="1" t="n"/>
      <c r="E522" s="1">
        <f t="array" ref="E522">INDIRECT(_xlfn.CONCAT("$L", $F522))</f>
        <v/>
      </c>
      <c r="F522" s="1">
        <f t="array" ref="F522">IF(NOT(OR(ISERROR(INDIRECT(_xlfn.CONCAT("$I", $F521 + 1))), ISBLANK(INDIRECT(_xlfn.CONCAT("$I", $F521 + 1))))), $F521 + 1, IF(NOT(ISBLANK(INDIRECT(_xlfn.CONCAT("$I", $F521 + 2)))), $F521 + 2, ""))</f>
        <v/>
      </c>
      <c r="I522" s="8" t="inlineStr">
        <is>
          <t>Kamigawa: Neon Dynasty Promos PNEO</t>
        </is>
      </c>
      <c r="J522" s="8" t="n">
        <v>148</v>
      </c>
      <c r="K522" s="9" t="n">
        <v>44610</v>
      </c>
      <c r="L522" s="8" t="inlineStr">
        <is>
          <t>en es fr de it pt ja ko ru 汉语 漢語</t>
        </is>
      </c>
    </row>
    <row r="523" ht="57.75" customHeight="1" s="6">
      <c r="A523" s="1">
        <f t="array" ref="A523">INDIRECT(_xlfn.CONCAT("$I", $F523))</f>
        <v/>
      </c>
      <c r="B523" s="1">
        <f t="array" ref="B523">INDIRECT(_xlfn.CONCAT("$J", $F523))</f>
        <v/>
      </c>
      <c r="C523" s="1">
        <f t="array" ref="C523">INDIRECT(_xlfn.CONCAT("$K", $F523))</f>
        <v/>
      </c>
      <c r="D523" s="1" t="n"/>
      <c r="E523" s="1">
        <f t="array" ref="E523">INDIRECT(_xlfn.CONCAT("$L", $F523))</f>
        <v/>
      </c>
      <c r="F523" s="1">
        <f t="array" ref="F523">IF(NOT(OR(ISERROR(INDIRECT(_xlfn.CONCAT("$I", $F522 + 1))), ISBLANK(INDIRECT(_xlfn.CONCAT("$I", $F522 + 1))))), $F522 + 1, IF(NOT(ISBLANK(INDIRECT(_xlfn.CONCAT("$I", $F522 + 2)))), $F522 + 2, ""))</f>
        <v/>
      </c>
    </row>
    <row r="524" ht="57.75" customHeight="1" s="6">
      <c r="A524" s="1">
        <f t="array" ref="A524">INDIRECT(_xlfn.CONCAT("$I", $F524))</f>
        <v/>
      </c>
      <c r="B524" s="1">
        <f t="array" ref="B524">INDIRECT(_xlfn.CONCAT("$J", $F524))</f>
        <v/>
      </c>
      <c r="C524" s="1">
        <f t="array" ref="C524">INDIRECT(_xlfn.CONCAT("$K", $F524))</f>
        <v/>
      </c>
      <c r="D524" s="1" t="n"/>
      <c r="E524" s="1">
        <f t="array" ref="E524">INDIRECT(_xlfn.CONCAT("$L", $F524))</f>
        <v/>
      </c>
      <c r="F524" s="1">
        <f t="array" ref="F524">IF(NOT(OR(ISERROR(INDIRECT(_xlfn.CONCAT("$I", $F523 + 1))), ISBLANK(INDIRECT(_xlfn.CONCAT("$I", $F523 + 1))))), $F523 + 1, IF(NOT(ISBLANK(INDIRECT(_xlfn.CONCAT("$I", $F523 + 2)))), $F523 + 2, ""))</f>
        <v/>
      </c>
      <c r="I524" s="8" t="inlineStr">
        <is>
          <t>Kamigawa: Neon Dynasty Tokens TNEO</t>
        </is>
      </c>
      <c r="J524" s="8" t="n">
        <v>19</v>
      </c>
      <c r="K524" s="9" t="n">
        <v>44610</v>
      </c>
      <c r="L524" s="8" t="inlineStr">
        <is>
          <t>en es fr de it pt ja ko ru 汉语 漢語</t>
        </is>
      </c>
    </row>
    <row r="525" ht="57.75" customHeight="1" s="6">
      <c r="A525" s="1">
        <f t="array" ref="A525">INDIRECT(_xlfn.CONCAT("$I", $F525))</f>
        <v/>
      </c>
      <c r="B525" s="1">
        <f t="array" ref="B525">INDIRECT(_xlfn.CONCAT("$J", $F525))</f>
        <v/>
      </c>
      <c r="C525" s="1">
        <f t="array" ref="C525">INDIRECT(_xlfn.CONCAT("$K", $F525))</f>
        <v/>
      </c>
      <c r="D525" s="1" t="n"/>
      <c r="E525" s="1">
        <f t="array" ref="E525">INDIRECT(_xlfn.CONCAT("$L", $F525))</f>
        <v/>
      </c>
      <c r="F525" s="1">
        <f t="array" ref="F525">IF(NOT(OR(ISERROR(INDIRECT(_xlfn.CONCAT("$I", $F524 + 1))), ISBLANK(INDIRECT(_xlfn.CONCAT("$I", $F524 + 1))))), $F524 + 1, IF(NOT(ISBLANK(INDIRECT(_xlfn.CONCAT("$I", $F524 + 2)))), $F524 + 2, ""))</f>
        <v/>
      </c>
    </row>
    <row r="526" ht="57.75" customHeight="1" s="6">
      <c r="A526" s="1">
        <f t="array" ref="A526">INDIRECT(_xlfn.CONCAT("$I", $F526))</f>
        <v/>
      </c>
      <c r="B526" s="1">
        <f t="array" ref="B526">INDIRECT(_xlfn.CONCAT("$J", $F526))</f>
        <v/>
      </c>
      <c r="C526" s="1">
        <f t="array" ref="C526">INDIRECT(_xlfn.CONCAT("$K", $F526))</f>
        <v/>
      </c>
      <c r="D526" s="1" t="n"/>
      <c r="E526" s="1">
        <f t="array" ref="E526">INDIRECT(_xlfn.CONCAT("$L", $F526))</f>
        <v/>
      </c>
      <c r="F526" s="1">
        <f t="array" ref="F526">IF(NOT(OR(ISERROR(INDIRECT(_xlfn.CONCAT("$I", $F525 + 1))), ISBLANK(INDIRECT(_xlfn.CONCAT("$I", $F525 + 1))))), $F525 + 1, IF(NOT(ISBLANK(INDIRECT(_xlfn.CONCAT("$I", $F525 + 2)))), $F525 + 2, ""))</f>
        <v/>
      </c>
      <c r="I526" s="8" t="inlineStr">
        <is>
          <t>Alchemy: Kamigawa YNEO</t>
        </is>
      </c>
      <c r="J526" s="8" t="n">
        <v>30</v>
      </c>
      <c r="K526" s="9" t="n">
        <v>44637</v>
      </c>
      <c r="L526" s="8" t="inlineStr">
        <is>
          <t>en es fr de it pt ja ko ru 汉语 漢語</t>
        </is>
      </c>
    </row>
    <row r="527" ht="57.75" customHeight="1" s="6">
      <c r="A527" s="1">
        <f t="array" ref="A527">INDIRECT(_xlfn.CONCAT("$I", $F527))</f>
        <v/>
      </c>
      <c r="B527" s="1">
        <f t="array" ref="B527">INDIRECT(_xlfn.CONCAT("$J", $F527))</f>
        <v/>
      </c>
      <c r="C527" s="1">
        <f t="array" ref="C527">INDIRECT(_xlfn.CONCAT("$K", $F527))</f>
        <v/>
      </c>
      <c r="D527" s="1" t="n"/>
      <c r="E527" s="1">
        <f t="array" ref="E527">INDIRECT(_xlfn.CONCAT("$L", $F527))</f>
        <v/>
      </c>
      <c r="F527" s="1">
        <f t="array" ref="F527">IF(NOT(OR(ISERROR(INDIRECT(_xlfn.CONCAT("$I", $F526 + 1))), ISBLANK(INDIRECT(_xlfn.CONCAT("$I", $F526 + 1))))), $F526 + 1, IF(NOT(ISBLANK(INDIRECT(_xlfn.CONCAT("$I", $F526 + 2)))), $F526 + 2, ""))</f>
        <v/>
      </c>
    </row>
    <row r="528" ht="57.75" customHeight="1" s="6">
      <c r="A528" s="1">
        <f t="array" ref="A528">INDIRECT(_xlfn.CONCAT("$I", $F528))</f>
        <v/>
      </c>
      <c r="B528" s="1">
        <f t="array" ref="B528">INDIRECT(_xlfn.CONCAT("$J", $F528))</f>
        <v/>
      </c>
      <c r="C528" s="1">
        <f t="array" ref="C528">INDIRECT(_xlfn.CONCAT("$K", $F528))</f>
        <v/>
      </c>
      <c r="D528" s="1" t="n"/>
      <c r="E528" s="1">
        <f t="array" ref="E528">INDIRECT(_xlfn.CONCAT("$L", $F528))</f>
        <v/>
      </c>
      <c r="F528" s="1">
        <f t="array" ref="F528">IF(NOT(OR(ISERROR(INDIRECT(_xlfn.CONCAT("$I", $F527 + 1))), ISBLANK(INDIRECT(_xlfn.CONCAT("$I", $F527 + 1))))), $F527 + 1, IF(NOT(ISBLANK(INDIRECT(_xlfn.CONCAT("$I", $F527 + 2)))), $F527 + 2, ""))</f>
        <v/>
      </c>
      <c r="I528" s="8" t="inlineStr">
        <is>
          <t>Kamigawa: Neon Dynasty Minigames MNEO</t>
        </is>
      </c>
      <c r="J528" s="8" t="n">
        <v>3</v>
      </c>
      <c r="K528" s="9" t="n">
        <v>44610</v>
      </c>
      <c r="L528" s="8" t="inlineStr">
        <is>
          <t>en es fr de it pt ja ko ru 汉语 漢語</t>
        </is>
      </c>
    </row>
    <row r="529" ht="57.75" customHeight="1" s="6">
      <c r="A529" s="1">
        <f t="array" ref="A529">INDIRECT(_xlfn.CONCAT("$I", $F529))</f>
        <v/>
      </c>
      <c r="B529" s="1">
        <f t="array" ref="B529">INDIRECT(_xlfn.CONCAT("$J", $F529))</f>
        <v/>
      </c>
      <c r="C529" s="1">
        <f t="array" ref="C529">INDIRECT(_xlfn.CONCAT("$K", $F529))</f>
        <v/>
      </c>
      <c r="D529" s="1" t="n"/>
      <c r="E529" s="1">
        <f t="array" ref="E529">INDIRECT(_xlfn.CONCAT("$L", $F529))</f>
        <v/>
      </c>
      <c r="F529" s="1">
        <f t="array" ref="F529">IF(NOT(OR(ISERROR(INDIRECT(_xlfn.CONCAT("$I", $F528 + 1))), ISBLANK(INDIRECT(_xlfn.CONCAT("$I", $F528 + 1))))), $F528 + 1, IF(NOT(ISBLANK(INDIRECT(_xlfn.CONCAT("$I", $F528 + 2)))), $F528 + 2, ""))</f>
        <v/>
      </c>
    </row>
    <row r="530" ht="68.25" customHeight="1" s="6">
      <c r="A530" s="1">
        <f t="array" ref="A530">INDIRECT(_xlfn.CONCAT("$I", $F530))</f>
        <v/>
      </c>
      <c r="B530" s="1">
        <f t="array" ref="B530">INDIRECT(_xlfn.CONCAT("$J", $F530))</f>
        <v/>
      </c>
      <c r="C530" s="1">
        <f t="array" ref="C530">INDIRECT(_xlfn.CONCAT("$K", $F530))</f>
        <v/>
      </c>
      <c r="D530" s="1" t="n"/>
      <c r="E530" s="1">
        <f t="array" ref="E530">INDIRECT(_xlfn.CONCAT("$L", $F530))</f>
        <v/>
      </c>
      <c r="F530" s="1">
        <f t="array" ref="F530">IF(NOT(OR(ISERROR(INDIRECT(_xlfn.CONCAT("$I", $F529 + 1))), ISBLANK(INDIRECT(_xlfn.CONCAT("$I", $F529 + 1))))), $F529 + 1, IF(NOT(ISBLANK(INDIRECT(_xlfn.CONCAT("$I", $F529 + 2)))), $F529 + 2, ""))</f>
        <v/>
      </c>
      <c r="I530" s="8" t="inlineStr">
        <is>
          <t>Kamigawa: Neon Dynasty Substitute Cards SNEO</t>
        </is>
      </c>
      <c r="J530" s="8" t="n">
        <v>9</v>
      </c>
      <c r="K530" s="9" t="n">
        <v>44610</v>
      </c>
      <c r="L530" s="8" t="inlineStr">
        <is>
          <t>en es fr de it pt ja ko ru 汉语 漢語</t>
        </is>
      </c>
    </row>
    <row r="531" ht="68.25" customHeight="1" s="6">
      <c r="A531" s="1">
        <f t="array" ref="A531">INDIRECT(_xlfn.CONCAT("$I", $F531))</f>
        <v/>
      </c>
      <c r="B531" s="1">
        <f t="array" ref="B531">INDIRECT(_xlfn.CONCAT("$J", $F531))</f>
        <v/>
      </c>
      <c r="C531" s="1">
        <f t="array" ref="C531">INDIRECT(_xlfn.CONCAT("$K", $F531))</f>
        <v/>
      </c>
      <c r="D531" s="1" t="n"/>
      <c r="E531" s="1">
        <f t="array" ref="E531">INDIRECT(_xlfn.CONCAT("$L", $F531))</f>
        <v/>
      </c>
      <c r="F531" s="1">
        <f t="array" ref="F531">IF(NOT(OR(ISERROR(INDIRECT(_xlfn.CONCAT("$I", $F530 + 1))), ISBLANK(INDIRECT(_xlfn.CONCAT("$I", $F530 + 1))))), $F530 + 1, IF(NOT(ISBLANK(INDIRECT(_xlfn.CONCAT("$I", $F530 + 2)))), $F530 + 2, ""))</f>
        <v/>
      </c>
    </row>
    <row r="532" ht="57.75" customHeight="1" s="6">
      <c r="A532" s="1">
        <f t="array" ref="A532">INDIRECT(_xlfn.CONCAT("$I", $F532))</f>
        <v/>
      </c>
      <c r="B532" s="1">
        <f t="array" ref="B532">INDIRECT(_xlfn.CONCAT("$J", $F532))</f>
        <v/>
      </c>
      <c r="C532" s="1">
        <f t="array" ref="C532">INDIRECT(_xlfn.CONCAT("$K", $F532))</f>
        <v/>
      </c>
      <c r="D532" s="1" t="n"/>
      <c r="E532" s="1">
        <f t="array" ref="E532">INDIRECT(_xlfn.CONCAT("$L", $F532))</f>
        <v/>
      </c>
      <c r="F532" s="1">
        <f t="array" ref="F532">IF(NOT(OR(ISERROR(INDIRECT(_xlfn.CONCAT("$I", $F531 + 1))), ISBLANK(INDIRECT(_xlfn.CONCAT("$I", $F531 + 1))))), $F531 + 1, IF(NOT(ISBLANK(INDIRECT(_xlfn.CONCAT("$I", $F531 + 2)))), $F531 + 2, ""))</f>
        <v/>
      </c>
      <c r="I532" s="8" t="inlineStr">
        <is>
          <t>Neon Dynasty Commander NEC</t>
        </is>
      </c>
      <c r="J532" s="8" t="n">
        <v>179</v>
      </c>
      <c r="K532" s="9" t="n">
        <v>44610</v>
      </c>
      <c r="L532" t="inlineStr">
        <is>
          <t>en es fr de it pt ja ko ru 汉语 漢語</t>
        </is>
      </c>
    </row>
    <row r="533" ht="68.25" customHeight="1" s="6">
      <c r="A533" s="1">
        <f t="array" ref="A533">INDIRECT(_xlfn.CONCAT("$I", $F533))</f>
        <v/>
      </c>
      <c r="B533" s="1">
        <f t="array" ref="B533">INDIRECT(_xlfn.CONCAT("$J", $F533))</f>
        <v/>
      </c>
      <c r="C533" s="1">
        <f t="array" ref="C533">INDIRECT(_xlfn.CONCAT("$K", $F533))</f>
        <v/>
      </c>
      <c r="D533" s="1" t="n"/>
      <c r="E533" s="1">
        <f t="array" ref="E533">INDIRECT(_xlfn.CONCAT("$L", $F533))</f>
        <v/>
      </c>
      <c r="F533" s="1">
        <f t="array" ref="F533">IF(NOT(OR(ISERROR(INDIRECT(_xlfn.CONCAT("$I", $F532 + 1))), ISBLANK(INDIRECT(_xlfn.CONCAT("$I", $F532 + 1))))), $F532 + 1, IF(NOT(ISBLANK(INDIRECT(_xlfn.CONCAT("$I", $F532 + 2)))), $F532 + 2, ""))</f>
        <v/>
      </c>
    </row>
    <row r="534" ht="57.75" customHeight="1" s="6">
      <c r="A534" s="1">
        <f t="array" ref="A534">INDIRECT(_xlfn.CONCAT("$I", $F534))</f>
        <v/>
      </c>
      <c r="B534" s="1">
        <f t="array" ref="B534">INDIRECT(_xlfn.CONCAT("$J", $F534))</f>
        <v/>
      </c>
      <c r="C534" s="1">
        <f t="array" ref="C534">INDIRECT(_xlfn.CONCAT("$K", $F534))</f>
        <v/>
      </c>
      <c r="D534" s="1" t="n"/>
      <c r="E534" s="1">
        <f t="array" ref="E534">INDIRECT(_xlfn.CONCAT("$L", $F534))</f>
        <v/>
      </c>
      <c r="F534" s="1">
        <f t="array" ref="F534">IF(NOT(OR(ISERROR(INDIRECT(_xlfn.CONCAT("$I", $F533 + 1))), ISBLANK(INDIRECT(_xlfn.CONCAT("$I", $F533 + 1))))), $F533 + 1, IF(NOT(ISBLANK(INDIRECT(_xlfn.CONCAT("$I", $F533 + 2)))), $F533 + 2, ""))</f>
        <v/>
      </c>
      <c r="I534" s="8" t="inlineStr">
        <is>
          <t>Neon Dynasty Commander Tokens TNEC</t>
        </is>
      </c>
      <c r="J534" s="8" t="n">
        <v>12</v>
      </c>
      <c r="K534" s="9" t="n">
        <v>44610</v>
      </c>
      <c r="L534" s="8" t="inlineStr">
        <is>
          <t>en es fr de it pt ja ko ru 汉语 漢語</t>
        </is>
      </c>
    </row>
    <row r="535" ht="57.75" customHeight="1" s="6">
      <c r="A535" s="1">
        <f t="array" ref="A535">INDIRECT(_xlfn.CONCAT("$I", $F535))</f>
        <v/>
      </c>
      <c r="B535" s="1">
        <f t="array" ref="B535">INDIRECT(_xlfn.CONCAT("$J", $F535))</f>
        <v/>
      </c>
      <c r="C535" s="1">
        <f t="array" ref="C535">INDIRECT(_xlfn.CONCAT("$K", $F535))</f>
        <v/>
      </c>
      <c r="D535" s="1" t="n"/>
      <c r="E535" s="1">
        <f t="array" ref="E535">INDIRECT(_xlfn.CONCAT("$L", $F535))</f>
        <v/>
      </c>
      <c r="F535" s="1">
        <f t="array" ref="F535">IF(NOT(OR(ISERROR(INDIRECT(_xlfn.CONCAT("$I", $F534 + 1))), ISBLANK(INDIRECT(_xlfn.CONCAT("$I", $F534 + 1))))), $F534 + 1, IF(NOT(ISBLANK(INDIRECT(_xlfn.CONCAT("$I", $F534 + 2)))), $F534 + 2, ""))</f>
        <v/>
      </c>
    </row>
    <row r="536" ht="57.75" customHeight="1" s="6">
      <c r="A536" s="1">
        <f t="array" ref="A536">INDIRECT(_xlfn.CONCAT("$I", $F536))</f>
        <v/>
      </c>
      <c r="B536" s="1">
        <f t="array" ref="B536">INDIRECT(_xlfn.CONCAT("$J", $F536))</f>
        <v/>
      </c>
      <c r="C536" s="1">
        <f t="array" ref="C536">INDIRECT(_xlfn.CONCAT("$K", $F536))</f>
        <v/>
      </c>
      <c r="D536" s="1" t="n"/>
      <c r="E536" s="1">
        <f t="array" ref="E536">INDIRECT(_xlfn.CONCAT("$L", $F536))</f>
        <v/>
      </c>
      <c r="F536" s="1">
        <f t="array" ref="F536">IF(NOT(OR(ISERROR(INDIRECT(_xlfn.CONCAT("$I", $F535 + 1))), ISBLANK(INDIRECT(_xlfn.CONCAT("$I", $F535 + 1))))), $F535 + 1, IF(NOT(ISBLANK(INDIRECT(_xlfn.CONCAT("$I", $F535 + 2)))), $F535 + 2, ""))</f>
        <v/>
      </c>
      <c r="I536" s="8" t="inlineStr">
        <is>
          <t>Neon Dynasty Art Series ANEO</t>
        </is>
      </c>
      <c r="J536" s="8" t="n">
        <v>81</v>
      </c>
      <c r="K536" s="9" t="n">
        <v>44610</v>
      </c>
      <c r="L536" s="8" t="inlineStr">
        <is>
          <t>en es fr de it pt ja ko ru 汉语 漢語</t>
        </is>
      </c>
    </row>
    <row r="537" ht="57.75" customHeight="1" s="6">
      <c r="A537" s="1">
        <f t="array" ref="A537">INDIRECT(_xlfn.CONCAT("$I", $F537))</f>
        <v/>
      </c>
      <c r="B537" s="1">
        <f t="array" ref="B537">INDIRECT(_xlfn.CONCAT("$J", $F537))</f>
        <v/>
      </c>
      <c r="C537" s="1">
        <f t="array" ref="C537">INDIRECT(_xlfn.CONCAT("$K", $F537))</f>
        <v/>
      </c>
      <c r="D537" s="1" t="n"/>
      <c r="E537" s="1">
        <f t="array" ref="E537">INDIRECT(_xlfn.CONCAT("$L", $F537))</f>
        <v/>
      </c>
      <c r="F537" s="1">
        <f t="array" ref="F537">IF(NOT(OR(ISERROR(INDIRECT(_xlfn.CONCAT("$I", $F536 + 1))), ISBLANK(INDIRECT(_xlfn.CONCAT("$I", $F536 + 1))))), $F536 + 1, IF(NOT(ISBLANK(INDIRECT(_xlfn.CONCAT("$I", $F536 + 2)))), $F536 + 2, ""))</f>
        <v/>
      </c>
    </row>
    <row r="538" ht="57.75" customHeight="1" s="6">
      <c r="A538" s="1">
        <f t="array" ref="A538">INDIRECT(_xlfn.CONCAT("$I", $F538))</f>
        <v/>
      </c>
      <c r="B538" s="1">
        <f t="array" ref="B538">INDIRECT(_xlfn.CONCAT("$J", $F538))</f>
        <v/>
      </c>
      <c r="C538" s="1">
        <f t="array" ref="C538">INDIRECT(_xlfn.CONCAT("$K", $F538))</f>
        <v/>
      </c>
      <c r="D538" s="1" t="n"/>
      <c r="E538" s="1">
        <f t="array" ref="E538">INDIRECT(_xlfn.CONCAT("$L", $F538))</f>
        <v/>
      </c>
      <c r="F538" s="1">
        <f t="array" ref="F538">IF(NOT(OR(ISERROR(INDIRECT(_xlfn.CONCAT("$I", $F537 + 1))), ISBLANK(INDIRECT(_xlfn.CONCAT("$I", $F537 + 1))))), $F537 + 1, IF(NOT(ISBLANK(INDIRECT(_xlfn.CONCAT("$I", $F537 + 2)))), $F537 + 2, ""))</f>
        <v/>
      </c>
      <c r="I538" s="8" t="inlineStr">
        <is>
          <t>Commander Collection: Black CC2</t>
        </is>
      </c>
      <c r="J538" s="8" t="n">
        <v>9</v>
      </c>
      <c r="K538" s="9" t="n">
        <v>44589</v>
      </c>
      <c r="L538" s="8" t="inlineStr">
        <is>
          <t>en es fr de it pt ja ko ru 汉语 漢語</t>
        </is>
      </c>
    </row>
    <row r="539" ht="41.25" customHeight="1" s="6">
      <c r="A539" s="1">
        <f t="array" ref="A539">INDIRECT(_xlfn.CONCAT("$I", $F539))</f>
        <v/>
      </c>
      <c r="B539" s="1">
        <f t="array" ref="B539">INDIRECT(_xlfn.CONCAT("$J", $F539))</f>
        <v/>
      </c>
      <c r="C539" s="1">
        <f t="array" ref="C539">INDIRECT(_xlfn.CONCAT("$K", $F539))</f>
        <v/>
      </c>
      <c r="D539" s="1" t="n"/>
      <c r="E539" s="1">
        <f t="array" ref="E539">INDIRECT(_xlfn.CONCAT("$L", $F539))</f>
        <v/>
      </c>
      <c r="F539" s="1">
        <f t="array" ref="F539">IF(NOT(OR(ISERROR(INDIRECT(_xlfn.CONCAT("$I", $F538 + 1))), ISBLANK(INDIRECT(_xlfn.CONCAT("$I", $F538 + 1))))), $F538 + 1, IF(NOT(ISBLANK(INDIRECT(_xlfn.CONCAT("$I", $F538 + 2)))), $F538 + 2, ""))</f>
        <v/>
      </c>
    </row>
    <row r="540" ht="57.75" customHeight="1" s="6">
      <c r="A540" s="1">
        <f t="array" ref="A540">INDIRECT(_xlfn.CONCAT("$I", $F540))</f>
        <v/>
      </c>
      <c r="B540" s="1">
        <f t="array" ref="B540">INDIRECT(_xlfn.CONCAT("$J", $F540))</f>
        <v/>
      </c>
      <c r="C540" s="1">
        <f t="array" ref="C540">INDIRECT(_xlfn.CONCAT("$K", $F540))</f>
        <v/>
      </c>
      <c r="D540" s="1" t="n"/>
      <c r="E540" s="1">
        <f t="array" ref="E540">INDIRECT(_xlfn.CONCAT("$L", $F540))</f>
        <v/>
      </c>
      <c r="F540" s="1">
        <f t="array" ref="F540">IF(NOT(OR(ISERROR(INDIRECT(_xlfn.CONCAT("$I", $F539 + 1))), ISBLANK(INDIRECT(_xlfn.CONCAT("$I", $F539 + 1))))), $F539 + 1, IF(NOT(ISBLANK(INDIRECT(_xlfn.CONCAT("$I", $F539 + 2)))), $F539 + 2, ""))</f>
        <v/>
      </c>
      <c r="I540" s="8" t="inlineStr">
        <is>
          <t>Innistrad: Double Feature DBL</t>
        </is>
      </c>
      <c r="J540" s="8" t="n">
        <v>535</v>
      </c>
      <c r="K540" s="9" t="n">
        <v>44589</v>
      </c>
      <c r="L540" s="8" t="inlineStr">
        <is>
          <t>en es fr de it pt ja ko ru 汉语 漢語</t>
        </is>
      </c>
    </row>
    <row r="541" ht="81" customHeight="1" s="6">
      <c r="A541" s="1">
        <f t="array" ref="A541">INDIRECT(_xlfn.CONCAT("$I", $F541))</f>
        <v/>
      </c>
      <c r="B541" s="1">
        <f t="array" ref="B541">INDIRECT(_xlfn.CONCAT("$J", $F541))</f>
        <v/>
      </c>
      <c r="C541" s="1">
        <f t="array" ref="C541">INDIRECT(_xlfn.CONCAT("$K", $F541))</f>
        <v/>
      </c>
      <c r="D541" s="1" t="n"/>
      <c r="E541" s="1">
        <f t="array" ref="E541">INDIRECT(_xlfn.CONCAT("$L", $F541))</f>
        <v/>
      </c>
      <c r="F541" s="1">
        <f t="array" ref="F541">IF(NOT(OR(ISERROR(INDIRECT(_xlfn.CONCAT("$I", $F540 + 1))), ISBLANK(INDIRECT(_xlfn.CONCAT("$I", $F540 + 1))))), $F540 + 1, IF(NOT(ISBLANK(INDIRECT(_xlfn.CONCAT("$I", $F540 + 2)))), $F540 + 2, ""))</f>
        <v/>
      </c>
    </row>
    <row r="542" ht="57.75" customHeight="1" s="6">
      <c r="A542" s="1">
        <f t="array" ref="A542">INDIRECT(_xlfn.CONCAT("$I", $F542))</f>
        <v/>
      </c>
      <c r="B542" s="1">
        <f t="array" ref="B542">INDIRECT(_xlfn.CONCAT("$J", $F542))</f>
        <v/>
      </c>
      <c r="C542" s="1">
        <f t="array" ref="C542">INDIRECT(_xlfn.CONCAT("$K", $F542))</f>
        <v/>
      </c>
      <c r="D542" s="1" t="n"/>
      <c r="E542" s="1">
        <f t="array" ref="E542">INDIRECT(_xlfn.CONCAT("$L", $F542))</f>
        <v/>
      </c>
      <c r="F542" s="1">
        <f t="array" ref="F542">IF(NOT(OR(ISERROR(INDIRECT(_xlfn.CONCAT("$I", $F541 + 1))), ISBLANK(INDIRECT(_xlfn.CONCAT("$I", $F541 + 1))))), $F541 + 1, IF(NOT(ISBLANK(INDIRECT(_xlfn.CONCAT("$I", $F541 + 2)))), $F541 + 2, ""))</f>
        <v/>
      </c>
      <c r="I542" s="8" t="inlineStr">
        <is>
          <t>Judge Gift Cards 2022 P22</t>
        </is>
      </c>
      <c r="J542" s="8" t="n">
        <v>10</v>
      </c>
      <c r="K542" s="9" t="n">
        <v>44562</v>
      </c>
      <c r="L542" s="8" t="inlineStr">
        <is>
          <t>en es fr de it pt ja ko ru 汉语 漢語</t>
        </is>
      </c>
    </row>
    <row r="543" ht="68.25" customHeight="1" s="6">
      <c r="A543" s="1">
        <f t="array" ref="A543">INDIRECT(_xlfn.CONCAT("$I", $F543))</f>
        <v/>
      </c>
      <c r="B543" s="1">
        <f t="array" ref="B543">INDIRECT(_xlfn.CONCAT("$J", $F543))</f>
        <v/>
      </c>
      <c r="C543" s="1">
        <f t="array" ref="C543">INDIRECT(_xlfn.CONCAT("$K", $F543))</f>
        <v/>
      </c>
      <c r="D543" s="1" t="n"/>
      <c r="E543" s="1">
        <f t="array" ref="E543">INDIRECT(_xlfn.CONCAT("$L", $F543))</f>
        <v/>
      </c>
      <c r="F543" s="1">
        <f t="array" ref="F543">IF(NOT(OR(ISERROR(INDIRECT(_xlfn.CONCAT("$I", $F542 + 1))), ISBLANK(INDIRECT(_xlfn.CONCAT("$I", $F542 + 1))))), $F542 + 1, IF(NOT(ISBLANK(INDIRECT(_xlfn.CONCAT("$I", $F542 + 2)))), $F542 + 2, ""))</f>
        <v/>
      </c>
    </row>
    <row r="544" ht="57.75" customHeight="1" s="6">
      <c r="A544" s="1">
        <f t="array" ref="A544">INDIRECT(_xlfn.CONCAT("$I", $F544))</f>
        <v/>
      </c>
      <c r="B544" s="1">
        <f t="array" ref="B544">INDIRECT(_xlfn.CONCAT("$J", $F544))</f>
        <v/>
      </c>
      <c r="C544" s="1">
        <f t="array" ref="C544">INDIRECT(_xlfn.CONCAT("$K", $F544))</f>
        <v/>
      </c>
      <c r="D544" s="1" t="n"/>
      <c r="E544" s="1">
        <f t="array" ref="E544">INDIRECT(_xlfn.CONCAT("$L", $F544))</f>
        <v/>
      </c>
      <c r="F544" s="1">
        <f t="array" ref="F544">IF(NOT(OR(ISERROR(INDIRECT(_xlfn.CONCAT("$I", $F543 + 1))), ISBLANK(INDIRECT(_xlfn.CONCAT("$I", $F543 + 1))))), $F543 + 1, IF(NOT(ISBLANK(INDIRECT(_xlfn.CONCAT("$I", $F543 + 2)))), $F543 + 2, ""))</f>
        <v/>
      </c>
      <c r="I544" s="8" t="inlineStr">
        <is>
          <t>Alchemy: Innistrad YMID</t>
        </is>
      </c>
      <c r="J544" s="8" t="n">
        <v>63</v>
      </c>
      <c r="K544" s="9" t="n">
        <v>44539</v>
      </c>
      <c r="L544" s="8" t="inlineStr">
        <is>
          <t>en es fr de it pt ja ko ru 汉语 漢語</t>
        </is>
      </c>
    </row>
    <row r="545" ht="57.75" customHeight="1" s="6">
      <c r="A545" s="1">
        <f t="array" ref="A545">INDIRECT(_xlfn.CONCAT("$I", $F545))</f>
        <v/>
      </c>
      <c r="B545" s="1">
        <f t="array" ref="B545">INDIRECT(_xlfn.CONCAT("$J", $F545))</f>
        <v/>
      </c>
      <c r="C545" s="1">
        <f t="array" ref="C545">INDIRECT(_xlfn.CONCAT("$K", $F545))</f>
        <v/>
      </c>
      <c r="D545" s="1" t="n"/>
      <c r="E545" s="1">
        <f t="array" ref="E545">INDIRECT(_xlfn.CONCAT("$L", $F545))</f>
        <v/>
      </c>
      <c r="F545" s="1">
        <f t="array" ref="F545">IF(NOT(OR(ISERROR(INDIRECT(_xlfn.CONCAT("$I", $F544 + 1))), ISBLANK(INDIRECT(_xlfn.CONCAT("$I", $F544 + 1))))), $F544 + 1, IF(NOT(ISBLANK(INDIRECT(_xlfn.CONCAT("$I", $F544 + 2)))), $F544 + 2, ""))</f>
        <v/>
      </c>
    </row>
    <row r="546" ht="57.75" customHeight="1" s="6">
      <c r="A546" s="1">
        <f t="array" ref="A546">INDIRECT(_xlfn.CONCAT("$I", $F546))</f>
        <v/>
      </c>
      <c r="B546" s="1">
        <f t="array" ref="B546">INDIRECT(_xlfn.CONCAT("$J", $F546))</f>
        <v/>
      </c>
      <c r="C546" s="1">
        <f t="array" ref="C546">INDIRECT(_xlfn.CONCAT("$K", $F546))</f>
        <v/>
      </c>
      <c r="D546" s="1" t="n"/>
      <c r="E546" s="1">
        <f t="array" ref="E546">INDIRECT(_xlfn.CONCAT("$L", $F546))</f>
        <v/>
      </c>
      <c r="F546" s="1">
        <f t="array" ref="F546">IF(NOT(OR(ISERROR(INDIRECT(_xlfn.CONCAT("$I", $F545 + 1))), ISBLANK(INDIRECT(_xlfn.CONCAT("$I", $F545 + 1))))), $F545 + 1, IF(NOT(ISBLANK(INDIRECT(_xlfn.CONCAT("$I", $F545 + 2)))), $F545 + 2, ""))</f>
        <v/>
      </c>
      <c r="I546" s="8" t="inlineStr">
        <is>
          <t>Innistrad: Crimson Vow VOW</t>
        </is>
      </c>
      <c r="J546" s="8" t="n">
        <v>423</v>
      </c>
      <c r="K546" s="9" t="n">
        <v>44519</v>
      </c>
      <c r="L546" t="inlineStr">
        <is>
          <t>en es fr de it pt ja ko ru 汉语 漢語</t>
        </is>
      </c>
    </row>
    <row r="547" ht="57.75" customHeight="1" s="6">
      <c r="A547" s="1">
        <f t="array" ref="A547">INDIRECT(_xlfn.CONCAT("$I", $F547))</f>
        <v/>
      </c>
      <c r="B547" s="1">
        <f t="array" ref="B547">INDIRECT(_xlfn.CONCAT("$J", $F547))</f>
        <v/>
      </c>
      <c r="C547" s="1">
        <f t="array" ref="C547">INDIRECT(_xlfn.CONCAT("$K", $F547))</f>
        <v/>
      </c>
      <c r="D547" s="1" t="n"/>
      <c r="E547" s="1">
        <f t="array" ref="E547">INDIRECT(_xlfn.CONCAT("$L", $F547))</f>
        <v/>
      </c>
      <c r="F547" s="1">
        <f t="array" ref="F547">IF(NOT(OR(ISERROR(INDIRECT(_xlfn.CONCAT("$I", $F546 + 1))), ISBLANK(INDIRECT(_xlfn.CONCAT("$I", $F546 + 1))))), $F546 + 1, IF(NOT(ISBLANK(INDIRECT(_xlfn.CONCAT("$I", $F546 + 2)))), $F546 + 2, ""))</f>
        <v/>
      </c>
    </row>
    <row r="548" ht="57.75" customHeight="1" s="6">
      <c r="A548" s="1">
        <f t="array" ref="A548">INDIRECT(_xlfn.CONCAT("$I", $F548))</f>
        <v/>
      </c>
      <c r="B548" s="1">
        <f t="array" ref="B548">INDIRECT(_xlfn.CONCAT("$J", $F548))</f>
        <v/>
      </c>
      <c r="C548" s="1">
        <f t="array" ref="C548">INDIRECT(_xlfn.CONCAT("$K", $F548))</f>
        <v/>
      </c>
      <c r="D548" s="1" t="n"/>
      <c r="E548" s="1">
        <f t="array" ref="E548">INDIRECT(_xlfn.CONCAT("$L", $F548))</f>
        <v/>
      </c>
      <c r="F548" s="1">
        <f t="array" ref="F548">IF(NOT(OR(ISERROR(INDIRECT(_xlfn.CONCAT("$I", $F547 + 1))), ISBLANK(INDIRECT(_xlfn.CONCAT("$I", $F547 + 1))))), $F547 + 1, IF(NOT(ISBLANK(INDIRECT(_xlfn.CONCAT("$I", $F547 + 2)))), $F547 + 2, ""))</f>
        <v/>
      </c>
      <c r="I548" s="8" t="inlineStr">
        <is>
          <t>Innistrad: Crimson Vow Promos PVOW</t>
        </is>
      </c>
      <c r="J548" s="8" t="n">
        <v>121</v>
      </c>
      <c r="K548" s="9" t="n">
        <v>44519</v>
      </c>
      <c r="L548" s="8" t="inlineStr">
        <is>
          <t>en es fr de it pt ja ko ru 汉语 漢語</t>
        </is>
      </c>
    </row>
    <row r="549" ht="57.75" customHeight="1" s="6">
      <c r="A549" s="1">
        <f t="array" ref="A549">INDIRECT(_xlfn.CONCAT("$I", $F549))</f>
        <v/>
      </c>
      <c r="B549" s="1">
        <f t="array" ref="B549">INDIRECT(_xlfn.CONCAT("$J", $F549))</f>
        <v/>
      </c>
      <c r="C549" s="1">
        <f t="array" ref="C549">INDIRECT(_xlfn.CONCAT("$K", $F549))</f>
        <v/>
      </c>
      <c r="D549" s="1" t="n"/>
      <c r="E549" s="1">
        <f t="array" ref="E549">INDIRECT(_xlfn.CONCAT("$L", $F549))</f>
        <v/>
      </c>
      <c r="F549" s="1">
        <f t="array" ref="F549">IF(NOT(OR(ISERROR(INDIRECT(_xlfn.CONCAT("$I", $F548 + 1))), ISBLANK(INDIRECT(_xlfn.CONCAT("$I", $F548 + 1))))), $F548 + 1, IF(NOT(ISBLANK(INDIRECT(_xlfn.CONCAT("$I", $F548 + 2)))), $F548 + 2, ""))</f>
        <v/>
      </c>
    </row>
    <row r="550" ht="57.75" customHeight="1" s="6">
      <c r="A550" s="1">
        <f t="array" ref="A550">INDIRECT(_xlfn.CONCAT("$I", $F550))</f>
        <v/>
      </c>
      <c r="B550" s="1">
        <f t="array" ref="B550">INDIRECT(_xlfn.CONCAT("$J", $F550))</f>
        <v/>
      </c>
      <c r="C550" s="1">
        <f t="array" ref="C550">INDIRECT(_xlfn.CONCAT("$K", $F550))</f>
        <v/>
      </c>
      <c r="D550" s="1" t="n"/>
      <c r="E550" s="1">
        <f t="array" ref="E550">INDIRECT(_xlfn.CONCAT("$L", $F550))</f>
        <v/>
      </c>
      <c r="F550" s="1">
        <f t="array" ref="F550">IF(NOT(OR(ISERROR(INDIRECT(_xlfn.CONCAT("$I", $F549 + 1))), ISBLANK(INDIRECT(_xlfn.CONCAT("$I", $F549 + 1))))), $F549 + 1, IF(NOT(ISBLANK(INDIRECT(_xlfn.CONCAT("$I", $F549 + 2)))), $F549 + 2, ""))</f>
        <v/>
      </c>
      <c r="I550" s="8" t="inlineStr">
        <is>
          <t>Innistrad: Crimson Vow Tokens TVOW</t>
        </is>
      </c>
      <c r="J550" s="8" t="n">
        <v>21</v>
      </c>
      <c r="K550" s="9" t="n">
        <v>44519</v>
      </c>
      <c r="L550" s="8" t="inlineStr">
        <is>
          <t>en es fr de it pt ja ko ru 汉语 漢語</t>
        </is>
      </c>
    </row>
    <row r="551" ht="68.25" customHeight="1" s="6">
      <c r="A551" s="1">
        <f t="array" ref="A551">INDIRECT(_xlfn.CONCAT("$I", $F551))</f>
        <v/>
      </c>
      <c r="B551" s="1">
        <f t="array" ref="B551">INDIRECT(_xlfn.CONCAT("$J", $F551))</f>
        <v/>
      </c>
      <c r="C551" s="1">
        <f t="array" ref="C551">INDIRECT(_xlfn.CONCAT("$K", $F551))</f>
        <v/>
      </c>
      <c r="D551" s="1" t="n"/>
      <c r="E551" s="1">
        <f t="array" ref="E551">INDIRECT(_xlfn.CONCAT("$L", $F551))</f>
        <v/>
      </c>
      <c r="F551" s="1">
        <f t="array" ref="F551">IF(NOT(OR(ISERROR(INDIRECT(_xlfn.CONCAT("$I", $F550 + 1))), ISBLANK(INDIRECT(_xlfn.CONCAT("$I", $F550 + 1))))), $F550 + 1, IF(NOT(ISBLANK(INDIRECT(_xlfn.CONCAT("$I", $F550 + 2)))), $F550 + 2, ""))</f>
        <v/>
      </c>
    </row>
    <row r="552" ht="68.25" customHeight="1" s="6">
      <c r="A552" s="1">
        <f t="array" ref="A552">INDIRECT(_xlfn.CONCAT("$I", $F552))</f>
        <v/>
      </c>
      <c r="B552" s="1">
        <f t="array" ref="B552">INDIRECT(_xlfn.CONCAT("$J", $F552))</f>
        <v/>
      </c>
      <c r="C552" s="1">
        <f t="array" ref="C552">INDIRECT(_xlfn.CONCAT("$K", $F552))</f>
        <v/>
      </c>
      <c r="D552" s="1" t="n"/>
      <c r="E552" s="1">
        <f t="array" ref="E552">INDIRECT(_xlfn.CONCAT("$L", $F552))</f>
        <v/>
      </c>
      <c r="F552" s="1">
        <f t="array" ref="F552">IF(NOT(OR(ISERROR(INDIRECT(_xlfn.CONCAT("$I", $F551 + 1))), ISBLANK(INDIRECT(_xlfn.CONCAT("$I", $F551 + 1))))), $F551 + 1, IF(NOT(ISBLANK(INDIRECT(_xlfn.CONCAT("$I", $F551 + 2)))), $F551 + 2, ""))</f>
        <v/>
      </c>
      <c r="I552" s="8" t="inlineStr">
        <is>
          <t>Innistrad: Crimson Vow Minigames MVOW</t>
        </is>
      </c>
      <c r="J552" s="8" t="n">
        <v>3</v>
      </c>
      <c r="K552" s="9" t="n">
        <v>44519</v>
      </c>
      <c r="L552" s="8" t="inlineStr">
        <is>
          <t>en es fr de it pt ja ko ru 汉语 漢語</t>
        </is>
      </c>
    </row>
    <row r="553" ht="57.75" customHeight="1" s="6">
      <c r="A553" s="1">
        <f t="array" ref="A553">INDIRECT(_xlfn.CONCAT("$I", $F553))</f>
        <v/>
      </c>
      <c r="B553" s="1">
        <f t="array" ref="B553">INDIRECT(_xlfn.CONCAT("$J", $F553))</f>
        <v/>
      </c>
      <c r="C553" s="1">
        <f t="array" ref="C553">INDIRECT(_xlfn.CONCAT("$K", $F553))</f>
        <v/>
      </c>
      <c r="D553" s="1" t="n"/>
      <c r="E553" s="1">
        <f t="array" ref="E553">INDIRECT(_xlfn.CONCAT("$L", $F553))</f>
        <v/>
      </c>
      <c r="F553" s="1">
        <f t="array" ref="F553">IF(NOT(OR(ISERROR(INDIRECT(_xlfn.CONCAT("$I", $F552 + 1))), ISBLANK(INDIRECT(_xlfn.CONCAT("$I", $F552 + 1))))), $F552 + 1, IF(NOT(ISBLANK(INDIRECT(_xlfn.CONCAT("$I", $F552 + 2)))), $F552 + 2, ""))</f>
        <v/>
      </c>
    </row>
    <row r="554" ht="41.25" customHeight="1" s="6">
      <c r="A554" s="1">
        <f t="array" ref="A554">INDIRECT(_xlfn.CONCAT("$I", $F554))</f>
        <v/>
      </c>
      <c r="B554" s="1">
        <f t="array" ref="B554">INDIRECT(_xlfn.CONCAT("$J", $F554))</f>
        <v/>
      </c>
      <c r="C554" s="1">
        <f t="array" ref="C554">INDIRECT(_xlfn.CONCAT("$K", $F554))</f>
        <v/>
      </c>
      <c r="D554" s="1" t="n"/>
      <c r="E554" s="1">
        <f t="array" ref="E554">INDIRECT(_xlfn.CONCAT("$L", $F554))</f>
        <v/>
      </c>
      <c r="F554" s="1">
        <f t="array" ref="F554">IF(NOT(OR(ISERROR(INDIRECT(_xlfn.CONCAT("$I", $F553 + 1))), ISBLANK(INDIRECT(_xlfn.CONCAT("$I", $F553 + 1))))), $F553 + 1, IF(NOT(ISBLANK(INDIRECT(_xlfn.CONCAT("$I", $F553 + 2)))), $F553 + 2, ""))</f>
        <v/>
      </c>
      <c r="I554" s="8" t="inlineStr">
        <is>
          <t>Innistrad: Crimson Vow Substitute Cards SVOW</t>
        </is>
      </c>
      <c r="J554" s="8" t="n">
        <v>9</v>
      </c>
      <c r="K554" s="9" t="n">
        <v>44519</v>
      </c>
      <c r="L554" s="8" t="inlineStr">
        <is>
          <t>en es fr de it pt ja ko ru 汉语 漢語</t>
        </is>
      </c>
    </row>
    <row r="555" ht="57.75" customHeight="1" s="6">
      <c r="A555" s="1">
        <f t="array" ref="A555">INDIRECT(_xlfn.CONCAT("$I", $F555))</f>
        <v/>
      </c>
      <c r="B555" s="1">
        <f t="array" ref="B555">INDIRECT(_xlfn.CONCAT("$J", $F555))</f>
        <v/>
      </c>
      <c r="C555" s="1">
        <f t="array" ref="C555">INDIRECT(_xlfn.CONCAT("$K", $F555))</f>
        <v/>
      </c>
      <c r="D555" s="1" t="n"/>
      <c r="E555" s="1">
        <f t="array" ref="E555">INDIRECT(_xlfn.CONCAT("$L", $F555))</f>
        <v/>
      </c>
      <c r="F555" s="1">
        <f t="array" ref="F555">IF(NOT(OR(ISERROR(INDIRECT(_xlfn.CONCAT("$I", $F554 + 1))), ISBLANK(INDIRECT(_xlfn.CONCAT("$I", $F554 + 1))))), $F554 + 1, IF(NOT(ISBLANK(INDIRECT(_xlfn.CONCAT("$I", $F554 + 2)))), $F554 + 2, ""))</f>
        <v/>
      </c>
    </row>
    <row r="556" ht="57.75" customHeight="1" s="6">
      <c r="A556" s="1">
        <f t="array" ref="A556">INDIRECT(_xlfn.CONCAT("$I", $F556))</f>
        <v/>
      </c>
      <c r="B556" s="1">
        <f t="array" ref="B556">INDIRECT(_xlfn.CONCAT("$J", $F556))</f>
        <v/>
      </c>
      <c r="C556" s="1">
        <f t="array" ref="C556">INDIRECT(_xlfn.CONCAT("$K", $F556))</f>
        <v/>
      </c>
      <c r="D556" s="1" t="n"/>
      <c r="E556" s="1">
        <f t="array" ref="E556">INDIRECT(_xlfn.CONCAT("$L", $F556))</f>
        <v/>
      </c>
      <c r="F556" s="1">
        <f t="array" ref="F556">IF(NOT(OR(ISERROR(INDIRECT(_xlfn.CONCAT("$I", $F555 + 1))), ISBLANK(INDIRECT(_xlfn.CONCAT("$I", $F555 + 1))))), $F555 + 1, IF(NOT(ISBLANK(INDIRECT(_xlfn.CONCAT("$I", $F555 + 2)))), $F555 + 2, ""))</f>
        <v/>
      </c>
      <c r="I556" s="8" t="inlineStr">
        <is>
          <t>Crimson Vow Art Series AVOW</t>
        </is>
      </c>
      <c r="J556" s="8" t="n">
        <v>81</v>
      </c>
      <c r="K556" s="9" t="n">
        <v>44519</v>
      </c>
      <c r="L556" s="8" t="inlineStr">
        <is>
          <t>en es fr de it pt ja ko ru 汉语 漢語</t>
        </is>
      </c>
    </row>
    <row r="557" ht="57.75" customHeight="1" s="6">
      <c r="A557" s="1">
        <f t="array" ref="A557">INDIRECT(_xlfn.CONCAT("$I", $F557))</f>
        <v/>
      </c>
      <c r="B557" s="1">
        <f t="array" ref="B557">INDIRECT(_xlfn.CONCAT("$J", $F557))</f>
        <v/>
      </c>
      <c r="C557" s="1">
        <f t="array" ref="C557">INDIRECT(_xlfn.CONCAT("$K", $F557))</f>
        <v/>
      </c>
      <c r="D557" s="1" t="n"/>
      <c r="E557" s="1">
        <f t="array" ref="E557">INDIRECT(_xlfn.CONCAT("$L", $F557))</f>
        <v/>
      </c>
      <c r="F557" s="1">
        <f t="array" ref="F557">IF(NOT(OR(ISERROR(INDIRECT(_xlfn.CONCAT("$I", $F556 + 1))), ISBLANK(INDIRECT(_xlfn.CONCAT("$I", $F556 + 1))))), $F556 + 1, IF(NOT(ISBLANK(INDIRECT(_xlfn.CONCAT("$I", $F556 + 2)))), $F556 + 2, ""))</f>
        <v/>
      </c>
    </row>
    <row r="558" ht="57.75" customHeight="1" s="6">
      <c r="A558" s="1">
        <f t="array" ref="A558">INDIRECT(_xlfn.CONCAT("$I", $F558))</f>
        <v/>
      </c>
      <c r="B558" s="1">
        <f t="array" ref="B558">INDIRECT(_xlfn.CONCAT("$J", $F558))</f>
        <v/>
      </c>
      <c r="C558" s="1">
        <f t="array" ref="C558">INDIRECT(_xlfn.CONCAT("$K", $F558))</f>
        <v/>
      </c>
      <c r="D558" s="1" t="n"/>
      <c r="E558" s="1">
        <f t="array" ref="E558">INDIRECT(_xlfn.CONCAT("$L", $F558))</f>
        <v/>
      </c>
      <c r="F558" s="1">
        <f t="array" ref="F558">IF(NOT(OR(ISERROR(INDIRECT(_xlfn.CONCAT("$I", $F557 + 1))), ISBLANK(INDIRECT(_xlfn.CONCAT("$I", $F557 + 1))))), $F557 + 1, IF(NOT(ISBLANK(INDIRECT(_xlfn.CONCAT("$I", $F557 + 2)))), $F557 + 2, ""))</f>
        <v/>
      </c>
      <c r="I558" s="8" t="inlineStr">
        <is>
          <t>Crimson Vow Commander VOC</t>
        </is>
      </c>
      <c r="J558" s="8" t="n">
        <v>188</v>
      </c>
      <c r="K558" s="9" t="n">
        <v>44519</v>
      </c>
      <c r="L558" t="inlineStr">
        <is>
          <t>en es fr de it pt ja ko ru 汉语 漢語</t>
        </is>
      </c>
    </row>
    <row r="559" ht="57.75" customHeight="1" s="6">
      <c r="A559" s="1">
        <f t="array" ref="A559">INDIRECT(_xlfn.CONCAT("$I", $F559))</f>
        <v/>
      </c>
      <c r="B559" s="1">
        <f t="array" ref="B559">INDIRECT(_xlfn.CONCAT("$J", $F559))</f>
        <v/>
      </c>
      <c r="C559" s="1">
        <f t="array" ref="C559">INDIRECT(_xlfn.CONCAT("$K", $F559))</f>
        <v/>
      </c>
      <c r="D559" s="1" t="n"/>
      <c r="E559" s="1">
        <f t="array" ref="E559">INDIRECT(_xlfn.CONCAT("$L", $F559))</f>
        <v/>
      </c>
      <c r="F559" s="1">
        <f t="array" ref="F559">IF(NOT(OR(ISERROR(INDIRECT(_xlfn.CONCAT("$I", $F558 + 1))), ISBLANK(INDIRECT(_xlfn.CONCAT("$I", $F558 + 1))))), $F558 + 1, IF(NOT(ISBLANK(INDIRECT(_xlfn.CONCAT("$I", $F558 + 2)))), $F558 + 2, ""))</f>
        <v/>
      </c>
    </row>
    <row r="560" ht="57.75" customHeight="1" s="6">
      <c r="A560" s="1">
        <f t="array" ref="A560">INDIRECT(_xlfn.CONCAT("$I", $F560))</f>
        <v/>
      </c>
      <c r="B560" s="1">
        <f t="array" ref="B560">INDIRECT(_xlfn.CONCAT("$J", $F560))</f>
        <v/>
      </c>
      <c r="C560" s="1">
        <f t="array" ref="C560">INDIRECT(_xlfn.CONCAT("$K", $F560))</f>
        <v/>
      </c>
      <c r="D560" s="1" t="n"/>
      <c r="E560" s="1">
        <f t="array" ref="E560">INDIRECT(_xlfn.CONCAT("$L", $F560))</f>
        <v/>
      </c>
      <c r="F560" s="1">
        <f t="array" ref="F560">IF(NOT(OR(ISERROR(INDIRECT(_xlfn.CONCAT("$I", $F559 + 1))), ISBLANK(INDIRECT(_xlfn.CONCAT("$I", $F559 + 1))))), $F559 + 1, IF(NOT(ISBLANK(INDIRECT(_xlfn.CONCAT("$I", $F559 + 2)))), $F559 + 2, ""))</f>
        <v/>
      </c>
      <c r="I560" s="8" t="inlineStr">
        <is>
          <t>Crimson Vow Commander Tokens TVOC</t>
        </is>
      </c>
      <c r="J560" s="8" t="n">
        <v>6</v>
      </c>
      <c r="K560" s="9" t="n">
        <v>44519</v>
      </c>
      <c r="L560" s="8" t="inlineStr">
        <is>
          <t>en es fr de it pt ja ko ru 汉语 漢語</t>
        </is>
      </c>
    </row>
    <row r="561" ht="57.75" customHeight="1" s="6">
      <c r="A561" s="1">
        <f t="array" ref="A561">INDIRECT(_xlfn.CONCAT("$I", $F561))</f>
        <v/>
      </c>
      <c r="B561" s="1">
        <f t="array" ref="B561">INDIRECT(_xlfn.CONCAT("$J", $F561))</f>
        <v/>
      </c>
      <c r="C561" s="1">
        <f t="array" ref="C561">INDIRECT(_xlfn.CONCAT("$K", $F561))</f>
        <v/>
      </c>
      <c r="D561" s="1" t="n"/>
      <c r="E561" s="1">
        <f t="array" ref="E561">INDIRECT(_xlfn.CONCAT("$L", $F561))</f>
        <v/>
      </c>
      <c r="F561" s="1">
        <f t="array" ref="F561">IF(NOT(OR(ISERROR(INDIRECT(_xlfn.CONCAT("$I", $F560 + 1))), ISBLANK(INDIRECT(_xlfn.CONCAT("$I", $F560 + 1))))), $F560 + 1, IF(NOT(ISBLANK(INDIRECT(_xlfn.CONCAT("$I", $F560 + 2)))), $F560 + 2, ""))</f>
        <v/>
      </c>
    </row>
    <row r="562" ht="57.75" customHeight="1" s="6">
      <c r="A562" s="1">
        <f t="array" ref="A562">INDIRECT(_xlfn.CONCAT("$I", $F562))</f>
        <v/>
      </c>
      <c r="B562" s="1">
        <f t="array" ref="B562">INDIRECT(_xlfn.CONCAT("$J", $F562))</f>
        <v/>
      </c>
      <c r="C562" s="1">
        <f t="array" ref="C562">INDIRECT(_xlfn.CONCAT("$K", $F562))</f>
        <v/>
      </c>
      <c r="D562" s="1" t="n"/>
      <c r="E562" s="1">
        <f t="array" ref="E562">INDIRECT(_xlfn.CONCAT("$L", $F562))</f>
        <v/>
      </c>
      <c r="F562" s="1">
        <f t="array" ref="F562">IF(NOT(OR(ISERROR(INDIRECT(_xlfn.CONCAT("$I", $F561 + 1))), ISBLANK(INDIRECT(_xlfn.CONCAT("$I", $F561 + 1))))), $F561 + 1, IF(NOT(ISBLANK(INDIRECT(_xlfn.CONCAT("$I", $F561 + 2)))), $F561 + 2, ""))</f>
        <v/>
      </c>
      <c r="I562" s="8" t="inlineStr">
        <is>
          <t>Crimson Vow Commander Display Commanders OVOC</t>
        </is>
      </c>
      <c r="J562" s="8" t="n">
        <v>2</v>
      </c>
      <c r="K562" s="9" t="n">
        <v>44519</v>
      </c>
      <c r="L562" s="8" t="inlineStr">
        <is>
          <t>en es fr de it pt ja ko ru 汉语 漢語</t>
        </is>
      </c>
    </row>
    <row r="563" ht="68.25" customHeight="1" s="6">
      <c r="A563" s="1">
        <f t="array" ref="A563">INDIRECT(_xlfn.CONCAT("$I", $F563))</f>
        <v/>
      </c>
      <c r="B563" s="1">
        <f t="array" ref="B563">INDIRECT(_xlfn.CONCAT("$J", $F563))</f>
        <v/>
      </c>
      <c r="C563" s="1">
        <f t="array" ref="C563">INDIRECT(_xlfn.CONCAT("$K", $F563))</f>
        <v/>
      </c>
      <c r="D563" s="1" t="n"/>
      <c r="E563" s="1">
        <f t="array" ref="E563">INDIRECT(_xlfn.CONCAT("$L", $F563))</f>
        <v/>
      </c>
      <c r="F563" s="1">
        <f t="array" ref="F563">IF(NOT(OR(ISERROR(INDIRECT(_xlfn.CONCAT("$I", $F562 + 1))), ISBLANK(INDIRECT(_xlfn.CONCAT("$I", $F562 + 1))))), $F562 + 1, IF(NOT(ISBLANK(INDIRECT(_xlfn.CONCAT("$I", $F562 + 2)))), $F562 + 2, ""))</f>
        <v/>
      </c>
    </row>
    <row r="564" ht="57.75" customHeight="1" s="6">
      <c r="A564" s="1">
        <f t="array" ref="A564">INDIRECT(_xlfn.CONCAT("$I", $F564))</f>
        <v/>
      </c>
      <c r="B564" s="1">
        <f t="array" ref="B564">INDIRECT(_xlfn.CONCAT("$J", $F564))</f>
        <v/>
      </c>
      <c r="C564" s="1">
        <f t="array" ref="C564">INDIRECT(_xlfn.CONCAT("$K", $F564))</f>
        <v/>
      </c>
      <c r="D564" s="1" t="n"/>
      <c r="E564" s="1">
        <f t="array" ref="E564">INDIRECT(_xlfn.CONCAT("$L", $F564))</f>
        <v/>
      </c>
      <c r="F564" s="1">
        <f t="array" ref="F564">IF(NOT(OR(ISERROR(INDIRECT(_xlfn.CONCAT("$I", $F563 + 1))), ISBLANK(INDIRECT(_xlfn.CONCAT("$I", $F563 + 1))))), $F563 + 1, IF(NOT(ISBLANK(INDIRECT(_xlfn.CONCAT("$I", $F563 + 2)))), $F563 + 2, ""))</f>
        <v/>
      </c>
      <c r="I564" s="8" t="inlineStr">
        <is>
          <t>Pioneer Challenger Decks 2021 Q06</t>
        </is>
      </c>
      <c r="J564" s="8" t="n">
        <v>10</v>
      </c>
      <c r="K564" s="9" t="n">
        <v>44484</v>
      </c>
      <c r="L564" s="8" t="inlineStr">
        <is>
          <t>en es fr de it pt ja ko ru 汉语 漢語</t>
        </is>
      </c>
    </row>
    <row r="565" ht="68.25" customHeight="1" s="6">
      <c r="A565" s="1">
        <f t="array" ref="A565">INDIRECT(_xlfn.CONCAT("$I", $F565))</f>
        <v/>
      </c>
      <c r="B565" s="1">
        <f t="array" ref="B565">INDIRECT(_xlfn.CONCAT("$J", $F565))</f>
        <v/>
      </c>
      <c r="C565" s="1">
        <f t="array" ref="C565">INDIRECT(_xlfn.CONCAT("$K", $F565))</f>
        <v/>
      </c>
      <c r="D565" s="1" t="n"/>
      <c r="E565" s="1">
        <f t="array" ref="E565">INDIRECT(_xlfn.CONCAT("$L", $F565))</f>
        <v/>
      </c>
      <c r="F565" s="1">
        <f t="array" ref="F565">IF(NOT(OR(ISERROR(INDIRECT(_xlfn.CONCAT("$I", $F564 + 1))), ISBLANK(INDIRECT(_xlfn.CONCAT("$I", $F564 + 1))))), $F564 + 1, IF(NOT(ISBLANK(INDIRECT(_xlfn.CONCAT("$I", $F564 + 2)))), $F564 + 2, ""))</f>
        <v/>
      </c>
    </row>
    <row r="566" ht="57.75" customHeight="1" s="6">
      <c r="A566" s="1">
        <f t="array" ref="A566">INDIRECT(_xlfn.CONCAT("$I", $F566))</f>
        <v/>
      </c>
      <c r="B566" s="1">
        <f t="array" ref="B566">INDIRECT(_xlfn.CONCAT("$J", $F566))</f>
        <v/>
      </c>
      <c r="C566" s="1">
        <f t="array" ref="C566">INDIRECT(_xlfn.CONCAT("$K", $F566))</f>
        <v/>
      </c>
      <c r="D566" s="1" t="n"/>
      <c r="E566" s="1">
        <f t="array" ref="E566">INDIRECT(_xlfn.CONCAT("$L", $F566))</f>
        <v/>
      </c>
      <c r="F566" s="1">
        <f t="array" ref="F566">IF(NOT(OR(ISERROR(INDIRECT(_xlfn.CONCAT("$I", $F565 + 1))), ISBLANK(INDIRECT(_xlfn.CONCAT("$I", $F565 + 1))))), $F565 + 1, IF(NOT(ISBLANK(INDIRECT(_xlfn.CONCAT("$I", $F565 + 2)))), $F565 + 2, ""))</f>
        <v/>
      </c>
      <c r="I566" s="8" t="inlineStr">
        <is>
          <t>Innistrad: Midnight Hunt MID</t>
        </is>
      </c>
      <c r="J566" s="8" t="n">
        <v>399</v>
      </c>
      <c r="K566" s="9" t="n">
        <v>44463</v>
      </c>
      <c r="L566" t="inlineStr">
        <is>
          <t>en es fr de it pt ja ko ru 汉语 漢語</t>
        </is>
      </c>
    </row>
    <row r="567" ht="57.75" customHeight="1" s="6">
      <c r="A567" s="1">
        <f t="array" ref="A567">INDIRECT(_xlfn.CONCAT("$I", $F567))</f>
        <v/>
      </c>
      <c r="B567" s="1">
        <f t="array" ref="B567">INDIRECT(_xlfn.CONCAT("$J", $F567))</f>
        <v/>
      </c>
      <c r="C567" s="1">
        <f t="array" ref="C567">INDIRECT(_xlfn.CONCAT("$K", $F567))</f>
        <v/>
      </c>
      <c r="D567" s="1" t="n"/>
      <c r="E567" s="1">
        <f t="array" ref="E567">INDIRECT(_xlfn.CONCAT("$L", $F567))</f>
        <v/>
      </c>
      <c r="F567" s="1">
        <f t="array" ref="F567">IF(NOT(OR(ISERROR(INDIRECT(_xlfn.CONCAT("$I", $F566 + 1))), ISBLANK(INDIRECT(_xlfn.CONCAT("$I", $F566 + 1))))), $F566 + 1, IF(NOT(ISBLANK(INDIRECT(_xlfn.CONCAT("$I", $F566 + 2)))), $F566 + 2, ""))</f>
        <v/>
      </c>
    </row>
    <row r="568" ht="57.75" customHeight="1" s="6">
      <c r="A568" s="1">
        <f t="array" ref="A568">INDIRECT(_xlfn.CONCAT("$I", $F568))</f>
        <v/>
      </c>
      <c r="B568" s="1">
        <f t="array" ref="B568">INDIRECT(_xlfn.CONCAT("$J", $F568))</f>
        <v/>
      </c>
      <c r="C568" s="1">
        <f t="array" ref="C568">INDIRECT(_xlfn.CONCAT("$K", $F568))</f>
        <v/>
      </c>
      <c r="D568" s="1" t="n"/>
      <c r="E568" s="1">
        <f t="array" ref="E568">INDIRECT(_xlfn.CONCAT("$L", $F568))</f>
        <v/>
      </c>
      <c r="F568" s="1">
        <f t="array" ref="F568">IF(NOT(OR(ISERROR(INDIRECT(_xlfn.CONCAT("$I", $F567 + 1))), ISBLANK(INDIRECT(_xlfn.CONCAT("$I", $F567 + 1))))), $F567 + 1, IF(NOT(ISBLANK(INDIRECT(_xlfn.CONCAT("$I", $F567 + 2)))), $F567 + 2, ""))</f>
        <v/>
      </c>
      <c r="I568" s="8" t="inlineStr">
        <is>
          <t>Innistrad: Midnight Hunt Promos PMID</t>
        </is>
      </c>
      <c r="J568" s="8" t="n">
        <v>155</v>
      </c>
      <c r="K568" s="9" t="n">
        <v>44463</v>
      </c>
      <c r="L568" s="8" t="inlineStr">
        <is>
          <t>en es fr de it pt ja ko ru 汉语 漢語</t>
        </is>
      </c>
    </row>
    <row r="569" ht="57.75" customHeight="1" s="6">
      <c r="A569" s="1">
        <f t="array" ref="A569">INDIRECT(_xlfn.CONCAT("$I", $F569))</f>
        <v/>
      </c>
      <c r="B569" s="1">
        <f t="array" ref="B569">INDIRECT(_xlfn.CONCAT("$J", $F569))</f>
        <v/>
      </c>
      <c r="C569" s="1">
        <f t="array" ref="C569">INDIRECT(_xlfn.CONCAT("$K", $F569))</f>
        <v/>
      </c>
      <c r="D569" s="1" t="n"/>
      <c r="E569" s="1">
        <f t="array" ref="E569">INDIRECT(_xlfn.CONCAT("$L", $F569))</f>
        <v/>
      </c>
      <c r="F569" s="1">
        <f t="array" ref="F569">IF(NOT(OR(ISERROR(INDIRECT(_xlfn.CONCAT("$I", $F568 + 1))), ISBLANK(INDIRECT(_xlfn.CONCAT("$I", $F568 + 1))))), $F568 + 1, IF(NOT(ISBLANK(INDIRECT(_xlfn.CONCAT("$I", $F568 + 2)))), $F568 + 2, ""))</f>
        <v/>
      </c>
    </row>
    <row r="570" ht="57.75" customHeight="1" s="6">
      <c r="A570" s="1">
        <f t="array" ref="A570">INDIRECT(_xlfn.CONCAT("$I", $F570))</f>
        <v/>
      </c>
      <c r="B570" s="1">
        <f t="array" ref="B570">INDIRECT(_xlfn.CONCAT("$J", $F570))</f>
        <v/>
      </c>
      <c r="C570" s="1">
        <f t="array" ref="C570">INDIRECT(_xlfn.CONCAT("$K", $F570))</f>
        <v/>
      </c>
      <c r="D570" s="1" t="n"/>
      <c r="E570" s="1">
        <f t="array" ref="E570">INDIRECT(_xlfn.CONCAT("$L", $F570))</f>
        <v/>
      </c>
      <c r="F570" s="1">
        <f t="array" ref="F570">IF(NOT(OR(ISERROR(INDIRECT(_xlfn.CONCAT("$I", $F569 + 1))), ISBLANK(INDIRECT(_xlfn.CONCAT("$I", $F569 + 1))))), $F569 + 1, IF(NOT(ISBLANK(INDIRECT(_xlfn.CONCAT("$I", $F569 + 2)))), $F569 + 2, ""))</f>
        <v/>
      </c>
      <c r="I570" s="8" t="inlineStr">
        <is>
          <t>Innistrad: Midnight Hunt Tokens TMID</t>
        </is>
      </c>
      <c r="J570" s="8" t="n">
        <v>19</v>
      </c>
      <c r="K570" s="9" t="n">
        <v>44463</v>
      </c>
      <c r="L570" s="8" t="inlineStr">
        <is>
          <t>en es fr de it pt ja ko ru 汉语 漢語</t>
        </is>
      </c>
    </row>
    <row r="571" ht="57.75" customHeight="1" s="6">
      <c r="A571" s="1">
        <f t="array" ref="A571">INDIRECT(_xlfn.CONCAT("$I", $F571))</f>
        <v/>
      </c>
      <c r="B571" s="1">
        <f t="array" ref="B571">INDIRECT(_xlfn.CONCAT("$J", $F571))</f>
        <v/>
      </c>
      <c r="C571" s="1">
        <f t="array" ref="C571">INDIRECT(_xlfn.CONCAT("$K", $F571))</f>
        <v/>
      </c>
      <c r="D571" s="1" t="n"/>
      <c r="E571" s="1">
        <f t="array" ref="E571">INDIRECT(_xlfn.CONCAT("$L", $F571))</f>
        <v/>
      </c>
      <c r="F571" s="1">
        <f t="array" ref="F571">IF(NOT(OR(ISERROR(INDIRECT(_xlfn.CONCAT("$I", $F570 + 1))), ISBLANK(INDIRECT(_xlfn.CONCAT("$I", $F570 + 1))))), $F570 + 1, IF(NOT(ISBLANK(INDIRECT(_xlfn.CONCAT("$I", $F570 + 2)))), $F570 + 2, ""))</f>
        <v/>
      </c>
    </row>
    <row r="572" ht="57.75" customHeight="1" s="6">
      <c r="A572" s="1">
        <f t="array" ref="A572">INDIRECT(_xlfn.CONCAT("$I", $F572))</f>
        <v/>
      </c>
      <c r="B572" s="1">
        <f t="array" ref="B572">INDIRECT(_xlfn.CONCAT("$J", $F572))</f>
        <v/>
      </c>
      <c r="C572" s="1">
        <f t="array" ref="C572">INDIRECT(_xlfn.CONCAT("$K", $F572))</f>
        <v/>
      </c>
      <c r="D572" s="1" t="n"/>
      <c r="E572" s="1">
        <f t="array" ref="E572">INDIRECT(_xlfn.CONCAT("$L", $F572))</f>
        <v/>
      </c>
      <c r="F572" s="1">
        <f t="array" ref="F572">IF(NOT(OR(ISERROR(INDIRECT(_xlfn.CONCAT("$I", $F571 + 1))), ISBLANK(INDIRECT(_xlfn.CONCAT("$I", $F571 + 1))))), $F571 + 1, IF(NOT(ISBLANK(INDIRECT(_xlfn.CONCAT("$I", $F571 + 2)))), $F571 + 2, ""))</f>
        <v/>
      </c>
      <c r="I572" s="8" t="inlineStr">
        <is>
          <t>Innistrad: Midnight Hunt Substitute Cards SMID</t>
        </is>
      </c>
      <c r="J572" s="8" t="n">
        <v>9</v>
      </c>
      <c r="K572" s="9" t="n">
        <v>44463</v>
      </c>
      <c r="L572" s="8" t="inlineStr">
        <is>
          <t>en es fr de it pt ja ko ru 汉语 漢語</t>
        </is>
      </c>
    </row>
    <row r="573" ht="68.25" customHeight="1" s="6">
      <c r="A573" s="1">
        <f t="array" ref="A573">INDIRECT(_xlfn.CONCAT("$I", $F573))</f>
        <v/>
      </c>
      <c r="B573" s="1">
        <f t="array" ref="B573">INDIRECT(_xlfn.CONCAT("$J", $F573))</f>
        <v/>
      </c>
      <c r="C573" s="1">
        <f t="array" ref="C573">INDIRECT(_xlfn.CONCAT("$K", $F573))</f>
        <v/>
      </c>
      <c r="D573" s="1" t="n"/>
      <c r="E573" s="1">
        <f t="array" ref="E573">INDIRECT(_xlfn.CONCAT("$L", $F573))</f>
        <v/>
      </c>
      <c r="F573" s="1">
        <f t="array" ref="F573">IF(NOT(OR(ISERROR(INDIRECT(_xlfn.CONCAT("$I", $F572 + 1))), ISBLANK(INDIRECT(_xlfn.CONCAT("$I", $F572 + 1))))), $F572 + 1, IF(NOT(ISBLANK(INDIRECT(_xlfn.CONCAT("$I", $F572 + 2)))), $F572 + 2, ""))</f>
        <v/>
      </c>
    </row>
    <row r="574" ht="68.25" customHeight="1" s="6">
      <c r="A574" s="1">
        <f t="array" ref="A574">INDIRECT(_xlfn.CONCAT("$I", $F574))</f>
        <v/>
      </c>
      <c r="B574" s="1">
        <f t="array" ref="B574">INDIRECT(_xlfn.CONCAT("$J", $F574))</f>
        <v/>
      </c>
      <c r="C574" s="1">
        <f t="array" ref="C574">INDIRECT(_xlfn.CONCAT("$K", $F574))</f>
        <v/>
      </c>
      <c r="D574" s="1" t="n"/>
      <c r="E574" s="1">
        <f t="array" ref="E574">INDIRECT(_xlfn.CONCAT("$L", $F574))</f>
        <v/>
      </c>
      <c r="F574" s="1">
        <f t="array" ref="F574">IF(NOT(OR(ISERROR(INDIRECT(_xlfn.CONCAT("$I", $F573 + 1))), ISBLANK(INDIRECT(_xlfn.CONCAT("$I", $F573 + 1))))), $F573 + 1, IF(NOT(ISBLANK(INDIRECT(_xlfn.CONCAT("$I", $F573 + 2)))), $F573 + 2, ""))</f>
        <v/>
      </c>
      <c r="I574" s="8" t="inlineStr">
        <is>
          <t>Midnight Hunt Commander MIC</t>
        </is>
      </c>
      <c r="J574" s="8" t="n">
        <v>187</v>
      </c>
      <c r="K574" s="9" t="n">
        <v>44463</v>
      </c>
      <c r="L574" t="inlineStr">
        <is>
          <t>en es fr de it pt ja ko ru 汉语 漢語</t>
        </is>
      </c>
    </row>
    <row r="575" ht="57.75" customHeight="1" s="6">
      <c r="A575" s="1">
        <f t="array" ref="A575">INDIRECT(_xlfn.CONCAT("$I", $F575))</f>
        <v/>
      </c>
      <c r="B575" s="1">
        <f t="array" ref="B575">INDIRECT(_xlfn.CONCAT("$J", $F575))</f>
        <v/>
      </c>
      <c r="C575" s="1">
        <f t="array" ref="C575">INDIRECT(_xlfn.CONCAT("$K", $F575))</f>
        <v/>
      </c>
      <c r="D575" s="1" t="n"/>
      <c r="E575" s="1">
        <f t="array" ref="E575">INDIRECT(_xlfn.CONCAT("$L", $F575))</f>
        <v/>
      </c>
      <c r="F575" s="1">
        <f t="array" ref="F575">IF(NOT(OR(ISERROR(INDIRECT(_xlfn.CONCAT("$I", $F574 + 1))), ISBLANK(INDIRECT(_xlfn.CONCAT("$I", $F574 + 1))))), $F574 + 1, IF(NOT(ISBLANK(INDIRECT(_xlfn.CONCAT("$I", $F574 + 2)))), $F574 + 2, ""))</f>
        <v/>
      </c>
    </row>
    <row r="576" ht="68.25" customHeight="1" s="6">
      <c r="A576" s="1">
        <f t="array" ref="A576">INDIRECT(_xlfn.CONCAT("$I", $F576))</f>
        <v/>
      </c>
      <c r="B576" s="1">
        <f t="array" ref="B576">INDIRECT(_xlfn.CONCAT("$J", $F576))</f>
        <v/>
      </c>
      <c r="C576" s="1">
        <f t="array" ref="C576">INDIRECT(_xlfn.CONCAT("$K", $F576))</f>
        <v/>
      </c>
      <c r="D576" s="1" t="n"/>
      <c r="E576" s="1">
        <f t="array" ref="E576">INDIRECT(_xlfn.CONCAT("$L", $F576))</f>
        <v/>
      </c>
      <c r="F576" s="1">
        <f t="array" ref="F576">IF(NOT(OR(ISERROR(INDIRECT(_xlfn.CONCAT("$I", $F575 + 1))), ISBLANK(INDIRECT(_xlfn.CONCAT("$I", $F575 + 1))))), $F575 + 1, IF(NOT(ISBLANK(INDIRECT(_xlfn.CONCAT("$I", $F575 + 2)))), $F575 + 2, ""))</f>
        <v/>
      </c>
      <c r="I576" s="8" t="inlineStr">
        <is>
          <t>Midnight Hunt Commander Tokens TMIC</t>
        </is>
      </c>
      <c r="J576" s="8" t="n">
        <v>11</v>
      </c>
      <c r="K576" s="9" t="n">
        <v>44463</v>
      </c>
      <c r="L576" s="8" t="inlineStr">
        <is>
          <t>en es fr de it pt ja ko ru 汉语 漢語</t>
        </is>
      </c>
    </row>
    <row r="577" ht="57.75" customHeight="1" s="6">
      <c r="A577" s="1">
        <f t="array" ref="A577">INDIRECT(_xlfn.CONCAT("$I", $F577))</f>
        <v/>
      </c>
      <c r="B577" s="1">
        <f t="array" ref="B577">INDIRECT(_xlfn.CONCAT("$J", $F577))</f>
        <v/>
      </c>
      <c r="C577" s="1">
        <f t="array" ref="C577">INDIRECT(_xlfn.CONCAT("$K", $F577))</f>
        <v/>
      </c>
      <c r="D577" s="1" t="n"/>
      <c r="E577" s="1">
        <f t="array" ref="E577">INDIRECT(_xlfn.CONCAT("$L", $F577))</f>
        <v/>
      </c>
      <c r="F577" s="1">
        <f t="array" ref="F577">IF(NOT(OR(ISERROR(INDIRECT(_xlfn.CONCAT("$I", $F576 + 1))), ISBLANK(INDIRECT(_xlfn.CONCAT("$I", $F576 + 1))))), $F576 + 1, IF(NOT(ISBLANK(INDIRECT(_xlfn.CONCAT("$I", $F576 + 2)))), $F576 + 2, ""))</f>
        <v/>
      </c>
    </row>
    <row r="578" ht="57.75" customHeight="1" s="6">
      <c r="A578" s="1">
        <f t="array" ref="A578">INDIRECT(_xlfn.CONCAT("$I", $F578))</f>
        <v/>
      </c>
      <c r="B578" s="1">
        <f t="array" ref="B578">INDIRECT(_xlfn.CONCAT("$J", $F578))</f>
        <v/>
      </c>
      <c r="C578" s="1">
        <f t="array" ref="C578">INDIRECT(_xlfn.CONCAT("$K", $F578))</f>
        <v/>
      </c>
      <c r="D578" s="1" t="n"/>
      <c r="E578" s="1">
        <f t="array" ref="E578">INDIRECT(_xlfn.CONCAT("$L", $F578))</f>
        <v/>
      </c>
      <c r="F578" s="1">
        <f t="array" ref="F578">IF(NOT(OR(ISERROR(INDIRECT(_xlfn.CONCAT("$I", $F577 + 1))), ISBLANK(INDIRECT(_xlfn.CONCAT("$I", $F577 + 1))))), $F577 + 1, IF(NOT(ISBLANK(INDIRECT(_xlfn.CONCAT("$I", $F577 + 2)))), $F577 + 2, ""))</f>
        <v/>
      </c>
      <c r="I578" s="8" t="inlineStr">
        <is>
          <t>Midnight Hunt Commander Display Commanders OMIC</t>
        </is>
      </c>
      <c r="J578" s="8" t="n">
        <v>2</v>
      </c>
      <c r="K578" s="9" t="n">
        <v>44463</v>
      </c>
      <c r="L578" s="8" t="inlineStr">
        <is>
          <t>en es fr de it pt ja ko ru 汉语 漢語</t>
        </is>
      </c>
    </row>
    <row r="579" ht="57.75" customHeight="1" s="6">
      <c r="A579" s="1">
        <f t="array" ref="A579">INDIRECT(_xlfn.CONCAT("$I", $F579))</f>
        <v/>
      </c>
      <c r="B579" s="1">
        <f t="array" ref="B579">INDIRECT(_xlfn.CONCAT("$J", $F579))</f>
        <v/>
      </c>
      <c r="C579" s="1">
        <f t="array" ref="C579">INDIRECT(_xlfn.CONCAT("$K", $F579))</f>
        <v/>
      </c>
      <c r="D579" s="1" t="n"/>
      <c r="E579" s="1">
        <f t="array" ref="E579">INDIRECT(_xlfn.CONCAT("$L", $F579))</f>
        <v/>
      </c>
      <c r="F579" s="1">
        <f t="array" ref="F579">IF(NOT(OR(ISERROR(INDIRECT(_xlfn.CONCAT("$I", $F578 + 1))), ISBLANK(INDIRECT(_xlfn.CONCAT("$I", $F578 + 1))))), $F578 + 1, IF(NOT(ISBLANK(INDIRECT(_xlfn.CONCAT("$I", $F578 + 2)))), $F578 + 2, ""))</f>
        <v/>
      </c>
    </row>
    <row r="580" ht="57.75" customHeight="1" s="6">
      <c r="A580" s="1">
        <f t="array" ref="A580">INDIRECT(_xlfn.CONCAT("$I", $F580))</f>
        <v/>
      </c>
      <c r="B580" s="1">
        <f t="array" ref="B580">INDIRECT(_xlfn.CONCAT("$J", $F580))</f>
        <v/>
      </c>
      <c r="C580" s="1">
        <f t="array" ref="C580">INDIRECT(_xlfn.CONCAT("$K", $F580))</f>
        <v/>
      </c>
      <c r="D580" s="1" t="n"/>
      <c r="E580" s="1">
        <f t="array" ref="E580">INDIRECT(_xlfn.CONCAT("$L", $F580))</f>
        <v/>
      </c>
      <c r="F580" s="1">
        <f t="array" ref="F580">IF(NOT(OR(ISERROR(INDIRECT(_xlfn.CONCAT("$I", $F579 + 1))), ISBLANK(INDIRECT(_xlfn.CONCAT("$I", $F579 + 1))))), $F579 + 1, IF(NOT(ISBLANK(INDIRECT(_xlfn.CONCAT("$I", $F579 + 2)))), $F579 + 2, ""))</f>
        <v/>
      </c>
      <c r="I580" s="8" t="inlineStr">
        <is>
          <t>Midnight Hunt Art Series AMID</t>
        </is>
      </c>
      <c r="J580" s="8" t="n">
        <v>81</v>
      </c>
      <c r="K580" s="9" t="n">
        <v>44463</v>
      </c>
      <c r="L580" s="8" t="inlineStr">
        <is>
          <t>en es fr de it pt ja ko ru 汉语 漢語</t>
        </is>
      </c>
    </row>
    <row r="581" ht="57.75" customHeight="1" s="6">
      <c r="A581" s="1">
        <f t="array" ref="A581">INDIRECT(_xlfn.CONCAT("$I", $F581))</f>
        <v/>
      </c>
      <c r="B581" s="1">
        <f t="array" ref="B581">INDIRECT(_xlfn.CONCAT("$J", $F581))</f>
        <v/>
      </c>
      <c r="C581" s="1">
        <f t="array" ref="C581">INDIRECT(_xlfn.CONCAT("$K", $F581))</f>
        <v/>
      </c>
      <c r="D581" s="1" t="n"/>
      <c r="E581" s="1">
        <f t="array" ref="E581">INDIRECT(_xlfn.CONCAT("$L", $F581))</f>
        <v/>
      </c>
      <c r="F581" s="1">
        <f t="array" ref="F581">IF(NOT(OR(ISERROR(INDIRECT(_xlfn.CONCAT("$I", $F580 + 1))), ISBLANK(INDIRECT(_xlfn.CONCAT("$I", $F580 + 1))))), $F580 + 1, IF(NOT(ISBLANK(INDIRECT(_xlfn.CONCAT("$I", $F580 + 2)))), $F580 + 2, ""))</f>
        <v/>
      </c>
    </row>
    <row r="582" ht="57.75" customHeight="1" s="6">
      <c r="A582" s="1">
        <f t="array" ref="A582">INDIRECT(_xlfn.CONCAT("$I", $F582))</f>
        <v/>
      </c>
      <c r="B582" s="1">
        <f t="array" ref="B582">INDIRECT(_xlfn.CONCAT("$J", $F582))</f>
        <v/>
      </c>
      <c r="C582" s="1">
        <f t="array" ref="C582">INDIRECT(_xlfn.CONCAT("$K", $F582))</f>
        <v/>
      </c>
      <c r="D582" s="1" t="n"/>
      <c r="E582" s="1">
        <f t="array" ref="E582">INDIRECT(_xlfn.CONCAT("$L", $F582))</f>
        <v/>
      </c>
      <c r="F582" s="1">
        <f t="array" ref="F582">IF(NOT(OR(ISERROR(INDIRECT(_xlfn.CONCAT("$I", $F581 + 1))), ISBLANK(INDIRECT(_xlfn.CONCAT("$I", $F581 + 1))))), $F581 + 1, IF(NOT(ISBLANK(INDIRECT(_xlfn.CONCAT("$I", $F581 + 2)))), $F581 + 2, ""))</f>
        <v/>
      </c>
      <c r="I582" s="8" t="inlineStr">
        <is>
          <t>Innistrad: Midnight Hunt Minigames MMID</t>
        </is>
      </c>
      <c r="J582" s="8" t="n">
        <v>3</v>
      </c>
      <c r="K582" s="9" t="n">
        <v>44463</v>
      </c>
      <c r="L582" s="8" t="inlineStr">
        <is>
          <t>en es fr de it pt ja ko ru 汉语 漢語</t>
        </is>
      </c>
    </row>
    <row r="583" ht="57.75" customHeight="1" s="6">
      <c r="A583" s="1">
        <f t="array" ref="A583">INDIRECT(_xlfn.CONCAT("$I", $F583))</f>
        <v/>
      </c>
      <c r="B583" s="1">
        <f t="array" ref="B583">INDIRECT(_xlfn.CONCAT("$J", $F583))</f>
        <v/>
      </c>
      <c r="C583" s="1">
        <f t="array" ref="C583">INDIRECT(_xlfn.CONCAT("$K", $F583))</f>
        <v/>
      </c>
      <c r="D583" s="1" t="n"/>
      <c r="E583" s="1">
        <f t="array" ref="E583">INDIRECT(_xlfn.CONCAT("$L", $F583))</f>
        <v/>
      </c>
      <c r="F583" s="1">
        <f t="array" ref="F583">IF(NOT(OR(ISERROR(INDIRECT(_xlfn.CONCAT("$I", $F582 + 1))), ISBLANK(INDIRECT(_xlfn.CONCAT("$I", $F582 + 1))))), $F582 + 1, IF(NOT(ISBLANK(INDIRECT(_xlfn.CONCAT("$I", $F582 + 2)))), $F582 + 2, ""))</f>
        <v/>
      </c>
    </row>
    <row r="584" ht="57.75" customHeight="1" s="6">
      <c r="A584" s="1">
        <f t="array" ref="A584">INDIRECT(_xlfn.CONCAT("$I", $F584))</f>
        <v/>
      </c>
      <c r="B584" s="1">
        <f t="array" ref="B584">INDIRECT(_xlfn.CONCAT("$J", $F584))</f>
        <v/>
      </c>
      <c r="C584" s="1">
        <f t="array" ref="C584">INDIRECT(_xlfn.CONCAT("$K", $F584))</f>
        <v/>
      </c>
      <c r="D584" s="1" t="n"/>
      <c r="E584" s="1">
        <f t="array" ref="E584">INDIRECT(_xlfn.CONCAT("$L", $F584))</f>
        <v/>
      </c>
      <c r="F584" s="1">
        <f t="array" ref="F584">IF(NOT(OR(ISERROR(INDIRECT(_xlfn.CONCAT("$I", $F583 + 1))), ISBLANK(INDIRECT(_xlfn.CONCAT("$I", $F583 + 1))))), $F583 + 1, IF(NOT(ISBLANK(INDIRECT(_xlfn.CONCAT("$I", $F583 + 2)))), $F583 + 2, ""))</f>
        <v/>
      </c>
      <c r="I584" s="8" t="inlineStr">
        <is>
          <t>Jumpstart: Historic Horizons J21</t>
        </is>
      </c>
      <c r="J584" s="8" t="n">
        <v>389</v>
      </c>
      <c r="K584" s="9" t="n">
        <v>44434</v>
      </c>
      <c r="L584" s="8" t="inlineStr">
        <is>
          <t>en es fr de it pt ja ko ru 汉语 漢語</t>
        </is>
      </c>
    </row>
    <row r="585" ht="57.75" customHeight="1" s="6">
      <c r="A585" s="1">
        <f t="array" ref="A585">INDIRECT(_xlfn.CONCAT("$I", $F585))</f>
        <v/>
      </c>
      <c r="B585" s="1">
        <f t="array" ref="B585">INDIRECT(_xlfn.CONCAT("$J", $F585))</f>
        <v/>
      </c>
      <c r="C585" s="1">
        <f t="array" ref="C585">INDIRECT(_xlfn.CONCAT("$K", $F585))</f>
        <v/>
      </c>
      <c r="D585" s="1" t="n"/>
      <c r="E585" s="1">
        <f t="array" ref="E585">INDIRECT(_xlfn.CONCAT("$L", $F585))</f>
        <v/>
      </c>
      <c r="F585" s="1">
        <f t="array" ref="F585">IF(NOT(OR(ISERROR(INDIRECT(_xlfn.CONCAT("$I", $F584 + 1))), ISBLANK(INDIRECT(_xlfn.CONCAT("$I", $F584 + 1))))), $F584 + 1, IF(NOT(ISBLANK(INDIRECT(_xlfn.CONCAT("$I", $F584 + 2)))), $F584 + 2, ""))</f>
        <v/>
      </c>
    </row>
    <row r="586" ht="57.75" customHeight="1" s="6">
      <c r="A586" s="1">
        <f t="array" ref="A586">INDIRECT(_xlfn.CONCAT("$I", $F586))</f>
        <v/>
      </c>
      <c r="B586" s="1">
        <f t="array" ref="B586">INDIRECT(_xlfn.CONCAT("$J", $F586))</f>
        <v/>
      </c>
      <c r="C586" s="1">
        <f t="array" ref="C586">INDIRECT(_xlfn.CONCAT("$K", $F586))</f>
        <v/>
      </c>
      <c r="D586" s="1" t="n"/>
      <c r="E586" s="1">
        <f t="array" ref="E586">INDIRECT(_xlfn.CONCAT("$L", $F586))</f>
        <v/>
      </c>
      <c r="F586" s="1">
        <f t="array" ref="F586">IF(NOT(OR(ISERROR(INDIRECT(_xlfn.CONCAT("$I", $F585 + 1))), ISBLANK(INDIRECT(_xlfn.CONCAT("$I", $F585 + 1))))), $F585 + 1, IF(NOT(ISBLANK(INDIRECT(_xlfn.CONCAT("$I", $F585 + 2)))), $F585 + 2, ""))</f>
        <v/>
      </c>
      <c r="I586" s="8" t="inlineStr">
        <is>
          <t>Mystery Booster Playtest Cards 2021 CMB2</t>
        </is>
      </c>
      <c r="J586" s="8" t="n">
        <v>121</v>
      </c>
      <c r="K586" s="9" t="n">
        <v>44428</v>
      </c>
      <c r="L586" s="8" t="inlineStr">
        <is>
          <t>en es fr de it pt ja ko ru 汉语 漢語</t>
        </is>
      </c>
    </row>
    <row r="587" ht="57.75" customHeight="1" s="6">
      <c r="A587" s="1">
        <f t="array" ref="A587">INDIRECT(_xlfn.CONCAT("$I", $F587))</f>
        <v/>
      </c>
      <c r="B587" s="1">
        <f t="array" ref="B587">INDIRECT(_xlfn.CONCAT("$J", $F587))</f>
        <v/>
      </c>
      <c r="C587" s="1">
        <f t="array" ref="C587">INDIRECT(_xlfn.CONCAT("$K", $F587))</f>
        <v/>
      </c>
      <c r="D587" s="1" t="n"/>
      <c r="E587" s="1">
        <f t="array" ref="E587">INDIRECT(_xlfn.CONCAT("$L", $F587))</f>
        <v/>
      </c>
      <c r="F587" s="1">
        <f t="array" ref="F587">IF(NOT(OR(ISERROR(INDIRECT(_xlfn.CONCAT("$I", $F586 + 1))), ISBLANK(INDIRECT(_xlfn.CONCAT("$I", $F586 + 1))))), $F586 + 1, IF(NOT(ISBLANK(INDIRECT(_xlfn.CONCAT("$I", $F586 + 2)))), $F586 + 2, ""))</f>
        <v/>
      </c>
    </row>
    <row r="588" ht="57.75" customHeight="1" s="6">
      <c r="A588" s="1">
        <f t="array" ref="A588">INDIRECT(_xlfn.CONCAT("$I", $F588))</f>
        <v/>
      </c>
      <c r="B588" s="1">
        <f t="array" ref="B588">INDIRECT(_xlfn.CONCAT("$J", $F588))</f>
        <v/>
      </c>
      <c r="C588" s="1">
        <f t="array" ref="C588">INDIRECT(_xlfn.CONCAT("$K", $F588))</f>
        <v/>
      </c>
      <c r="D588" s="1" t="n"/>
      <c r="E588" s="1">
        <f t="array" ref="E588">INDIRECT(_xlfn.CONCAT("$L", $F588))</f>
        <v/>
      </c>
      <c r="F588" s="1">
        <f t="array" ref="F588">IF(NOT(OR(ISERROR(INDIRECT(_xlfn.CONCAT("$I", $F587 + 1))), ISBLANK(INDIRECT(_xlfn.CONCAT("$I", $F587 + 1))))), $F587 + 1, IF(NOT(ISBLANK(INDIRECT(_xlfn.CONCAT("$I", $F587 + 2)))), $F587 + 2, ""))</f>
        <v/>
      </c>
      <c r="I588" s="8" t="inlineStr">
        <is>
          <t>2020 Heroes of the Realm PH20</t>
        </is>
      </c>
      <c r="J588" s="8" t="n">
        <v>3</v>
      </c>
      <c r="K588" s="9" t="n">
        <v>44409</v>
      </c>
      <c r="L588" s="8" t="inlineStr">
        <is>
          <t>en es fr de it pt ja ko ru 汉语 漢語</t>
        </is>
      </c>
    </row>
    <row r="589" ht="57.75" customHeight="1" s="6">
      <c r="A589" s="1">
        <f t="array" ref="A589">INDIRECT(_xlfn.CONCAT("$I", $F589))</f>
        <v/>
      </c>
      <c r="B589" s="1">
        <f t="array" ref="B589">INDIRECT(_xlfn.CONCAT("$J", $F589))</f>
        <v/>
      </c>
      <c r="C589" s="1">
        <f t="array" ref="C589">INDIRECT(_xlfn.CONCAT("$K", $F589))</f>
        <v/>
      </c>
      <c r="D589" s="1" t="n"/>
      <c r="E589" s="1">
        <f t="array" ref="E589">INDIRECT(_xlfn.CONCAT("$L", $F589))</f>
        <v/>
      </c>
      <c r="F589" s="1">
        <f t="array" ref="F589">IF(NOT(OR(ISERROR(INDIRECT(_xlfn.CONCAT("$I", $F588 + 1))), ISBLANK(INDIRECT(_xlfn.CONCAT("$I", $F588 + 1))))), $F588 + 1, IF(NOT(ISBLANK(INDIRECT(_xlfn.CONCAT("$I", $F588 + 2)))), $F588 + 2, ""))</f>
        <v/>
      </c>
    </row>
    <row r="590" ht="57.75" customHeight="1" s="6">
      <c r="A590" s="1">
        <f t="array" ref="A590">INDIRECT(_xlfn.CONCAT("$I", $F590))</f>
        <v/>
      </c>
      <c r="B590" s="1">
        <f t="array" ref="B590">INDIRECT(_xlfn.CONCAT("$J", $F590))</f>
        <v/>
      </c>
      <c r="C590" s="1">
        <f t="array" ref="C590">INDIRECT(_xlfn.CONCAT("$K", $F590))</f>
        <v/>
      </c>
      <c r="D590" s="1" t="n"/>
      <c r="E590" s="1">
        <f t="array" ref="E590">INDIRECT(_xlfn.CONCAT("$L", $F590))</f>
        <v/>
      </c>
      <c r="F590" s="1">
        <f t="array" ref="F590">IF(NOT(OR(ISERROR(INDIRECT(_xlfn.CONCAT("$I", $F589 + 1))), ISBLANK(INDIRECT(_xlfn.CONCAT("$I", $F589 + 1))))), $F589 + 1, IF(NOT(ISBLANK(INDIRECT(_xlfn.CONCAT("$I", $F589 + 2)))), $F589 + 2, ""))</f>
        <v/>
      </c>
      <c r="I590" s="8" t="inlineStr">
        <is>
          <t>Adventures in the Forgotten Realms AFR</t>
        </is>
      </c>
      <c r="J590" s="8" t="n">
        <v>424</v>
      </c>
      <c r="K590" s="9" t="n">
        <v>44400</v>
      </c>
      <c r="L590" t="inlineStr">
        <is>
          <t>en es fr de it pt ja ko ru 汉语 漢語</t>
        </is>
      </c>
    </row>
    <row r="591" ht="57.75" customHeight="1" s="6">
      <c r="A591" s="1">
        <f t="array" ref="A591">INDIRECT(_xlfn.CONCAT("$I", $F591))</f>
        <v/>
      </c>
      <c r="B591" s="1">
        <f t="array" ref="B591">INDIRECT(_xlfn.CONCAT("$J", $F591))</f>
        <v/>
      </c>
      <c r="C591" s="1">
        <f t="array" ref="C591">INDIRECT(_xlfn.CONCAT("$K", $F591))</f>
        <v/>
      </c>
      <c r="D591" s="1" t="n"/>
      <c r="E591" s="1">
        <f t="array" ref="E591">INDIRECT(_xlfn.CONCAT("$L", $F591))</f>
        <v/>
      </c>
      <c r="F591" s="1">
        <f t="array" ref="F591">IF(NOT(OR(ISERROR(INDIRECT(_xlfn.CONCAT("$I", $F590 + 1))), ISBLANK(INDIRECT(_xlfn.CONCAT("$I", $F590 + 1))))), $F590 + 1, IF(NOT(ISBLANK(INDIRECT(_xlfn.CONCAT("$I", $F590 + 2)))), $F590 + 2, ""))</f>
        <v/>
      </c>
    </row>
    <row r="592" ht="68.25" customHeight="1" s="6">
      <c r="A592" s="1">
        <f t="array" ref="A592">INDIRECT(_xlfn.CONCAT("$I", $F592))</f>
        <v/>
      </c>
      <c r="B592" s="1">
        <f t="array" ref="B592">INDIRECT(_xlfn.CONCAT("$J", $F592))</f>
        <v/>
      </c>
      <c r="C592" s="1">
        <f t="array" ref="C592">INDIRECT(_xlfn.CONCAT("$K", $F592))</f>
        <v/>
      </c>
      <c r="D592" s="1" t="n"/>
      <c r="E592" s="1">
        <f t="array" ref="E592">INDIRECT(_xlfn.CONCAT("$L", $F592))</f>
        <v/>
      </c>
      <c r="F592" s="1">
        <f t="array" ref="F592">IF(NOT(OR(ISERROR(INDIRECT(_xlfn.CONCAT("$I", $F591 + 1))), ISBLANK(INDIRECT(_xlfn.CONCAT("$I", $F591 + 1))))), $F591 + 1, IF(NOT(ISBLANK(INDIRECT(_xlfn.CONCAT("$I", $F591 + 2)))), $F591 + 2, ""))</f>
        <v/>
      </c>
      <c r="I592" s="8" t="inlineStr">
        <is>
          <t>Adventures in the Forgotten Realms Promos PAFR</t>
        </is>
      </c>
      <c r="J592" s="8" t="n">
        <v>241</v>
      </c>
      <c r="K592" s="9" t="n">
        <v>44400</v>
      </c>
      <c r="L592" s="8" t="inlineStr">
        <is>
          <t>en es fr de it pt ja ko ru 汉语 漢語</t>
        </is>
      </c>
    </row>
    <row r="593" ht="57.75" customHeight="1" s="6">
      <c r="A593" s="1">
        <f t="array" ref="A593">INDIRECT(_xlfn.CONCAT("$I", $F593))</f>
        <v/>
      </c>
      <c r="B593" s="1">
        <f t="array" ref="B593">INDIRECT(_xlfn.CONCAT("$J", $F593))</f>
        <v/>
      </c>
      <c r="C593" s="1">
        <f t="array" ref="C593">INDIRECT(_xlfn.CONCAT("$K", $F593))</f>
        <v/>
      </c>
      <c r="D593" s="1" t="n"/>
      <c r="E593" s="1">
        <f t="array" ref="E593">INDIRECT(_xlfn.CONCAT("$L", $F593))</f>
        <v/>
      </c>
      <c r="F593" s="1">
        <f t="array" ref="F593">IF(NOT(OR(ISERROR(INDIRECT(_xlfn.CONCAT("$I", $F592 + 1))), ISBLANK(INDIRECT(_xlfn.CONCAT("$I", $F592 + 1))))), $F592 + 1, IF(NOT(ISBLANK(INDIRECT(_xlfn.CONCAT("$I", $F592 + 2)))), $F592 + 2, ""))</f>
        <v/>
      </c>
    </row>
    <row r="594" ht="57.75" customHeight="1" s="6">
      <c r="A594" s="1">
        <f t="array" ref="A594">INDIRECT(_xlfn.CONCAT("$I", $F594))</f>
        <v/>
      </c>
      <c r="B594" s="1">
        <f t="array" ref="B594">INDIRECT(_xlfn.CONCAT("$J", $F594))</f>
        <v/>
      </c>
      <c r="C594" s="1">
        <f t="array" ref="C594">INDIRECT(_xlfn.CONCAT("$K", $F594))</f>
        <v/>
      </c>
      <c r="D594" s="1" t="n"/>
      <c r="E594" s="1">
        <f t="array" ref="E594">INDIRECT(_xlfn.CONCAT("$L", $F594))</f>
        <v/>
      </c>
      <c r="F594" s="1">
        <f t="array" ref="F594">IF(NOT(OR(ISERROR(INDIRECT(_xlfn.CONCAT("$I", $F593 + 1))), ISBLANK(INDIRECT(_xlfn.CONCAT("$I", $F593 + 1))))), $F593 + 1, IF(NOT(ISBLANK(INDIRECT(_xlfn.CONCAT("$I", $F593 + 2)))), $F593 + 2, ""))</f>
        <v/>
      </c>
      <c r="I594" s="8" t="inlineStr">
        <is>
          <t>Adventures in the Forgotten Realms Tokens TAFR</t>
        </is>
      </c>
      <c r="J594" s="8" t="n">
        <v>22</v>
      </c>
      <c r="K594" s="9" t="n">
        <v>44400</v>
      </c>
      <c r="L594" s="8" t="inlineStr">
        <is>
          <t>en es fr de it pt ja ko ru 汉语 漢語</t>
        </is>
      </c>
    </row>
    <row r="595" ht="57.75" customHeight="1" s="6">
      <c r="A595" s="1">
        <f t="array" ref="A595">INDIRECT(_xlfn.CONCAT("$I", $F595))</f>
        <v/>
      </c>
      <c r="B595" s="1">
        <f t="array" ref="B595">INDIRECT(_xlfn.CONCAT("$J", $F595))</f>
        <v/>
      </c>
      <c r="C595" s="1">
        <f t="array" ref="C595">INDIRECT(_xlfn.CONCAT("$K", $F595))</f>
        <v/>
      </c>
      <c r="D595" s="1" t="n"/>
      <c r="E595" s="1">
        <f t="array" ref="E595">INDIRECT(_xlfn.CONCAT("$L", $F595))</f>
        <v/>
      </c>
      <c r="F595" s="1">
        <f t="array" ref="F595">IF(NOT(OR(ISERROR(INDIRECT(_xlfn.CONCAT("$I", $F594 + 1))), ISBLANK(INDIRECT(_xlfn.CONCAT("$I", $F594 + 1))))), $F594 + 1, IF(NOT(ISBLANK(INDIRECT(_xlfn.CONCAT("$I", $F594 + 2)))), $F594 + 2, ""))</f>
        <v/>
      </c>
    </row>
    <row r="596" ht="57.75" customHeight="1" s="6">
      <c r="A596" s="1">
        <f t="array" ref="A596">INDIRECT(_xlfn.CONCAT("$I", $F596))</f>
        <v/>
      </c>
      <c r="B596" s="1">
        <f t="array" ref="B596">INDIRECT(_xlfn.CONCAT("$J", $F596))</f>
        <v/>
      </c>
      <c r="C596" s="1">
        <f t="array" ref="C596">INDIRECT(_xlfn.CONCAT("$K", $F596))</f>
        <v/>
      </c>
      <c r="D596" s="1" t="n"/>
      <c r="E596" s="1">
        <f t="array" ref="E596">INDIRECT(_xlfn.CONCAT("$L", $F596))</f>
        <v/>
      </c>
      <c r="F596" s="1">
        <f t="array" ref="F596">IF(NOT(OR(ISERROR(INDIRECT(_xlfn.CONCAT("$I", $F595 + 1))), ISBLANK(INDIRECT(_xlfn.CONCAT("$I", $F595 + 1))))), $F595 + 1, IF(NOT(ISBLANK(INDIRECT(_xlfn.CONCAT("$I", $F595 + 2)))), $F595 + 2, ""))</f>
        <v/>
      </c>
      <c r="I596" s="8" t="inlineStr">
        <is>
          <t>Forgotten Realms Oversized Cards OAFR</t>
        </is>
      </c>
      <c r="J596" s="8" t="n">
        <v>3</v>
      </c>
      <c r="K596" s="9" t="n">
        <v>44400</v>
      </c>
      <c r="L596" s="8" t="inlineStr">
        <is>
          <t>en es fr de it pt ja ko ru 汉语 漢語</t>
        </is>
      </c>
    </row>
    <row r="597" ht="57.75" customHeight="1" s="6">
      <c r="A597" s="1">
        <f t="array" ref="A597">INDIRECT(_xlfn.CONCAT("$I", $F597))</f>
        <v/>
      </c>
      <c r="B597" s="1">
        <f t="array" ref="B597">INDIRECT(_xlfn.CONCAT("$J", $F597))</f>
        <v/>
      </c>
      <c r="C597" s="1">
        <f t="array" ref="C597">INDIRECT(_xlfn.CONCAT("$K", $F597))</f>
        <v/>
      </c>
      <c r="D597" s="1" t="n"/>
      <c r="E597" s="1">
        <f t="array" ref="E597">INDIRECT(_xlfn.CONCAT("$L", $F597))</f>
        <v/>
      </c>
      <c r="F597" s="1">
        <f t="array" ref="F597">IF(NOT(OR(ISERROR(INDIRECT(_xlfn.CONCAT("$I", $F596 + 1))), ISBLANK(INDIRECT(_xlfn.CONCAT("$I", $F596 + 1))))), $F596 + 1, IF(NOT(ISBLANK(INDIRECT(_xlfn.CONCAT("$I", $F596 + 2)))), $F596 + 2, ""))</f>
        <v/>
      </c>
    </row>
    <row r="598" ht="57.75" customHeight="1" s="6">
      <c r="A598" s="1">
        <f t="array" ref="A598">INDIRECT(_xlfn.CONCAT("$I", $F598))</f>
        <v/>
      </c>
      <c r="B598" s="1">
        <f t="array" ref="B598">INDIRECT(_xlfn.CONCAT("$J", $F598))</f>
        <v/>
      </c>
      <c r="C598" s="1">
        <f t="array" ref="C598">INDIRECT(_xlfn.CONCAT("$K", $F598))</f>
        <v/>
      </c>
      <c r="D598" s="1" t="n"/>
      <c r="E598" s="1">
        <f t="array" ref="E598">INDIRECT(_xlfn.CONCAT("$L", $F598))</f>
        <v/>
      </c>
      <c r="F598" s="1">
        <f t="array" ref="F598">IF(NOT(OR(ISERROR(INDIRECT(_xlfn.CONCAT("$I", $F597 + 1))), ISBLANK(INDIRECT(_xlfn.CONCAT("$I", $F597 + 1))))), $F597 + 1, IF(NOT(ISBLANK(INDIRECT(_xlfn.CONCAT("$I", $F597 + 2)))), $F597 + 2, ""))</f>
        <v/>
      </c>
      <c r="I598" s="8" t="inlineStr">
        <is>
          <t>Adventures in the Forgotten Realms Art Series AAFR</t>
        </is>
      </c>
      <c r="J598" s="8" t="n">
        <v>81</v>
      </c>
      <c r="K598" s="9" t="n">
        <v>44400</v>
      </c>
      <c r="L598" s="8" t="inlineStr">
        <is>
          <t>en es fr de it pt ja ko ru 汉语 漢語</t>
        </is>
      </c>
    </row>
    <row r="599" ht="57.75" customHeight="1" s="6">
      <c r="A599" s="1">
        <f t="array" ref="A599">INDIRECT(_xlfn.CONCAT("$I", $F599))</f>
        <v/>
      </c>
      <c r="B599" s="1">
        <f t="array" ref="B599">INDIRECT(_xlfn.CONCAT("$J", $F599))</f>
        <v/>
      </c>
      <c r="C599" s="1">
        <f t="array" ref="C599">INDIRECT(_xlfn.CONCAT("$K", $F599))</f>
        <v/>
      </c>
      <c r="D599" s="1" t="n"/>
      <c r="E599" s="1">
        <f t="array" ref="E599">INDIRECT(_xlfn.CONCAT("$L", $F599))</f>
        <v/>
      </c>
      <c r="F599" s="1">
        <f t="array" ref="F599">IF(NOT(OR(ISERROR(INDIRECT(_xlfn.CONCAT("$I", $F598 + 1))), ISBLANK(INDIRECT(_xlfn.CONCAT("$I", $F598 + 1))))), $F598 + 1, IF(NOT(ISBLANK(INDIRECT(_xlfn.CONCAT("$I", $F598 + 2)))), $F598 + 2, ""))</f>
        <v/>
      </c>
    </row>
    <row r="600" ht="68.25" customHeight="1" s="6">
      <c r="A600" s="1">
        <f t="array" ref="A600">INDIRECT(_xlfn.CONCAT("$I", $F600))</f>
        <v/>
      </c>
      <c r="B600" s="1">
        <f t="array" ref="B600">INDIRECT(_xlfn.CONCAT("$J", $F600))</f>
        <v/>
      </c>
      <c r="C600" s="1">
        <f t="array" ref="C600">INDIRECT(_xlfn.CONCAT("$K", $F600))</f>
        <v/>
      </c>
      <c r="D600" s="1" t="n"/>
      <c r="E600" s="1">
        <f t="array" ref="E600">INDIRECT(_xlfn.CONCAT("$L", $F600))</f>
        <v/>
      </c>
      <c r="F600" s="1">
        <f t="array" ref="F600">IF(NOT(OR(ISERROR(INDIRECT(_xlfn.CONCAT("$I", $F599 + 1))), ISBLANK(INDIRECT(_xlfn.CONCAT("$I", $F599 + 1))))), $F599 + 1, IF(NOT(ISBLANK(INDIRECT(_xlfn.CONCAT("$I", $F599 + 2)))), $F599 + 2, ""))</f>
        <v/>
      </c>
      <c r="I600" s="8" t="inlineStr">
        <is>
          <t>Forgotten Realms Commander AFC</t>
        </is>
      </c>
      <c r="J600" s="8" t="n">
        <v>331</v>
      </c>
      <c r="K600" s="9" t="n">
        <v>44400</v>
      </c>
      <c r="L600" t="inlineStr">
        <is>
          <t>en es fr de it pt ja ko ru 汉语 漢語</t>
        </is>
      </c>
    </row>
    <row r="601" ht="57.75" customHeight="1" s="6">
      <c r="A601" s="1">
        <f t="array" ref="A601">INDIRECT(_xlfn.CONCAT("$I", $F601))</f>
        <v/>
      </c>
      <c r="B601" s="1">
        <f t="array" ref="B601">INDIRECT(_xlfn.CONCAT("$J", $F601))</f>
        <v/>
      </c>
      <c r="C601" s="1">
        <f t="array" ref="C601">INDIRECT(_xlfn.CONCAT("$K", $F601))</f>
        <v/>
      </c>
      <c r="D601" s="1" t="n"/>
      <c r="E601" s="1">
        <f t="array" ref="E601">INDIRECT(_xlfn.CONCAT("$L", $F601))</f>
        <v/>
      </c>
      <c r="F601" s="1">
        <f t="array" ref="F601">IF(NOT(OR(ISERROR(INDIRECT(_xlfn.CONCAT("$I", $F600 + 1))), ISBLANK(INDIRECT(_xlfn.CONCAT("$I", $F600 + 1))))), $F600 + 1, IF(NOT(ISBLANK(INDIRECT(_xlfn.CONCAT("$I", $F600 + 2)))), $F600 + 2, ""))</f>
        <v/>
      </c>
    </row>
    <row r="602" ht="57.75" customHeight="1" s="6">
      <c r="A602" s="1">
        <f t="array" ref="A602">INDIRECT(_xlfn.CONCAT("$I", $F602))</f>
        <v/>
      </c>
      <c r="B602" s="1">
        <f t="array" ref="B602">INDIRECT(_xlfn.CONCAT("$J", $F602))</f>
        <v/>
      </c>
      <c r="C602" s="1">
        <f t="array" ref="C602">INDIRECT(_xlfn.CONCAT("$K", $F602))</f>
        <v/>
      </c>
      <c r="D602" s="1" t="n"/>
      <c r="E602" s="1">
        <f t="array" ref="E602">INDIRECT(_xlfn.CONCAT("$L", $F602))</f>
        <v/>
      </c>
      <c r="F602" s="1">
        <f t="array" ref="F602">IF(NOT(OR(ISERROR(INDIRECT(_xlfn.CONCAT("$I", $F601 + 1))), ISBLANK(INDIRECT(_xlfn.CONCAT("$I", $F601 + 1))))), $F601 + 1, IF(NOT(ISBLANK(INDIRECT(_xlfn.CONCAT("$I", $F601 + 2)))), $F601 + 2, ""))</f>
        <v/>
      </c>
      <c r="I602" s="8" t="inlineStr">
        <is>
          <t>Forgotten Realms Commander Tokens TAFC</t>
        </is>
      </c>
      <c r="J602" s="8" t="n">
        <v>13</v>
      </c>
      <c r="K602" s="9" t="n">
        <v>44400</v>
      </c>
      <c r="L602" s="8" t="inlineStr">
        <is>
          <t>en es fr de it pt ja ko ru 汉语 漢語</t>
        </is>
      </c>
    </row>
    <row r="603" ht="57.75" customHeight="1" s="6">
      <c r="A603" s="1">
        <f t="array" ref="A603">INDIRECT(_xlfn.CONCAT("$I", $F603))</f>
        <v/>
      </c>
      <c r="B603" s="1">
        <f t="array" ref="B603">INDIRECT(_xlfn.CONCAT("$J", $F603))</f>
        <v/>
      </c>
      <c r="C603" s="1">
        <f t="array" ref="C603">INDIRECT(_xlfn.CONCAT("$K", $F603))</f>
        <v/>
      </c>
      <c r="D603" s="1" t="n"/>
      <c r="E603" s="1">
        <f t="array" ref="E603">INDIRECT(_xlfn.CONCAT("$L", $F603))</f>
        <v/>
      </c>
      <c r="F603" s="1">
        <f t="array" ref="F603">IF(NOT(OR(ISERROR(INDIRECT(_xlfn.CONCAT("$I", $F602 + 1))), ISBLANK(INDIRECT(_xlfn.CONCAT("$I", $F602 + 1))))), $F602 + 1, IF(NOT(ISBLANK(INDIRECT(_xlfn.CONCAT("$I", $F602 + 2)))), $F602 + 2, ""))</f>
        <v/>
      </c>
    </row>
    <row r="604" ht="57.75" customHeight="1" s="6">
      <c r="A604" s="1">
        <f t="array" ref="A604">INDIRECT(_xlfn.CONCAT("$I", $F604))</f>
        <v/>
      </c>
      <c r="B604" s="1">
        <f t="array" ref="B604">INDIRECT(_xlfn.CONCAT("$J", $F604))</f>
        <v/>
      </c>
      <c r="C604" s="1">
        <f t="array" ref="C604">INDIRECT(_xlfn.CONCAT("$K", $F604))</f>
        <v/>
      </c>
      <c r="D604" s="1" t="n"/>
      <c r="E604" s="1">
        <f t="array" ref="E604">INDIRECT(_xlfn.CONCAT("$L", $F604))</f>
        <v/>
      </c>
      <c r="F604" s="1">
        <f t="array" ref="F604">IF(NOT(OR(ISERROR(INDIRECT(_xlfn.CONCAT("$I", $F603 + 1))), ISBLANK(INDIRECT(_xlfn.CONCAT("$I", $F603 + 1))))), $F603 + 1, IF(NOT(ISBLANK(INDIRECT(_xlfn.CONCAT("$I", $F603 + 2)))), $F603 + 2, ""))</f>
        <v/>
      </c>
      <c r="I604" s="8" t="inlineStr">
        <is>
          <t>Forgotten Realms Commander Display Commanders OAFC</t>
        </is>
      </c>
      <c r="J604" s="8" t="n">
        <v>4</v>
      </c>
      <c r="K604" s="9" t="n">
        <v>44400</v>
      </c>
      <c r="L604" s="8" t="inlineStr">
        <is>
          <t>en es fr de it pt ja ko ru 汉语 漢語</t>
        </is>
      </c>
    </row>
    <row r="605" ht="57.75" customHeight="1" s="6">
      <c r="A605" s="1">
        <f t="array" ref="A605">INDIRECT(_xlfn.CONCAT("$I", $F605))</f>
        <v/>
      </c>
      <c r="B605" s="1">
        <f t="array" ref="B605">INDIRECT(_xlfn.CONCAT("$J", $F605))</f>
        <v/>
      </c>
      <c r="C605" s="1">
        <f t="array" ref="C605">INDIRECT(_xlfn.CONCAT("$K", $F605))</f>
        <v/>
      </c>
      <c r="D605" s="1" t="n"/>
      <c r="E605" s="1">
        <f t="array" ref="E605">INDIRECT(_xlfn.CONCAT("$L", $F605))</f>
        <v/>
      </c>
      <c r="F605" s="1">
        <f t="array" ref="F605">IF(NOT(OR(ISERROR(INDIRECT(_xlfn.CONCAT("$I", $F604 + 1))), ISBLANK(INDIRECT(_xlfn.CONCAT("$I", $F604 + 1))))), $F604 + 1, IF(NOT(ISBLANK(INDIRECT(_xlfn.CONCAT("$I", $F604 + 2)))), $F604 + 2, ""))</f>
        <v/>
      </c>
    </row>
    <row r="606" ht="57.75" customHeight="1" s="6">
      <c r="A606" s="1">
        <f t="array" ref="A606">INDIRECT(_xlfn.CONCAT("$I", $F606))</f>
        <v/>
      </c>
      <c r="B606" s="1">
        <f t="array" ref="B606">INDIRECT(_xlfn.CONCAT("$J", $F606))</f>
        <v/>
      </c>
      <c r="C606" s="1">
        <f t="array" ref="C606">INDIRECT(_xlfn.CONCAT("$K", $F606))</f>
        <v/>
      </c>
      <c r="D606" s="1" t="n"/>
      <c r="E606" s="1">
        <f t="array" ref="E606">INDIRECT(_xlfn.CONCAT("$L", $F606))</f>
        <v/>
      </c>
      <c r="F606" s="1">
        <f t="array" ref="F606">IF(NOT(OR(ISERROR(INDIRECT(_xlfn.CONCAT("$I", $F605 + 1))), ISBLANK(INDIRECT(_xlfn.CONCAT("$I", $F605 + 1))))), $F605 + 1, IF(NOT(ISBLANK(INDIRECT(_xlfn.CONCAT("$I", $F605 + 2)))), $F605 + 2, ""))</f>
        <v/>
      </c>
      <c r="I606" s="8" t="inlineStr">
        <is>
          <t>Adventures in the Forgotten Realms Minigames MAFR</t>
        </is>
      </c>
      <c r="J606" s="8" t="n">
        <v>5</v>
      </c>
      <c r="K606" s="9" t="n">
        <v>44400</v>
      </c>
      <c r="L606" s="8" t="inlineStr">
        <is>
          <t>en es fr de it pt ja ko ru 汉语 漢語</t>
        </is>
      </c>
    </row>
    <row r="607" ht="57.75" customHeight="1" s="6">
      <c r="A607" s="1">
        <f t="array" ref="A607">INDIRECT(_xlfn.CONCAT("$I", $F607))</f>
        <v/>
      </c>
      <c r="B607" s="1">
        <f t="array" ref="B607">INDIRECT(_xlfn.CONCAT("$J", $F607))</f>
        <v/>
      </c>
      <c r="C607" s="1">
        <f t="array" ref="C607">INDIRECT(_xlfn.CONCAT("$K", $F607))</f>
        <v/>
      </c>
      <c r="D607" s="1" t="n"/>
      <c r="E607" s="1">
        <f t="array" ref="E607">INDIRECT(_xlfn.CONCAT("$L", $F607))</f>
        <v/>
      </c>
      <c r="F607" s="1">
        <f t="array" ref="F607">IF(NOT(OR(ISERROR(INDIRECT(_xlfn.CONCAT("$I", $F606 + 1))), ISBLANK(INDIRECT(_xlfn.CONCAT("$I", $F606 + 1))))), $F606 + 1, IF(NOT(ISBLANK(INDIRECT(_xlfn.CONCAT("$I", $F606 + 2)))), $F606 + 2, ""))</f>
        <v/>
      </c>
    </row>
    <row r="608" ht="57.75" customHeight="1" s="6">
      <c r="A608" s="1">
        <f t="array" ref="A608">INDIRECT(_xlfn.CONCAT("$I", $F608))</f>
        <v/>
      </c>
      <c r="B608" s="1">
        <f t="array" ref="B608">INDIRECT(_xlfn.CONCAT("$J", $F608))</f>
        <v/>
      </c>
      <c r="C608" s="1">
        <f t="array" ref="C608">INDIRECT(_xlfn.CONCAT("$K", $F608))</f>
        <v/>
      </c>
      <c r="D608" s="1" t="n"/>
      <c r="E608" s="1">
        <f t="array" ref="E608">INDIRECT(_xlfn.CONCAT("$L", $F608))</f>
        <v/>
      </c>
      <c r="F608" s="1">
        <f t="array" ref="F608">IF(NOT(OR(ISERROR(INDIRECT(_xlfn.CONCAT("$I", $F607 + 1))), ISBLANK(INDIRECT(_xlfn.CONCAT("$I", $F607 + 1))))), $F607 + 1, IF(NOT(ISBLANK(INDIRECT(_xlfn.CONCAT("$I", $F607 + 2)))), $F607 + 2, ""))</f>
        <v/>
      </c>
      <c r="I608" s="8" t="inlineStr">
        <is>
          <t>Chromatic Cube CHROMATIC</t>
        </is>
      </c>
      <c r="J608" s="8" t="n">
        <v>540</v>
      </c>
      <c r="K608" s="9" t="n">
        <v>44372</v>
      </c>
    </row>
    <row r="609" ht="57.75" customHeight="1" s="6">
      <c r="A609" s="1">
        <f t="array" ref="A609">INDIRECT(_xlfn.CONCAT("$I", $F609))</f>
        <v/>
      </c>
      <c r="B609" s="1">
        <f t="array" ref="B609">INDIRECT(_xlfn.CONCAT("$J", $F609))</f>
        <v/>
      </c>
      <c r="C609" s="1">
        <f t="array" ref="C609">INDIRECT(_xlfn.CONCAT("$K", $F609))</f>
        <v/>
      </c>
      <c r="D609" s="1" t="n"/>
      <c r="E609" s="1">
        <f t="array" ref="E609">INDIRECT(_xlfn.CONCAT("$L", $F609))</f>
        <v/>
      </c>
      <c r="F609" s="1">
        <f t="array" ref="F609">IF(NOT(OR(ISERROR(INDIRECT(_xlfn.CONCAT("$I", $F608 + 1))), ISBLANK(INDIRECT(_xlfn.CONCAT("$I", $F608 + 1))))), $F608 + 1, IF(NOT(ISBLANK(INDIRECT(_xlfn.CONCAT("$I", $F608 + 2)))), $F608 + 2, ""))</f>
        <v/>
      </c>
    </row>
    <row r="610" ht="57.75" customHeight="1" s="6">
      <c r="A610" s="1">
        <f t="array" ref="A610">INDIRECT(_xlfn.CONCAT("$I", $F610))</f>
        <v/>
      </c>
      <c r="B610" s="1">
        <f t="array" ref="B610">INDIRECT(_xlfn.CONCAT("$J", $F610))</f>
        <v/>
      </c>
      <c r="C610" s="1">
        <f t="array" ref="C610">INDIRECT(_xlfn.CONCAT("$K", $F610))</f>
        <v/>
      </c>
      <c r="D610" s="1" t="n"/>
      <c r="E610" s="1">
        <f t="array" ref="E610">INDIRECT(_xlfn.CONCAT("$L", $F610))</f>
        <v/>
      </c>
      <c r="F610" s="1">
        <f t="array" ref="F610">IF(NOT(OR(ISERROR(INDIRECT(_xlfn.CONCAT("$I", $F609 + 1))), ISBLANK(INDIRECT(_xlfn.CONCAT("$I", $F609 + 1))))), $F609 + 1, IF(NOT(ISBLANK(INDIRECT(_xlfn.CONCAT("$I", $F609 + 2)))), $F609 + 2, ""))</f>
        <v/>
      </c>
      <c r="I610" s="8" t="inlineStr">
        <is>
          <t>Love Your LGS 2021 PLG21</t>
        </is>
      </c>
      <c r="J610" s="8" t="n">
        <v>11</v>
      </c>
      <c r="K610" s="9" t="n">
        <v>44369</v>
      </c>
      <c r="L610" t="inlineStr">
        <is>
          <t>en es fr de it pt ja ko ru 汉语 漢語</t>
        </is>
      </c>
    </row>
    <row r="611" ht="57.75" customHeight="1" s="6">
      <c r="A611" s="1">
        <f t="array" ref="A611">INDIRECT(_xlfn.CONCAT("$I", $F611))</f>
        <v/>
      </c>
      <c r="B611" s="1">
        <f t="array" ref="B611">INDIRECT(_xlfn.CONCAT("$J", $F611))</f>
        <v/>
      </c>
      <c r="C611" s="1">
        <f t="array" ref="C611">INDIRECT(_xlfn.CONCAT("$K", $F611))</f>
        <v/>
      </c>
      <c r="D611" s="1" t="n"/>
      <c r="E611" s="1">
        <f t="array" ref="E611">INDIRECT(_xlfn.CONCAT("$L", $F611))</f>
        <v/>
      </c>
      <c r="F611" s="1">
        <f t="array" ref="F611">IF(NOT(OR(ISERROR(INDIRECT(_xlfn.CONCAT("$I", $F610 + 1))), ISBLANK(INDIRECT(_xlfn.CONCAT("$I", $F610 + 1))))), $F610 + 1, IF(NOT(ISBLANK(INDIRECT(_xlfn.CONCAT("$I", $F610 + 2)))), $F610 + 2, ""))</f>
        <v/>
      </c>
    </row>
    <row r="612" ht="57.75" customHeight="1" s="6">
      <c r="A612" s="1">
        <f t="array" ref="A612">INDIRECT(_xlfn.CONCAT("$I", $F612))</f>
        <v/>
      </c>
      <c r="B612" s="1">
        <f t="array" ref="B612">INDIRECT(_xlfn.CONCAT("$J", $F612))</f>
        <v/>
      </c>
      <c r="C612" s="1">
        <f t="array" ref="C612">INDIRECT(_xlfn.CONCAT("$K", $F612))</f>
        <v/>
      </c>
      <c r="D612" s="1" t="n"/>
      <c r="E612" s="1">
        <f t="array" ref="E612">INDIRECT(_xlfn.CONCAT("$L", $F612))</f>
        <v/>
      </c>
      <c r="F612" s="1">
        <f t="array" ref="F612">IF(NOT(OR(ISERROR(INDIRECT(_xlfn.CONCAT("$I", $F611 + 1))), ISBLANK(INDIRECT(_xlfn.CONCAT("$I", $F611 + 1))))), $F611 + 1, IF(NOT(ISBLANK(INDIRECT(_xlfn.CONCAT("$I", $F611 + 2)))), $F611 + 2, ""))</f>
        <v/>
      </c>
      <c r="I612" s="8" t="inlineStr">
        <is>
          <t>Wizards Play Network 2021 PW21</t>
        </is>
      </c>
      <c r="J612" s="8" t="n">
        <v>6</v>
      </c>
      <c r="K612" s="9" t="n">
        <v>44365</v>
      </c>
      <c r="L612" s="8" t="inlineStr">
        <is>
          <t>en es fr de it pt ja ko ru 汉语 漢語</t>
        </is>
      </c>
    </row>
    <row r="613" ht="57.75" customHeight="1" s="6">
      <c r="A613" s="1">
        <f t="array" ref="A613">INDIRECT(_xlfn.CONCAT("$I", $F613))</f>
        <v/>
      </c>
      <c r="B613" s="1">
        <f t="array" ref="B613">INDIRECT(_xlfn.CONCAT("$J", $F613))</f>
        <v/>
      </c>
      <c r="C613" s="1">
        <f t="array" ref="C613">INDIRECT(_xlfn.CONCAT("$K", $F613))</f>
        <v/>
      </c>
      <c r="D613" s="1" t="n"/>
      <c r="E613" s="1">
        <f t="array" ref="E613">INDIRECT(_xlfn.CONCAT("$L", $F613))</f>
        <v/>
      </c>
      <c r="F613" s="1">
        <f t="array" ref="F613">IF(NOT(OR(ISERROR(INDIRECT(_xlfn.CONCAT("$I", $F612 + 1))), ISBLANK(INDIRECT(_xlfn.CONCAT("$I", $F612 + 1))))), $F612 + 1, IF(NOT(ISBLANK(INDIRECT(_xlfn.CONCAT("$I", $F612 + 2)))), $F612 + 2, ""))</f>
        <v/>
      </c>
    </row>
    <row r="614" ht="57.75" customHeight="1" s="6">
      <c r="A614" s="1">
        <f t="array" ref="A614">INDIRECT(_xlfn.CONCAT("$I", $F614))</f>
        <v/>
      </c>
      <c r="B614" s="1">
        <f t="array" ref="B614">INDIRECT(_xlfn.CONCAT("$J", $F614))</f>
        <v/>
      </c>
      <c r="C614" s="1">
        <f t="array" ref="C614">INDIRECT(_xlfn.CONCAT("$K", $F614))</f>
        <v/>
      </c>
      <c r="D614" s="1" t="n"/>
      <c r="E614" s="1">
        <f t="array" ref="E614">INDIRECT(_xlfn.CONCAT("$L", $F614))</f>
        <v/>
      </c>
      <c r="F614" s="1">
        <f t="array" ref="F614">IF(NOT(OR(ISERROR(INDIRECT(_xlfn.CONCAT("$I", $F613 + 1))), ISBLANK(INDIRECT(_xlfn.CONCAT("$I", $F613 + 1))))), $F613 + 1, IF(NOT(ISBLANK(INDIRECT(_xlfn.CONCAT("$I", $F613 + 2)))), $F613 + 2, ""))</f>
        <v/>
      </c>
      <c r="I614" s="8" t="inlineStr">
        <is>
          <t>Modern Horizons 2 MH2</t>
        </is>
      </c>
      <c r="J614" s="8" t="n">
        <v>494</v>
      </c>
      <c r="K614" s="9" t="n">
        <v>44365</v>
      </c>
      <c r="L614" t="inlineStr">
        <is>
          <t>en es fr de it pt ja ko ru 汉语 漢語</t>
        </is>
      </c>
    </row>
    <row r="615" ht="81" customHeight="1" s="6">
      <c r="A615" s="1">
        <f t="array" ref="A615">INDIRECT(_xlfn.CONCAT("$I", $F615))</f>
        <v/>
      </c>
      <c r="B615" s="1">
        <f t="array" ref="B615">INDIRECT(_xlfn.CONCAT("$J", $F615))</f>
        <v/>
      </c>
      <c r="C615" s="1">
        <f t="array" ref="C615">INDIRECT(_xlfn.CONCAT("$K", $F615))</f>
        <v/>
      </c>
      <c r="D615" s="1" t="n"/>
      <c r="E615" s="1">
        <f t="array" ref="E615">INDIRECT(_xlfn.CONCAT("$L", $F615))</f>
        <v/>
      </c>
      <c r="F615" s="1">
        <f t="array" ref="F615">IF(NOT(OR(ISERROR(INDIRECT(_xlfn.CONCAT("$I", $F614 + 1))), ISBLANK(INDIRECT(_xlfn.CONCAT("$I", $F614 + 1))))), $F614 + 1, IF(NOT(ISBLANK(INDIRECT(_xlfn.CONCAT("$I", $F614 + 2)))), $F614 + 2, ""))</f>
        <v/>
      </c>
    </row>
    <row r="616" ht="94.5" customHeight="1" s="6">
      <c r="A616" s="1">
        <f t="array" ref="A616">INDIRECT(_xlfn.CONCAT("$I", $F616))</f>
        <v/>
      </c>
      <c r="B616" s="1">
        <f t="array" ref="B616">INDIRECT(_xlfn.CONCAT("$J", $F616))</f>
        <v/>
      </c>
      <c r="C616" s="1">
        <f t="array" ref="C616">INDIRECT(_xlfn.CONCAT("$K", $F616))</f>
        <v/>
      </c>
      <c r="D616" s="1" t="n"/>
      <c r="E616" s="1">
        <f t="array" ref="E616">INDIRECT(_xlfn.CONCAT("$L", $F616))</f>
        <v/>
      </c>
      <c r="F616" s="1">
        <f t="array" ref="F616">IF(NOT(OR(ISERROR(INDIRECT(_xlfn.CONCAT("$I", $F615 + 1))), ISBLANK(INDIRECT(_xlfn.CONCAT("$I", $F615 + 1))))), $F615 + 1, IF(NOT(ISBLANK(INDIRECT(_xlfn.CONCAT("$I", $F615 + 2)))), $F615 + 2, ""))</f>
        <v/>
      </c>
      <c r="I616" s="8" t="inlineStr">
        <is>
          <t>Modern Horizons 2 Promos PMH2</t>
        </is>
      </c>
      <c r="J616" s="8" t="n">
        <v>86</v>
      </c>
      <c r="K616" s="9" t="n">
        <v>44365</v>
      </c>
      <c r="L616" s="8" t="inlineStr">
        <is>
          <t>en es fr de it pt ja ko ru 汉语 漢語</t>
        </is>
      </c>
    </row>
    <row r="617" ht="68.25" customHeight="1" s="6">
      <c r="A617" s="1">
        <f t="array" ref="A617">INDIRECT(_xlfn.CONCAT("$I", $F617))</f>
        <v/>
      </c>
      <c r="B617" s="1">
        <f t="array" ref="B617">INDIRECT(_xlfn.CONCAT("$J", $F617))</f>
        <v/>
      </c>
      <c r="C617" s="1">
        <f t="array" ref="C617">INDIRECT(_xlfn.CONCAT("$K", $F617))</f>
        <v/>
      </c>
      <c r="D617" s="1" t="n"/>
      <c r="E617" s="1">
        <f t="array" ref="E617">INDIRECT(_xlfn.CONCAT("$L", $F617))</f>
        <v/>
      </c>
      <c r="F617" s="1">
        <f t="array" ref="F617">IF(NOT(OR(ISERROR(INDIRECT(_xlfn.CONCAT("$I", $F616 + 1))), ISBLANK(INDIRECT(_xlfn.CONCAT("$I", $F616 + 1))))), $F616 + 1, IF(NOT(ISBLANK(INDIRECT(_xlfn.CONCAT("$I", $F616 + 2)))), $F616 + 2, ""))</f>
        <v/>
      </c>
    </row>
    <row r="618" ht="94.5" customHeight="1" s="6">
      <c r="A618" s="1">
        <f t="array" ref="A618">INDIRECT(_xlfn.CONCAT("$I", $F618))</f>
        <v/>
      </c>
      <c r="B618" s="1">
        <f t="array" ref="B618">INDIRECT(_xlfn.CONCAT("$J", $F618))</f>
        <v/>
      </c>
      <c r="C618" s="1">
        <f t="array" ref="C618">INDIRECT(_xlfn.CONCAT("$K", $F618))</f>
        <v/>
      </c>
      <c r="D618" s="1" t="n"/>
      <c r="E618" s="1">
        <f t="array" ref="E618">INDIRECT(_xlfn.CONCAT("$L", $F618))</f>
        <v/>
      </c>
      <c r="F618" s="1">
        <f t="array" ref="F618">IF(NOT(OR(ISERROR(INDIRECT(_xlfn.CONCAT("$I", $F617 + 1))), ISBLANK(INDIRECT(_xlfn.CONCAT("$I", $F617 + 1))))), $F617 + 1, IF(NOT(ISBLANK(INDIRECT(_xlfn.CONCAT("$I", $F617 + 2)))), $F617 + 2, ""))</f>
        <v/>
      </c>
      <c r="I618" s="8" t="inlineStr">
        <is>
          <t>Modern Horizons 2 Tokens TMH2</t>
        </is>
      </c>
      <c r="J618" s="8" t="n">
        <v>21</v>
      </c>
      <c r="K618" s="9" t="n">
        <v>44365</v>
      </c>
      <c r="L618" s="8" t="inlineStr">
        <is>
          <t>en es fr de it pt ja ko ru 汉语 漢語</t>
        </is>
      </c>
    </row>
    <row r="619" ht="81" customHeight="1" s="6">
      <c r="A619" s="1">
        <f t="array" ref="A619">INDIRECT(_xlfn.CONCAT("$I", $F619))</f>
        <v/>
      </c>
      <c r="B619" s="1">
        <f t="array" ref="B619">INDIRECT(_xlfn.CONCAT("$J", $F619))</f>
        <v/>
      </c>
      <c r="C619" s="1">
        <f t="array" ref="C619">INDIRECT(_xlfn.CONCAT("$K", $F619))</f>
        <v/>
      </c>
      <c r="D619" s="1" t="n"/>
      <c r="E619" s="1">
        <f t="array" ref="E619">INDIRECT(_xlfn.CONCAT("$L", $F619))</f>
        <v/>
      </c>
      <c r="F619" s="1">
        <f t="array" ref="F619">IF(NOT(OR(ISERROR(INDIRECT(_xlfn.CONCAT("$I", $F618 + 1))), ISBLANK(INDIRECT(_xlfn.CONCAT("$I", $F618 + 1))))), $F618 + 1, IF(NOT(ISBLANK(INDIRECT(_xlfn.CONCAT("$I", $F618 + 2)))), $F618 + 2, ""))</f>
        <v/>
      </c>
    </row>
    <row r="620" ht="94.5" customHeight="1" s="6">
      <c r="A620" s="1">
        <f t="array" ref="A620">INDIRECT(_xlfn.CONCAT("$I", $F620))</f>
        <v/>
      </c>
      <c r="B620" s="1">
        <f t="array" ref="B620">INDIRECT(_xlfn.CONCAT("$J", $F620))</f>
        <v/>
      </c>
      <c r="C620" s="1">
        <f t="array" ref="C620">INDIRECT(_xlfn.CONCAT("$K", $F620))</f>
        <v/>
      </c>
      <c r="D620" s="1" t="n"/>
      <c r="E620" s="1">
        <f t="array" ref="E620">INDIRECT(_xlfn.CONCAT("$L", $F620))</f>
        <v/>
      </c>
      <c r="F620" s="1">
        <f t="array" ref="F620">IF(NOT(OR(ISERROR(INDIRECT(_xlfn.CONCAT("$I", $F619 + 1))), ISBLANK(INDIRECT(_xlfn.CONCAT("$I", $F619 + 1))))), $F619 + 1, IF(NOT(ISBLANK(INDIRECT(_xlfn.CONCAT("$I", $F619 + 2)))), $F619 + 2, ""))</f>
        <v/>
      </c>
      <c r="I620" s="8" t="inlineStr">
        <is>
          <t>Modern Horizons 2 Art Series AMH2</t>
        </is>
      </c>
      <c r="J620" s="8" t="n">
        <v>162</v>
      </c>
      <c r="K620" s="9" t="n">
        <v>44365</v>
      </c>
      <c r="L620" s="8" t="inlineStr">
        <is>
          <t>en es fr de it pt ja ko ru 汉语 漢語</t>
        </is>
      </c>
    </row>
    <row r="621" ht="81" customHeight="1" s="6">
      <c r="A621" s="1">
        <f t="array" ref="A621">INDIRECT(_xlfn.CONCAT("$I", $F621))</f>
        <v/>
      </c>
      <c r="B621" s="1">
        <f t="array" ref="B621">INDIRECT(_xlfn.CONCAT("$J", $F621))</f>
        <v/>
      </c>
      <c r="C621" s="1">
        <f t="array" ref="C621">INDIRECT(_xlfn.CONCAT("$K", $F621))</f>
        <v/>
      </c>
      <c r="D621" s="1" t="n"/>
      <c r="E621" s="1">
        <f t="array" ref="E621">INDIRECT(_xlfn.CONCAT("$L", $F621))</f>
        <v/>
      </c>
      <c r="F621" s="1">
        <f t="array" ref="F621">IF(NOT(OR(ISERROR(INDIRECT(_xlfn.CONCAT("$I", $F620 + 1))), ISBLANK(INDIRECT(_xlfn.CONCAT("$I", $F620 + 1))))), $F620 + 1, IF(NOT(ISBLANK(INDIRECT(_xlfn.CONCAT("$I", $F620 + 2)))), $F620 + 2, ""))</f>
        <v/>
      </c>
    </row>
    <row r="622" ht="94.5" customHeight="1" s="6">
      <c r="A622" s="1">
        <f t="array" ref="A622">INDIRECT(_xlfn.CONCAT("$I", $F622))</f>
        <v/>
      </c>
      <c r="B622" s="1">
        <f t="array" ref="B622">INDIRECT(_xlfn.CONCAT("$J", $F622))</f>
        <v/>
      </c>
      <c r="C622" s="1">
        <f t="array" ref="C622">INDIRECT(_xlfn.CONCAT("$K", $F622))</f>
        <v/>
      </c>
      <c r="D622" s="1" t="n"/>
      <c r="E622" s="1">
        <f t="array" ref="E622">INDIRECT(_xlfn.CONCAT("$L", $F622))</f>
        <v/>
      </c>
      <c r="F622" s="1">
        <f t="array" ref="F622">IF(NOT(OR(ISERROR(INDIRECT(_xlfn.CONCAT("$I", $F621 + 1))), ISBLANK(INDIRECT(_xlfn.CONCAT("$I", $F621 + 1))))), $F621 + 1, IF(NOT(ISBLANK(INDIRECT(_xlfn.CONCAT("$I", $F621 + 2)))), $F621 + 2, ""))</f>
        <v/>
      </c>
      <c r="I622" s="8" t="inlineStr">
        <is>
          <t>Modern Horizons 2 Minigames MMH2</t>
        </is>
      </c>
      <c r="J622" s="8" t="n">
        <v>5</v>
      </c>
      <c r="K622" s="9" t="n">
        <v>44365</v>
      </c>
      <c r="L622" s="8" t="inlineStr">
        <is>
          <t>en es fr de it pt ja ko ru 汉语 漢語</t>
        </is>
      </c>
    </row>
    <row r="623" ht="57.75" customHeight="1" s="6">
      <c r="A623" s="1">
        <f t="array" ref="A623">INDIRECT(_xlfn.CONCAT("$I", $F623))</f>
        <v/>
      </c>
      <c r="B623" s="1">
        <f t="array" ref="B623">INDIRECT(_xlfn.CONCAT("$J", $F623))</f>
        <v/>
      </c>
      <c r="C623" s="1">
        <f t="array" ref="C623">INDIRECT(_xlfn.CONCAT("$K", $F623))</f>
        <v/>
      </c>
      <c r="D623" s="1" t="n"/>
      <c r="E623" s="1">
        <f t="array" ref="E623">INDIRECT(_xlfn.CONCAT("$L", $F623))</f>
        <v/>
      </c>
      <c r="F623" s="1">
        <f t="array" ref="F623">IF(NOT(OR(ISERROR(INDIRECT(_xlfn.CONCAT("$I", $F622 + 1))), ISBLANK(INDIRECT(_xlfn.CONCAT("$I", $F622 + 1))))), $F622 + 1, IF(NOT(ISBLANK(INDIRECT(_xlfn.CONCAT("$I", $F622 + 2)))), $F622 + 2, ""))</f>
        <v/>
      </c>
    </row>
    <row r="624" ht="57.75" customHeight="1" s="6">
      <c r="A624" s="1">
        <f t="array" ref="A624">INDIRECT(_xlfn.CONCAT("$I", $F624))</f>
        <v/>
      </c>
      <c r="B624" s="1">
        <f t="array" ref="B624">INDIRECT(_xlfn.CONCAT("$J", $F624))</f>
        <v/>
      </c>
      <c r="C624" s="1">
        <f t="array" ref="C624">INDIRECT(_xlfn.CONCAT("$K", $F624))</f>
        <v/>
      </c>
      <c r="D624" s="1" t="n"/>
      <c r="E624" s="1">
        <f t="array" ref="E624">INDIRECT(_xlfn.CONCAT("$L", $F624))</f>
        <v/>
      </c>
      <c r="F624" s="1">
        <f t="array" ref="F624">IF(NOT(OR(ISERROR(INDIRECT(_xlfn.CONCAT("$I", $F623 + 1))), ISBLANK(INDIRECT(_xlfn.CONCAT("$I", $F623 + 1))))), $F623 + 1, IF(NOT(ISBLANK(INDIRECT(_xlfn.CONCAT("$I", $F623 + 2)))), $F623 + 2, ""))</f>
        <v/>
      </c>
      <c r="I624" s="8" t="inlineStr">
        <is>
          <t>Modern Horizons 1 Timeshifts H1R</t>
        </is>
      </c>
      <c r="J624" s="8" t="n">
        <v>40</v>
      </c>
      <c r="K624" s="9" t="n">
        <v>44365</v>
      </c>
      <c r="L624" s="8" t="inlineStr">
        <is>
          <t>en es fr de it pt ja ko ru 汉语 漢語</t>
        </is>
      </c>
    </row>
    <row r="625" ht="57.75" customHeight="1" s="6">
      <c r="A625" s="1">
        <f t="array" ref="A625">INDIRECT(_xlfn.CONCAT("$I", $F625))</f>
        <v/>
      </c>
      <c r="B625" s="1">
        <f t="array" ref="B625">INDIRECT(_xlfn.CONCAT("$J", $F625))</f>
        <v/>
      </c>
      <c r="C625" s="1">
        <f t="array" ref="C625">INDIRECT(_xlfn.CONCAT("$K", $F625))</f>
        <v/>
      </c>
      <c r="D625" s="1" t="n"/>
      <c r="E625" s="1">
        <f t="array" ref="E625">INDIRECT(_xlfn.CONCAT("$L", $F625))</f>
        <v/>
      </c>
      <c r="F625" s="1">
        <f t="array" ref="F625">IF(NOT(OR(ISERROR(INDIRECT(_xlfn.CONCAT("$I", $F624 + 1))), ISBLANK(INDIRECT(_xlfn.CONCAT("$I", $F624 + 1))))), $F624 + 1, IF(NOT(ISBLANK(INDIRECT(_xlfn.CONCAT("$I", $F624 + 2)))), $F624 + 2, ""))</f>
        <v/>
      </c>
    </row>
    <row r="626" ht="57.75" customHeight="1" s="6">
      <c r="A626" s="1">
        <f t="array" ref="A626">INDIRECT(_xlfn.CONCAT("$I", $F626))</f>
        <v/>
      </c>
      <c r="B626" s="1">
        <f t="array" ref="B626">INDIRECT(_xlfn.CONCAT("$J", $F626))</f>
        <v/>
      </c>
      <c r="C626" s="1">
        <f t="array" ref="C626">INDIRECT(_xlfn.CONCAT("$K", $F626))</f>
        <v/>
      </c>
      <c r="D626" s="1" t="n"/>
      <c r="E626" s="1">
        <f t="array" ref="E626">INDIRECT(_xlfn.CONCAT("$L", $F626))</f>
        <v/>
      </c>
      <c r="F626" s="1">
        <f t="array" ref="F626">IF(NOT(OR(ISERROR(INDIRECT(_xlfn.CONCAT("$I", $F625 + 1))), ISBLANK(INDIRECT(_xlfn.CONCAT("$I", $F625 + 1))))), $F625 + 1, IF(NOT(ISBLANK(INDIRECT(_xlfn.CONCAT("$I", $F625 + 2)))), $F625 + 2, ""))</f>
        <v/>
      </c>
      <c r="I626" s="8" t="inlineStr">
        <is>
          <t>Historic Anthology 5 HA5</t>
        </is>
      </c>
      <c r="J626" s="8" t="n">
        <v>25</v>
      </c>
      <c r="K626" s="9" t="n">
        <v>44343</v>
      </c>
      <c r="L626" s="8" t="inlineStr">
        <is>
          <t>en es fr de it pt ja ko ru 汉语 漢語</t>
        </is>
      </c>
    </row>
    <row r="627" ht="57.75" customHeight="1" s="6">
      <c r="A627" s="1">
        <f t="array" ref="A627">INDIRECT(_xlfn.CONCAT("$I", $F627))</f>
        <v/>
      </c>
      <c r="B627" s="1">
        <f t="array" ref="B627">INDIRECT(_xlfn.CONCAT("$J", $F627))</f>
        <v/>
      </c>
      <c r="C627" s="1">
        <f t="array" ref="C627">INDIRECT(_xlfn.CONCAT("$K", $F627))</f>
        <v/>
      </c>
      <c r="D627" s="1" t="n"/>
      <c r="E627" s="1">
        <f t="array" ref="E627">INDIRECT(_xlfn.CONCAT("$L", $F627))</f>
        <v/>
      </c>
      <c r="F627" s="1">
        <f t="array" ref="F627">IF(NOT(OR(ISERROR(INDIRECT(_xlfn.CONCAT("$I", $F626 + 1))), ISBLANK(INDIRECT(_xlfn.CONCAT("$I", $F626 + 1))))), $F626 + 1, IF(NOT(ISBLANK(INDIRECT(_xlfn.CONCAT("$I", $F626 + 2)))), $F626 + 2, ""))</f>
        <v/>
      </c>
    </row>
    <row r="628" ht="57.75" customHeight="1" s="6">
      <c r="A628" s="1">
        <f t="array" ref="A628">INDIRECT(_xlfn.CONCAT("$I", $F628))</f>
        <v/>
      </c>
      <c r="B628" s="1">
        <f t="array" ref="B628">INDIRECT(_xlfn.CONCAT("$J", $F628))</f>
        <v/>
      </c>
      <c r="C628" s="1">
        <f t="array" ref="C628">INDIRECT(_xlfn.CONCAT("$K", $F628))</f>
        <v/>
      </c>
      <c r="D628" s="1" t="n"/>
      <c r="E628" s="1">
        <f t="array" ref="E628">INDIRECT(_xlfn.CONCAT("$L", $F628))</f>
        <v/>
      </c>
      <c r="F628" s="1">
        <f t="array" ref="F628">IF(NOT(OR(ISERROR(INDIRECT(_xlfn.CONCAT("$I", $F627 + 1))), ISBLANK(INDIRECT(_xlfn.CONCAT("$I", $F627 + 1))))), $F627 + 1, IF(NOT(ISBLANK(INDIRECT(_xlfn.CONCAT("$I", $F627 + 2)))), $F627 + 2, ""))</f>
        <v/>
      </c>
      <c r="I628" s="8" t="inlineStr">
        <is>
          <t>Strixhaven: School of Mages STX</t>
        </is>
      </c>
      <c r="J628" s="8" t="n">
        <v>393</v>
      </c>
      <c r="K628" s="9" t="n">
        <v>44309</v>
      </c>
      <c r="L628" t="inlineStr">
        <is>
          <t>en es fr de it pt ja ko ru 汉语 漢語</t>
        </is>
      </c>
    </row>
    <row r="629" ht="68.25" customHeight="1" s="6">
      <c r="A629" s="1">
        <f t="array" ref="A629">INDIRECT(_xlfn.CONCAT("$I", $F629))</f>
        <v/>
      </c>
      <c r="B629" s="1">
        <f t="array" ref="B629">INDIRECT(_xlfn.CONCAT("$J", $F629))</f>
        <v/>
      </c>
      <c r="C629" s="1">
        <f t="array" ref="C629">INDIRECT(_xlfn.CONCAT("$K", $F629))</f>
        <v/>
      </c>
      <c r="D629" s="1" t="n"/>
      <c r="E629" s="1">
        <f t="array" ref="E629">INDIRECT(_xlfn.CONCAT("$L", $F629))</f>
        <v/>
      </c>
      <c r="F629" s="1">
        <f t="array" ref="F629">IF(NOT(OR(ISERROR(INDIRECT(_xlfn.CONCAT("$I", $F628 + 1))), ISBLANK(INDIRECT(_xlfn.CONCAT("$I", $F628 + 1))))), $F628 + 1, IF(NOT(ISBLANK(INDIRECT(_xlfn.CONCAT("$I", $F628 + 2)))), $F628 + 2, ""))</f>
        <v/>
      </c>
    </row>
    <row r="630" ht="57.75" customHeight="1" s="6">
      <c r="A630" s="1">
        <f t="array" ref="A630">INDIRECT(_xlfn.CONCAT("$I", $F630))</f>
        <v/>
      </c>
      <c r="B630" s="1">
        <f t="array" ref="B630">INDIRECT(_xlfn.CONCAT("$J", $F630))</f>
        <v/>
      </c>
      <c r="C630" s="1">
        <f t="array" ref="C630">INDIRECT(_xlfn.CONCAT("$K", $F630))</f>
        <v/>
      </c>
      <c r="D630" s="1" t="n"/>
      <c r="E630" s="1">
        <f t="array" ref="E630">INDIRECT(_xlfn.CONCAT("$L", $F630))</f>
        <v/>
      </c>
      <c r="F630" s="1">
        <f t="array" ref="F630">IF(NOT(OR(ISERROR(INDIRECT(_xlfn.CONCAT("$I", $F629 + 1))), ISBLANK(INDIRECT(_xlfn.CONCAT("$I", $F629 + 1))))), $F629 + 1, IF(NOT(ISBLANK(INDIRECT(_xlfn.CONCAT("$I", $F629 + 2)))), $F629 + 2, ""))</f>
        <v/>
      </c>
      <c r="I630" s="8" t="inlineStr">
        <is>
          <t>Strixhaven Mystical Archive STA</t>
        </is>
      </c>
      <c r="J630" s="8" t="n">
        <v>126</v>
      </c>
      <c r="K630" s="9" t="n">
        <v>44309</v>
      </c>
      <c r="L630" t="inlineStr">
        <is>
          <t>en es fr de it pt ja ko ru 汉语 漢語</t>
        </is>
      </c>
    </row>
    <row r="631" ht="57.75" customHeight="1" s="6">
      <c r="A631" s="1">
        <f t="array" ref="A631">INDIRECT(_xlfn.CONCAT("$I", $F631))</f>
        <v/>
      </c>
      <c r="B631" s="1">
        <f t="array" ref="B631">INDIRECT(_xlfn.CONCAT("$J", $F631))</f>
        <v/>
      </c>
      <c r="C631" s="1">
        <f t="array" ref="C631">INDIRECT(_xlfn.CONCAT("$K", $F631))</f>
        <v/>
      </c>
      <c r="D631" s="1" t="n"/>
      <c r="E631" s="1">
        <f t="array" ref="E631">INDIRECT(_xlfn.CONCAT("$L", $F631))</f>
        <v/>
      </c>
      <c r="F631" s="1">
        <f t="array" ref="F631">IF(NOT(OR(ISERROR(INDIRECT(_xlfn.CONCAT("$I", $F630 + 1))), ISBLANK(INDIRECT(_xlfn.CONCAT("$I", $F630 + 1))))), $F630 + 1, IF(NOT(ISBLANK(INDIRECT(_xlfn.CONCAT("$I", $F630 + 2)))), $F630 + 2, ""))</f>
        <v/>
      </c>
    </row>
    <row r="632" ht="57.75" customHeight="1" s="6">
      <c r="A632" s="1">
        <f t="array" ref="A632">INDIRECT(_xlfn.CONCAT("$I", $F632))</f>
        <v/>
      </c>
      <c r="B632" s="1">
        <f t="array" ref="B632">INDIRECT(_xlfn.CONCAT("$J", $F632))</f>
        <v/>
      </c>
      <c r="C632" s="1">
        <f t="array" ref="C632">INDIRECT(_xlfn.CONCAT("$K", $F632))</f>
        <v/>
      </c>
      <c r="D632" s="1" t="n"/>
      <c r="E632" s="1">
        <f t="array" ref="E632">INDIRECT(_xlfn.CONCAT("$L", $F632))</f>
        <v/>
      </c>
      <c r="F632" s="1">
        <f t="array" ref="F632">IF(NOT(OR(ISERROR(INDIRECT(_xlfn.CONCAT("$I", $F631 + 1))), ISBLANK(INDIRECT(_xlfn.CONCAT("$I", $F631 + 1))))), $F631 + 1, IF(NOT(ISBLANK(INDIRECT(_xlfn.CONCAT("$I", $F631 + 2)))), $F631 + 2, ""))</f>
        <v/>
      </c>
      <c r="I632" s="8" t="inlineStr">
        <is>
          <t>Strixhaven: School of Mages Promos PSTX</t>
        </is>
      </c>
      <c r="J632" s="8" t="n">
        <v>164</v>
      </c>
      <c r="K632" s="9" t="n">
        <v>44309</v>
      </c>
      <c r="L632" s="8" t="inlineStr">
        <is>
          <t>en es fr de it pt ja ko ru 汉语 漢語</t>
        </is>
      </c>
    </row>
    <row r="633" ht="57.75" customHeight="1" s="6">
      <c r="A633" s="1">
        <f t="array" ref="A633">INDIRECT(_xlfn.CONCAT("$I", $F633))</f>
        <v/>
      </c>
      <c r="B633" s="1">
        <f t="array" ref="B633">INDIRECT(_xlfn.CONCAT("$J", $F633))</f>
        <v/>
      </c>
      <c r="C633" s="1">
        <f t="array" ref="C633">INDIRECT(_xlfn.CONCAT("$K", $F633))</f>
        <v/>
      </c>
      <c r="D633" s="1" t="n"/>
      <c r="E633" s="1">
        <f t="array" ref="E633">INDIRECT(_xlfn.CONCAT("$L", $F633))</f>
        <v/>
      </c>
      <c r="F633" s="1">
        <f t="array" ref="F633">IF(NOT(OR(ISERROR(INDIRECT(_xlfn.CONCAT("$I", $F632 + 1))), ISBLANK(INDIRECT(_xlfn.CONCAT("$I", $F632 + 1))))), $F632 + 1, IF(NOT(ISBLANK(INDIRECT(_xlfn.CONCAT("$I", $F632 + 2)))), $F632 + 2, ""))</f>
        <v/>
      </c>
    </row>
    <row r="634" ht="57.75" customHeight="1" s="6">
      <c r="A634" s="1">
        <f t="array" ref="A634">INDIRECT(_xlfn.CONCAT("$I", $F634))</f>
        <v/>
      </c>
      <c r="B634" s="1">
        <f t="array" ref="B634">INDIRECT(_xlfn.CONCAT("$J", $F634))</f>
        <v/>
      </c>
      <c r="C634" s="1">
        <f t="array" ref="C634">INDIRECT(_xlfn.CONCAT("$K", $F634))</f>
        <v/>
      </c>
      <c r="D634" s="1" t="n"/>
      <c r="E634" s="1">
        <f t="array" ref="E634">INDIRECT(_xlfn.CONCAT("$L", $F634))</f>
        <v/>
      </c>
      <c r="F634" s="1">
        <f t="array" ref="F634">IF(NOT(OR(ISERROR(INDIRECT(_xlfn.CONCAT("$I", $F633 + 1))), ISBLANK(INDIRECT(_xlfn.CONCAT("$I", $F633 + 1))))), $F633 + 1, IF(NOT(ISBLANK(INDIRECT(_xlfn.CONCAT("$I", $F633 + 2)))), $F633 + 2, ""))</f>
        <v/>
      </c>
      <c r="I634" s="8" t="inlineStr">
        <is>
          <t>Strixhaven: School of Mages Tokens TSTX</t>
        </is>
      </c>
      <c r="J634" s="8" t="n">
        <v>9</v>
      </c>
      <c r="K634" s="9" t="n">
        <v>44309</v>
      </c>
      <c r="L634" s="8" t="inlineStr">
        <is>
          <t>en es fr de it pt ja ko ru 汉语 漢語</t>
        </is>
      </c>
    </row>
    <row r="635" ht="57.75" customHeight="1" s="6">
      <c r="A635" s="1">
        <f t="array" ref="A635">INDIRECT(_xlfn.CONCAT("$I", $F635))</f>
        <v/>
      </c>
      <c r="B635" s="1">
        <f t="array" ref="B635">INDIRECT(_xlfn.CONCAT("$J", $F635))</f>
        <v/>
      </c>
      <c r="C635" s="1">
        <f t="array" ref="C635">INDIRECT(_xlfn.CONCAT("$K", $F635))</f>
        <v/>
      </c>
      <c r="D635" s="1" t="n"/>
      <c r="E635" s="1">
        <f t="array" ref="E635">INDIRECT(_xlfn.CONCAT("$L", $F635))</f>
        <v/>
      </c>
      <c r="F635" s="1">
        <f t="array" ref="F635">IF(NOT(OR(ISERROR(INDIRECT(_xlfn.CONCAT("$I", $F634 + 1))), ISBLANK(INDIRECT(_xlfn.CONCAT("$I", $F634 + 1))))), $F634 + 1, IF(NOT(ISBLANK(INDIRECT(_xlfn.CONCAT("$I", $F634 + 2)))), $F634 + 2, ""))</f>
        <v/>
      </c>
    </row>
    <row r="636" ht="81" customHeight="1" s="6">
      <c r="A636" s="1">
        <f t="array" ref="A636">INDIRECT(_xlfn.CONCAT("$I", $F636))</f>
        <v/>
      </c>
      <c r="B636" s="1">
        <f t="array" ref="B636">INDIRECT(_xlfn.CONCAT("$J", $F636))</f>
        <v/>
      </c>
      <c r="C636" s="1">
        <f t="array" ref="C636">INDIRECT(_xlfn.CONCAT("$K", $F636))</f>
        <v/>
      </c>
      <c r="D636" s="1" t="n"/>
      <c r="E636" s="1">
        <f t="array" ref="E636">INDIRECT(_xlfn.CONCAT("$L", $F636))</f>
        <v/>
      </c>
      <c r="F636" s="1">
        <f t="array" ref="F636">IF(NOT(OR(ISERROR(INDIRECT(_xlfn.CONCAT("$I", $F635 + 1))), ISBLANK(INDIRECT(_xlfn.CONCAT("$I", $F635 + 1))))), $F635 + 1, IF(NOT(ISBLANK(INDIRECT(_xlfn.CONCAT("$I", $F635 + 2)))), $F635 + 2, ""))</f>
        <v/>
      </c>
      <c r="I636" s="8" t="inlineStr">
        <is>
          <t>Strixhaven: School of Mages Substitute Cards SSTX</t>
        </is>
      </c>
      <c r="J636" s="8" t="n">
        <v>9</v>
      </c>
      <c r="K636" s="9" t="n">
        <v>44309</v>
      </c>
      <c r="L636" s="8" t="inlineStr">
        <is>
          <t>en es fr de it pt ja ko ru 汉语 漢語</t>
        </is>
      </c>
    </row>
    <row r="637" ht="57.75" customHeight="1" s="6">
      <c r="A637" s="1">
        <f t="array" ref="A637">INDIRECT(_xlfn.CONCAT("$I", $F637))</f>
        <v/>
      </c>
      <c r="B637" s="1">
        <f t="array" ref="B637">INDIRECT(_xlfn.CONCAT("$J", $F637))</f>
        <v/>
      </c>
      <c r="C637" s="1">
        <f t="array" ref="C637">INDIRECT(_xlfn.CONCAT("$K", $F637))</f>
        <v/>
      </c>
      <c r="D637" s="1" t="n"/>
      <c r="E637" s="1">
        <f t="array" ref="E637">INDIRECT(_xlfn.CONCAT("$L", $F637))</f>
        <v/>
      </c>
      <c r="F637" s="1">
        <f t="array" ref="F637">IF(NOT(OR(ISERROR(INDIRECT(_xlfn.CONCAT("$I", $F636 + 1))), ISBLANK(INDIRECT(_xlfn.CONCAT("$I", $F636 + 1))))), $F636 + 1, IF(NOT(ISBLANK(INDIRECT(_xlfn.CONCAT("$I", $F636 + 2)))), $F636 + 2, ""))</f>
        <v/>
      </c>
    </row>
    <row r="638" ht="57.75" customHeight="1" s="6">
      <c r="A638" s="1">
        <f t="array" ref="A638">INDIRECT(_xlfn.CONCAT("$I", $F638))</f>
        <v/>
      </c>
      <c r="B638" s="1">
        <f t="array" ref="B638">INDIRECT(_xlfn.CONCAT("$J", $F638))</f>
        <v/>
      </c>
      <c r="C638" s="1">
        <f t="array" ref="C638">INDIRECT(_xlfn.CONCAT("$K", $F638))</f>
        <v/>
      </c>
      <c r="D638" s="1" t="n"/>
      <c r="E638" s="1">
        <f t="array" ref="E638">INDIRECT(_xlfn.CONCAT("$L", $F638))</f>
        <v/>
      </c>
      <c r="F638" s="1">
        <f t="array" ref="F638">IF(NOT(OR(ISERROR(INDIRECT(_xlfn.CONCAT("$I", $F637 + 1))), ISBLANK(INDIRECT(_xlfn.CONCAT("$I", $F637 + 1))))), $F637 + 1, IF(NOT(ISBLANK(INDIRECT(_xlfn.CONCAT("$I", $F637 + 2)))), $F637 + 2, ""))</f>
        <v/>
      </c>
      <c r="I638" s="8" t="inlineStr">
        <is>
          <t>Strixhaven: School of Mages Minigames MSTX</t>
        </is>
      </c>
      <c r="J638" s="8" t="n">
        <v>5</v>
      </c>
      <c r="K638" s="9" t="n">
        <v>44309</v>
      </c>
      <c r="L638" s="8" t="inlineStr">
        <is>
          <t>en es fr de it pt ja ko ru 汉语 漢語</t>
        </is>
      </c>
    </row>
    <row r="639" ht="57.75" customHeight="1" s="6">
      <c r="A639" s="1">
        <f t="array" ref="A639">INDIRECT(_xlfn.CONCAT("$I", $F639))</f>
        <v/>
      </c>
      <c r="B639" s="1">
        <f t="array" ref="B639">INDIRECT(_xlfn.CONCAT("$J", $F639))</f>
        <v/>
      </c>
      <c r="C639" s="1">
        <f t="array" ref="C639">INDIRECT(_xlfn.CONCAT("$K", $F639))</f>
        <v/>
      </c>
      <c r="D639" s="1" t="n"/>
      <c r="E639" s="1">
        <f t="array" ref="E639">INDIRECT(_xlfn.CONCAT("$L", $F639))</f>
        <v/>
      </c>
      <c r="F639" s="1">
        <f t="array" ref="F639">IF(NOT(OR(ISERROR(INDIRECT(_xlfn.CONCAT("$I", $F638 + 1))), ISBLANK(INDIRECT(_xlfn.CONCAT("$I", $F638 + 1))))), $F638 + 1, IF(NOT(ISBLANK(INDIRECT(_xlfn.CONCAT("$I", $F638 + 2)))), $F638 + 2, ""))</f>
        <v/>
      </c>
    </row>
    <row r="640" ht="57.75" customHeight="1" s="6">
      <c r="A640" s="1">
        <f t="array" ref="A640">INDIRECT(_xlfn.CONCAT("$I", $F640))</f>
        <v/>
      </c>
      <c r="B640" s="1">
        <f t="array" ref="B640">INDIRECT(_xlfn.CONCAT("$J", $F640))</f>
        <v/>
      </c>
      <c r="C640" s="1">
        <f t="array" ref="C640">INDIRECT(_xlfn.CONCAT("$K", $F640))</f>
        <v/>
      </c>
      <c r="D640" s="1" t="n"/>
      <c r="E640" s="1">
        <f t="array" ref="E640">INDIRECT(_xlfn.CONCAT("$L", $F640))</f>
        <v/>
      </c>
      <c r="F640" s="1">
        <f t="array" ref="F640">IF(NOT(OR(ISERROR(INDIRECT(_xlfn.CONCAT("$I", $F639 + 1))), ISBLANK(INDIRECT(_xlfn.CONCAT("$I", $F639 + 1))))), $F639 + 1, IF(NOT(ISBLANK(INDIRECT(_xlfn.CONCAT("$I", $F639 + 2)))), $F639 + 2, ""))</f>
        <v/>
      </c>
      <c r="I640" s="8" t="inlineStr">
        <is>
          <t>Strixhaven Art Series ASTX</t>
        </is>
      </c>
      <c r="J640" s="8" t="n">
        <v>162</v>
      </c>
      <c r="K640" s="9" t="n">
        <v>44309</v>
      </c>
      <c r="L640" s="8" t="inlineStr">
        <is>
          <t>en es fr de it pt ja ko ru 汉语 漢語</t>
        </is>
      </c>
    </row>
    <row r="641" ht="57.75" customHeight="1" s="6">
      <c r="A641" s="1">
        <f t="array" ref="A641">INDIRECT(_xlfn.CONCAT("$I", $F641))</f>
        <v/>
      </c>
      <c r="B641" s="1">
        <f t="array" ref="B641">INDIRECT(_xlfn.CONCAT("$J", $F641))</f>
        <v/>
      </c>
      <c r="C641" s="1">
        <f t="array" ref="C641">INDIRECT(_xlfn.CONCAT("$K", $F641))</f>
        <v/>
      </c>
      <c r="D641" s="1" t="n"/>
      <c r="E641" s="1">
        <f t="array" ref="E641">INDIRECT(_xlfn.CONCAT("$L", $F641))</f>
        <v/>
      </c>
      <c r="F641" s="1">
        <f t="array" ref="F641">IF(NOT(OR(ISERROR(INDIRECT(_xlfn.CONCAT("$I", $F640 + 1))), ISBLANK(INDIRECT(_xlfn.CONCAT("$I", $F640 + 1))))), $F640 + 1, IF(NOT(ISBLANK(INDIRECT(_xlfn.CONCAT("$I", $F640 + 2)))), $F640 + 2, ""))</f>
        <v/>
      </c>
    </row>
    <row r="642" ht="57.75" customHeight="1" s="6">
      <c r="A642" s="1">
        <f t="array" ref="A642">INDIRECT(_xlfn.CONCAT("$I", $F642))</f>
        <v/>
      </c>
      <c r="B642" s="1">
        <f t="array" ref="B642">INDIRECT(_xlfn.CONCAT("$J", $F642))</f>
        <v/>
      </c>
      <c r="C642" s="1">
        <f t="array" ref="C642">INDIRECT(_xlfn.CONCAT("$K", $F642))</f>
        <v/>
      </c>
      <c r="D642" s="1" t="n"/>
      <c r="E642" s="1">
        <f t="array" ref="E642">INDIRECT(_xlfn.CONCAT("$L", $F642))</f>
        <v/>
      </c>
      <c r="F642" s="1">
        <f t="array" ref="F642">IF(NOT(OR(ISERROR(INDIRECT(_xlfn.CONCAT("$I", $F641 + 1))), ISBLANK(INDIRECT(_xlfn.CONCAT("$I", $F641 + 1))))), $F641 + 1, IF(NOT(ISBLANK(INDIRECT(_xlfn.CONCAT("$I", $F641 + 2)))), $F641 + 2, ""))</f>
        <v/>
      </c>
      <c r="I642" s="8" t="inlineStr">
        <is>
          <t>Commander 2021 C21</t>
        </is>
      </c>
      <c r="J642" s="8" t="n">
        <v>409</v>
      </c>
      <c r="K642" s="9" t="n">
        <v>44309</v>
      </c>
      <c r="L642" t="inlineStr">
        <is>
          <t>en es fr de it pt ja ko ru 汉语 漢語</t>
        </is>
      </c>
    </row>
    <row r="643" ht="68.25" customHeight="1" s="6">
      <c r="A643" s="1">
        <f t="array" ref="A643">INDIRECT(_xlfn.CONCAT("$I", $F643))</f>
        <v/>
      </c>
      <c r="B643" s="1">
        <f t="array" ref="B643">INDIRECT(_xlfn.CONCAT("$J", $F643))</f>
        <v/>
      </c>
      <c r="C643" s="1">
        <f t="array" ref="C643">INDIRECT(_xlfn.CONCAT("$K", $F643))</f>
        <v/>
      </c>
      <c r="D643" s="1" t="n"/>
      <c r="E643" s="1">
        <f t="array" ref="E643">INDIRECT(_xlfn.CONCAT("$L", $F643))</f>
        <v/>
      </c>
      <c r="F643" s="1">
        <f t="array" ref="F643">IF(NOT(OR(ISERROR(INDIRECT(_xlfn.CONCAT("$I", $F642 + 1))), ISBLANK(INDIRECT(_xlfn.CONCAT("$I", $F642 + 1))))), $F642 + 1, IF(NOT(ISBLANK(INDIRECT(_xlfn.CONCAT("$I", $F642 + 2)))), $F642 + 2, ""))</f>
        <v/>
      </c>
    </row>
    <row r="644" ht="57.75" customHeight="1" s="6">
      <c r="A644" s="1">
        <f t="array" ref="A644">INDIRECT(_xlfn.CONCAT("$I", $F644))</f>
        <v/>
      </c>
      <c r="B644" s="1">
        <f t="array" ref="B644">INDIRECT(_xlfn.CONCAT("$J", $F644))</f>
        <v/>
      </c>
      <c r="C644" s="1">
        <f t="array" ref="C644">INDIRECT(_xlfn.CONCAT("$K", $F644))</f>
        <v/>
      </c>
      <c r="D644" s="1" t="n"/>
      <c r="E644" s="1">
        <f t="array" ref="E644">INDIRECT(_xlfn.CONCAT("$L", $F644))</f>
        <v/>
      </c>
      <c r="F644" s="1">
        <f t="array" ref="F644">IF(NOT(OR(ISERROR(INDIRECT(_xlfn.CONCAT("$I", $F643 + 1))), ISBLANK(INDIRECT(_xlfn.CONCAT("$I", $F643 + 1))))), $F643 + 1, IF(NOT(ISBLANK(INDIRECT(_xlfn.CONCAT("$I", $F643 + 2)))), $F643 + 2, ""))</f>
        <v/>
      </c>
      <c r="I644" s="8" t="inlineStr">
        <is>
          <t>Commander 2021 Tokens TC21</t>
        </is>
      </c>
      <c r="J644" s="8" t="n">
        <v>30</v>
      </c>
      <c r="K644" s="9" t="n">
        <v>44309</v>
      </c>
      <c r="L644" s="8" t="inlineStr">
        <is>
          <t>en es fr de it pt ja ko ru 汉语 漢語</t>
        </is>
      </c>
    </row>
    <row r="645" ht="57.75" customHeight="1" s="6">
      <c r="A645" s="1">
        <f t="array" ref="A645">INDIRECT(_xlfn.CONCAT("$I", $F645))</f>
        <v/>
      </c>
      <c r="B645" s="1">
        <f t="array" ref="B645">INDIRECT(_xlfn.CONCAT("$J", $F645))</f>
        <v/>
      </c>
      <c r="C645" s="1">
        <f t="array" ref="C645">INDIRECT(_xlfn.CONCAT("$K", $F645))</f>
        <v/>
      </c>
      <c r="D645" s="1" t="n"/>
      <c r="E645" s="1">
        <f t="array" ref="E645">INDIRECT(_xlfn.CONCAT("$L", $F645))</f>
        <v/>
      </c>
      <c r="F645" s="1">
        <f t="array" ref="F645">IF(NOT(OR(ISERROR(INDIRECT(_xlfn.CONCAT("$I", $F644 + 1))), ISBLANK(INDIRECT(_xlfn.CONCAT("$I", $F644 + 1))))), $F644 + 1, IF(NOT(ISBLANK(INDIRECT(_xlfn.CONCAT("$I", $F644 + 2)))), $F644 + 2, ""))</f>
        <v/>
      </c>
    </row>
    <row r="646" ht="57.75" customHeight="1" s="6">
      <c r="A646" s="1">
        <f t="array" ref="A646">INDIRECT(_xlfn.CONCAT("$I", $F646))</f>
        <v/>
      </c>
      <c r="B646" s="1">
        <f t="array" ref="B646">INDIRECT(_xlfn.CONCAT("$J", $F646))</f>
        <v/>
      </c>
      <c r="C646" s="1">
        <f t="array" ref="C646">INDIRECT(_xlfn.CONCAT("$K", $F646))</f>
        <v/>
      </c>
      <c r="D646" s="1" t="n"/>
      <c r="E646" s="1">
        <f t="array" ref="E646">INDIRECT(_xlfn.CONCAT("$L", $F646))</f>
        <v/>
      </c>
      <c r="F646" s="1">
        <f t="array" ref="F646">IF(NOT(OR(ISERROR(INDIRECT(_xlfn.CONCAT("$I", $F645 + 1))), ISBLANK(INDIRECT(_xlfn.CONCAT("$I", $F645 + 1))))), $F645 + 1, IF(NOT(ISBLANK(INDIRECT(_xlfn.CONCAT("$I", $F645 + 2)))), $F645 + 2, ""))</f>
        <v/>
      </c>
      <c r="I646" s="8" t="inlineStr">
        <is>
          <t>Commander 2021 Display Commanders OC21</t>
        </is>
      </c>
      <c r="J646" s="8" t="n">
        <v>5</v>
      </c>
      <c r="K646" s="9" t="n">
        <v>44309</v>
      </c>
      <c r="L646" s="8" t="inlineStr">
        <is>
          <t>en es fr de it pt ja ko ru 汉语 漢語</t>
        </is>
      </c>
    </row>
    <row r="647" ht="57.75" customHeight="1" s="6">
      <c r="A647" s="1">
        <f t="array" ref="A647">INDIRECT(_xlfn.CONCAT("$I", $F647))</f>
        <v/>
      </c>
      <c r="B647" s="1">
        <f t="array" ref="B647">INDIRECT(_xlfn.CONCAT("$J", $F647))</f>
        <v/>
      </c>
      <c r="C647" s="1">
        <f t="array" ref="C647">INDIRECT(_xlfn.CONCAT("$K", $F647))</f>
        <v/>
      </c>
      <c r="D647" s="1" t="n"/>
      <c r="E647" s="1">
        <f t="array" ref="E647">INDIRECT(_xlfn.CONCAT("$L", $F647))</f>
        <v/>
      </c>
      <c r="F647" s="1">
        <f t="array" ref="F647">IF(NOT(OR(ISERROR(INDIRECT(_xlfn.CONCAT("$I", $F646 + 1))), ISBLANK(INDIRECT(_xlfn.CONCAT("$I", $F646 + 1))))), $F646 + 1, IF(NOT(ISBLANK(INDIRECT(_xlfn.CONCAT("$I", $F646 + 2)))), $F646 + 2, ""))</f>
        <v/>
      </c>
    </row>
    <row r="648" ht="57.75" customHeight="1" s="6">
      <c r="A648" s="1">
        <f t="array" ref="A648">INDIRECT(_xlfn.CONCAT("$I", $F648))</f>
        <v/>
      </c>
      <c r="B648" s="1">
        <f t="array" ref="B648">INDIRECT(_xlfn.CONCAT("$J", $F648))</f>
        <v/>
      </c>
      <c r="C648" s="1">
        <f t="array" ref="C648">INDIRECT(_xlfn.CONCAT("$K", $F648))</f>
        <v/>
      </c>
      <c r="D648" s="1" t="n"/>
      <c r="E648" s="1">
        <f t="array" ref="E648">INDIRECT(_xlfn.CONCAT("$L", $F648))</f>
        <v/>
      </c>
      <c r="F648" s="1">
        <f t="array" ref="F648">IF(NOT(OR(ISERROR(INDIRECT(_xlfn.CONCAT("$I", $F647 + 1))), ISBLANK(INDIRECT(_xlfn.CONCAT("$I", $F647 + 1))))), $F647 + 1, IF(NOT(ISBLANK(INDIRECT(_xlfn.CONCAT("$I", $F647 + 2)))), $F647 + 2, ""))</f>
        <v/>
      </c>
      <c r="I648" s="8" t="inlineStr">
        <is>
          <t>Time Spiral Remastered TSR</t>
        </is>
      </c>
      <c r="J648" s="8" t="n">
        <v>411</v>
      </c>
      <c r="K648" s="9" t="n">
        <v>44274</v>
      </c>
      <c r="L648" t="inlineStr">
        <is>
          <t>en es fr de it pt ja ko ru 汉语 漢語</t>
        </is>
      </c>
    </row>
    <row r="649" ht="68.25" customHeight="1" s="6">
      <c r="A649" s="1">
        <f t="array" ref="A649">INDIRECT(_xlfn.CONCAT("$I", $F649))</f>
        <v/>
      </c>
      <c r="B649" s="1">
        <f t="array" ref="B649">INDIRECT(_xlfn.CONCAT("$J", $F649))</f>
        <v/>
      </c>
      <c r="C649" s="1">
        <f t="array" ref="C649">INDIRECT(_xlfn.CONCAT("$K", $F649))</f>
        <v/>
      </c>
      <c r="D649" s="1" t="n"/>
      <c r="E649" s="1">
        <f t="array" ref="E649">INDIRECT(_xlfn.CONCAT("$L", $F649))</f>
        <v/>
      </c>
      <c r="F649" s="1">
        <f t="array" ref="F649">IF(NOT(OR(ISERROR(INDIRECT(_xlfn.CONCAT("$I", $F648 + 1))), ISBLANK(INDIRECT(_xlfn.CONCAT("$I", $F648 + 1))))), $F648 + 1, IF(NOT(ISBLANK(INDIRECT(_xlfn.CONCAT("$I", $F648 + 2)))), $F648 + 2, ""))</f>
        <v/>
      </c>
    </row>
    <row r="650" ht="81" customHeight="1" s="6">
      <c r="A650" s="1">
        <f t="array" ref="A650">INDIRECT(_xlfn.CONCAT("$I", $F650))</f>
        <v/>
      </c>
      <c r="B650" s="1">
        <f t="array" ref="B650">INDIRECT(_xlfn.CONCAT("$J", $F650))</f>
        <v/>
      </c>
      <c r="C650" s="1">
        <f t="array" ref="C650">INDIRECT(_xlfn.CONCAT("$K", $F650))</f>
        <v/>
      </c>
      <c r="D650" s="1" t="n"/>
      <c r="E650" s="1">
        <f t="array" ref="E650">INDIRECT(_xlfn.CONCAT("$L", $F650))</f>
        <v/>
      </c>
      <c r="F650" s="1">
        <f t="array" ref="F650">IF(NOT(OR(ISERROR(INDIRECT(_xlfn.CONCAT("$I", $F649 + 1))), ISBLANK(INDIRECT(_xlfn.CONCAT("$I", $F649 + 1))))), $F649 + 1, IF(NOT(ISBLANK(INDIRECT(_xlfn.CONCAT("$I", $F649 + 2)))), $F649 + 2, ""))</f>
        <v/>
      </c>
      <c r="I650" s="8" t="inlineStr">
        <is>
          <t>Time Spiral Remastered Promos PTSR</t>
        </is>
      </c>
      <c r="J650" s="8" t="n">
        <v>3</v>
      </c>
      <c r="K650" s="9" t="n">
        <v>45177</v>
      </c>
      <c r="L650" s="8" t="inlineStr">
        <is>
          <t>en es fr de it pt ja ko ru 汉语 漢語</t>
        </is>
      </c>
    </row>
    <row r="651" ht="57.75" customHeight="1" s="6">
      <c r="A651" s="1">
        <f t="array" ref="A651">INDIRECT(_xlfn.CONCAT("$I", $F651))</f>
        <v/>
      </c>
      <c r="B651" s="1">
        <f t="array" ref="B651">INDIRECT(_xlfn.CONCAT("$J", $F651))</f>
        <v/>
      </c>
      <c r="C651" s="1">
        <f t="array" ref="C651">INDIRECT(_xlfn.CONCAT("$K", $F651))</f>
        <v/>
      </c>
      <c r="D651" s="1" t="n"/>
      <c r="E651" s="1">
        <f t="array" ref="E651">INDIRECT(_xlfn.CONCAT("$L", $F651))</f>
        <v/>
      </c>
      <c r="F651" s="1">
        <f t="array" ref="F651">IF(NOT(OR(ISERROR(INDIRECT(_xlfn.CONCAT("$I", $F650 + 1))), ISBLANK(INDIRECT(_xlfn.CONCAT("$I", $F650 + 1))))), $F650 + 1, IF(NOT(ISBLANK(INDIRECT(_xlfn.CONCAT("$I", $F650 + 2)))), $F650 + 2, ""))</f>
        <v/>
      </c>
    </row>
    <row r="652" ht="57.75" customHeight="1" s="6">
      <c r="A652" s="1">
        <f t="array" ref="A652">INDIRECT(_xlfn.CONCAT("$I", $F652))</f>
        <v/>
      </c>
      <c r="B652" s="1">
        <f t="array" ref="B652">INDIRECT(_xlfn.CONCAT("$J", $F652))</f>
        <v/>
      </c>
      <c r="C652" s="1">
        <f t="array" ref="C652">INDIRECT(_xlfn.CONCAT("$K", $F652))</f>
        <v/>
      </c>
      <c r="D652" s="1" t="n"/>
      <c r="E652" s="1">
        <f t="array" ref="E652">INDIRECT(_xlfn.CONCAT("$L", $F652))</f>
        <v/>
      </c>
      <c r="F652" s="1">
        <f t="array" ref="F652">IF(NOT(OR(ISERROR(INDIRECT(_xlfn.CONCAT("$I", $F651 + 1))), ISBLANK(INDIRECT(_xlfn.CONCAT("$I", $F651 + 1))))), $F651 + 1, IF(NOT(ISBLANK(INDIRECT(_xlfn.CONCAT("$I", $F651 + 2)))), $F651 + 2, ""))</f>
        <v/>
      </c>
      <c r="I652" s="8" t="inlineStr">
        <is>
          <t>Time Spiral Remastered Tokens TTSR</t>
        </is>
      </c>
      <c r="J652" s="8" t="n">
        <v>15</v>
      </c>
      <c r="K652" s="9" t="n">
        <v>44274</v>
      </c>
      <c r="L652" s="8" t="inlineStr">
        <is>
          <t>en es fr de it pt ja ko ru 汉语 漢語</t>
        </is>
      </c>
    </row>
    <row r="653" ht="57.75" customHeight="1" s="6">
      <c r="A653" s="1">
        <f t="array" ref="A653">INDIRECT(_xlfn.CONCAT("$I", $F653))</f>
        <v/>
      </c>
      <c r="B653" s="1">
        <f t="array" ref="B653">INDIRECT(_xlfn.CONCAT("$J", $F653))</f>
        <v/>
      </c>
      <c r="C653" s="1">
        <f t="array" ref="C653">INDIRECT(_xlfn.CONCAT("$K", $F653))</f>
        <v/>
      </c>
      <c r="D653" s="1" t="n"/>
      <c r="E653" s="1">
        <f t="array" ref="E653">INDIRECT(_xlfn.CONCAT("$L", $F653))</f>
        <v/>
      </c>
      <c r="F653" s="1">
        <f t="array" ref="F653">IF(NOT(OR(ISERROR(INDIRECT(_xlfn.CONCAT("$I", $F652 + 1))), ISBLANK(INDIRECT(_xlfn.CONCAT("$I", $F652 + 1))))), $F652 + 1, IF(NOT(ISBLANK(INDIRECT(_xlfn.CONCAT("$I", $F652 + 2)))), $F652 + 2, ""))</f>
        <v/>
      </c>
    </row>
    <row r="654" ht="57.75" customHeight="1" s="6">
      <c r="A654" s="1">
        <f t="array" ref="A654">INDIRECT(_xlfn.CONCAT("$I", $F654))</f>
        <v/>
      </c>
      <c r="B654" s="1">
        <f t="array" ref="B654">INDIRECT(_xlfn.CONCAT("$J", $F654))</f>
        <v/>
      </c>
      <c r="C654" s="1">
        <f t="array" ref="C654">INDIRECT(_xlfn.CONCAT("$K", $F654))</f>
        <v/>
      </c>
      <c r="D654" s="1" t="n"/>
      <c r="E654" s="1">
        <f t="array" ref="E654">INDIRECT(_xlfn.CONCAT("$L", $F654))</f>
        <v/>
      </c>
      <c r="F654" s="1">
        <f t="array" ref="F654">IF(NOT(OR(ISERROR(INDIRECT(_xlfn.CONCAT("$I", $F653 + 1))), ISBLANK(INDIRECT(_xlfn.CONCAT("$I", $F653 + 1))))), $F653 + 1, IF(NOT(ISBLANK(INDIRECT(_xlfn.CONCAT("$I", $F653 + 2)))), $F653 + 2, ""))</f>
        <v/>
      </c>
      <c r="I654" s="8" t="inlineStr">
        <is>
          <t>Historic Anthology 4 HA4</t>
        </is>
      </c>
      <c r="J654" s="8" t="n">
        <v>25</v>
      </c>
      <c r="K654" s="9" t="n">
        <v>44266</v>
      </c>
      <c r="L654" s="8" t="inlineStr">
        <is>
          <t>en es fr de it pt ja ko ru 汉语 漢語</t>
        </is>
      </c>
    </row>
    <row r="655" ht="57.75" customHeight="1" s="6">
      <c r="A655" s="1">
        <f t="array" ref="A655">INDIRECT(_xlfn.CONCAT("$I", $F655))</f>
        <v/>
      </c>
      <c r="B655" s="1">
        <f t="array" ref="B655">INDIRECT(_xlfn.CONCAT("$J", $F655))</f>
        <v/>
      </c>
      <c r="C655" s="1">
        <f t="array" ref="C655">INDIRECT(_xlfn.CONCAT("$K", $F655))</f>
        <v/>
      </c>
      <c r="D655" s="1" t="n"/>
      <c r="E655" s="1">
        <f t="array" ref="E655">INDIRECT(_xlfn.CONCAT("$L", $F655))</f>
        <v/>
      </c>
      <c r="F655" s="1">
        <f t="array" ref="F655">IF(NOT(OR(ISERROR(INDIRECT(_xlfn.CONCAT("$I", $F654 + 1))), ISBLANK(INDIRECT(_xlfn.CONCAT("$I", $F654 + 1))))), $F654 + 1, IF(NOT(ISBLANK(INDIRECT(_xlfn.CONCAT("$I", $F654 + 2)))), $F654 + 2, ""))</f>
        <v/>
      </c>
    </row>
    <row r="656" ht="57.75" customHeight="1" s="6">
      <c r="A656" s="1">
        <f t="array" ref="A656">INDIRECT(_xlfn.CONCAT("$I", $F656))</f>
        <v/>
      </c>
      <c r="B656" s="1">
        <f t="array" ref="B656">INDIRECT(_xlfn.CONCAT("$J", $F656))</f>
        <v/>
      </c>
      <c r="C656" s="1">
        <f t="array" ref="C656">INDIRECT(_xlfn.CONCAT("$K", $F656))</f>
        <v/>
      </c>
      <c r="D656" s="1" t="n"/>
      <c r="E656" s="1">
        <f t="array" ref="E656">INDIRECT(_xlfn.CONCAT("$L", $F656))</f>
        <v/>
      </c>
      <c r="F656" s="1">
        <f t="array" ref="F656">IF(NOT(OR(ISERROR(INDIRECT(_xlfn.CONCAT("$I", $F655 + 1))), ISBLANK(INDIRECT(_xlfn.CONCAT("$I", $F655 + 1))))), $F655 + 1, IF(NOT(ISBLANK(INDIRECT(_xlfn.CONCAT("$I", $F655 + 2)))), $F655 + 2, ""))</f>
        <v/>
      </c>
      <c r="I656" s="8" t="inlineStr">
        <is>
          <t>Kaldheim KHM</t>
        </is>
      </c>
      <c r="J656" s="8" t="n">
        <v>426</v>
      </c>
      <c r="K656" s="9" t="n">
        <v>44232</v>
      </c>
      <c r="L656" t="inlineStr">
        <is>
          <t>en es fr de it pt ja ko ru 汉语 漢語</t>
        </is>
      </c>
    </row>
    <row r="657" ht="57.75" customHeight="1" s="6">
      <c r="A657" s="1">
        <f t="array" ref="A657">INDIRECT(_xlfn.CONCAT("$I", $F657))</f>
        <v/>
      </c>
      <c r="B657" s="1">
        <f t="array" ref="B657">INDIRECT(_xlfn.CONCAT("$J", $F657))</f>
        <v/>
      </c>
      <c r="C657" s="1">
        <f t="array" ref="C657">INDIRECT(_xlfn.CONCAT("$K", $F657))</f>
        <v/>
      </c>
      <c r="D657" s="1" t="n"/>
      <c r="E657" s="1">
        <f t="array" ref="E657">INDIRECT(_xlfn.CONCAT("$L", $F657))</f>
        <v/>
      </c>
      <c r="F657" s="1">
        <f t="array" ref="F657">IF(NOT(OR(ISERROR(INDIRECT(_xlfn.CONCAT("$I", $F656 + 1))), ISBLANK(INDIRECT(_xlfn.CONCAT("$I", $F656 + 1))))), $F656 + 1, IF(NOT(ISBLANK(INDIRECT(_xlfn.CONCAT("$I", $F656 + 2)))), $F656 + 2, ""))</f>
        <v/>
      </c>
    </row>
    <row r="658" ht="57.75" customHeight="1" s="6">
      <c r="A658" s="1">
        <f t="array" ref="A658">INDIRECT(_xlfn.CONCAT("$I", $F658))</f>
        <v/>
      </c>
      <c r="B658" s="1">
        <f t="array" ref="B658">INDIRECT(_xlfn.CONCAT("$J", $F658))</f>
        <v/>
      </c>
      <c r="C658" s="1">
        <f t="array" ref="C658">INDIRECT(_xlfn.CONCAT("$K", $F658))</f>
        <v/>
      </c>
      <c r="D658" s="1" t="n"/>
      <c r="E658" s="1">
        <f t="array" ref="E658">INDIRECT(_xlfn.CONCAT("$L", $F658))</f>
        <v/>
      </c>
      <c r="F658" s="1">
        <f t="array" ref="F658">IF(NOT(OR(ISERROR(INDIRECT(_xlfn.CONCAT("$I", $F657 + 1))), ISBLANK(INDIRECT(_xlfn.CONCAT("$I", $F657 + 1))))), $F657 + 1, IF(NOT(ISBLANK(INDIRECT(_xlfn.CONCAT("$I", $F657 + 2)))), $F657 + 2, ""))</f>
        <v/>
      </c>
      <c r="I658" s="8" t="inlineStr">
        <is>
          <t>Kaldheim Promos PKHM</t>
        </is>
      </c>
      <c r="J658" s="8" t="n">
        <v>158</v>
      </c>
      <c r="K658" s="9" t="n">
        <v>44232</v>
      </c>
      <c r="L658" t="inlineStr">
        <is>
          <t>en es fr de it pt ja ko ru 汉语 漢語</t>
        </is>
      </c>
    </row>
    <row r="659" ht="57.75" customHeight="1" s="6">
      <c r="A659" s="1">
        <f t="array" ref="A659">INDIRECT(_xlfn.CONCAT("$I", $F659))</f>
        <v/>
      </c>
      <c r="B659" s="1">
        <f t="array" ref="B659">INDIRECT(_xlfn.CONCAT("$J", $F659))</f>
        <v/>
      </c>
      <c r="C659" s="1">
        <f t="array" ref="C659">INDIRECT(_xlfn.CONCAT("$K", $F659))</f>
        <v/>
      </c>
      <c r="D659" s="1" t="n"/>
      <c r="E659" s="1">
        <f t="array" ref="E659">INDIRECT(_xlfn.CONCAT("$L", $F659))</f>
        <v/>
      </c>
      <c r="F659" s="1">
        <f t="array" ref="F659">IF(NOT(OR(ISERROR(INDIRECT(_xlfn.CONCAT("$I", $F658 + 1))), ISBLANK(INDIRECT(_xlfn.CONCAT("$I", $F658 + 1))))), $F658 + 1, IF(NOT(ISBLANK(INDIRECT(_xlfn.CONCAT("$I", $F658 + 2)))), $F658 + 2, ""))</f>
        <v/>
      </c>
    </row>
    <row r="660" ht="57.75" customHeight="1" s="6">
      <c r="A660" s="1">
        <f t="array" ref="A660">INDIRECT(_xlfn.CONCAT("$I", $F660))</f>
        <v/>
      </c>
      <c r="B660" s="1">
        <f t="array" ref="B660">INDIRECT(_xlfn.CONCAT("$J", $F660))</f>
        <v/>
      </c>
      <c r="C660" s="1">
        <f t="array" ref="C660">INDIRECT(_xlfn.CONCAT("$K", $F660))</f>
        <v/>
      </c>
      <c r="D660" s="1" t="n"/>
      <c r="E660" s="1">
        <f t="array" ref="E660">INDIRECT(_xlfn.CONCAT("$L", $F660))</f>
        <v/>
      </c>
      <c r="F660" s="1">
        <f t="array" ref="F660">IF(NOT(OR(ISERROR(INDIRECT(_xlfn.CONCAT("$I", $F659 + 1))), ISBLANK(INDIRECT(_xlfn.CONCAT("$I", $F659 + 1))))), $F659 + 1, IF(NOT(ISBLANK(INDIRECT(_xlfn.CONCAT("$I", $F659 + 2)))), $F659 + 2, ""))</f>
        <v/>
      </c>
      <c r="I660" s="8" t="inlineStr">
        <is>
          <t>Kaldheim Tokens TKHM</t>
        </is>
      </c>
      <c r="J660" s="8" t="n">
        <v>23</v>
      </c>
      <c r="K660" s="9" t="n">
        <v>44232</v>
      </c>
      <c r="L660" s="8" t="inlineStr">
        <is>
          <t>en es fr de it pt ja ko ru 汉语 漢語</t>
        </is>
      </c>
    </row>
    <row r="661" ht="57.75" customHeight="1" s="6">
      <c r="A661" s="1">
        <f t="array" ref="A661">INDIRECT(_xlfn.CONCAT("$I", $F661))</f>
        <v/>
      </c>
      <c r="B661" s="1">
        <f t="array" ref="B661">INDIRECT(_xlfn.CONCAT("$J", $F661))</f>
        <v/>
      </c>
      <c r="C661" s="1">
        <f t="array" ref="C661">INDIRECT(_xlfn.CONCAT("$K", $F661))</f>
        <v/>
      </c>
      <c r="D661" s="1" t="n"/>
      <c r="E661" s="1">
        <f t="array" ref="E661">INDIRECT(_xlfn.CONCAT("$L", $F661))</f>
        <v/>
      </c>
      <c r="F661" s="1">
        <f t="array" ref="F661">IF(NOT(OR(ISERROR(INDIRECT(_xlfn.CONCAT("$I", $F660 + 1))), ISBLANK(INDIRECT(_xlfn.CONCAT("$I", $F660 + 1))))), $F660 + 1, IF(NOT(ISBLANK(INDIRECT(_xlfn.CONCAT("$I", $F660 + 2)))), $F660 + 2, ""))</f>
        <v/>
      </c>
    </row>
    <row r="662" ht="57.75" customHeight="1" s="6">
      <c r="A662" s="1">
        <f t="array" ref="A662">INDIRECT(_xlfn.CONCAT("$I", $F662))</f>
        <v/>
      </c>
      <c r="B662" s="1">
        <f t="array" ref="B662">INDIRECT(_xlfn.CONCAT("$J", $F662))</f>
        <v/>
      </c>
      <c r="C662" s="1">
        <f t="array" ref="C662">INDIRECT(_xlfn.CONCAT("$K", $F662))</f>
        <v/>
      </c>
      <c r="D662" s="1" t="n"/>
      <c r="E662" s="1">
        <f t="array" ref="E662">INDIRECT(_xlfn.CONCAT("$L", $F662))</f>
        <v/>
      </c>
      <c r="F662" s="1">
        <f t="array" ref="F662">IF(NOT(OR(ISERROR(INDIRECT(_xlfn.CONCAT("$I", $F661 + 1))), ISBLANK(INDIRECT(_xlfn.CONCAT("$I", $F661 + 1))))), $F661 + 1, IF(NOT(ISBLANK(INDIRECT(_xlfn.CONCAT("$I", $F661 + 2)))), $F661 + 2, ""))</f>
        <v/>
      </c>
      <c r="I662" s="8" t="inlineStr">
        <is>
          <t>Kaldheim Minigames MKHM</t>
        </is>
      </c>
      <c r="J662" s="8" t="n">
        <v>5</v>
      </c>
      <c r="K662" s="9" t="n">
        <v>44232</v>
      </c>
      <c r="L662" s="8" t="inlineStr">
        <is>
          <t>en es fr de it pt ja ko ru 汉语 漢語</t>
        </is>
      </c>
    </row>
    <row r="663" ht="57.75" customHeight="1" s="6">
      <c r="A663" s="1">
        <f t="array" ref="A663">INDIRECT(_xlfn.CONCAT("$I", $F663))</f>
        <v/>
      </c>
      <c r="B663" s="1">
        <f t="array" ref="B663">INDIRECT(_xlfn.CONCAT("$J", $F663))</f>
        <v/>
      </c>
      <c r="C663" s="1">
        <f t="array" ref="C663">INDIRECT(_xlfn.CONCAT("$K", $F663))</f>
        <v/>
      </c>
      <c r="D663" s="1" t="n"/>
      <c r="E663" s="1">
        <f t="array" ref="E663">INDIRECT(_xlfn.CONCAT("$L", $F663))</f>
        <v/>
      </c>
      <c r="F663" s="1">
        <f t="array" ref="F663">IF(NOT(OR(ISERROR(INDIRECT(_xlfn.CONCAT("$I", $F662 + 1))), ISBLANK(INDIRECT(_xlfn.CONCAT("$I", $F662 + 1))))), $F662 + 1, IF(NOT(ISBLANK(INDIRECT(_xlfn.CONCAT("$I", $F662 + 2)))), $F662 + 2, ""))</f>
        <v/>
      </c>
    </row>
    <row r="664" ht="57.75" customHeight="1" s="6">
      <c r="A664" s="1">
        <f t="array" ref="A664">INDIRECT(_xlfn.CONCAT("$I", $F664))</f>
        <v/>
      </c>
      <c r="B664" s="1">
        <f t="array" ref="B664">INDIRECT(_xlfn.CONCAT("$J", $F664))</f>
        <v/>
      </c>
      <c r="C664" s="1">
        <f t="array" ref="C664">INDIRECT(_xlfn.CONCAT("$K", $F664))</f>
        <v/>
      </c>
      <c r="D664" s="1" t="n"/>
      <c r="E664" s="1">
        <f t="array" ref="E664">INDIRECT(_xlfn.CONCAT("$L", $F664))</f>
        <v/>
      </c>
      <c r="F664" s="1">
        <f t="array" ref="F664">IF(NOT(OR(ISERROR(INDIRECT(_xlfn.CONCAT("$I", $F663 + 1))), ISBLANK(INDIRECT(_xlfn.CONCAT("$I", $F663 + 1))))), $F663 + 1, IF(NOT(ISBLANK(INDIRECT(_xlfn.CONCAT("$I", $F663 + 2)))), $F663 + 2, ""))</f>
        <v/>
      </c>
      <c r="I664" s="8" t="inlineStr">
        <is>
          <t>Kaldheim Substitute Cards SKHM</t>
        </is>
      </c>
      <c r="J664" s="8" t="n">
        <v>9</v>
      </c>
      <c r="K664" s="9" t="n">
        <v>44232</v>
      </c>
      <c r="L664" s="8" t="inlineStr">
        <is>
          <t>en es fr de it pt ja ko ru 汉语 漢語</t>
        </is>
      </c>
    </row>
    <row r="665" ht="57.75" customHeight="1" s="6">
      <c r="A665" s="1">
        <f t="array" ref="A665">INDIRECT(_xlfn.CONCAT("$I", $F665))</f>
        <v/>
      </c>
      <c r="B665" s="1">
        <f t="array" ref="B665">INDIRECT(_xlfn.CONCAT("$J", $F665))</f>
        <v/>
      </c>
      <c r="C665" s="1">
        <f t="array" ref="C665">INDIRECT(_xlfn.CONCAT("$K", $F665))</f>
        <v/>
      </c>
      <c r="D665" s="1" t="n"/>
      <c r="E665" s="1">
        <f t="array" ref="E665">INDIRECT(_xlfn.CONCAT("$L", $F665))</f>
        <v/>
      </c>
      <c r="F665" s="1">
        <f t="array" ref="F665">IF(NOT(OR(ISERROR(INDIRECT(_xlfn.CONCAT("$I", $F664 + 1))), ISBLANK(INDIRECT(_xlfn.CONCAT("$I", $F664 + 1))))), $F664 + 1, IF(NOT(ISBLANK(INDIRECT(_xlfn.CONCAT("$I", $F664 + 2)))), $F664 + 2, ""))</f>
        <v/>
      </c>
    </row>
    <row r="666" ht="68.25" customHeight="1" s="6">
      <c r="A666" s="1">
        <f t="array" ref="A666">INDIRECT(_xlfn.CONCAT("$I", $F666))</f>
        <v/>
      </c>
      <c r="B666" s="1">
        <f t="array" ref="B666">INDIRECT(_xlfn.CONCAT("$J", $F666))</f>
        <v/>
      </c>
      <c r="C666" s="1">
        <f t="array" ref="C666">INDIRECT(_xlfn.CONCAT("$K", $F666))</f>
        <v/>
      </c>
      <c r="D666" s="1" t="n"/>
      <c r="E666" s="1">
        <f t="array" ref="E666">INDIRECT(_xlfn.CONCAT("$L", $F666))</f>
        <v/>
      </c>
      <c r="F666" s="1">
        <f t="array" ref="F666">IF(NOT(OR(ISERROR(INDIRECT(_xlfn.CONCAT("$I", $F665 + 1))), ISBLANK(INDIRECT(_xlfn.CONCAT("$I", $F665 + 1))))), $F665 + 1, IF(NOT(ISBLANK(INDIRECT(_xlfn.CONCAT("$I", $F665 + 2)))), $F665 + 2, ""))</f>
        <v/>
      </c>
      <c r="I666" s="8" t="inlineStr">
        <is>
          <t>Kaldheim Commander KHC</t>
        </is>
      </c>
      <c r="J666" s="8" t="n">
        <v>119</v>
      </c>
      <c r="K666" s="9" t="n">
        <v>44232</v>
      </c>
      <c r="L666" t="inlineStr">
        <is>
          <t>en es fr de it pt ja ko ru 汉语 漢語</t>
        </is>
      </c>
    </row>
    <row r="667" ht="81" customHeight="1" s="6">
      <c r="A667" s="1">
        <f t="array" ref="A667">INDIRECT(_xlfn.CONCAT("$I", $F667))</f>
        <v/>
      </c>
      <c r="B667" s="1">
        <f t="array" ref="B667">INDIRECT(_xlfn.CONCAT("$J", $F667))</f>
        <v/>
      </c>
      <c r="C667" s="1">
        <f t="array" ref="C667">INDIRECT(_xlfn.CONCAT("$K", $F667))</f>
        <v/>
      </c>
      <c r="D667" s="1" t="n"/>
      <c r="E667" s="1">
        <f t="array" ref="E667">INDIRECT(_xlfn.CONCAT("$L", $F667))</f>
        <v/>
      </c>
      <c r="F667" s="1">
        <f t="array" ref="F667">IF(NOT(OR(ISERROR(INDIRECT(_xlfn.CONCAT("$I", $F666 + 1))), ISBLANK(INDIRECT(_xlfn.CONCAT("$I", $F666 + 1))))), $F666 + 1, IF(NOT(ISBLANK(INDIRECT(_xlfn.CONCAT("$I", $F666 + 2)))), $F666 + 2, ""))</f>
        <v/>
      </c>
    </row>
    <row r="668" ht="57.75" customHeight="1" s="6">
      <c r="A668" s="1">
        <f t="array" ref="A668">INDIRECT(_xlfn.CONCAT("$I", $F668))</f>
        <v/>
      </c>
      <c r="B668" s="1">
        <f t="array" ref="B668">INDIRECT(_xlfn.CONCAT("$J", $F668))</f>
        <v/>
      </c>
      <c r="C668" s="1">
        <f t="array" ref="C668">INDIRECT(_xlfn.CONCAT("$K", $F668))</f>
        <v/>
      </c>
      <c r="D668" s="1" t="n"/>
      <c r="E668" s="1">
        <f t="array" ref="E668">INDIRECT(_xlfn.CONCAT("$L", $F668))</f>
        <v/>
      </c>
      <c r="F668" s="1">
        <f t="array" ref="F668">IF(NOT(OR(ISERROR(INDIRECT(_xlfn.CONCAT("$I", $F667 + 1))), ISBLANK(INDIRECT(_xlfn.CONCAT("$I", $F667 + 1))))), $F667 + 1, IF(NOT(ISBLANK(INDIRECT(_xlfn.CONCAT("$I", $F667 + 2)))), $F667 + 2, ""))</f>
        <v/>
      </c>
      <c r="I668" s="8" t="inlineStr">
        <is>
          <t>Kaldheim Commander Tokens TKHC</t>
        </is>
      </c>
      <c r="J668" s="8" t="n">
        <v>8</v>
      </c>
      <c r="K668" s="9" t="n">
        <v>44232</v>
      </c>
      <c r="L668" s="8" t="inlineStr">
        <is>
          <t>en es fr de it pt ja ko ru 汉语 漢語</t>
        </is>
      </c>
    </row>
    <row r="669" ht="57.75" customHeight="1" s="6">
      <c r="A669" s="1">
        <f t="array" ref="A669">INDIRECT(_xlfn.CONCAT("$I", $F669))</f>
        <v/>
      </c>
      <c r="B669" s="1">
        <f t="array" ref="B669">INDIRECT(_xlfn.CONCAT("$J", $F669))</f>
        <v/>
      </c>
      <c r="C669" s="1">
        <f t="array" ref="C669">INDIRECT(_xlfn.CONCAT("$K", $F669))</f>
        <v/>
      </c>
      <c r="D669" s="1" t="n"/>
      <c r="E669" s="1">
        <f t="array" ref="E669">INDIRECT(_xlfn.CONCAT("$L", $F669))</f>
        <v/>
      </c>
      <c r="F669" s="1">
        <f t="array" ref="F669">IF(NOT(OR(ISERROR(INDIRECT(_xlfn.CONCAT("$I", $F668 + 1))), ISBLANK(INDIRECT(_xlfn.CONCAT("$I", $F668 + 1))))), $F668 + 1, IF(NOT(ISBLANK(INDIRECT(_xlfn.CONCAT("$I", $F668 + 2)))), $F668 + 2, ""))</f>
        <v/>
      </c>
    </row>
    <row r="670" ht="57.75" customHeight="1" s="6">
      <c r="A670" s="1">
        <f t="array" ref="A670">INDIRECT(_xlfn.CONCAT("$I", $F670))</f>
        <v/>
      </c>
      <c r="B670" s="1">
        <f t="array" ref="B670">INDIRECT(_xlfn.CONCAT("$J", $F670))</f>
        <v/>
      </c>
      <c r="C670" s="1">
        <f t="array" ref="C670">INDIRECT(_xlfn.CONCAT("$K", $F670))</f>
        <v/>
      </c>
      <c r="D670" s="1" t="n"/>
      <c r="E670" s="1">
        <f t="array" ref="E670">INDIRECT(_xlfn.CONCAT("$L", $F670))</f>
        <v/>
      </c>
      <c r="F670" s="1">
        <f t="array" ref="F670">IF(NOT(OR(ISERROR(INDIRECT(_xlfn.CONCAT("$I", $F669 + 1))), ISBLANK(INDIRECT(_xlfn.CONCAT("$I", $F669 + 1))))), $F669 + 1, IF(NOT(ISBLANK(INDIRECT(_xlfn.CONCAT("$I", $F669 + 2)))), $F669 + 2, ""))</f>
        <v/>
      </c>
      <c r="I670" s="8" t="inlineStr">
        <is>
          <t>Kaldheim Art Series AKHM</t>
        </is>
      </c>
      <c r="J670" s="8" t="n">
        <v>81</v>
      </c>
      <c r="K670" s="9" t="n">
        <v>44232</v>
      </c>
      <c r="L670" s="8" t="inlineStr">
        <is>
          <t>en es fr de it pt ja ko ru 汉语 漢語</t>
        </is>
      </c>
    </row>
    <row r="671" ht="57.75" customHeight="1" s="6">
      <c r="A671" s="1">
        <f t="array" ref="A671">INDIRECT(_xlfn.CONCAT("$I", $F671))</f>
        <v/>
      </c>
      <c r="B671" s="1">
        <f t="array" ref="B671">INDIRECT(_xlfn.CONCAT("$J", $F671))</f>
        <v/>
      </c>
      <c r="C671" s="1">
        <f t="array" ref="C671">INDIRECT(_xlfn.CONCAT("$K", $F671))</f>
        <v/>
      </c>
      <c r="D671" s="1" t="n"/>
      <c r="E671" s="1">
        <f t="array" ref="E671">INDIRECT(_xlfn.CONCAT("$L", $F671))</f>
        <v/>
      </c>
      <c r="F671" s="1">
        <f t="array" ref="F671">IF(NOT(OR(ISERROR(INDIRECT(_xlfn.CONCAT("$I", $F670 + 1))), ISBLANK(INDIRECT(_xlfn.CONCAT("$I", $F670 + 1))))), $F670 + 1, IF(NOT(ISBLANK(INDIRECT(_xlfn.CONCAT("$I", $F670 + 2)))), $F670 + 2, ""))</f>
        <v/>
      </c>
    </row>
    <row r="672" ht="57.75" customHeight="1" s="6">
      <c r="A672" s="1">
        <f t="array" ref="A672">INDIRECT(_xlfn.CONCAT("$I", $F672))</f>
        <v/>
      </c>
      <c r="B672" s="1">
        <f t="array" ref="B672">INDIRECT(_xlfn.CONCAT("$J", $F672))</f>
        <v/>
      </c>
      <c r="C672" s="1">
        <f t="array" ref="C672">INDIRECT(_xlfn.CONCAT("$K", $F672))</f>
        <v/>
      </c>
      <c r="D672" s="1" t="n"/>
      <c r="E672" s="1">
        <f t="array" ref="E672">INDIRECT(_xlfn.CONCAT("$L", $F672))</f>
        <v/>
      </c>
      <c r="F672" s="1">
        <f t="array" ref="F672">IF(NOT(OR(ISERROR(INDIRECT(_xlfn.CONCAT("$I", $F671 + 1))), ISBLANK(INDIRECT(_xlfn.CONCAT("$I", $F671 + 1))))), $F671 + 1, IF(NOT(ISBLANK(INDIRECT(_xlfn.CONCAT("$I", $F671 + 2)))), $F671 + 2, ""))</f>
        <v/>
      </c>
      <c r="I672" s="8" t="inlineStr">
        <is>
          <t>Year of the Ox 2021 PL21</t>
        </is>
      </c>
      <c r="J672" s="8" t="n">
        <v>6</v>
      </c>
      <c r="K672" s="9" t="n">
        <v>44221</v>
      </c>
      <c r="L672" t="inlineStr">
        <is>
          <t>en es fr de it pt ja ko ru 汉语 漢語</t>
        </is>
      </c>
    </row>
    <row r="673" ht="57.75" customHeight="1" s="6">
      <c r="A673" s="1">
        <f t="array" ref="A673">INDIRECT(_xlfn.CONCAT("$I", $F673))</f>
        <v/>
      </c>
      <c r="B673" s="1">
        <f t="array" ref="B673">INDIRECT(_xlfn.CONCAT("$J", $F673))</f>
        <v/>
      </c>
      <c r="C673" s="1">
        <f t="array" ref="C673">INDIRECT(_xlfn.CONCAT("$K", $F673))</f>
        <v/>
      </c>
      <c r="D673" s="1" t="n"/>
      <c r="E673" s="1">
        <f t="array" ref="E673">INDIRECT(_xlfn.CONCAT("$L", $F673))</f>
        <v/>
      </c>
      <c r="F673" s="1">
        <f t="array" ref="F673">IF(NOT(OR(ISERROR(INDIRECT(_xlfn.CONCAT("$I", $F672 + 1))), ISBLANK(INDIRECT(_xlfn.CONCAT("$I", $F672 + 1))))), $F672 + 1, IF(NOT(ISBLANK(INDIRECT(_xlfn.CONCAT("$I", $F672 + 2)))), $F672 + 2, ""))</f>
        <v/>
      </c>
    </row>
    <row r="674" ht="57.75" customHeight="1" s="6">
      <c r="A674" s="1">
        <f t="array" ref="A674">INDIRECT(_xlfn.CONCAT("$I", $F674))</f>
        <v/>
      </c>
      <c r="B674" s="1">
        <f t="array" ref="B674">INDIRECT(_xlfn.CONCAT("$J", $F674))</f>
        <v/>
      </c>
      <c r="C674" s="1">
        <f t="array" ref="C674">INDIRECT(_xlfn.CONCAT("$K", $F674))</f>
        <v/>
      </c>
      <c r="D674" s="1" t="n"/>
      <c r="E674" s="1">
        <f t="array" ref="E674">INDIRECT(_xlfn.CONCAT("$L", $F674))</f>
        <v/>
      </c>
      <c r="F674" s="1">
        <f t="array" ref="F674">IF(NOT(OR(ISERROR(INDIRECT(_xlfn.CONCAT("$I", $F673 + 1))), ISBLANK(INDIRECT(_xlfn.CONCAT("$I", $F673 + 1))))), $F673 + 1, IF(NOT(ISBLANK(INDIRECT(_xlfn.CONCAT("$I", $F673 + 2)))), $F673 + 2, ""))</f>
        <v/>
      </c>
      <c r="I674" s="8" t="inlineStr">
        <is>
          <t>Judge Gift Cards 2021 PJ21</t>
        </is>
      </c>
      <c r="J674" s="8" t="n">
        <v>10</v>
      </c>
      <c r="K674" s="9" t="n">
        <v>44197</v>
      </c>
      <c r="L674" s="8" t="inlineStr">
        <is>
          <t>en es fr de it pt ja ko ru 汉语 漢語</t>
        </is>
      </c>
    </row>
    <row r="675" ht="57.75" customHeight="1" s="6">
      <c r="A675" s="1">
        <f t="array" ref="A675">INDIRECT(_xlfn.CONCAT("$I", $F675))</f>
        <v/>
      </c>
      <c r="B675" s="1">
        <f t="array" ref="B675">INDIRECT(_xlfn.CONCAT("$J", $F675))</f>
        <v/>
      </c>
      <c r="C675" s="1">
        <f t="array" ref="C675">INDIRECT(_xlfn.CONCAT("$K", $F675))</f>
        <v/>
      </c>
      <c r="D675" s="1" t="n"/>
      <c r="E675" s="1">
        <f t="array" ref="E675">INDIRECT(_xlfn.CONCAT("$L", $F675))</f>
        <v/>
      </c>
      <c r="F675" s="1">
        <f t="array" ref="F675">IF(NOT(OR(ISERROR(INDIRECT(_xlfn.CONCAT("$I", $F674 + 1))), ISBLANK(INDIRECT(_xlfn.CONCAT("$I", $F674 + 1))))), $F674 + 1, IF(NOT(ISBLANK(INDIRECT(_xlfn.CONCAT("$I", $F674 + 2)))), $F674 + 2, ""))</f>
        <v/>
      </c>
    </row>
    <row r="676" ht="57.75" customHeight="1" s="6">
      <c r="A676" s="1">
        <f t="array" ref="A676">INDIRECT(_xlfn.CONCAT("$I", $F676))</f>
        <v/>
      </c>
      <c r="B676" s="1">
        <f t="array" ref="B676">INDIRECT(_xlfn.CONCAT("$J", $F676))</f>
        <v/>
      </c>
      <c r="C676" s="1">
        <f t="array" ref="C676">INDIRECT(_xlfn.CONCAT("$K", $F676))</f>
        <v/>
      </c>
      <c r="D676" s="1" t="n"/>
      <c r="E676" s="1">
        <f t="array" ref="E676">INDIRECT(_xlfn.CONCAT("$L", $F676))</f>
        <v/>
      </c>
      <c r="F676" s="1">
        <f t="array" ref="F676">IF(NOT(OR(ISERROR(INDIRECT(_xlfn.CONCAT("$I", $F675 + 1))), ISBLANK(INDIRECT(_xlfn.CONCAT("$I", $F675 + 1))))), $F675 + 1, IF(NOT(ISBLANK(INDIRECT(_xlfn.CONCAT("$I", $F675 + 2)))), $F675 + 2, ""))</f>
        <v/>
      </c>
      <c r="I676" s="8" t="inlineStr">
        <is>
          <t>Commander Collection: Green CC1</t>
        </is>
      </c>
      <c r="J676" s="8" t="n">
        <v>8</v>
      </c>
      <c r="K676" s="9" t="n">
        <v>44169</v>
      </c>
      <c r="L676" s="8" t="inlineStr">
        <is>
          <t>en es fr de it pt ja ko ru 汉语 漢語</t>
        </is>
      </c>
    </row>
    <row r="677" ht="57.75" customHeight="1" s="6">
      <c r="A677" s="1">
        <f t="array" ref="A677">INDIRECT(_xlfn.CONCAT("$I", $F677))</f>
        <v/>
      </c>
      <c r="B677" s="1">
        <f t="array" ref="B677">INDIRECT(_xlfn.CONCAT("$J", $F677))</f>
        <v/>
      </c>
      <c r="C677" s="1">
        <f t="array" ref="C677">INDIRECT(_xlfn.CONCAT("$K", $F677))</f>
        <v/>
      </c>
      <c r="D677" s="1" t="n"/>
      <c r="E677" s="1">
        <f t="array" ref="E677">INDIRECT(_xlfn.CONCAT("$L", $F677))</f>
        <v/>
      </c>
      <c r="F677" s="1">
        <f t="array" ref="F677">IF(NOT(OR(ISERROR(INDIRECT(_xlfn.CONCAT("$I", $F676 + 1))), ISBLANK(INDIRECT(_xlfn.CONCAT("$I", $F676 + 1))))), $F676 + 1, IF(NOT(ISBLANK(INDIRECT(_xlfn.CONCAT("$I", $F676 + 2)))), $F676 + 2, ""))</f>
        <v/>
      </c>
    </row>
    <row r="678" ht="57.75" customHeight="1" s="6">
      <c r="A678" s="1">
        <f t="array" ref="A678">INDIRECT(_xlfn.CONCAT("$I", $F678))</f>
        <v/>
      </c>
      <c r="B678" s="1">
        <f t="array" ref="B678">INDIRECT(_xlfn.CONCAT("$J", $F678))</f>
        <v/>
      </c>
      <c r="C678" s="1">
        <f t="array" ref="C678">INDIRECT(_xlfn.CONCAT("$K", $F678))</f>
        <v/>
      </c>
      <c r="D678" s="1" t="n"/>
      <c r="E678" s="1">
        <f t="array" ref="E678">INDIRECT(_xlfn.CONCAT("$L", $F678))</f>
        <v/>
      </c>
      <c r="F678" s="1">
        <f t="array" ref="F678">IF(NOT(OR(ISERROR(INDIRECT(_xlfn.CONCAT("$I", $F677 + 1))), ISBLANK(INDIRECT(_xlfn.CONCAT("$I", $F677 + 1))))), $F677 + 1, IF(NOT(ISBLANK(INDIRECT(_xlfn.CONCAT("$I", $F677 + 2)))), $F677 + 2, ""))</f>
        <v/>
      </c>
      <c r="I678" s="8" t="inlineStr">
        <is>
          <t>Commander Legends CMR</t>
        </is>
      </c>
      <c r="J678" s="8" t="n">
        <v>718</v>
      </c>
      <c r="K678" s="9" t="n">
        <v>44155</v>
      </c>
      <c r="L678" t="inlineStr">
        <is>
          <t>en es fr de it pt ja ko ru 汉语 漢語</t>
        </is>
      </c>
    </row>
    <row r="679" ht="57.75" customHeight="1" s="6">
      <c r="A679" s="1">
        <f t="array" ref="A679">INDIRECT(_xlfn.CONCAT("$I", $F679))</f>
        <v/>
      </c>
      <c r="B679" s="1">
        <f t="array" ref="B679">INDIRECT(_xlfn.CONCAT("$J", $F679))</f>
        <v/>
      </c>
      <c r="C679" s="1">
        <f t="array" ref="C679">INDIRECT(_xlfn.CONCAT("$K", $F679))</f>
        <v/>
      </c>
      <c r="D679" s="1" t="n"/>
      <c r="E679" s="1">
        <f t="array" ref="E679">INDIRECT(_xlfn.CONCAT("$L", $F679))</f>
        <v/>
      </c>
      <c r="F679" s="1">
        <f t="array" ref="F679">IF(NOT(OR(ISERROR(INDIRECT(_xlfn.CONCAT("$I", $F678 + 1))), ISBLANK(INDIRECT(_xlfn.CONCAT("$I", $F678 + 1))))), $F678 + 1, IF(NOT(ISBLANK(INDIRECT(_xlfn.CONCAT("$I", $F678 + 2)))), $F678 + 2, ""))</f>
        <v/>
      </c>
    </row>
    <row r="680" ht="81" customHeight="1" s="6">
      <c r="A680" s="1">
        <f t="array" ref="A680">INDIRECT(_xlfn.CONCAT("$I", $F680))</f>
        <v/>
      </c>
      <c r="B680" s="1">
        <f t="array" ref="B680">INDIRECT(_xlfn.CONCAT("$J", $F680))</f>
        <v/>
      </c>
      <c r="C680" s="1">
        <f t="array" ref="C680">INDIRECT(_xlfn.CONCAT("$K", $F680))</f>
        <v/>
      </c>
      <c r="D680" s="1" t="n"/>
      <c r="E680" s="1">
        <f t="array" ref="E680">INDIRECT(_xlfn.CONCAT("$L", $F680))</f>
        <v/>
      </c>
      <c r="F680" s="1">
        <f t="array" ref="F680">IF(NOT(OR(ISERROR(INDIRECT(_xlfn.CONCAT("$I", $F679 + 1))), ISBLANK(INDIRECT(_xlfn.CONCAT("$I", $F679 + 1))))), $F679 + 1, IF(NOT(ISBLANK(INDIRECT(_xlfn.CONCAT("$I", $F679 + 2)))), $F679 + 2, ""))</f>
        <v/>
      </c>
      <c r="I680" s="8" t="inlineStr">
        <is>
          <t>Commander Legends Promos PCMR</t>
        </is>
      </c>
      <c r="J680" s="8" t="n">
        <v>6</v>
      </c>
      <c r="K680" s="9" t="n">
        <v>44155</v>
      </c>
      <c r="L680" s="8" t="inlineStr">
        <is>
          <t>en es fr de it pt ja ko ru 汉语 漢語</t>
        </is>
      </c>
    </row>
    <row r="681" ht="57.75" customHeight="1" s="6">
      <c r="A681" s="1">
        <f t="array" ref="A681">INDIRECT(_xlfn.CONCAT("$I", $F681))</f>
        <v/>
      </c>
      <c r="B681" s="1">
        <f t="array" ref="B681">INDIRECT(_xlfn.CONCAT("$J", $F681))</f>
        <v/>
      </c>
      <c r="C681" s="1">
        <f t="array" ref="C681">INDIRECT(_xlfn.CONCAT("$K", $F681))</f>
        <v/>
      </c>
      <c r="D681" s="1" t="n"/>
      <c r="E681" s="1">
        <f t="array" ref="E681">INDIRECT(_xlfn.CONCAT("$L", $F681))</f>
        <v/>
      </c>
      <c r="F681" s="1">
        <f t="array" ref="F681">IF(NOT(OR(ISERROR(INDIRECT(_xlfn.CONCAT("$I", $F680 + 1))), ISBLANK(INDIRECT(_xlfn.CONCAT("$I", $F680 + 1))))), $F680 + 1, IF(NOT(ISBLANK(INDIRECT(_xlfn.CONCAT("$I", $F680 + 2)))), $F680 + 2, ""))</f>
        <v/>
      </c>
    </row>
    <row r="682" ht="57.75" customHeight="1" s="6">
      <c r="A682" s="1">
        <f t="array" ref="A682">INDIRECT(_xlfn.CONCAT("$I", $F682))</f>
        <v/>
      </c>
      <c r="B682" s="1">
        <f t="array" ref="B682">INDIRECT(_xlfn.CONCAT("$J", $F682))</f>
        <v/>
      </c>
      <c r="C682" s="1">
        <f t="array" ref="C682">INDIRECT(_xlfn.CONCAT("$K", $F682))</f>
        <v/>
      </c>
      <c r="D682" s="1" t="n"/>
      <c r="E682" s="1">
        <f t="array" ref="E682">INDIRECT(_xlfn.CONCAT("$L", $F682))</f>
        <v/>
      </c>
      <c r="F682" s="1">
        <f t="array" ref="F682">IF(NOT(OR(ISERROR(INDIRECT(_xlfn.CONCAT("$I", $F681 + 1))), ISBLANK(INDIRECT(_xlfn.CONCAT("$I", $F681 + 1))))), $F681 + 1, IF(NOT(ISBLANK(INDIRECT(_xlfn.CONCAT("$I", $F681 + 2)))), $F681 + 2, ""))</f>
        <v/>
      </c>
      <c r="I682" s="8" t="inlineStr">
        <is>
          <t>Commander Legends Tokens TCMR</t>
        </is>
      </c>
      <c r="J682" s="8" t="n">
        <v>23</v>
      </c>
      <c r="K682" s="9" t="n">
        <v>44155</v>
      </c>
      <c r="L682" s="8" t="inlineStr">
        <is>
          <t>en es fr de it pt ja ko ru 汉语 漢語</t>
        </is>
      </c>
    </row>
    <row r="683" ht="57.75" customHeight="1" s="6">
      <c r="A683" s="1">
        <f t="array" ref="A683">INDIRECT(_xlfn.CONCAT("$I", $F683))</f>
        <v/>
      </c>
      <c r="B683" s="1">
        <f t="array" ref="B683">INDIRECT(_xlfn.CONCAT("$J", $F683))</f>
        <v/>
      </c>
      <c r="C683" s="1">
        <f t="array" ref="C683">INDIRECT(_xlfn.CONCAT("$K", $F683))</f>
        <v/>
      </c>
      <c r="D683" s="1" t="n"/>
      <c r="E683" s="1">
        <f t="array" ref="E683">INDIRECT(_xlfn.CONCAT("$L", $F683))</f>
        <v/>
      </c>
      <c r="F683" s="1">
        <f t="array" ref="F683">IF(NOT(OR(ISERROR(INDIRECT(_xlfn.CONCAT("$I", $F682 + 1))), ISBLANK(INDIRECT(_xlfn.CONCAT("$I", $F682 + 1))))), $F682 + 1, IF(NOT(ISBLANK(INDIRECT(_xlfn.CONCAT("$I", $F682 + 2)))), $F682 + 2, ""))</f>
        <v/>
      </c>
    </row>
    <row r="684" ht="81" customHeight="1" s="6">
      <c r="A684" s="1">
        <f t="array" ref="A684">INDIRECT(_xlfn.CONCAT("$I", $F684))</f>
        <v/>
      </c>
      <c r="B684" s="1">
        <f t="array" ref="B684">INDIRECT(_xlfn.CONCAT("$J", $F684))</f>
        <v/>
      </c>
      <c r="C684" s="1">
        <f t="array" ref="C684">INDIRECT(_xlfn.CONCAT("$K", $F684))</f>
        <v/>
      </c>
      <c r="D684" s="1" t="n"/>
      <c r="E684" s="1">
        <f t="array" ref="E684">INDIRECT(_xlfn.CONCAT("$L", $F684))</f>
        <v/>
      </c>
      <c r="F684" s="1">
        <f t="array" ref="F684">IF(NOT(OR(ISERROR(INDIRECT(_xlfn.CONCAT("$I", $F683 + 1))), ISBLANK(INDIRECT(_xlfn.CONCAT("$I", $F683 + 1))))), $F683 + 1, IF(NOT(ISBLANK(INDIRECT(_xlfn.CONCAT("$I", $F683 + 2)))), $F683 + 2, ""))</f>
        <v/>
      </c>
      <c r="I684" s="8" t="inlineStr">
        <is>
          <t>Kaladesh Remastered KLR</t>
        </is>
      </c>
      <c r="J684" s="8" t="n">
        <v>302</v>
      </c>
      <c r="K684" s="9" t="n">
        <v>44147</v>
      </c>
      <c r="L684" s="8" t="inlineStr">
        <is>
          <t>en es fr de it pt ja ko ru 汉语 漢語</t>
        </is>
      </c>
    </row>
    <row r="685" ht="57.75" customHeight="1" s="6">
      <c r="A685" s="1">
        <f t="array" ref="A685">INDIRECT(_xlfn.CONCAT("$I", $F685))</f>
        <v/>
      </c>
      <c r="B685" s="1">
        <f t="array" ref="B685">INDIRECT(_xlfn.CONCAT("$J", $F685))</f>
        <v/>
      </c>
      <c r="C685" s="1">
        <f t="array" ref="C685">INDIRECT(_xlfn.CONCAT("$K", $F685))</f>
        <v/>
      </c>
      <c r="D685" s="1" t="n"/>
      <c r="E685" s="1">
        <f t="array" ref="E685">INDIRECT(_xlfn.CONCAT("$L", $F685))</f>
        <v/>
      </c>
      <c r="F685" s="1">
        <f t="array" ref="F685">IF(NOT(OR(ISERROR(INDIRECT(_xlfn.CONCAT("$I", $F684 + 1))), ISBLANK(INDIRECT(_xlfn.CONCAT("$I", $F684 + 1))))), $F684 + 1, IF(NOT(ISBLANK(INDIRECT(_xlfn.CONCAT("$I", $F684 + 2)))), $F684 + 2, ""))</f>
        <v/>
      </c>
    </row>
    <row r="686" ht="57.75" customHeight="1" s="6">
      <c r="A686" s="1">
        <f t="array" ref="A686">INDIRECT(_xlfn.CONCAT("$I", $F686))</f>
        <v/>
      </c>
      <c r="B686" s="1">
        <f t="array" ref="B686">INDIRECT(_xlfn.CONCAT("$J", $F686))</f>
        <v/>
      </c>
      <c r="C686" s="1">
        <f t="array" ref="C686">INDIRECT(_xlfn.CONCAT("$K", $F686))</f>
        <v/>
      </c>
      <c r="D686" s="1" t="n"/>
      <c r="E686" s="1">
        <f t="array" ref="E686">INDIRECT(_xlfn.CONCAT("$L", $F686))</f>
        <v/>
      </c>
      <c r="F686" s="1">
        <f t="array" ref="F686">IF(NOT(OR(ISERROR(INDIRECT(_xlfn.CONCAT("$I", $F685 + 1))), ISBLANK(INDIRECT(_xlfn.CONCAT("$I", $F685 + 1))))), $F685 + 1, IF(NOT(ISBLANK(INDIRECT(_xlfn.CONCAT("$I", $F685 + 2)))), $F685 + 2, ""))</f>
        <v/>
      </c>
      <c r="I686" s="8" t="inlineStr">
        <is>
          <t>The List PLST</t>
        </is>
      </c>
      <c r="J686" s="8" t="n">
        <v>5050</v>
      </c>
      <c r="K686" s="9" t="n">
        <v>44100</v>
      </c>
      <c r="L686" t="inlineStr">
        <is>
          <t>en es fr de it pt ja ko ru 汉语 漢語</t>
        </is>
      </c>
    </row>
    <row r="687" ht="57.75" customHeight="1" s="6">
      <c r="A687" s="1">
        <f t="array" ref="A687">INDIRECT(_xlfn.CONCAT("$I", $F687))</f>
        <v/>
      </c>
      <c r="B687" s="1">
        <f t="array" ref="B687">INDIRECT(_xlfn.CONCAT("$J", $F687))</f>
        <v/>
      </c>
      <c r="C687" s="1">
        <f t="array" ref="C687">INDIRECT(_xlfn.CONCAT("$K", $F687))</f>
        <v/>
      </c>
      <c r="D687" s="1" t="n"/>
      <c r="E687" s="1">
        <f t="array" ref="E687">INDIRECT(_xlfn.CONCAT("$L", $F687))</f>
        <v/>
      </c>
      <c r="F687" s="1">
        <f t="array" ref="F687">IF(NOT(OR(ISERROR(INDIRECT(_xlfn.CONCAT("$I", $F686 + 1))), ISBLANK(INDIRECT(_xlfn.CONCAT("$I", $F686 + 1))))), $F686 + 1, IF(NOT(ISBLANK(INDIRECT(_xlfn.CONCAT("$I", $F686 + 2)))), $F686 + 2, ""))</f>
        <v/>
      </c>
    </row>
    <row r="688" ht="57.75" customHeight="1" s="6">
      <c r="A688" s="1">
        <f t="array" ref="A688">INDIRECT(_xlfn.CONCAT("$I", $F688))</f>
        <v/>
      </c>
      <c r="B688" s="1">
        <f t="array" ref="B688">INDIRECT(_xlfn.CONCAT("$J", $F688))</f>
        <v/>
      </c>
      <c r="C688" s="1">
        <f t="array" ref="C688">INDIRECT(_xlfn.CONCAT("$K", $F688))</f>
        <v/>
      </c>
      <c r="D688" s="1" t="n"/>
      <c r="E688" s="1">
        <f t="array" ref="E688">INDIRECT(_xlfn.CONCAT("$L", $F688))</f>
        <v/>
      </c>
      <c r="F688" s="1">
        <f t="array" ref="F688">IF(NOT(OR(ISERROR(INDIRECT(_xlfn.CONCAT("$I", $F687 + 1))), ISBLANK(INDIRECT(_xlfn.CONCAT("$I", $F687 + 1))))), $F687 + 1, IF(NOT(ISBLANK(INDIRECT(_xlfn.CONCAT("$I", $F687 + 2)))), $F687 + 2, ""))</f>
        <v/>
      </c>
      <c r="I688" s="8" t="inlineStr">
        <is>
          <t>The List (Unfinity Foil Edition) ULST</t>
        </is>
      </c>
      <c r="J688" s="8" t="n">
        <v>62</v>
      </c>
      <c r="K688" s="9" t="n">
        <v>44841</v>
      </c>
      <c r="L688" s="8" t="inlineStr">
        <is>
          <t>en es fr de it pt ja ko ru 汉语 漢語</t>
        </is>
      </c>
    </row>
    <row r="689" ht="68.25" customHeight="1" s="6">
      <c r="A689" s="1">
        <f t="array" ref="A689">INDIRECT(_xlfn.CONCAT("$I", $F689))</f>
        <v/>
      </c>
      <c r="B689" s="1">
        <f t="array" ref="B689">INDIRECT(_xlfn.CONCAT("$J", $F689))</f>
        <v/>
      </c>
      <c r="C689" s="1">
        <f t="array" ref="C689">INDIRECT(_xlfn.CONCAT("$K", $F689))</f>
        <v/>
      </c>
      <c r="D689" s="1" t="n"/>
      <c r="E689" s="1">
        <f t="array" ref="E689">INDIRECT(_xlfn.CONCAT("$L", $F689))</f>
        <v/>
      </c>
      <c r="F689" s="1">
        <f t="array" ref="F689">IF(NOT(OR(ISERROR(INDIRECT(_xlfn.CONCAT("$I", $F688 + 1))), ISBLANK(INDIRECT(_xlfn.CONCAT("$I", $F688 + 1))))), $F688 + 1, IF(NOT(ISBLANK(INDIRECT(_xlfn.CONCAT("$I", $F688 + 2)))), $F688 + 2, ""))</f>
        <v/>
      </c>
    </row>
    <row r="690" ht="57.75" customHeight="1" s="6">
      <c r="A690" s="1">
        <f t="array" ref="A690">INDIRECT(_xlfn.CONCAT("$I", $F690))</f>
        <v/>
      </c>
      <c r="B690" s="1">
        <f t="array" ref="B690">INDIRECT(_xlfn.CONCAT("$J", $F690))</f>
        <v/>
      </c>
      <c r="C690" s="1">
        <f t="array" ref="C690">INDIRECT(_xlfn.CONCAT("$K", $F690))</f>
        <v/>
      </c>
      <c r="D690" s="1" t="n"/>
      <c r="E690" s="1">
        <f t="array" ref="E690">INDIRECT(_xlfn.CONCAT("$L", $F690))</f>
        <v/>
      </c>
      <c r="F690" s="1">
        <f t="array" ref="F690">IF(NOT(OR(ISERROR(INDIRECT(_xlfn.CONCAT("$I", $F689 + 1))), ISBLANK(INDIRECT(_xlfn.CONCAT("$I", $F689 + 1))))), $F689 + 1, IF(NOT(ISBLANK(INDIRECT(_xlfn.CONCAT("$I", $F689 + 2)))), $F689 + 2, ""))</f>
        <v/>
      </c>
      <c r="I690" s="8" t="inlineStr">
        <is>
          <t>Zendikar Rising ZNR</t>
        </is>
      </c>
      <c r="J690" s="8" t="n">
        <v>408</v>
      </c>
      <c r="K690" s="9" t="n">
        <v>44099</v>
      </c>
      <c r="L690" t="inlineStr">
        <is>
          <t>en es fr de it pt ja ko ru 汉语 漢語</t>
        </is>
      </c>
    </row>
    <row r="691" ht="57.75" customHeight="1" s="6">
      <c r="A691" s="1">
        <f t="array" ref="A691">INDIRECT(_xlfn.CONCAT("$I", $F691))</f>
        <v/>
      </c>
      <c r="B691" s="1">
        <f t="array" ref="B691">INDIRECT(_xlfn.CONCAT("$J", $F691))</f>
        <v/>
      </c>
      <c r="C691" s="1">
        <f t="array" ref="C691">INDIRECT(_xlfn.CONCAT("$K", $F691))</f>
        <v/>
      </c>
      <c r="D691" s="1" t="n"/>
      <c r="E691" s="1">
        <f t="array" ref="E691">INDIRECT(_xlfn.CONCAT("$L", $F691))</f>
        <v/>
      </c>
      <c r="F691" s="1">
        <f t="array" ref="F691">IF(NOT(OR(ISERROR(INDIRECT(_xlfn.CONCAT("$I", $F690 + 1))), ISBLANK(INDIRECT(_xlfn.CONCAT("$I", $F690 + 1))))), $F690 + 1, IF(NOT(ISBLANK(INDIRECT(_xlfn.CONCAT("$I", $F690 + 2)))), $F690 + 2, ""))</f>
        <v/>
      </c>
    </row>
    <row r="692" ht="57.75" customHeight="1" s="6">
      <c r="A692" s="1">
        <f t="array" ref="A692">INDIRECT(_xlfn.CONCAT("$I", $F692))</f>
        <v/>
      </c>
      <c r="B692" s="1">
        <f t="array" ref="B692">INDIRECT(_xlfn.CONCAT("$J", $F692))</f>
        <v/>
      </c>
      <c r="C692" s="1">
        <f t="array" ref="C692">INDIRECT(_xlfn.CONCAT("$K", $F692))</f>
        <v/>
      </c>
      <c r="D692" s="1" t="n"/>
      <c r="E692" s="1">
        <f t="array" ref="E692">INDIRECT(_xlfn.CONCAT("$L", $F692))</f>
        <v/>
      </c>
      <c r="F692" s="1">
        <f t="array" ref="F692">IF(NOT(OR(ISERROR(INDIRECT(_xlfn.CONCAT("$I", $F691 + 1))), ISBLANK(INDIRECT(_xlfn.CONCAT("$I", $F691 + 1))))), $F691 + 1, IF(NOT(ISBLANK(INDIRECT(_xlfn.CONCAT("$I", $F691 + 2)))), $F691 + 2, ""))</f>
        <v/>
      </c>
      <c r="I692" s="8" t="inlineStr">
        <is>
          <t>Zendikar Rising Expeditions ZNE</t>
        </is>
      </c>
      <c r="J692" s="8" t="n">
        <v>30</v>
      </c>
      <c r="K692" s="9" t="n">
        <v>44099</v>
      </c>
      <c r="L692" t="inlineStr">
        <is>
          <t>en es fr de it pt ja ko ru 汉语 漢語</t>
        </is>
      </c>
    </row>
    <row r="693" ht="68.25" customHeight="1" s="6">
      <c r="A693" s="1">
        <f t="array" ref="A693">INDIRECT(_xlfn.CONCAT("$I", $F693))</f>
        <v/>
      </c>
      <c r="B693" s="1">
        <f t="array" ref="B693">INDIRECT(_xlfn.CONCAT("$J", $F693))</f>
        <v/>
      </c>
      <c r="C693" s="1">
        <f t="array" ref="C693">INDIRECT(_xlfn.CONCAT("$K", $F693))</f>
        <v/>
      </c>
      <c r="D693" s="1" t="n"/>
      <c r="E693" s="1">
        <f t="array" ref="E693">INDIRECT(_xlfn.CONCAT("$L", $F693))</f>
        <v/>
      </c>
      <c r="F693" s="1">
        <f t="array" ref="F693">IF(NOT(OR(ISERROR(INDIRECT(_xlfn.CONCAT("$I", $F692 + 1))), ISBLANK(INDIRECT(_xlfn.CONCAT("$I", $F692 + 1))))), $F692 + 1, IF(NOT(ISBLANK(INDIRECT(_xlfn.CONCAT("$I", $F692 + 2)))), $F692 + 2, ""))</f>
        <v/>
      </c>
    </row>
    <row r="694" ht="81" customHeight="1" s="6">
      <c r="A694" s="1">
        <f t="array" ref="A694">INDIRECT(_xlfn.CONCAT("$I", $F694))</f>
        <v/>
      </c>
      <c r="B694" s="1">
        <f t="array" ref="B694">INDIRECT(_xlfn.CONCAT("$J", $F694))</f>
        <v/>
      </c>
      <c r="C694" s="1">
        <f t="array" ref="C694">INDIRECT(_xlfn.CONCAT("$K", $F694))</f>
        <v/>
      </c>
      <c r="D694" s="1" t="n"/>
      <c r="E694" s="1">
        <f t="array" ref="E694">INDIRECT(_xlfn.CONCAT("$L", $F694))</f>
        <v/>
      </c>
      <c r="F694" s="1">
        <f t="array" ref="F694">IF(NOT(OR(ISERROR(INDIRECT(_xlfn.CONCAT("$I", $F693 + 1))), ISBLANK(INDIRECT(_xlfn.CONCAT("$I", $F693 + 1))))), $F693 + 1, IF(NOT(ISBLANK(INDIRECT(_xlfn.CONCAT("$I", $F693 + 2)))), $F693 + 2, ""))</f>
        <v/>
      </c>
      <c r="I694" s="8" t="inlineStr">
        <is>
          <t>Zendikar Rising Promos PZNR</t>
        </is>
      </c>
      <c r="J694" s="8" t="n">
        <v>153</v>
      </c>
      <c r="K694" s="9" t="n">
        <v>44099</v>
      </c>
      <c r="L694" s="8" t="inlineStr">
        <is>
          <t>en es fr de it pt ja ko ru 汉语 漢語</t>
        </is>
      </c>
    </row>
    <row r="695" ht="57.75" customHeight="1" s="6">
      <c r="A695" s="1">
        <f t="array" ref="A695">INDIRECT(_xlfn.CONCAT("$I", $F695))</f>
        <v/>
      </c>
      <c r="B695" s="1">
        <f t="array" ref="B695">INDIRECT(_xlfn.CONCAT("$J", $F695))</f>
        <v/>
      </c>
      <c r="C695" s="1">
        <f t="array" ref="C695">INDIRECT(_xlfn.CONCAT("$K", $F695))</f>
        <v/>
      </c>
      <c r="D695" s="1" t="n"/>
      <c r="E695" s="1">
        <f t="array" ref="E695">INDIRECT(_xlfn.CONCAT("$L", $F695))</f>
        <v/>
      </c>
      <c r="F695" s="1">
        <f t="array" ref="F695">IF(NOT(OR(ISERROR(INDIRECT(_xlfn.CONCAT("$I", $F694 + 1))), ISBLANK(INDIRECT(_xlfn.CONCAT("$I", $F694 + 1))))), $F694 + 1, IF(NOT(ISBLANK(INDIRECT(_xlfn.CONCAT("$I", $F694 + 2)))), $F694 + 2, ""))</f>
        <v/>
      </c>
    </row>
    <row r="696" ht="57.75" customHeight="1" s="6">
      <c r="A696" s="1">
        <f t="array" ref="A696">INDIRECT(_xlfn.CONCAT("$I", $F696))</f>
        <v/>
      </c>
      <c r="B696" s="1">
        <f t="array" ref="B696">INDIRECT(_xlfn.CONCAT("$J", $F696))</f>
        <v/>
      </c>
      <c r="C696" s="1">
        <f t="array" ref="C696">INDIRECT(_xlfn.CONCAT("$K", $F696))</f>
        <v/>
      </c>
      <c r="D696" s="1" t="n"/>
      <c r="E696" s="1">
        <f t="array" ref="E696">INDIRECT(_xlfn.CONCAT("$L", $F696))</f>
        <v/>
      </c>
      <c r="F696" s="1">
        <f t="array" ref="F696">IF(NOT(OR(ISERROR(INDIRECT(_xlfn.CONCAT("$I", $F695 + 1))), ISBLANK(INDIRECT(_xlfn.CONCAT("$I", $F695 + 1))))), $F695 + 1, IF(NOT(ISBLANK(INDIRECT(_xlfn.CONCAT("$I", $F695 + 2)))), $F695 + 2, ""))</f>
        <v/>
      </c>
      <c r="I696" s="8" t="inlineStr">
        <is>
          <t>Zendikar Rising Tokens TZNR</t>
        </is>
      </c>
      <c r="J696" s="8" t="n">
        <v>12</v>
      </c>
      <c r="K696" s="9" t="n">
        <v>44099</v>
      </c>
      <c r="L696" s="8" t="inlineStr">
        <is>
          <t>en es fr de it pt ja ko ru 汉语 漢語</t>
        </is>
      </c>
    </row>
    <row r="697" ht="57.75" customHeight="1" s="6">
      <c r="A697" s="1">
        <f t="array" ref="A697">INDIRECT(_xlfn.CONCAT("$I", $F697))</f>
        <v/>
      </c>
      <c r="B697" s="1">
        <f t="array" ref="B697">INDIRECT(_xlfn.CONCAT("$J", $F697))</f>
        <v/>
      </c>
      <c r="C697" s="1">
        <f t="array" ref="C697">INDIRECT(_xlfn.CONCAT("$K", $F697))</f>
        <v/>
      </c>
      <c r="D697" s="1" t="n"/>
      <c r="E697" s="1">
        <f t="array" ref="E697">INDIRECT(_xlfn.CONCAT("$L", $F697))</f>
        <v/>
      </c>
      <c r="F697" s="1">
        <f t="array" ref="F697">IF(NOT(OR(ISERROR(INDIRECT(_xlfn.CONCAT("$I", $F696 + 1))), ISBLANK(INDIRECT(_xlfn.CONCAT("$I", $F696 + 1))))), $F696 + 1, IF(NOT(ISBLANK(INDIRECT(_xlfn.CONCAT("$I", $F696 + 2)))), $F696 + 2, ""))</f>
        <v/>
      </c>
    </row>
    <row r="698" ht="57.75" customHeight="1" s="6">
      <c r="A698" s="1">
        <f t="array" ref="A698">INDIRECT(_xlfn.CONCAT("$I", $F698))</f>
        <v/>
      </c>
      <c r="B698" s="1">
        <f t="array" ref="B698">INDIRECT(_xlfn.CONCAT("$J", $F698))</f>
        <v/>
      </c>
      <c r="C698" s="1">
        <f t="array" ref="C698">INDIRECT(_xlfn.CONCAT("$K", $F698))</f>
        <v/>
      </c>
      <c r="D698" s="1" t="n"/>
      <c r="E698" s="1">
        <f t="array" ref="E698">INDIRECT(_xlfn.CONCAT("$L", $F698))</f>
        <v/>
      </c>
      <c r="F698" s="1">
        <f t="array" ref="F698">IF(NOT(OR(ISERROR(INDIRECT(_xlfn.CONCAT("$I", $F697 + 1))), ISBLANK(INDIRECT(_xlfn.CONCAT("$I", $F697 + 1))))), $F697 + 1, IF(NOT(ISBLANK(INDIRECT(_xlfn.CONCAT("$I", $F697 + 2)))), $F697 + 2, ""))</f>
        <v/>
      </c>
      <c r="I698" s="8" t="inlineStr">
        <is>
          <t>Zendikar Rising Art Series AZNR</t>
        </is>
      </c>
      <c r="J698" s="8" t="n">
        <v>81</v>
      </c>
      <c r="K698" s="9" t="n">
        <v>44099</v>
      </c>
      <c r="L698" s="8" t="inlineStr">
        <is>
          <t>en es fr de it pt ja ko ru 汉语 漢語</t>
        </is>
      </c>
    </row>
    <row r="699" ht="57.75" customHeight="1" s="6">
      <c r="A699" s="1">
        <f t="array" ref="A699">INDIRECT(_xlfn.CONCAT("$I", $F699))</f>
        <v/>
      </c>
      <c r="B699" s="1">
        <f t="array" ref="B699">INDIRECT(_xlfn.CONCAT("$J", $F699))</f>
        <v/>
      </c>
      <c r="C699" s="1">
        <f t="array" ref="C699">INDIRECT(_xlfn.CONCAT("$K", $F699))</f>
        <v/>
      </c>
      <c r="D699" s="1" t="n"/>
      <c r="E699" s="1">
        <f t="array" ref="E699">INDIRECT(_xlfn.CONCAT("$L", $F699))</f>
        <v/>
      </c>
      <c r="F699" s="1">
        <f t="array" ref="F699">IF(NOT(OR(ISERROR(INDIRECT(_xlfn.CONCAT("$I", $F698 + 1))), ISBLANK(INDIRECT(_xlfn.CONCAT("$I", $F698 + 1))))), $F698 + 1, IF(NOT(ISBLANK(INDIRECT(_xlfn.CONCAT("$I", $F698 + 2)))), $F698 + 2, ""))</f>
        <v/>
      </c>
    </row>
    <row r="700" ht="57.75" customHeight="1" s="6">
      <c r="A700" s="1">
        <f t="array" ref="A700">INDIRECT(_xlfn.CONCAT("$I", $F700))</f>
        <v/>
      </c>
      <c r="B700" s="1">
        <f t="array" ref="B700">INDIRECT(_xlfn.CONCAT("$J", $F700))</f>
        <v/>
      </c>
      <c r="C700" s="1">
        <f t="array" ref="C700">INDIRECT(_xlfn.CONCAT("$K", $F700))</f>
        <v/>
      </c>
      <c r="D700" s="1" t="n"/>
      <c r="E700" s="1">
        <f t="array" ref="E700">INDIRECT(_xlfn.CONCAT("$L", $F700))</f>
        <v/>
      </c>
      <c r="F700" s="1">
        <f t="array" ref="F700">IF(NOT(OR(ISERROR(INDIRECT(_xlfn.CONCAT("$I", $F699 + 1))), ISBLANK(INDIRECT(_xlfn.CONCAT("$I", $F699 + 1))))), $F699 + 1, IF(NOT(ISBLANK(INDIRECT(_xlfn.CONCAT("$I", $F699 + 2)))), $F699 + 2, ""))</f>
        <v/>
      </c>
      <c r="I700" s="8" t="inlineStr">
        <is>
          <t>Zendikar Rising Minigames MZNR</t>
        </is>
      </c>
      <c r="J700" s="8" t="n">
        <v>5</v>
      </c>
      <c r="K700" s="9" t="n">
        <v>44099</v>
      </c>
      <c r="L700" s="8" t="inlineStr">
        <is>
          <t>en es fr de it pt ja ko ru 汉语 漢語</t>
        </is>
      </c>
    </row>
    <row r="701" ht="57.75" customHeight="1" s="6">
      <c r="A701" s="1">
        <f t="array" ref="A701">INDIRECT(_xlfn.CONCAT("$I", $F701))</f>
        <v/>
      </c>
      <c r="B701" s="1">
        <f t="array" ref="B701">INDIRECT(_xlfn.CONCAT("$J", $F701))</f>
        <v/>
      </c>
      <c r="C701" s="1">
        <f t="array" ref="C701">INDIRECT(_xlfn.CONCAT("$K", $F701))</f>
        <v/>
      </c>
      <c r="D701" s="1" t="n"/>
      <c r="E701" s="1">
        <f t="array" ref="E701">INDIRECT(_xlfn.CONCAT("$L", $F701))</f>
        <v/>
      </c>
      <c r="F701" s="1">
        <f t="array" ref="F701">IF(NOT(OR(ISERROR(INDIRECT(_xlfn.CONCAT("$I", $F700 + 1))), ISBLANK(INDIRECT(_xlfn.CONCAT("$I", $F700 + 1))))), $F700 + 1, IF(NOT(ISBLANK(INDIRECT(_xlfn.CONCAT("$I", $F700 + 2)))), $F700 + 2, ""))</f>
        <v/>
      </c>
    </row>
    <row r="702" ht="57.75" customHeight="1" s="6">
      <c r="A702" s="1">
        <f t="array" ref="A702">INDIRECT(_xlfn.CONCAT("$I", $F702))</f>
        <v/>
      </c>
      <c r="B702" s="1">
        <f t="array" ref="B702">INDIRECT(_xlfn.CONCAT("$J", $F702))</f>
        <v/>
      </c>
      <c r="C702" s="1">
        <f t="array" ref="C702">INDIRECT(_xlfn.CONCAT("$K", $F702))</f>
        <v/>
      </c>
      <c r="D702" s="1" t="n"/>
      <c r="E702" s="1">
        <f t="array" ref="E702">INDIRECT(_xlfn.CONCAT("$L", $F702))</f>
        <v/>
      </c>
      <c r="F702" s="1">
        <f t="array" ref="F702">IF(NOT(OR(ISERROR(INDIRECT(_xlfn.CONCAT("$I", $F701 + 1))), ISBLANK(INDIRECT(_xlfn.CONCAT("$I", $F701 + 1))))), $F701 + 1, IF(NOT(ISBLANK(INDIRECT(_xlfn.CONCAT("$I", $F701 + 2)))), $F701 + 2, ""))</f>
        <v/>
      </c>
      <c r="I702" s="8" t="inlineStr">
        <is>
          <t>Zendikar Rising Commander ZNC</t>
        </is>
      </c>
      <c r="J702" s="8" t="n">
        <v>142</v>
      </c>
      <c r="K702" s="9" t="n">
        <v>44099</v>
      </c>
      <c r="L702" t="inlineStr">
        <is>
          <t>en es fr de it pt ja ko ru 汉语 漢語</t>
        </is>
      </c>
    </row>
    <row r="703" ht="57.75" customHeight="1" s="6">
      <c r="A703" s="1">
        <f t="array" ref="A703">INDIRECT(_xlfn.CONCAT("$I", $F703))</f>
        <v/>
      </c>
      <c r="B703" s="1">
        <f t="array" ref="B703">INDIRECT(_xlfn.CONCAT("$J", $F703))</f>
        <v/>
      </c>
      <c r="C703" s="1">
        <f t="array" ref="C703">INDIRECT(_xlfn.CONCAT("$K", $F703))</f>
        <v/>
      </c>
      <c r="D703" s="1" t="n"/>
      <c r="E703" s="1">
        <f t="array" ref="E703">INDIRECT(_xlfn.CONCAT("$L", $F703))</f>
        <v/>
      </c>
      <c r="F703" s="1">
        <f t="array" ref="F703">IF(NOT(OR(ISERROR(INDIRECT(_xlfn.CONCAT("$I", $F702 + 1))), ISBLANK(INDIRECT(_xlfn.CONCAT("$I", $F702 + 1))))), $F702 + 1, IF(NOT(ISBLANK(INDIRECT(_xlfn.CONCAT("$I", $F702 + 2)))), $F702 + 2, ""))</f>
        <v/>
      </c>
    </row>
    <row r="704" ht="57.75" customHeight="1" s="6">
      <c r="A704" s="1">
        <f t="array" ref="A704">INDIRECT(_xlfn.CONCAT("$I", $F704))</f>
        <v/>
      </c>
      <c r="B704" s="1">
        <f t="array" ref="B704">INDIRECT(_xlfn.CONCAT("$J", $F704))</f>
        <v/>
      </c>
      <c r="C704" s="1">
        <f t="array" ref="C704">INDIRECT(_xlfn.CONCAT("$K", $F704))</f>
        <v/>
      </c>
      <c r="D704" s="1" t="n"/>
      <c r="E704" s="1">
        <f t="array" ref="E704">INDIRECT(_xlfn.CONCAT("$L", $F704))</f>
        <v/>
      </c>
      <c r="F704" s="1">
        <f t="array" ref="F704">IF(NOT(OR(ISERROR(INDIRECT(_xlfn.CONCAT("$I", $F703 + 1))), ISBLANK(INDIRECT(_xlfn.CONCAT("$I", $F703 + 1))))), $F703 + 1, IF(NOT(ISBLANK(INDIRECT(_xlfn.CONCAT("$I", $F703 + 2)))), $F703 + 2, ""))</f>
        <v/>
      </c>
      <c r="I704" s="8" t="inlineStr">
        <is>
          <t>Zendikar Rising Commander Tokens TZNC</t>
        </is>
      </c>
      <c r="J704" s="8" t="n">
        <v>11</v>
      </c>
      <c r="K704" s="9" t="n">
        <v>44099</v>
      </c>
      <c r="L704" s="8" t="inlineStr">
        <is>
          <t>en es fr de it pt ja ko ru 汉语 漢語</t>
        </is>
      </c>
    </row>
    <row r="705" ht="57.75" customHeight="1" s="6">
      <c r="A705" s="1">
        <f t="array" ref="A705">INDIRECT(_xlfn.CONCAT("$I", $F705))</f>
        <v/>
      </c>
      <c r="B705" s="1">
        <f t="array" ref="B705">INDIRECT(_xlfn.CONCAT("$J", $F705))</f>
        <v/>
      </c>
      <c r="C705" s="1">
        <f t="array" ref="C705">INDIRECT(_xlfn.CONCAT("$K", $F705))</f>
        <v/>
      </c>
      <c r="D705" s="1" t="n"/>
      <c r="E705" s="1">
        <f t="array" ref="E705">INDIRECT(_xlfn.CONCAT("$L", $F705))</f>
        <v/>
      </c>
      <c r="F705" s="1">
        <f t="array" ref="F705">IF(NOT(OR(ISERROR(INDIRECT(_xlfn.CONCAT("$I", $F704 + 1))), ISBLANK(INDIRECT(_xlfn.CONCAT("$I", $F704 + 1))))), $F704 + 1, IF(NOT(ISBLANK(INDIRECT(_xlfn.CONCAT("$I", $F704 + 2)))), $F704 + 2, ""))</f>
        <v/>
      </c>
    </row>
    <row r="706" ht="81" customHeight="1" s="6">
      <c r="A706" s="1">
        <f t="array" ref="A706">INDIRECT(_xlfn.CONCAT("$I", $F706))</f>
        <v/>
      </c>
      <c r="B706" s="1">
        <f t="array" ref="B706">INDIRECT(_xlfn.CONCAT("$J", $F706))</f>
        <v/>
      </c>
      <c r="C706" s="1">
        <f t="array" ref="C706">INDIRECT(_xlfn.CONCAT("$K", $F706))</f>
        <v/>
      </c>
      <c r="D706" s="1" t="n"/>
      <c r="E706" s="1">
        <f t="array" ref="E706">INDIRECT(_xlfn.CONCAT("$L", $F706))</f>
        <v/>
      </c>
      <c r="F706" s="1">
        <f t="array" ref="F706">IF(NOT(OR(ISERROR(INDIRECT(_xlfn.CONCAT("$I", $F705 + 1))), ISBLANK(INDIRECT(_xlfn.CONCAT("$I", $F705 + 1))))), $F705 + 1, IF(NOT(ISBLANK(INDIRECT(_xlfn.CONCAT("$I", $F705 + 2)))), $F705 + 2, ""))</f>
        <v/>
      </c>
      <c r="I706" s="8" t="inlineStr">
        <is>
          <t>Zendikar Rising Substitute Cards SZNR</t>
        </is>
      </c>
      <c r="J706" s="8" t="n">
        <v>9</v>
      </c>
      <c r="K706" s="9" t="n">
        <v>44099</v>
      </c>
      <c r="L706" s="8" t="inlineStr">
        <is>
          <t>en es fr de it pt ja ko ru 汉语 漢語</t>
        </is>
      </c>
    </row>
    <row r="707" ht="57.75" customHeight="1" s="6">
      <c r="A707" s="1">
        <f t="array" ref="A707">INDIRECT(_xlfn.CONCAT("$I", $F707))</f>
        <v/>
      </c>
      <c r="B707" s="1">
        <f t="array" ref="B707">INDIRECT(_xlfn.CONCAT("$J", $F707))</f>
        <v/>
      </c>
      <c r="C707" s="1">
        <f t="array" ref="C707">INDIRECT(_xlfn.CONCAT("$K", $F707))</f>
        <v/>
      </c>
      <c r="D707" s="1" t="n"/>
      <c r="E707" s="1">
        <f t="array" ref="E707">INDIRECT(_xlfn.CONCAT("$L", $F707))</f>
        <v/>
      </c>
      <c r="F707" s="1">
        <f t="array" ref="F707">IF(NOT(OR(ISERROR(INDIRECT(_xlfn.CONCAT("$I", $F706 + 1))), ISBLANK(INDIRECT(_xlfn.CONCAT("$I", $F706 + 1))))), $F706 + 1, IF(NOT(ISBLANK(INDIRECT(_xlfn.CONCAT("$I", $F706 + 2)))), $F706 + 2, ""))</f>
        <v/>
      </c>
    </row>
    <row r="708" ht="57.75" customHeight="1" s="6">
      <c r="A708" s="1">
        <f t="array" ref="A708">INDIRECT(_xlfn.CONCAT("$I", $F708))</f>
        <v/>
      </c>
      <c r="B708" s="1">
        <f t="array" ref="B708">INDIRECT(_xlfn.CONCAT("$J", $F708))</f>
        <v/>
      </c>
      <c r="C708" s="1">
        <f t="array" ref="C708">INDIRECT(_xlfn.CONCAT("$K", $F708))</f>
        <v/>
      </c>
      <c r="D708" s="1" t="n"/>
      <c r="E708" s="1">
        <f t="array" ref="E708">INDIRECT(_xlfn.CONCAT("$L", $F708))</f>
        <v/>
      </c>
      <c r="F708" s="1">
        <f t="array" ref="F708">IF(NOT(OR(ISERROR(INDIRECT(_xlfn.CONCAT("$I", $F707 + 1))), ISBLANK(INDIRECT(_xlfn.CONCAT("$I", $F707 + 1))))), $F707 + 1, IF(NOT(ISBLANK(INDIRECT(_xlfn.CONCAT("$I", $F707 + 2)))), $F707 + 2, ""))</f>
        <v/>
      </c>
      <c r="I708" s="8" t="inlineStr">
        <is>
          <t>Live the Dream LIVETHEDREAM</t>
        </is>
      </c>
      <c r="J708" s="8" t="n">
        <v>540</v>
      </c>
      <c r="K708" s="9" t="n">
        <v>44083</v>
      </c>
    </row>
    <row r="709" ht="57.75" customHeight="1" s="6">
      <c r="A709" s="1">
        <f t="array" ref="A709">INDIRECT(_xlfn.CONCAT("$I", $F709))</f>
        <v/>
      </c>
      <c r="B709" s="1">
        <f t="array" ref="B709">INDIRECT(_xlfn.CONCAT("$J", $F709))</f>
        <v/>
      </c>
      <c r="C709" s="1">
        <f t="array" ref="C709">INDIRECT(_xlfn.CONCAT("$K", $F709))</f>
        <v/>
      </c>
      <c r="D709" s="1" t="n"/>
      <c r="E709" s="1">
        <f t="array" ref="E709">INDIRECT(_xlfn.CONCAT("$L", $F709))</f>
        <v/>
      </c>
      <c r="F709" s="1">
        <f t="array" ref="F709">IF(NOT(OR(ISERROR(INDIRECT(_xlfn.CONCAT("$I", $F708 + 1))), ISBLANK(INDIRECT(_xlfn.CONCAT("$I", $F708 + 1))))), $F708 + 1, IF(NOT(ISBLANK(INDIRECT(_xlfn.CONCAT("$I", $F708 + 2)))), $F708 + 2, ""))</f>
        <v/>
      </c>
    </row>
    <row r="710" ht="68.25" customHeight="1" s="6">
      <c r="A710" s="1">
        <f t="array" ref="A710">INDIRECT(_xlfn.CONCAT("$I", $F710))</f>
        <v/>
      </c>
      <c r="B710" s="1">
        <f t="array" ref="B710">INDIRECT(_xlfn.CONCAT("$J", $F710))</f>
        <v/>
      </c>
      <c r="C710" s="1">
        <f t="array" ref="C710">INDIRECT(_xlfn.CONCAT("$K", $F710))</f>
        <v/>
      </c>
      <c r="D710" s="1" t="n"/>
      <c r="E710" s="1">
        <f t="array" ref="E710">INDIRECT(_xlfn.CONCAT("$L", $F710))</f>
        <v/>
      </c>
      <c r="F710" s="1">
        <f t="array" ref="F710">IF(NOT(OR(ISERROR(INDIRECT(_xlfn.CONCAT("$I", $F709 + 1))), ISBLANK(INDIRECT(_xlfn.CONCAT("$I", $F709 + 1))))), $F709 + 1, IF(NOT(ISBLANK(INDIRECT(_xlfn.CONCAT("$I", $F709 + 2)))), $F709 + 2, ""))</f>
        <v/>
      </c>
      <c r="I710" s="8" t="inlineStr">
        <is>
          <t>Tinkerer's Cube TINKERER</t>
        </is>
      </c>
      <c r="J710" s="8" t="n">
        <v>540</v>
      </c>
      <c r="K710" s="9" t="n">
        <v>44077</v>
      </c>
    </row>
    <row r="711" ht="81" customHeight="1" s="6">
      <c r="A711" s="1">
        <f t="array" ref="A711">INDIRECT(_xlfn.CONCAT("$I", $F711))</f>
        <v/>
      </c>
      <c r="B711" s="1">
        <f t="array" ref="B711">INDIRECT(_xlfn.CONCAT("$J", $F711))</f>
        <v/>
      </c>
      <c r="C711" s="1">
        <f t="array" ref="C711">INDIRECT(_xlfn.CONCAT("$K", $F711))</f>
        <v/>
      </c>
      <c r="D711" s="1" t="n"/>
      <c r="E711" s="1">
        <f t="array" ref="E711">INDIRECT(_xlfn.CONCAT("$L", $F711))</f>
        <v/>
      </c>
      <c r="F711" s="1">
        <f t="array" ref="F711">IF(NOT(OR(ISERROR(INDIRECT(_xlfn.CONCAT("$I", $F710 + 1))), ISBLANK(INDIRECT(_xlfn.CONCAT("$I", $F710 + 1))))), $F710 + 1, IF(NOT(ISBLANK(INDIRECT(_xlfn.CONCAT("$I", $F710 + 2)))), $F710 + 2, ""))</f>
        <v/>
      </c>
    </row>
    <row r="712" ht="57.75" customHeight="1" s="6">
      <c r="A712" s="1">
        <f t="array" ref="A712">INDIRECT(_xlfn.CONCAT("$I", $F712))</f>
        <v/>
      </c>
      <c r="B712" s="1">
        <f t="array" ref="B712">INDIRECT(_xlfn.CONCAT("$J", $F712))</f>
        <v/>
      </c>
      <c r="C712" s="1">
        <f t="array" ref="C712">INDIRECT(_xlfn.CONCAT("$K", $F712))</f>
        <v/>
      </c>
      <c r="D712" s="1" t="n"/>
      <c r="E712" s="1">
        <f t="array" ref="E712">INDIRECT(_xlfn.CONCAT("$L", $F712))</f>
        <v/>
      </c>
      <c r="F712" s="1">
        <f t="array" ref="F712">IF(NOT(OR(ISERROR(INDIRECT(_xlfn.CONCAT("$I", $F711 + 1))), ISBLANK(INDIRECT(_xlfn.CONCAT("$I", $F711 + 1))))), $F711 + 1, IF(NOT(ISBLANK(INDIRECT(_xlfn.CONCAT("$I", $F711 + 2)))), $F711 + 2, ""))</f>
        <v/>
      </c>
      <c r="I712" s="8" t="inlineStr">
        <is>
          <t>Amonkhet Remastered AKR</t>
        </is>
      </c>
      <c r="J712" s="8" t="n">
        <v>339</v>
      </c>
      <c r="K712" s="9" t="n">
        <v>44056</v>
      </c>
      <c r="L712" s="8" t="inlineStr">
        <is>
          <t>en es fr de it pt ja ko ru 汉语 漢語</t>
        </is>
      </c>
    </row>
    <row r="713" ht="57.75" customHeight="1" s="6">
      <c r="A713" s="1">
        <f t="array" ref="A713">INDIRECT(_xlfn.CONCAT("$I", $F713))</f>
        <v/>
      </c>
      <c r="B713" s="1">
        <f t="array" ref="B713">INDIRECT(_xlfn.CONCAT("$J", $F713))</f>
        <v/>
      </c>
      <c r="C713" s="1">
        <f t="array" ref="C713">INDIRECT(_xlfn.CONCAT("$K", $F713))</f>
        <v/>
      </c>
      <c r="D713" s="1" t="n"/>
      <c r="E713" s="1">
        <f t="array" ref="E713">INDIRECT(_xlfn.CONCAT("$L", $F713))</f>
        <v/>
      </c>
      <c r="F713" s="1">
        <f t="array" ref="F713">IF(NOT(OR(ISERROR(INDIRECT(_xlfn.CONCAT("$I", $F712 + 1))), ISBLANK(INDIRECT(_xlfn.CONCAT("$I", $F712 + 1))))), $F712 + 1, IF(NOT(ISBLANK(INDIRECT(_xlfn.CONCAT("$I", $F712 + 2)))), $F712 + 2, ""))</f>
        <v/>
      </c>
    </row>
    <row r="714" ht="57.75" customHeight="1" s="6">
      <c r="A714" s="1">
        <f t="array" ref="A714">INDIRECT(_xlfn.CONCAT("$I", $F714))</f>
        <v/>
      </c>
      <c r="B714" s="1">
        <f t="array" ref="B714">INDIRECT(_xlfn.CONCAT("$J", $F714))</f>
        <v/>
      </c>
      <c r="C714" s="1">
        <f t="array" ref="C714">INDIRECT(_xlfn.CONCAT("$K", $F714))</f>
        <v/>
      </c>
      <c r="D714" s="1" t="n"/>
      <c r="E714" s="1">
        <f t="array" ref="E714">INDIRECT(_xlfn.CONCAT("$L", $F714))</f>
        <v/>
      </c>
      <c r="F714" s="1">
        <f t="array" ref="F714">IF(NOT(OR(ISERROR(INDIRECT(_xlfn.CONCAT("$I", $F713 + 1))), ISBLANK(INDIRECT(_xlfn.CONCAT("$I", $F713 + 1))))), $F713 + 1, IF(NOT(ISBLANK(INDIRECT(_xlfn.CONCAT("$I", $F713 + 2)))), $F713 + 2, ""))</f>
        <v/>
      </c>
      <c r="I714" s="8" t="inlineStr">
        <is>
          <t>Arena Beginner Set ANB</t>
        </is>
      </c>
      <c r="J714" s="8" t="n">
        <v>120</v>
      </c>
      <c r="K714" s="9" t="n">
        <v>44056</v>
      </c>
      <c r="L714" s="8" t="inlineStr">
        <is>
          <t>en es fr de it pt ja ko ru 汉语 漢語</t>
        </is>
      </c>
    </row>
    <row r="715" ht="57.75" customHeight="1" s="6">
      <c r="A715" s="1">
        <f t="array" ref="A715">INDIRECT(_xlfn.CONCAT("$I", $F715))</f>
        <v/>
      </c>
      <c r="B715" s="1">
        <f t="array" ref="B715">INDIRECT(_xlfn.CONCAT("$J", $F715))</f>
        <v/>
      </c>
      <c r="C715" s="1">
        <f t="array" ref="C715">INDIRECT(_xlfn.CONCAT("$K", $F715))</f>
        <v/>
      </c>
      <c r="D715" s="1" t="n"/>
      <c r="E715" s="1">
        <f t="array" ref="E715">INDIRECT(_xlfn.CONCAT("$L", $F715))</f>
        <v/>
      </c>
      <c r="F715" s="1">
        <f t="array" ref="F715">IF(NOT(OR(ISERROR(INDIRECT(_xlfn.CONCAT("$I", $F714 + 1))), ISBLANK(INDIRECT(_xlfn.CONCAT("$I", $F714 + 1))))), $F714 + 1, IF(NOT(ISBLANK(INDIRECT(_xlfn.CONCAT("$I", $F714 + 2)))), $F714 + 2, ""))</f>
        <v/>
      </c>
    </row>
    <row r="716" ht="68.25" customHeight="1" s="6">
      <c r="A716" s="1">
        <f t="array" ref="A716">INDIRECT(_xlfn.CONCAT("$I", $F716))</f>
        <v/>
      </c>
      <c r="B716" s="1">
        <f t="array" ref="B716">INDIRECT(_xlfn.CONCAT("$J", $F716))</f>
        <v/>
      </c>
      <c r="C716" s="1">
        <f t="array" ref="C716">INDIRECT(_xlfn.CONCAT("$K", $F716))</f>
        <v/>
      </c>
      <c r="D716" s="1" t="n"/>
      <c r="E716" s="1">
        <f t="array" ref="E716">INDIRECT(_xlfn.CONCAT("$L", $F716))</f>
        <v/>
      </c>
      <c r="F716" s="1">
        <f t="array" ref="F716">IF(NOT(OR(ISERROR(INDIRECT(_xlfn.CONCAT("$I", $F715 + 1))), ISBLANK(INDIRECT(_xlfn.CONCAT("$I", $F715 + 1))))), $F715 + 1, IF(NOT(ISBLANK(INDIRECT(_xlfn.CONCAT("$I", $F715 + 2)))), $F715 + 2, ""))</f>
        <v/>
      </c>
      <c r="I716" s="8" t="inlineStr">
        <is>
          <t>Double Masters 2XM</t>
        </is>
      </c>
      <c r="J716" s="8" t="n">
        <v>384</v>
      </c>
      <c r="K716" s="9" t="n">
        <v>44050</v>
      </c>
      <c r="L716" t="inlineStr">
        <is>
          <t>en es fr de it pt ja ko ru 汉语 漢語</t>
        </is>
      </c>
    </row>
    <row r="717" ht="57.75" customHeight="1" s="6">
      <c r="A717" s="1">
        <f t="array" ref="A717">INDIRECT(_xlfn.CONCAT("$I", $F717))</f>
        <v/>
      </c>
      <c r="B717" s="1">
        <f t="array" ref="B717">INDIRECT(_xlfn.CONCAT("$J", $F717))</f>
        <v/>
      </c>
      <c r="C717" s="1">
        <f t="array" ref="C717">INDIRECT(_xlfn.CONCAT("$K", $F717))</f>
        <v/>
      </c>
      <c r="D717" s="1" t="n"/>
      <c r="E717" s="1">
        <f t="array" ref="E717">INDIRECT(_xlfn.CONCAT("$L", $F717))</f>
        <v/>
      </c>
      <c r="F717" s="1">
        <f t="array" ref="F717">IF(NOT(OR(ISERROR(INDIRECT(_xlfn.CONCAT("$I", $F716 + 1))), ISBLANK(INDIRECT(_xlfn.CONCAT("$I", $F716 + 1))))), $F716 + 1, IF(NOT(ISBLANK(INDIRECT(_xlfn.CONCAT("$I", $F716 + 2)))), $F716 + 2, ""))</f>
        <v/>
      </c>
    </row>
    <row r="718" ht="57.75" customHeight="1" s="6">
      <c r="A718" s="1">
        <f t="array" ref="A718">INDIRECT(_xlfn.CONCAT("$I", $F718))</f>
        <v/>
      </c>
      <c r="B718" s="1">
        <f t="array" ref="B718">INDIRECT(_xlfn.CONCAT("$J", $F718))</f>
        <v/>
      </c>
      <c r="C718" s="1">
        <f t="array" ref="C718">INDIRECT(_xlfn.CONCAT("$K", $F718))</f>
        <v/>
      </c>
      <c r="D718" s="1" t="n"/>
      <c r="E718" s="1">
        <f t="array" ref="E718">INDIRECT(_xlfn.CONCAT("$L", $F718))</f>
        <v/>
      </c>
      <c r="F718" s="1">
        <f t="array" ref="F718">IF(NOT(OR(ISERROR(INDIRECT(_xlfn.CONCAT("$I", $F717 + 1))), ISBLANK(INDIRECT(_xlfn.CONCAT("$I", $F717 + 1))))), $F717 + 1, IF(NOT(ISBLANK(INDIRECT(_xlfn.CONCAT("$I", $F717 + 2)))), $F717 + 2, ""))</f>
        <v/>
      </c>
      <c r="I718" s="8" t="inlineStr">
        <is>
          <t>Double Masters Tokens T2XM</t>
        </is>
      </c>
      <c r="J718" s="8" t="n">
        <v>31</v>
      </c>
      <c r="K718" s="9" t="n">
        <v>44050</v>
      </c>
      <c r="L718" s="8" t="inlineStr">
        <is>
          <t>en es fr de it pt ja ko ru 汉语 漢語</t>
        </is>
      </c>
    </row>
    <row r="719" ht="57.75" customHeight="1" s="6">
      <c r="A719" s="1">
        <f t="array" ref="A719">INDIRECT(_xlfn.CONCAT("$I", $F719))</f>
        <v/>
      </c>
      <c r="B719" s="1">
        <f t="array" ref="B719">INDIRECT(_xlfn.CONCAT("$J", $F719))</f>
        <v/>
      </c>
      <c r="C719" s="1">
        <f t="array" ref="C719">INDIRECT(_xlfn.CONCAT("$K", $F719))</f>
        <v/>
      </c>
      <c r="D719" s="1" t="n"/>
      <c r="E719" s="1">
        <f t="array" ref="E719">INDIRECT(_xlfn.CONCAT("$L", $F719))</f>
        <v/>
      </c>
      <c r="F719" s="1">
        <f t="array" ref="F719">IF(NOT(OR(ISERROR(INDIRECT(_xlfn.CONCAT("$I", $F718 + 1))), ISBLANK(INDIRECT(_xlfn.CONCAT("$I", $F718 + 1))))), $F718 + 1, IF(NOT(ISBLANK(INDIRECT(_xlfn.CONCAT("$I", $F718 + 2)))), $F718 + 2, ""))</f>
        <v/>
      </c>
    </row>
    <row r="720" ht="68.25" customHeight="1" s="6">
      <c r="A720" s="1">
        <f t="array" ref="A720">INDIRECT(_xlfn.CONCAT("$I", $F720))</f>
        <v/>
      </c>
      <c r="B720" s="1">
        <f t="array" ref="B720">INDIRECT(_xlfn.CONCAT("$J", $F720))</f>
        <v/>
      </c>
      <c r="C720" s="1">
        <f t="array" ref="C720">INDIRECT(_xlfn.CONCAT("$K", $F720))</f>
        <v/>
      </c>
      <c r="D720" s="1" t="n"/>
      <c r="E720" s="1">
        <f t="array" ref="E720">INDIRECT(_xlfn.CONCAT("$L", $F720))</f>
        <v/>
      </c>
      <c r="F720" s="1">
        <f t="array" ref="F720">IF(NOT(OR(ISERROR(INDIRECT(_xlfn.CONCAT("$I", $F719 + 1))), ISBLANK(INDIRECT(_xlfn.CONCAT("$I", $F719 + 1))))), $F719 + 1, IF(NOT(ISBLANK(INDIRECT(_xlfn.CONCAT("$I", $F719 + 2)))), $F719 + 2, ""))</f>
        <v/>
      </c>
      <c r="I720" s="8" t="inlineStr">
        <is>
          <t>2019 Heroes of the Realm PH19</t>
        </is>
      </c>
      <c r="J720" s="8" t="n">
        <v>7</v>
      </c>
      <c r="K720" s="9" t="n">
        <v>44044</v>
      </c>
      <c r="L720" s="8" t="inlineStr">
        <is>
          <t>en es fr de it pt ja ko ru 汉语 漢語</t>
        </is>
      </c>
    </row>
    <row r="721" ht="94.5" customHeight="1" s="6">
      <c r="A721" s="1">
        <f t="array" ref="A721">INDIRECT(_xlfn.CONCAT("$I", $F721))</f>
        <v/>
      </c>
      <c r="B721" s="1">
        <f t="array" ref="B721">INDIRECT(_xlfn.CONCAT("$J", $F721))</f>
        <v/>
      </c>
      <c r="C721" s="1">
        <f t="array" ref="C721">INDIRECT(_xlfn.CONCAT("$K", $F721))</f>
        <v/>
      </c>
      <c r="D721" s="1" t="n"/>
      <c r="E721" s="1">
        <f t="array" ref="E721">INDIRECT(_xlfn.CONCAT("$L", $F721))</f>
        <v/>
      </c>
      <c r="F721" s="1">
        <f t="array" ref="F721">IF(NOT(OR(ISERROR(INDIRECT(_xlfn.CONCAT("$I", $F720 + 1))), ISBLANK(INDIRECT(_xlfn.CONCAT("$I", $F720 + 1))))), $F720 + 1, IF(NOT(ISBLANK(INDIRECT(_xlfn.CONCAT("$I", $F720 + 2)))), $F720 + 2, ""))</f>
        <v/>
      </c>
    </row>
    <row r="722" ht="57.75" customHeight="1" s="6">
      <c r="A722" s="1">
        <f t="array" ref="A722">INDIRECT(_xlfn.CONCAT("$I", $F722))</f>
        <v/>
      </c>
      <c r="B722" s="1">
        <f t="array" ref="B722">INDIRECT(_xlfn.CONCAT("$J", $F722))</f>
        <v/>
      </c>
      <c r="C722" s="1">
        <f t="array" ref="C722">INDIRECT(_xlfn.CONCAT("$K", $F722))</f>
        <v/>
      </c>
      <c r="D722" s="1" t="n"/>
      <c r="E722" s="1">
        <f t="array" ref="E722">INDIRECT(_xlfn.CONCAT("$L", $F722))</f>
        <v/>
      </c>
      <c r="F722" s="1">
        <f t="array" ref="F722">IF(NOT(OR(ISERROR(INDIRECT(_xlfn.CONCAT("$I", $F721 + 1))), ISBLANK(INDIRECT(_xlfn.CONCAT("$I", $F721 + 1))))), $F721 + 1, IF(NOT(ISBLANK(INDIRECT(_xlfn.CONCAT("$I", $F721 + 2)))), $F721 + 2, ""))</f>
        <v/>
      </c>
      <c r="I722" s="8" t="inlineStr">
        <is>
          <t>Jumpstart JMP</t>
        </is>
      </c>
      <c r="J722" s="8" t="n">
        <v>497</v>
      </c>
      <c r="K722" s="9" t="n">
        <v>44029</v>
      </c>
      <c r="L722" s="8" t="inlineStr">
        <is>
          <t>en es fr de it pt ja ko ru 汉语 漢語</t>
        </is>
      </c>
    </row>
    <row r="723" ht="57.75" customHeight="1" s="6">
      <c r="A723" s="1">
        <f t="array" ref="A723">INDIRECT(_xlfn.CONCAT("$I", $F723))</f>
        <v/>
      </c>
      <c r="B723" s="1">
        <f t="array" ref="B723">INDIRECT(_xlfn.CONCAT("$J", $F723))</f>
        <v/>
      </c>
      <c r="C723" s="1">
        <f t="array" ref="C723">INDIRECT(_xlfn.CONCAT("$K", $F723))</f>
        <v/>
      </c>
      <c r="D723" s="1" t="n"/>
      <c r="E723" s="1">
        <f t="array" ref="E723">INDIRECT(_xlfn.CONCAT("$L", $F723))</f>
        <v/>
      </c>
      <c r="F723" s="1">
        <f t="array" ref="F723">IF(NOT(OR(ISERROR(INDIRECT(_xlfn.CONCAT("$I", $F722 + 1))), ISBLANK(INDIRECT(_xlfn.CONCAT("$I", $F722 + 1))))), $F722 + 1, IF(NOT(ISBLANK(INDIRECT(_xlfn.CONCAT("$I", $F722 + 2)))), $F722 + 2, ""))</f>
        <v/>
      </c>
    </row>
    <row r="724" ht="57.75" customHeight="1" s="6">
      <c r="A724" s="1">
        <f t="array" ref="A724">INDIRECT(_xlfn.CONCAT("$I", $F724))</f>
        <v/>
      </c>
      <c r="B724" s="1">
        <f t="array" ref="B724">INDIRECT(_xlfn.CONCAT("$J", $F724))</f>
        <v/>
      </c>
      <c r="C724" s="1">
        <f t="array" ref="C724">INDIRECT(_xlfn.CONCAT("$K", $F724))</f>
        <v/>
      </c>
      <c r="D724" s="1" t="n"/>
      <c r="E724" s="1">
        <f t="array" ref="E724">INDIRECT(_xlfn.CONCAT("$L", $F724))</f>
        <v/>
      </c>
      <c r="F724" s="1">
        <f t="array" ref="F724">IF(NOT(OR(ISERROR(INDIRECT(_xlfn.CONCAT("$I", $F723 + 1))), ISBLANK(INDIRECT(_xlfn.CONCAT("$I", $F723 + 1))))), $F723 + 1, IF(NOT(ISBLANK(INDIRECT(_xlfn.CONCAT("$I", $F723 + 2)))), $F723 + 2, ""))</f>
        <v/>
      </c>
      <c r="I724" s="8" t="inlineStr">
        <is>
          <t>Jumpstart Arena Exclusives AJMP</t>
        </is>
      </c>
      <c r="J724" s="8" t="n">
        <v>18</v>
      </c>
      <c r="K724" s="9" t="n">
        <v>44029</v>
      </c>
      <c r="L724" s="8" t="inlineStr">
        <is>
          <t>en es fr de it pt ja ko ru 汉语 漢語</t>
        </is>
      </c>
    </row>
    <row r="725" ht="57.75" customHeight="1" s="6">
      <c r="A725" s="1">
        <f t="array" ref="A725">INDIRECT(_xlfn.CONCAT("$I", $F725))</f>
        <v/>
      </c>
      <c r="B725" s="1">
        <f t="array" ref="B725">INDIRECT(_xlfn.CONCAT("$J", $F725))</f>
        <v/>
      </c>
      <c r="C725" s="1">
        <f t="array" ref="C725">INDIRECT(_xlfn.CONCAT("$K", $F725))</f>
        <v/>
      </c>
      <c r="D725" s="1" t="n"/>
      <c r="E725" s="1">
        <f t="array" ref="E725">INDIRECT(_xlfn.CONCAT("$L", $F725))</f>
        <v/>
      </c>
      <c r="F725" s="1">
        <f t="array" ref="F725">IF(NOT(OR(ISERROR(INDIRECT(_xlfn.CONCAT("$I", $F724 + 1))), ISBLANK(INDIRECT(_xlfn.CONCAT("$I", $F724 + 1))))), $F724 + 1, IF(NOT(ISBLANK(INDIRECT(_xlfn.CONCAT("$I", $F724 + 2)))), $F724 + 2, ""))</f>
        <v/>
      </c>
    </row>
    <row r="726" ht="57.75" customHeight="1" s="6">
      <c r="A726" s="1">
        <f t="array" ref="A726">INDIRECT(_xlfn.CONCAT("$I", $F726))</f>
        <v/>
      </c>
      <c r="B726" s="1">
        <f t="array" ref="B726">INDIRECT(_xlfn.CONCAT("$J", $F726))</f>
        <v/>
      </c>
      <c r="C726" s="1">
        <f t="array" ref="C726">INDIRECT(_xlfn.CONCAT("$K", $F726))</f>
        <v/>
      </c>
      <c r="D726" s="1" t="n"/>
      <c r="E726" s="1">
        <f t="array" ref="E726">INDIRECT(_xlfn.CONCAT("$L", $F726))</f>
        <v/>
      </c>
      <c r="F726" s="1">
        <f t="array" ref="F726">IF(NOT(OR(ISERROR(INDIRECT(_xlfn.CONCAT("$I", $F725 + 1))), ISBLANK(INDIRECT(_xlfn.CONCAT("$I", $F725 + 1))))), $F725 + 1, IF(NOT(ISBLANK(INDIRECT(_xlfn.CONCAT("$I", $F725 + 2)))), $F725 + 2, ""))</f>
        <v/>
      </c>
      <c r="I726" s="8" t="inlineStr">
        <is>
          <t>Jumpstart Front Cards FJMP</t>
        </is>
      </c>
      <c r="J726" s="8" t="n">
        <v>46</v>
      </c>
      <c r="K726" s="9" t="n">
        <v>44000</v>
      </c>
      <c r="L726" s="8" t="inlineStr">
        <is>
          <t>en es fr de it pt ja ko ru 汉语 漢語</t>
        </is>
      </c>
    </row>
    <row r="727" ht="68.25" customHeight="1" s="6">
      <c r="A727" s="1">
        <f t="array" ref="A727">INDIRECT(_xlfn.CONCAT("$I", $F727))</f>
        <v/>
      </c>
      <c r="B727" s="1">
        <f t="array" ref="B727">INDIRECT(_xlfn.CONCAT("$J", $F727))</f>
        <v/>
      </c>
      <c r="C727" s="1">
        <f t="array" ref="C727">INDIRECT(_xlfn.CONCAT("$K", $F727))</f>
        <v/>
      </c>
      <c r="D727" s="1" t="n"/>
      <c r="E727" s="1">
        <f t="array" ref="E727">INDIRECT(_xlfn.CONCAT("$L", $F727))</f>
        <v/>
      </c>
      <c r="F727" s="1">
        <f t="array" ref="F727">IF(NOT(OR(ISERROR(INDIRECT(_xlfn.CONCAT("$I", $F726 + 1))), ISBLANK(INDIRECT(_xlfn.CONCAT("$I", $F726 + 1))))), $F726 + 1, IF(NOT(ISBLANK(INDIRECT(_xlfn.CONCAT("$I", $F726 + 2)))), $F726 + 2, ""))</f>
        <v/>
      </c>
    </row>
    <row r="728" ht="57.75" customHeight="1" s="6">
      <c r="A728" s="1">
        <f t="array" ref="A728">INDIRECT(_xlfn.CONCAT("$I", $F728))</f>
        <v/>
      </c>
      <c r="B728" s="1">
        <f t="array" ref="B728">INDIRECT(_xlfn.CONCAT("$J", $F728))</f>
        <v/>
      </c>
      <c r="C728" s="1">
        <f t="array" ref="C728">INDIRECT(_xlfn.CONCAT("$K", $F728))</f>
        <v/>
      </c>
      <c r="D728" s="1" t="n"/>
      <c r="E728" s="1">
        <f t="array" ref="E728">INDIRECT(_xlfn.CONCAT("$L", $F728))</f>
        <v/>
      </c>
      <c r="F728" s="1">
        <f t="array" ref="F728">IF(NOT(OR(ISERROR(INDIRECT(_xlfn.CONCAT("$I", $F727 + 1))), ISBLANK(INDIRECT(_xlfn.CONCAT("$I", $F727 + 1))))), $F727 + 1, IF(NOT(ISBLANK(INDIRECT(_xlfn.CONCAT("$I", $F727 + 2)))), $F727 + 2, ""))</f>
        <v/>
      </c>
      <c r="I728" s="8" t="inlineStr">
        <is>
          <t>Core Set 2021 M21</t>
        </is>
      </c>
      <c r="J728" s="8" t="n">
        <v>397</v>
      </c>
      <c r="K728" s="9" t="n">
        <v>44015</v>
      </c>
      <c r="L728" t="inlineStr">
        <is>
          <t>en es fr de it pt ja ko ru 汉语 漢語</t>
        </is>
      </c>
    </row>
    <row r="729" ht="94.5" customHeight="1" s="6">
      <c r="A729" s="1">
        <f t="array" ref="A729">INDIRECT(_xlfn.CONCAT("$I", $F729))</f>
        <v/>
      </c>
      <c r="B729" s="1">
        <f t="array" ref="B729">INDIRECT(_xlfn.CONCAT("$J", $F729))</f>
        <v/>
      </c>
      <c r="C729" s="1">
        <f t="array" ref="C729">INDIRECT(_xlfn.CONCAT("$K", $F729))</f>
        <v/>
      </c>
      <c r="D729" s="1" t="n"/>
      <c r="E729" s="1">
        <f t="array" ref="E729">INDIRECT(_xlfn.CONCAT("$L", $F729))</f>
        <v/>
      </c>
      <c r="F729" s="1">
        <f t="array" ref="F729">IF(NOT(OR(ISERROR(INDIRECT(_xlfn.CONCAT("$I", $F728 + 1))), ISBLANK(INDIRECT(_xlfn.CONCAT("$I", $F728 + 1))))), $F728 + 1, IF(NOT(ISBLANK(INDIRECT(_xlfn.CONCAT("$I", $F728 + 2)))), $F728 + 2, ""))</f>
        <v/>
      </c>
    </row>
    <row r="730" ht="57.75" customHeight="1" s="6">
      <c r="A730" s="1">
        <f t="array" ref="A730">INDIRECT(_xlfn.CONCAT("$I", $F730))</f>
        <v/>
      </c>
      <c r="B730" s="1">
        <f t="array" ref="B730">INDIRECT(_xlfn.CONCAT("$J", $F730))</f>
        <v/>
      </c>
      <c r="C730" s="1">
        <f t="array" ref="C730">INDIRECT(_xlfn.CONCAT("$K", $F730))</f>
        <v/>
      </c>
      <c r="D730" s="1" t="n"/>
      <c r="E730" s="1">
        <f t="array" ref="E730">INDIRECT(_xlfn.CONCAT("$L", $F730))</f>
        <v/>
      </c>
      <c r="F730" s="1">
        <f t="array" ref="F730">IF(NOT(OR(ISERROR(INDIRECT(_xlfn.CONCAT("$I", $F729 + 1))), ISBLANK(INDIRECT(_xlfn.CONCAT("$I", $F729 + 1))))), $F729 + 1, IF(NOT(ISBLANK(INDIRECT(_xlfn.CONCAT("$I", $F729 + 2)))), $F729 + 2, ""))</f>
        <v/>
      </c>
      <c r="I730" s="8" t="inlineStr">
        <is>
          <t>Core Set 2021 Promos PM21</t>
        </is>
      </c>
      <c r="J730" s="8" t="n">
        <v>137</v>
      </c>
      <c r="K730" s="9" t="n">
        <v>44015</v>
      </c>
      <c r="L730" s="8" t="inlineStr">
        <is>
          <t>en es fr de it pt ja ko ru 汉语 漢語</t>
        </is>
      </c>
    </row>
    <row r="731" ht="57.75" customHeight="1" s="6">
      <c r="A731" s="1">
        <f t="array" ref="A731">INDIRECT(_xlfn.CONCAT("$I", $F731))</f>
        <v/>
      </c>
      <c r="B731" s="1">
        <f t="array" ref="B731">INDIRECT(_xlfn.CONCAT("$J", $F731))</f>
        <v/>
      </c>
      <c r="C731" s="1">
        <f t="array" ref="C731">INDIRECT(_xlfn.CONCAT("$K", $F731))</f>
        <v/>
      </c>
      <c r="D731" s="1" t="n"/>
      <c r="E731" s="1">
        <f t="array" ref="E731">INDIRECT(_xlfn.CONCAT("$L", $F731))</f>
        <v/>
      </c>
      <c r="F731" s="1">
        <f t="array" ref="F731">IF(NOT(OR(ISERROR(INDIRECT(_xlfn.CONCAT("$I", $F730 + 1))), ISBLANK(INDIRECT(_xlfn.CONCAT("$I", $F730 + 1))))), $F730 + 1, IF(NOT(ISBLANK(INDIRECT(_xlfn.CONCAT("$I", $F730 + 2)))), $F730 + 2, ""))</f>
        <v/>
      </c>
    </row>
    <row r="732" ht="57.75" customHeight="1" s="6">
      <c r="A732" s="1">
        <f t="array" ref="A732">INDIRECT(_xlfn.CONCAT("$I", $F732))</f>
        <v/>
      </c>
      <c r="B732" s="1">
        <f t="array" ref="B732">INDIRECT(_xlfn.CONCAT("$J", $F732))</f>
        <v/>
      </c>
      <c r="C732" s="1">
        <f t="array" ref="C732">INDIRECT(_xlfn.CONCAT("$K", $F732))</f>
        <v/>
      </c>
      <c r="D732" s="1" t="n"/>
      <c r="E732" s="1">
        <f t="array" ref="E732">INDIRECT(_xlfn.CONCAT("$L", $F732))</f>
        <v/>
      </c>
      <c r="F732" s="1">
        <f t="array" ref="F732">IF(NOT(OR(ISERROR(INDIRECT(_xlfn.CONCAT("$I", $F731 + 1))), ISBLANK(INDIRECT(_xlfn.CONCAT("$I", $F731 + 1))))), $F731 + 1, IF(NOT(ISBLANK(INDIRECT(_xlfn.CONCAT("$I", $F731 + 2)))), $F731 + 2, ""))</f>
        <v/>
      </c>
      <c r="I732" s="8" t="inlineStr">
        <is>
          <t>Core Set 2021 Tokens TM21</t>
        </is>
      </c>
      <c r="J732" s="8" t="n">
        <v>20</v>
      </c>
      <c r="K732" s="9" t="n">
        <v>44015</v>
      </c>
      <c r="L732" s="8" t="inlineStr">
        <is>
          <t>en es fr de it pt ja ko ru 汉语 漢語</t>
        </is>
      </c>
    </row>
    <row r="733" ht="68.25" customHeight="1" s="6">
      <c r="A733" s="1">
        <f t="array" ref="A733">INDIRECT(_xlfn.CONCAT("$I", $F733))</f>
        <v/>
      </c>
      <c r="B733" s="1">
        <f t="array" ref="B733">INDIRECT(_xlfn.CONCAT("$J", $F733))</f>
        <v/>
      </c>
      <c r="C733" s="1">
        <f t="array" ref="C733">INDIRECT(_xlfn.CONCAT("$K", $F733))</f>
        <v/>
      </c>
      <c r="D733" s="1" t="n"/>
      <c r="E733" s="1">
        <f t="array" ref="E733">INDIRECT(_xlfn.CONCAT("$L", $F733))</f>
        <v/>
      </c>
      <c r="F733" s="1">
        <f t="array" ref="F733">IF(NOT(OR(ISERROR(INDIRECT(_xlfn.CONCAT("$I", $F732 + 1))), ISBLANK(INDIRECT(_xlfn.CONCAT("$I", $F732 + 1))))), $F732 + 1, IF(NOT(ISBLANK(INDIRECT(_xlfn.CONCAT("$I", $F732 + 2)))), $F732 + 2, ""))</f>
        <v/>
      </c>
    </row>
    <row r="734" ht="81" customHeight="1" s="6">
      <c r="A734" s="1">
        <f t="array" ref="A734">INDIRECT(_xlfn.CONCAT("$I", $F734))</f>
        <v/>
      </c>
      <c r="B734" s="1">
        <f t="array" ref="B734">INDIRECT(_xlfn.CONCAT("$J", $F734))</f>
        <v/>
      </c>
      <c r="C734" s="1">
        <f t="array" ref="C734">INDIRECT(_xlfn.CONCAT("$K", $F734))</f>
        <v/>
      </c>
      <c r="D734" s="1" t="n"/>
      <c r="E734" s="1">
        <f t="array" ref="E734">INDIRECT(_xlfn.CONCAT("$L", $F734))</f>
        <v/>
      </c>
      <c r="F734" s="1">
        <f t="array" ref="F734">IF(NOT(OR(ISERROR(INDIRECT(_xlfn.CONCAT("$I", $F733 + 1))), ISBLANK(INDIRECT(_xlfn.CONCAT("$I", $F733 + 1))))), $F733 + 1, IF(NOT(ISBLANK(INDIRECT(_xlfn.CONCAT("$I", $F733 + 2)))), $F733 + 2, ""))</f>
        <v/>
      </c>
      <c r="I734" s="8" t="inlineStr">
        <is>
          <t>Signature Spellbook: Chandra SS3</t>
        </is>
      </c>
      <c r="J734" s="8" t="n">
        <v>8</v>
      </c>
      <c r="K734" s="9" t="n">
        <v>44008</v>
      </c>
      <c r="L734" s="8" t="inlineStr">
        <is>
          <t>en es fr de it pt ja ko ru 汉语 漢語</t>
        </is>
      </c>
    </row>
    <row r="735" ht="57.75" customHeight="1" s="6">
      <c r="A735" s="1">
        <f t="array" ref="A735">INDIRECT(_xlfn.CONCAT("$I", $F735))</f>
        <v/>
      </c>
      <c r="B735" s="1">
        <f t="array" ref="B735">INDIRECT(_xlfn.CONCAT("$J", $F735))</f>
        <v/>
      </c>
      <c r="C735" s="1">
        <f t="array" ref="C735">INDIRECT(_xlfn.CONCAT("$K", $F735))</f>
        <v/>
      </c>
      <c r="D735" s="1" t="n"/>
      <c r="E735" s="1">
        <f t="array" ref="E735">INDIRECT(_xlfn.CONCAT("$L", $F735))</f>
        <v/>
      </c>
      <c r="F735" s="1">
        <f t="array" ref="F735">IF(NOT(OR(ISERROR(INDIRECT(_xlfn.CONCAT("$I", $F734 + 1))), ISBLANK(INDIRECT(_xlfn.CONCAT("$I", $F734 + 1))))), $F734 + 1, IF(NOT(ISBLANK(INDIRECT(_xlfn.CONCAT("$I", $F734 + 2)))), $F734 + 2, ""))</f>
        <v/>
      </c>
    </row>
    <row r="736" ht="57.75" customHeight="1" s="6">
      <c r="A736" s="1">
        <f t="array" ref="A736">INDIRECT(_xlfn.CONCAT("$I", $F736))</f>
        <v/>
      </c>
      <c r="B736" s="1">
        <f t="array" ref="B736">INDIRECT(_xlfn.CONCAT("$J", $F736))</f>
        <v/>
      </c>
      <c r="C736" s="1">
        <f t="array" ref="C736">INDIRECT(_xlfn.CONCAT("$K", $F736))</f>
        <v/>
      </c>
      <c r="D736" s="1" t="n"/>
      <c r="E736" s="1">
        <f t="array" ref="E736">INDIRECT(_xlfn.CONCAT("$L", $F736))</f>
        <v/>
      </c>
      <c r="F736" s="1">
        <f t="array" ref="F736">IF(NOT(OR(ISERROR(INDIRECT(_xlfn.CONCAT("$I", $F735 + 1))), ISBLANK(INDIRECT(_xlfn.CONCAT("$I", $F735 + 1))))), $F735 + 1, IF(NOT(ISBLANK(INDIRECT(_xlfn.CONCAT("$I", $F735 + 2)))), $F735 + 2, ""))</f>
        <v/>
      </c>
      <c r="I736" s="8" t="inlineStr">
        <is>
          <t>MTG Arena Cube ARENA</t>
        </is>
      </c>
      <c r="J736" s="8" t="n">
        <v>550</v>
      </c>
      <c r="K736" s="9" t="n">
        <v>43992</v>
      </c>
    </row>
    <row r="737" ht="57.75" customHeight="1" s="6">
      <c r="A737" s="1">
        <f t="array" ref="A737">INDIRECT(_xlfn.CONCAT("$I", $F737))</f>
        <v/>
      </c>
      <c r="B737" s="1">
        <f t="array" ref="B737">INDIRECT(_xlfn.CONCAT("$J", $F737))</f>
        <v/>
      </c>
      <c r="C737" s="1">
        <f t="array" ref="C737">INDIRECT(_xlfn.CONCAT("$K", $F737))</f>
        <v/>
      </c>
      <c r="D737" s="1" t="n"/>
      <c r="E737" s="1">
        <f t="array" ref="E737">INDIRECT(_xlfn.CONCAT("$L", $F737))</f>
        <v/>
      </c>
      <c r="F737" s="1">
        <f t="array" ref="F737">IF(NOT(OR(ISERROR(INDIRECT(_xlfn.CONCAT("$I", $F736 + 1))), ISBLANK(INDIRECT(_xlfn.CONCAT("$I", $F736 + 1))))), $F736 + 1, IF(NOT(ISBLANK(INDIRECT(_xlfn.CONCAT("$I", $F736 + 2)))), $F736 + 2, ""))</f>
        <v/>
      </c>
    </row>
    <row r="738" ht="57.75" customHeight="1" s="6">
      <c r="A738" s="1">
        <f t="array" ref="A738">INDIRECT(_xlfn.CONCAT("$I", $F738))</f>
        <v/>
      </c>
      <c r="B738" s="1">
        <f t="array" ref="B738">INDIRECT(_xlfn.CONCAT("$J", $F738))</f>
        <v/>
      </c>
      <c r="C738" s="1">
        <f t="array" ref="C738">INDIRECT(_xlfn.CONCAT("$K", $F738))</f>
        <v/>
      </c>
      <c r="D738" s="1" t="n"/>
      <c r="E738" s="1">
        <f t="array" ref="E738">INDIRECT(_xlfn.CONCAT("$L", $F738))</f>
        <v/>
      </c>
      <c r="F738" s="1">
        <f t="array" ref="F738">IF(NOT(OR(ISERROR(INDIRECT(_xlfn.CONCAT("$I", $F737 + 1))), ISBLANK(INDIRECT(_xlfn.CONCAT("$I", $F737 + 1))))), $F737 + 1, IF(NOT(ISBLANK(INDIRECT(_xlfn.CONCAT("$I", $F737 + 2)))), $F737 + 2, ""))</f>
        <v/>
      </c>
      <c r="I738" s="8" t="inlineStr">
        <is>
          <t>Historic Anthology 3 HA3</t>
        </is>
      </c>
      <c r="J738" s="8" t="n">
        <v>27</v>
      </c>
      <c r="K738" s="9" t="n">
        <v>43972</v>
      </c>
      <c r="L738" s="8" t="inlineStr">
        <is>
          <t>en es fr de it pt ja ko ru 汉语 漢語</t>
        </is>
      </c>
    </row>
    <row r="739" ht="57.75" customHeight="1" s="6">
      <c r="A739" s="1">
        <f t="array" ref="A739">INDIRECT(_xlfn.CONCAT("$I", $F739))</f>
        <v/>
      </c>
      <c r="B739" s="1">
        <f t="array" ref="B739">INDIRECT(_xlfn.CONCAT("$J", $F739))</f>
        <v/>
      </c>
      <c r="C739" s="1">
        <f t="array" ref="C739">INDIRECT(_xlfn.CONCAT("$K", $F739))</f>
        <v/>
      </c>
      <c r="D739" s="1" t="n"/>
      <c r="E739" s="1">
        <f t="array" ref="E739">INDIRECT(_xlfn.CONCAT("$L", $F739))</f>
        <v/>
      </c>
      <c r="F739" s="1">
        <f t="array" ref="F739">IF(NOT(OR(ISERROR(INDIRECT(_xlfn.CONCAT("$I", $F738 + 1))), ISBLANK(INDIRECT(_xlfn.CONCAT("$I", $F738 + 1))))), $F738 + 1, IF(NOT(ISBLANK(INDIRECT(_xlfn.CONCAT("$I", $F738 + 2)))), $F738 + 2, ""))</f>
        <v/>
      </c>
    </row>
    <row r="740" ht="68.25" customHeight="1" s="6">
      <c r="A740" s="1">
        <f t="array" ref="A740">INDIRECT(_xlfn.CONCAT("$I", $F740))</f>
        <v/>
      </c>
      <c r="B740" s="1">
        <f t="array" ref="B740">INDIRECT(_xlfn.CONCAT("$J", $F740))</f>
        <v/>
      </c>
      <c r="C740" s="1">
        <f t="array" ref="C740">INDIRECT(_xlfn.CONCAT("$K", $F740))</f>
        <v/>
      </c>
      <c r="D740" s="1" t="n"/>
      <c r="E740" s="1">
        <f t="array" ref="E740">INDIRECT(_xlfn.CONCAT("$L", $F740))</f>
        <v/>
      </c>
      <c r="F740" s="1">
        <f t="array" ref="F740">IF(NOT(OR(ISERROR(INDIRECT(_xlfn.CONCAT("$I", $F739 + 1))), ISBLANK(INDIRECT(_xlfn.CONCAT("$I", $F739 + 1))))), $F739 + 1, IF(NOT(ISBLANK(INDIRECT(_xlfn.CONCAT("$I", $F739 + 2)))), $F739 + 2, ""))</f>
        <v/>
      </c>
      <c r="I740" s="8" t="inlineStr">
        <is>
          <t>Love Your LGS 2020 PLG20</t>
        </is>
      </c>
      <c r="J740" s="8" t="n">
        <v>2</v>
      </c>
      <c r="K740" s="9" t="n">
        <v>43969</v>
      </c>
      <c r="L740" s="8" t="inlineStr">
        <is>
          <t>en es fr de it pt ja ko ru 汉语 漢語</t>
        </is>
      </c>
    </row>
    <row r="741" ht="81" customHeight="1" s="6">
      <c r="A741" s="1">
        <f t="array" ref="A741">INDIRECT(_xlfn.CONCAT("$I", $F741))</f>
        <v/>
      </c>
      <c r="B741" s="1">
        <f t="array" ref="B741">INDIRECT(_xlfn.CONCAT("$J", $F741))</f>
        <v/>
      </c>
      <c r="C741" s="1">
        <f t="array" ref="C741">INDIRECT(_xlfn.CONCAT("$K", $F741))</f>
        <v/>
      </c>
      <c r="D741" s="1" t="n"/>
      <c r="E741" s="1">
        <f t="array" ref="E741">INDIRECT(_xlfn.CONCAT("$L", $F741))</f>
        <v/>
      </c>
      <c r="F741" s="1">
        <f t="array" ref="F741">IF(NOT(OR(ISERROR(INDIRECT(_xlfn.CONCAT("$I", $F740 + 1))), ISBLANK(INDIRECT(_xlfn.CONCAT("$I", $F740 + 1))))), $F740 + 1, IF(NOT(ISBLANK(INDIRECT(_xlfn.CONCAT("$I", $F740 + 2)))), $F740 + 2, ""))</f>
        <v/>
      </c>
    </row>
    <row r="742" ht="57.75" customHeight="1" s="6">
      <c r="A742" s="1">
        <f t="array" ref="A742">INDIRECT(_xlfn.CONCAT("$I", $F742))</f>
        <v/>
      </c>
      <c r="B742" s="1">
        <f t="array" ref="B742">INDIRECT(_xlfn.CONCAT("$J", $F742))</f>
        <v/>
      </c>
      <c r="C742" s="1">
        <f t="array" ref="C742">INDIRECT(_xlfn.CONCAT("$K", $F742))</f>
        <v/>
      </c>
      <c r="D742" s="1" t="n"/>
      <c r="E742" s="1">
        <f t="array" ref="E742">INDIRECT(_xlfn.CONCAT("$L", $F742))</f>
        <v/>
      </c>
      <c r="F742" s="1">
        <f t="array" ref="F742">IF(NOT(OR(ISERROR(INDIRECT(_xlfn.CONCAT("$I", $F741 + 1))), ISBLANK(INDIRECT(_xlfn.CONCAT("$I", $F741 + 1))))), $F741 + 1, IF(NOT(ISBLANK(INDIRECT(_xlfn.CONCAT("$I", $F741 + 2)))), $F741 + 2, ""))</f>
        <v/>
      </c>
      <c r="I742" s="8" t="inlineStr">
        <is>
          <t>Ikoria: Lair of Behemoths IKO</t>
        </is>
      </c>
      <c r="J742" s="8" t="n">
        <v>390</v>
      </c>
      <c r="K742" s="9" t="n">
        <v>43945</v>
      </c>
      <c r="L742" t="inlineStr">
        <is>
          <t>en es fr de it pt ja ko ru 汉语 漢語</t>
        </is>
      </c>
    </row>
    <row r="743" ht="57.75" customHeight="1" s="6">
      <c r="A743" s="1">
        <f t="array" ref="A743">INDIRECT(_xlfn.CONCAT("$I", $F743))</f>
        <v/>
      </c>
      <c r="B743" s="1">
        <f t="array" ref="B743">INDIRECT(_xlfn.CONCAT("$J", $F743))</f>
        <v/>
      </c>
      <c r="C743" s="1">
        <f t="array" ref="C743">INDIRECT(_xlfn.CONCAT("$K", $F743))</f>
        <v/>
      </c>
      <c r="D743" s="1" t="n"/>
      <c r="E743" s="1">
        <f t="array" ref="E743">INDIRECT(_xlfn.CONCAT("$L", $F743))</f>
        <v/>
      </c>
      <c r="F743" s="1">
        <f t="array" ref="F743">IF(NOT(OR(ISERROR(INDIRECT(_xlfn.CONCAT("$I", $F742 + 1))), ISBLANK(INDIRECT(_xlfn.CONCAT("$I", $F742 + 1))))), $F742 + 1, IF(NOT(ISBLANK(INDIRECT(_xlfn.CONCAT("$I", $F742 + 2)))), $F742 + 2, ""))</f>
        <v/>
      </c>
    </row>
    <row r="744" ht="57.75" customHeight="1" s="6">
      <c r="A744" s="1">
        <f t="array" ref="A744">INDIRECT(_xlfn.CONCAT("$I", $F744))</f>
        <v/>
      </c>
      <c r="B744" s="1">
        <f t="array" ref="B744">INDIRECT(_xlfn.CONCAT("$J", $F744))</f>
        <v/>
      </c>
      <c r="C744" s="1">
        <f t="array" ref="C744">INDIRECT(_xlfn.CONCAT("$K", $F744))</f>
        <v/>
      </c>
      <c r="D744" s="1" t="n"/>
      <c r="E744" s="1">
        <f t="array" ref="E744">INDIRECT(_xlfn.CONCAT("$L", $F744))</f>
        <v/>
      </c>
      <c r="F744" s="1">
        <f t="array" ref="F744">IF(NOT(OR(ISERROR(INDIRECT(_xlfn.CONCAT("$I", $F743 + 1))), ISBLANK(INDIRECT(_xlfn.CONCAT("$I", $F743 + 1))))), $F743 + 1, IF(NOT(ISBLANK(INDIRECT(_xlfn.CONCAT("$I", $F743 + 2)))), $F743 + 2, ""))</f>
        <v/>
      </c>
      <c r="I744" s="8" t="inlineStr">
        <is>
          <t>Ikoria: Lair of Behemoths Promos PIKO</t>
        </is>
      </c>
      <c r="J744" s="8" t="n">
        <v>137</v>
      </c>
      <c r="K744" s="9" t="n">
        <v>43945</v>
      </c>
      <c r="L744" s="8" t="inlineStr">
        <is>
          <t>en es fr de it pt ja ko ru 汉语 漢語</t>
        </is>
      </c>
    </row>
    <row r="745" ht="57.75" customHeight="1" s="6">
      <c r="A745" s="1">
        <f t="array" ref="A745">INDIRECT(_xlfn.CONCAT("$I", $F745))</f>
        <v/>
      </c>
      <c r="B745" s="1">
        <f t="array" ref="B745">INDIRECT(_xlfn.CONCAT("$J", $F745))</f>
        <v/>
      </c>
      <c r="C745" s="1">
        <f t="array" ref="C745">INDIRECT(_xlfn.CONCAT("$K", $F745))</f>
        <v/>
      </c>
      <c r="D745" s="1" t="n"/>
      <c r="E745" s="1">
        <f t="array" ref="E745">INDIRECT(_xlfn.CONCAT("$L", $F745))</f>
        <v/>
      </c>
      <c r="F745" s="1">
        <f t="array" ref="F745">IF(NOT(OR(ISERROR(INDIRECT(_xlfn.CONCAT("$I", $F744 + 1))), ISBLANK(INDIRECT(_xlfn.CONCAT("$I", $F744 + 1))))), $F744 + 1, IF(NOT(ISBLANK(INDIRECT(_xlfn.CONCAT("$I", $F744 + 2)))), $F744 + 2, ""))</f>
        <v/>
      </c>
    </row>
    <row r="746" ht="57.75" customHeight="1" s="6">
      <c r="A746" s="1">
        <f t="array" ref="A746">INDIRECT(_xlfn.CONCAT("$I", $F746))</f>
        <v/>
      </c>
      <c r="B746" s="1">
        <f t="array" ref="B746">INDIRECT(_xlfn.CONCAT("$J", $F746))</f>
        <v/>
      </c>
      <c r="C746" s="1">
        <f t="array" ref="C746">INDIRECT(_xlfn.CONCAT("$K", $F746))</f>
        <v/>
      </c>
      <c r="D746" s="1" t="n"/>
      <c r="E746" s="1">
        <f t="array" ref="E746">INDIRECT(_xlfn.CONCAT("$L", $F746))</f>
        <v/>
      </c>
      <c r="F746" s="1">
        <f t="array" ref="F746">IF(NOT(OR(ISERROR(INDIRECT(_xlfn.CONCAT("$I", $F745 + 1))), ISBLANK(INDIRECT(_xlfn.CONCAT("$I", $F745 + 1))))), $F745 + 1, IF(NOT(ISBLANK(INDIRECT(_xlfn.CONCAT("$I", $F745 + 2)))), $F745 + 2, ""))</f>
        <v/>
      </c>
      <c r="I746" s="8" t="inlineStr">
        <is>
          <t>Ikoria: Lair of Behemoths Tokens TIKO</t>
        </is>
      </c>
      <c r="J746" s="8" t="n">
        <v>14</v>
      </c>
      <c r="K746" s="9" t="n">
        <v>43945</v>
      </c>
      <c r="L746" s="8" t="inlineStr">
        <is>
          <t>en es fr de it pt ja ko ru 汉语 漢語</t>
        </is>
      </c>
    </row>
    <row r="747" ht="81" customHeight="1" s="6">
      <c r="A747" s="1">
        <f t="array" ref="A747">INDIRECT(_xlfn.CONCAT("$I", $F747))</f>
        <v/>
      </c>
      <c r="B747" s="1">
        <f t="array" ref="B747">INDIRECT(_xlfn.CONCAT("$J", $F747))</f>
        <v/>
      </c>
      <c r="C747" s="1">
        <f t="array" ref="C747">INDIRECT(_xlfn.CONCAT("$K", $F747))</f>
        <v/>
      </c>
      <c r="D747" s="1" t="n"/>
      <c r="E747" s="1">
        <f t="array" ref="E747">INDIRECT(_xlfn.CONCAT("$L", $F747))</f>
        <v/>
      </c>
      <c r="F747" s="1">
        <f t="array" ref="F747">IF(NOT(OR(ISERROR(INDIRECT(_xlfn.CONCAT("$I", $F746 + 1))), ISBLANK(INDIRECT(_xlfn.CONCAT("$I", $F746 + 1))))), $F746 + 1, IF(NOT(ISBLANK(INDIRECT(_xlfn.CONCAT("$I", $F746 + 2)))), $F746 + 2, ""))</f>
        <v/>
      </c>
    </row>
    <row r="748" ht="57.75" customHeight="1" s="6">
      <c r="A748" s="1">
        <f t="array" ref="A748">INDIRECT(_xlfn.CONCAT("$I", $F748))</f>
        <v/>
      </c>
      <c r="B748" s="1">
        <f t="array" ref="B748">INDIRECT(_xlfn.CONCAT("$J", $F748))</f>
        <v/>
      </c>
      <c r="C748" s="1">
        <f t="array" ref="C748">INDIRECT(_xlfn.CONCAT("$K", $F748))</f>
        <v/>
      </c>
      <c r="D748" s="1" t="n"/>
      <c r="E748" s="1">
        <f t="array" ref="E748">INDIRECT(_xlfn.CONCAT("$L", $F748))</f>
        <v/>
      </c>
      <c r="F748" s="1">
        <f t="array" ref="F748">IF(NOT(OR(ISERROR(INDIRECT(_xlfn.CONCAT("$I", $F747 + 1))), ISBLANK(INDIRECT(_xlfn.CONCAT("$I", $F747 + 1))))), $F747 + 1, IF(NOT(ISBLANK(INDIRECT(_xlfn.CONCAT("$I", $F747 + 2)))), $F747 + 2, ""))</f>
        <v/>
      </c>
      <c r="I748" s="8" t="inlineStr">
        <is>
          <t>Commander 2020 C20</t>
        </is>
      </c>
      <c r="J748" s="8" t="n">
        <v>322</v>
      </c>
      <c r="K748" s="9" t="n">
        <v>43938</v>
      </c>
      <c r="L748" t="inlineStr">
        <is>
          <t>en es fr de it pt ja ko ru 汉语 漢語</t>
        </is>
      </c>
    </row>
    <row r="749" ht="57.75" customHeight="1" s="6">
      <c r="A749" s="1">
        <f t="array" ref="A749">INDIRECT(_xlfn.CONCAT("$I", $F749))</f>
        <v/>
      </c>
      <c r="B749" s="1">
        <f t="array" ref="B749">INDIRECT(_xlfn.CONCAT("$J", $F749))</f>
        <v/>
      </c>
      <c r="C749" s="1">
        <f t="array" ref="C749">INDIRECT(_xlfn.CONCAT("$K", $F749))</f>
        <v/>
      </c>
      <c r="D749" s="1" t="n"/>
      <c r="E749" s="1">
        <f t="array" ref="E749">INDIRECT(_xlfn.CONCAT("$L", $F749))</f>
        <v/>
      </c>
      <c r="F749" s="1">
        <f t="array" ref="F749">IF(NOT(OR(ISERROR(INDIRECT(_xlfn.CONCAT("$I", $F748 + 1))), ISBLANK(INDIRECT(_xlfn.CONCAT("$I", $F748 + 1))))), $F748 + 1, IF(NOT(ISBLANK(INDIRECT(_xlfn.CONCAT("$I", $F748 + 2)))), $F748 + 2, ""))</f>
        <v/>
      </c>
    </row>
    <row r="750" ht="57.75" customHeight="1" s="6">
      <c r="A750" s="1">
        <f t="array" ref="A750">INDIRECT(_xlfn.CONCAT("$I", $F750))</f>
        <v/>
      </c>
      <c r="B750" s="1">
        <f t="array" ref="B750">INDIRECT(_xlfn.CONCAT("$J", $F750))</f>
        <v/>
      </c>
      <c r="C750" s="1">
        <f t="array" ref="C750">INDIRECT(_xlfn.CONCAT("$K", $F750))</f>
        <v/>
      </c>
      <c r="D750" s="1" t="n"/>
      <c r="E750" s="1">
        <f t="array" ref="E750">INDIRECT(_xlfn.CONCAT("$L", $F750))</f>
        <v/>
      </c>
      <c r="F750" s="1">
        <f t="array" ref="F750">IF(NOT(OR(ISERROR(INDIRECT(_xlfn.CONCAT("$I", $F749 + 1))), ISBLANK(INDIRECT(_xlfn.CONCAT("$I", $F749 + 1))))), $F749 + 1, IF(NOT(ISBLANK(INDIRECT(_xlfn.CONCAT("$I", $F749 + 2)))), $F749 + 2, ""))</f>
        <v/>
      </c>
      <c r="I750" s="8" t="inlineStr">
        <is>
          <t>Commander 2020 Tokens TC20</t>
        </is>
      </c>
      <c r="J750" s="8" t="n">
        <v>20</v>
      </c>
      <c r="K750" s="9" t="n">
        <v>43938</v>
      </c>
      <c r="L750" s="8" t="inlineStr">
        <is>
          <t>en es fr de it pt ja ko ru 汉语 漢語</t>
        </is>
      </c>
    </row>
    <row r="751" ht="57.75" customHeight="1" s="6">
      <c r="A751" s="1">
        <f t="array" ref="A751">INDIRECT(_xlfn.CONCAT("$I", $F751))</f>
        <v/>
      </c>
      <c r="B751" s="1">
        <f t="array" ref="B751">INDIRECT(_xlfn.CONCAT("$J", $F751))</f>
        <v/>
      </c>
      <c r="C751" s="1">
        <f t="array" ref="C751">INDIRECT(_xlfn.CONCAT("$K", $F751))</f>
        <v/>
      </c>
      <c r="D751" s="1" t="n"/>
      <c r="E751" s="1">
        <f t="array" ref="E751">INDIRECT(_xlfn.CONCAT("$L", $F751))</f>
        <v/>
      </c>
      <c r="F751" s="1">
        <f t="array" ref="F751">IF(NOT(OR(ISERROR(INDIRECT(_xlfn.CONCAT("$I", $F750 + 1))), ISBLANK(INDIRECT(_xlfn.CONCAT("$I", $F750 + 1))))), $F750 + 1, IF(NOT(ISBLANK(INDIRECT(_xlfn.CONCAT("$I", $F750 + 2)))), $F750 + 2, ""))</f>
        <v/>
      </c>
    </row>
    <row r="752" ht="68.25" customHeight="1" s="6">
      <c r="A752" s="1">
        <f t="array" ref="A752">INDIRECT(_xlfn.CONCAT("$I", $F752))</f>
        <v/>
      </c>
      <c r="B752" s="1">
        <f t="array" ref="B752">INDIRECT(_xlfn.CONCAT("$J", $F752))</f>
        <v/>
      </c>
      <c r="C752" s="1">
        <f t="array" ref="C752">INDIRECT(_xlfn.CONCAT("$K", $F752))</f>
        <v/>
      </c>
      <c r="D752" s="1" t="n"/>
      <c r="E752" s="1">
        <f t="array" ref="E752">INDIRECT(_xlfn.CONCAT("$L", $F752))</f>
        <v/>
      </c>
      <c r="F752" s="1">
        <f t="array" ref="F752">IF(NOT(OR(ISERROR(INDIRECT(_xlfn.CONCAT("$I", $F751 + 1))), ISBLANK(INDIRECT(_xlfn.CONCAT("$I", $F751 + 1))))), $F751 + 1, IF(NOT(ISBLANK(INDIRECT(_xlfn.CONCAT("$I", $F751 + 2)))), $F751 + 2, ""))</f>
        <v/>
      </c>
      <c r="I752" s="8" t="inlineStr">
        <is>
          <t>Commander 2020 Oversized OC20</t>
        </is>
      </c>
      <c r="J752" s="8" t="n">
        <v>5</v>
      </c>
      <c r="K752" s="9" t="n">
        <v>43938</v>
      </c>
      <c r="L752" s="8" t="inlineStr">
        <is>
          <t>en es fr de it pt ja ko ru 汉语 漢語</t>
        </is>
      </c>
    </row>
    <row r="753" ht="81" customHeight="1" s="6">
      <c r="A753" s="1">
        <f t="array" ref="A753">INDIRECT(_xlfn.CONCAT("$I", $F753))</f>
        <v/>
      </c>
      <c r="B753" s="1">
        <f t="array" ref="B753">INDIRECT(_xlfn.CONCAT("$J", $F753))</f>
        <v/>
      </c>
      <c r="C753" s="1">
        <f t="array" ref="C753">INDIRECT(_xlfn.CONCAT("$K", $F753))</f>
        <v/>
      </c>
      <c r="D753" s="1" t="n"/>
      <c r="E753" s="1">
        <f t="array" ref="E753">INDIRECT(_xlfn.CONCAT("$L", $F753))</f>
        <v/>
      </c>
      <c r="F753" s="1">
        <f t="array" ref="F753">IF(NOT(OR(ISERROR(INDIRECT(_xlfn.CONCAT("$I", $F752 + 1))), ISBLANK(INDIRECT(_xlfn.CONCAT("$I", $F752 + 1))))), $F752 + 1, IF(NOT(ISBLANK(INDIRECT(_xlfn.CONCAT("$I", $F752 + 2)))), $F752 + 2, ""))</f>
        <v/>
      </c>
    </row>
    <row r="754" ht="57.75" customHeight="1" s="6">
      <c r="A754" s="1">
        <f t="array" ref="A754">INDIRECT(_xlfn.CONCAT("$I", $F754))</f>
        <v/>
      </c>
      <c r="B754" s="1">
        <f t="array" ref="B754">INDIRECT(_xlfn.CONCAT("$J", $F754))</f>
        <v/>
      </c>
      <c r="C754" s="1">
        <f t="array" ref="C754">INDIRECT(_xlfn.CONCAT("$K", $F754))</f>
        <v/>
      </c>
      <c r="D754" s="1" t="n"/>
      <c r="E754" s="1">
        <f t="array" ref="E754">INDIRECT(_xlfn.CONCAT("$L", $F754))</f>
        <v/>
      </c>
      <c r="F754" s="1">
        <f t="array" ref="F754">IF(NOT(OR(ISERROR(INDIRECT(_xlfn.CONCAT("$I", $F753 + 1))), ISBLANK(INDIRECT(_xlfn.CONCAT("$I", $F753 + 1))))), $F753 + 1, IF(NOT(ISBLANK(INDIRECT(_xlfn.CONCAT("$I", $F753 + 2)))), $F753 + 2, ""))</f>
        <v/>
      </c>
      <c r="I754" s="8" t="inlineStr">
        <is>
          <t>Historic Anthology 2 HA2</t>
        </is>
      </c>
      <c r="J754" s="8" t="n">
        <v>25</v>
      </c>
      <c r="K754" s="9" t="n">
        <v>43902</v>
      </c>
      <c r="L754" s="8" t="inlineStr">
        <is>
          <t>en es fr de it pt ja ko ru 汉语 漢語</t>
        </is>
      </c>
    </row>
    <row r="755" ht="57.75" customHeight="1" s="6">
      <c r="A755" s="1">
        <f t="array" ref="A755">INDIRECT(_xlfn.CONCAT("$I", $F755))</f>
        <v/>
      </c>
      <c r="B755" s="1">
        <f t="array" ref="B755">INDIRECT(_xlfn.CONCAT("$J", $F755))</f>
        <v/>
      </c>
      <c r="C755" s="1">
        <f t="array" ref="C755">INDIRECT(_xlfn.CONCAT("$K", $F755))</f>
        <v/>
      </c>
      <c r="D755" s="1" t="n"/>
      <c r="E755" s="1">
        <f t="array" ref="E755">INDIRECT(_xlfn.CONCAT("$L", $F755))</f>
        <v/>
      </c>
      <c r="F755" s="1">
        <f t="array" ref="F755">IF(NOT(OR(ISERROR(INDIRECT(_xlfn.CONCAT("$I", $F754 + 1))), ISBLANK(INDIRECT(_xlfn.CONCAT("$I", $F754 + 1))))), $F754 + 1, IF(NOT(ISBLANK(INDIRECT(_xlfn.CONCAT("$I", $F754 + 2)))), $F754 + 2, ""))</f>
        <v/>
      </c>
    </row>
    <row r="756" ht="57.75" customHeight="1" s="6">
      <c r="A756" s="1">
        <f t="array" ref="A756">INDIRECT(_xlfn.CONCAT("$I", $F756))</f>
        <v/>
      </c>
      <c r="B756" s="1">
        <f t="array" ref="B756">INDIRECT(_xlfn.CONCAT("$J", $F756))</f>
        <v/>
      </c>
      <c r="C756" s="1">
        <f t="array" ref="C756">INDIRECT(_xlfn.CONCAT("$K", $F756))</f>
        <v/>
      </c>
      <c r="D756" s="1" t="n"/>
      <c r="E756" s="1">
        <f t="array" ref="E756">INDIRECT(_xlfn.CONCAT("$L", $F756))</f>
        <v/>
      </c>
      <c r="F756" s="1">
        <f t="array" ref="F756">IF(NOT(OR(ISERROR(INDIRECT(_xlfn.CONCAT("$I", $F755 + 1))), ISBLANK(INDIRECT(_xlfn.CONCAT("$I", $F755 + 1))))), $F755 + 1, IF(NOT(ISBLANK(INDIRECT(_xlfn.CONCAT("$I", $F755 + 2)))), $F755 + 2, ""))</f>
        <v/>
      </c>
      <c r="I756" s="8" t="inlineStr">
        <is>
          <t>Unsanctioned UND</t>
        </is>
      </c>
      <c r="J756" s="8" t="n">
        <v>96</v>
      </c>
      <c r="K756" s="9" t="n">
        <v>43890</v>
      </c>
      <c r="L756" s="8" t="inlineStr">
        <is>
          <t>en es fr de it pt ja ko ru 汉语 漢語</t>
        </is>
      </c>
    </row>
    <row r="757" ht="57.75" customHeight="1" s="6">
      <c r="A757" s="1">
        <f t="array" ref="A757">INDIRECT(_xlfn.CONCAT("$I", $F757))</f>
        <v/>
      </c>
      <c r="B757" s="1">
        <f t="array" ref="B757">INDIRECT(_xlfn.CONCAT("$J", $F757))</f>
        <v/>
      </c>
      <c r="C757" s="1">
        <f t="array" ref="C757">INDIRECT(_xlfn.CONCAT("$K", $F757))</f>
        <v/>
      </c>
      <c r="D757" s="1" t="n"/>
      <c r="E757" s="1">
        <f t="array" ref="E757">INDIRECT(_xlfn.CONCAT("$L", $F757))</f>
        <v/>
      </c>
      <c r="F757" s="1">
        <f t="array" ref="F757">IF(NOT(OR(ISERROR(INDIRECT(_xlfn.CONCAT("$I", $F756 + 1))), ISBLANK(INDIRECT(_xlfn.CONCAT("$I", $F756 + 1))))), $F756 + 1, IF(NOT(ISBLANK(INDIRECT(_xlfn.CONCAT("$I", $F756 + 2)))), $F756 + 2, ""))</f>
        <v/>
      </c>
    </row>
    <row r="758" ht="57.75" customHeight="1" s="6">
      <c r="A758" s="1">
        <f t="array" ref="A758">INDIRECT(_xlfn.CONCAT("$I", $F758))</f>
        <v/>
      </c>
      <c r="B758" s="1">
        <f t="array" ref="B758">INDIRECT(_xlfn.CONCAT("$J", $F758))</f>
        <v/>
      </c>
      <c r="C758" s="1">
        <f t="array" ref="C758">INDIRECT(_xlfn.CONCAT("$K", $F758))</f>
        <v/>
      </c>
      <c r="D758" s="1" t="n"/>
      <c r="E758" s="1">
        <f t="array" ref="E758">INDIRECT(_xlfn.CONCAT("$L", $F758))</f>
        <v/>
      </c>
      <c r="F758" s="1">
        <f t="array" ref="F758">IF(NOT(OR(ISERROR(INDIRECT(_xlfn.CONCAT("$I", $F757 + 1))), ISBLANK(INDIRECT(_xlfn.CONCAT("$I", $F757 + 1))))), $F757 + 1, IF(NOT(ISBLANK(INDIRECT(_xlfn.CONCAT("$I", $F757 + 2)))), $F757 + 2, ""))</f>
        <v/>
      </c>
      <c r="I758" s="8" t="inlineStr">
        <is>
          <t>Unsanctioned Tokens TUND</t>
        </is>
      </c>
      <c r="J758" s="8" t="n">
        <v>6</v>
      </c>
      <c r="K758" s="9" t="n">
        <v>43890</v>
      </c>
      <c r="L758" s="8" t="inlineStr">
        <is>
          <t>en es fr de it pt ja ko ru 汉语 漢語</t>
        </is>
      </c>
    </row>
    <row r="759" ht="57.75" customHeight="1" s="6">
      <c r="A759" s="1">
        <f t="array" ref="A759">INDIRECT(_xlfn.CONCAT("$I", $F759))</f>
        <v/>
      </c>
      <c r="B759" s="1">
        <f t="array" ref="B759">INDIRECT(_xlfn.CONCAT("$J", $F759))</f>
        <v/>
      </c>
      <c r="C759" s="1">
        <f t="array" ref="C759">INDIRECT(_xlfn.CONCAT("$K", $F759))</f>
        <v/>
      </c>
      <c r="D759" s="1" t="n"/>
      <c r="E759" s="1">
        <f t="array" ref="E759">INDIRECT(_xlfn.CONCAT("$L", $F759))</f>
        <v/>
      </c>
      <c r="F759" s="1">
        <f t="array" ref="F759">IF(NOT(OR(ISERROR(INDIRECT(_xlfn.CONCAT("$I", $F758 + 1))), ISBLANK(INDIRECT(_xlfn.CONCAT("$I", $F758 + 1))))), $F758 + 1, IF(NOT(ISBLANK(INDIRECT(_xlfn.CONCAT("$I", $F758 + 2)))), $F758 + 2, ""))</f>
        <v/>
      </c>
    </row>
    <row r="760" ht="57.75" customHeight="1" s="6">
      <c r="A760" s="1">
        <f t="array" ref="A760">INDIRECT(_xlfn.CONCAT("$I", $F760))</f>
        <v/>
      </c>
      <c r="B760" s="1">
        <f t="array" ref="B760">INDIRECT(_xlfn.CONCAT("$J", $F760))</f>
        <v/>
      </c>
      <c r="C760" s="1">
        <f t="array" ref="C760">INDIRECT(_xlfn.CONCAT("$K", $F760))</f>
        <v/>
      </c>
      <c r="D760" s="1" t="n"/>
      <c r="E760" s="1">
        <f t="array" ref="E760">INDIRECT(_xlfn.CONCAT("$L", $F760))</f>
        <v/>
      </c>
      <c r="F760" s="1">
        <f t="array" ref="F760">IF(NOT(OR(ISERROR(INDIRECT(_xlfn.CONCAT("$I", $F759 + 1))), ISBLANK(INDIRECT(_xlfn.CONCAT("$I", $F759 + 1))))), $F759 + 1, IF(NOT(ISBLANK(INDIRECT(_xlfn.CONCAT("$I", $F759 + 2)))), $F759 + 2, ""))</f>
        <v/>
      </c>
      <c r="I760" s="8" t="inlineStr">
        <is>
          <t>Theros Beyond Death THB</t>
        </is>
      </c>
      <c r="J760" s="8" t="n">
        <v>358</v>
      </c>
      <c r="K760" s="9" t="n">
        <v>43854</v>
      </c>
      <c r="L760" t="inlineStr">
        <is>
          <t>en es fr de it pt ja ko ru 汉语 漢語</t>
        </is>
      </c>
    </row>
    <row r="761" ht="57.75" customHeight="1" s="6">
      <c r="A761" s="1">
        <f t="array" ref="A761">INDIRECT(_xlfn.CONCAT("$I", $F761))</f>
        <v/>
      </c>
      <c r="B761" s="1">
        <f t="array" ref="B761">INDIRECT(_xlfn.CONCAT("$J", $F761))</f>
        <v/>
      </c>
      <c r="C761" s="1">
        <f t="array" ref="C761">INDIRECT(_xlfn.CONCAT("$K", $F761))</f>
        <v/>
      </c>
      <c r="D761" s="1" t="n"/>
      <c r="E761" s="1">
        <f t="array" ref="E761">INDIRECT(_xlfn.CONCAT("$L", $F761))</f>
        <v/>
      </c>
      <c r="F761" s="1">
        <f t="array" ref="F761">IF(NOT(OR(ISERROR(INDIRECT(_xlfn.CONCAT("$I", $F760 + 1))), ISBLANK(INDIRECT(_xlfn.CONCAT("$I", $F760 + 1))))), $F760 + 1, IF(NOT(ISBLANK(INDIRECT(_xlfn.CONCAT("$I", $F760 + 2)))), $F760 + 2, ""))</f>
        <v/>
      </c>
    </row>
    <row r="762" ht="57.75" customHeight="1" s="6">
      <c r="A762" s="1">
        <f t="array" ref="A762">INDIRECT(_xlfn.CONCAT("$I", $F762))</f>
        <v/>
      </c>
      <c r="B762" s="1">
        <f t="array" ref="B762">INDIRECT(_xlfn.CONCAT("$J", $F762))</f>
        <v/>
      </c>
      <c r="C762" s="1">
        <f t="array" ref="C762">INDIRECT(_xlfn.CONCAT("$K", $F762))</f>
        <v/>
      </c>
      <c r="D762" s="1" t="n"/>
      <c r="E762" s="1">
        <f t="array" ref="E762">INDIRECT(_xlfn.CONCAT("$L", $F762))</f>
        <v/>
      </c>
      <c r="F762" s="1">
        <f t="array" ref="F762">IF(NOT(OR(ISERROR(INDIRECT(_xlfn.CONCAT("$I", $F761 + 1))), ISBLANK(INDIRECT(_xlfn.CONCAT("$I", $F761 + 1))))), $F761 + 1, IF(NOT(ISBLANK(INDIRECT(_xlfn.CONCAT("$I", $F761 + 2)))), $F761 + 2, ""))</f>
        <v/>
      </c>
      <c r="I762" s="8" t="inlineStr">
        <is>
          <t>Theros Beyond Death Promos PTHB</t>
        </is>
      </c>
      <c r="J762" s="8" t="n">
        <v>137</v>
      </c>
      <c r="K762" s="9" t="n">
        <v>43854</v>
      </c>
      <c r="L762" s="8" t="inlineStr">
        <is>
          <t>en es fr de it pt ja ko ru 汉语 漢語</t>
        </is>
      </c>
    </row>
    <row r="763" ht="57.75" customHeight="1" s="6">
      <c r="A763" s="1">
        <f t="array" ref="A763">INDIRECT(_xlfn.CONCAT("$I", $F763))</f>
        <v/>
      </c>
      <c r="B763" s="1">
        <f t="array" ref="B763">INDIRECT(_xlfn.CONCAT("$J", $F763))</f>
        <v/>
      </c>
      <c r="C763" s="1">
        <f t="array" ref="C763">INDIRECT(_xlfn.CONCAT("$K", $F763))</f>
        <v/>
      </c>
      <c r="D763" s="1" t="n"/>
      <c r="E763" s="1">
        <f t="array" ref="E763">INDIRECT(_xlfn.CONCAT("$L", $F763))</f>
        <v/>
      </c>
      <c r="F763" s="1">
        <f t="array" ref="F763">IF(NOT(OR(ISERROR(INDIRECT(_xlfn.CONCAT("$I", $F762 + 1))), ISBLANK(INDIRECT(_xlfn.CONCAT("$I", $F762 + 1))))), $F762 + 1, IF(NOT(ISBLANK(INDIRECT(_xlfn.CONCAT("$I", $F762 + 2)))), $F762 + 2, ""))</f>
        <v/>
      </c>
    </row>
    <row r="764" ht="81" customHeight="1" s="6">
      <c r="A764" s="1">
        <f t="array" ref="A764">INDIRECT(_xlfn.CONCAT("$I", $F764))</f>
        <v/>
      </c>
      <c r="B764" s="1">
        <f t="array" ref="B764">INDIRECT(_xlfn.CONCAT("$J", $F764))</f>
        <v/>
      </c>
      <c r="C764" s="1">
        <f t="array" ref="C764">INDIRECT(_xlfn.CONCAT("$K", $F764))</f>
        <v/>
      </c>
      <c r="D764" s="1" t="n"/>
      <c r="E764" s="1">
        <f t="array" ref="E764">INDIRECT(_xlfn.CONCAT("$L", $F764))</f>
        <v/>
      </c>
      <c r="F764" s="1">
        <f t="array" ref="F764">IF(NOT(OR(ISERROR(INDIRECT(_xlfn.CONCAT("$I", $F763 + 1))), ISBLANK(INDIRECT(_xlfn.CONCAT("$I", $F763 + 1))))), $F763 + 1, IF(NOT(ISBLANK(INDIRECT(_xlfn.CONCAT("$I", $F763 + 2)))), $F763 + 2, ""))</f>
        <v/>
      </c>
      <c r="I764" s="8" t="inlineStr">
        <is>
          <t>Theros Beyond Death Tokens TTHB</t>
        </is>
      </c>
      <c r="J764" s="8" t="n">
        <v>14</v>
      </c>
      <c r="K764" s="9" t="n">
        <v>43854</v>
      </c>
      <c r="L764" s="8" t="inlineStr">
        <is>
          <t>en es fr de it pt ja ko ru 汉语 漢語</t>
        </is>
      </c>
    </row>
    <row r="765" ht="94.5" customHeight="1" s="6">
      <c r="A765" s="1">
        <f t="array" ref="A765">INDIRECT(_xlfn.CONCAT("$I", $F765))</f>
        <v/>
      </c>
      <c r="B765" s="1">
        <f t="array" ref="B765">INDIRECT(_xlfn.CONCAT("$J", $F765))</f>
        <v/>
      </c>
      <c r="C765" s="1">
        <f t="array" ref="C765">INDIRECT(_xlfn.CONCAT("$K", $F765))</f>
        <v/>
      </c>
      <c r="D765" s="1" t="n"/>
      <c r="E765" s="1">
        <f t="array" ref="E765">INDIRECT(_xlfn.CONCAT("$L", $F765))</f>
        <v/>
      </c>
      <c r="F765" s="1">
        <f t="array" ref="F765">IF(NOT(OR(ISERROR(INDIRECT(_xlfn.CONCAT("$I", $F764 + 1))), ISBLANK(INDIRECT(_xlfn.CONCAT("$I", $F764 + 1))))), $F764 + 1, IF(NOT(ISBLANK(INDIRECT(_xlfn.CONCAT("$I", $F764 + 2)))), $F764 + 2, ""))</f>
        <v/>
      </c>
    </row>
    <row r="766" ht="57.75" customHeight="1" s="6">
      <c r="A766" s="1">
        <f t="array" ref="A766">INDIRECT(_xlfn.CONCAT("$I", $F766))</f>
        <v/>
      </c>
      <c r="B766" s="1">
        <f t="array" ref="B766">INDIRECT(_xlfn.CONCAT("$J", $F766))</f>
        <v/>
      </c>
      <c r="C766" s="1">
        <f t="array" ref="C766">INDIRECT(_xlfn.CONCAT("$K", $F766))</f>
        <v/>
      </c>
      <c r="D766" s="1" t="n"/>
      <c r="E766" s="1">
        <f t="array" ref="E766">INDIRECT(_xlfn.CONCAT("$L", $F766))</f>
        <v/>
      </c>
      <c r="F766" s="1">
        <f t="array" ref="F766">IF(NOT(OR(ISERROR(INDIRECT(_xlfn.CONCAT("$I", $F765 + 1))), ISBLANK(INDIRECT(_xlfn.CONCAT("$I", $F765 + 1))))), $F765 + 1, IF(NOT(ISBLANK(INDIRECT(_xlfn.CONCAT("$I", $F765 + 2)))), $F765 + 2, ""))</f>
        <v/>
      </c>
      <c r="I766" s="8" t="inlineStr">
        <is>
          <t>MagicFest 2020 PF20</t>
        </is>
      </c>
      <c r="J766" s="8" t="n">
        <v>6</v>
      </c>
      <c r="K766" s="9" t="n">
        <v>43831</v>
      </c>
      <c r="L766" s="8" t="inlineStr">
        <is>
          <t>en es fr de it pt ja ko ru 汉语 漢語</t>
        </is>
      </c>
    </row>
    <row r="767" ht="57.75" customHeight="1" s="6">
      <c r="A767" s="1">
        <f t="array" ref="A767">INDIRECT(_xlfn.CONCAT("$I", $F767))</f>
        <v/>
      </c>
      <c r="B767" s="1">
        <f t="array" ref="B767">INDIRECT(_xlfn.CONCAT("$J", $F767))</f>
        <v/>
      </c>
      <c r="C767" s="1">
        <f t="array" ref="C767">INDIRECT(_xlfn.CONCAT("$K", $F767))</f>
        <v/>
      </c>
      <c r="D767" s="1" t="n"/>
      <c r="E767" s="1">
        <f t="array" ref="E767">INDIRECT(_xlfn.CONCAT("$L", $F767))</f>
        <v/>
      </c>
      <c r="F767" s="1">
        <f t="array" ref="F767">IF(NOT(OR(ISERROR(INDIRECT(_xlfn.CONCAT("$I", $F766 + 1))), ISBLANK(INDIRECT(_xlfn.CONCAT("$I", $F766 + 1))))), $F766 + 1, IF(NOT(ISBLANK(INDIRECT(_xlfn.CONCAT("$I", $F766 + 2)))), $F766 + 2, ""))</f>
        <v/>
      </c>
    </row>
    <row r="768" ht="57.75" customHeight="1" s="6">
      <c r="A768" s="1">
        <f t="array" ref="A768">INDIRECT(_xlfn.CONCAT("$I", $F768))</f>
        <v/>
      </c>
      <c r="B768" s="1">
        <f t="array" ref="B768">INDIRECT(_xlfn.CONCAT("$J", $F768))</f>
        <v/>
      </c>
      <c r="C768" s="1">
        <f t="array" ref="C768">INDIRECT(_xlfn.CONCAT("$K", $F768))</f>
        <v/>
      </c>
      <c r="D768" s="1" t="n"/>
      <c r="E768" s="1">
        <f t="array" ref="E768">INDIRECT(_xlfn.CONCAT("$L", $F768))</f>
        <v/>
      </c>
      <c r="F768" s="1">
        <f t="array" ref="F768">IF(NOT(OR(ISERROR(INDIRECT(_xlfn.CONCAT("$I", $F767 + 1))), ISBLANK(INDIRECT(_xlfn.CONCAT("$I", $F767 + 1))))), $F767 + 1, IF(NOT(ISBLANK(INDIRECT(_xlfn.CONCAT("$I", $F767 + 2)))), $F767 + 2, ""))</f>
        <v/>
      </c>
      <c r="I768" s="8" t="inlineStr">
        <is>
          <t>Judge Gift Cards 2020 J20</t>
        </is>
      </c>
      <c r="J768" s="8" t="n">
        <v>10</v>
      </c>
      <c r="K768" s="9" t="n">
        <v>43831</v>
      </c>
      <c r="L768" s="8" t="inlineStr">
        <is>
          <t>en es fr de it pt ja ko ru 汉语 漢語</t>
        </is>
      </c>
    </row>
    <row r="769" ht="81" customHeight="1" s="6">
      <c r="A769" s="1">
        <f t="array" ref="A769">INDIRECT(_xlfn.CONCAT("$I", $F769))</f>
        <v/>
      </c>
      <c r="B769" s="1">
        <f t="array" ref="B769">INDIRECT(_xlfn.CONCAT("$J", $F769))</f>
        <v/>
      </c>
      <c r="C769" s="1">
        <f t="array" ref="C769">INDIRECT(_xlfn.CONCAT("$K", $F769))</f>
        <v/>
      </c>
      <c r="D769" s="1" t="n"/>
      <c r="E769" s="1">
        <f t="array" ref="E769">INDIRECT(_xlfn.CONCAT("$L", $F769))</f>
        <v/>
      </c>
      <c r="F769" s="1">
        <f t="array" ref="F769">IF(NOT(OR(ISERROR(INDIRECT(_xlfn.CONCAT("$I", $F768 + 1))), ISBLANK(INDIRECT(_xlfn.CONCAT("$I", $F768 + 1))))), $F768 + 1, IF(NOT(ISBLANK(INDIRECT(_xlfn.CONCAT("$I", $F768 + 2)))), $F768 + 2, ""))</f>
        <v/>
      </c>
    </row>
    <row r="770" ht="57.75" customHeight="1" s="6">
      <c r="A770" s="1">
        <f t="array" ref="A770">INDIRECT(_xlfn.CONCAT("$I", $F770))</f>
        <v/>
      </c>
      <c r="B770" s="1">
        <f t="array" ref="B770">INDIRECT(_xlfn.CONCAT("$J", $F770))</f>
        <v/>
      </c>
      <c r="C770" s="1">
        <f t="array" ref="C770">INDIRECT(_xlfn.CONCAT("$K", $F770))</f>
        <v/>
      </c>
      <c r="D770" s="1" t="n"/>
      <c r="E770" s="1">
        <f t="array" ref="E770">INDIRECT(_xlfn.CONCAT("$L", $F770))</f>
        <v/>
      </c>
      <c r="F770" s="1">
        <f t="array" ref="F770">IF(NOT(OR(ISERROR(INDIRECT(_xlfn.CONCAT("$I", $F769 + 1))), ISBLANK(INDIRECT(_xlfn.CONCAT("$I", $F769 + 1))))), $F769 + 1, IF(NOT(ISBLANK(INDIRECT(_xlfn.CONCAT("$I", $F769 + 2)))), $F769 + 2, ""))</f>
        <v/>
      </c>
      <c r="I770" s="8" t="inlineStr">
        <is>
          <t>Secret Lair Drop SLD</t>
        </is>
      </c>
      <c r="J770" s="8" t="n">
        <v>2302</v>
      </c>
      <c r="K770" s="9" t="n">
        <v>43801</v>
      </c>
      <c r="L770" t="inlineStr">
        <is>
          <t>en es fr de it pt ja ko ru 汉语 漢語</t>
        </is>
      </c>
    </row>
    <row r="771" ht="57.75" customHeight="1" s="6">
      <c r="A771" s="1">
        <f t="array" ref="A771">INDIRECT(_xlfn.CONCAT("$I", $F771))</f>
        <v/>
      </c>
      <c r="B771" s="1">
        <f t="array" ref="B771">INDIRECT(_xlfn.CONCAT("$J", $F771))</f>
        <v/>
      </c>
      <c r="C771" s="1">
        <f t="array" ref="C771">INDIRECT(_xlfn.CONCAT("$K", $F771))</f>
        <v/>
      </c>
      <c r="D771" s="1" t="n"/>
      <c r="E771" s="1">
        <f t="array" ref="E771">INDIRECT(_xlfn.CONCAT("$L", $F771))</f>
        <v/>
      </c>
      <c r="F771" s="1">
        <f t="array" ref="F771">IF(NOT(OR(ISERROR(INDIRECT(_xlfn.CONCAT("$I", $F770 + 1))), ISBLANK(INDIRECT(_xlfn.CONCAT("$I", $F770 + 1))))), $F770 + 1, IF(NOT(ISBLANK(INDIRECT(_xlfn.CONCAT("$I", $F770 + 2)))), $F770 + 2, ""))</f>
        <v/>
      </c>
    </row>
    <row r="772" ht="57.75" customHeight="1" s="6">
      <c r="A772" s="1">
        <f t="array" ref="A772">INDIRECT(_xlfn.CONCAT("$I", $F772))</f>
        <v/>
      </c>
      <c r="B772" s="1">
        <f t="array" ref="B772">INDIRECT(_xlfn.CONCAT("$J", $F772))</f>
        <v/>
      </c>
      <c r="C772" s="1">
        <f t="array" ref="C772">INDIRECT(_xlfn.CONCAT("$K", $F772))</f>
        <v/>
      </c>
      <c r="D772" s="1" t="n"/>
      <c r="E772" s="1">
        <f t="array" ref="E772">INDIRECT(_xlfn.CONCAT("$L", $F772))</f>
        <v/>
      </c>
      <c r="F772" s="1">
        <f t="array" ref="F772">IF(NOT(OR(ISERROR(INDIRECT(_xlfn.CONCAT("$I", $F771 + 1))), ISBLANK(INDIRECT(_xlfn.CONCAT("$I", $F771 + 1))))), $F771 + 1, IF(NOT(ISBLANK(INDIRECT(_xlfn.CONCAT("$I", $F771 + 2)))), $F771 + 2, ""))</f>
        <v/>
      </c>
      <c r="I772" s="8" t="inlineStr">
        <is>
          <t>Secret Lair Showcase Planes PSSC</t>
        </is>
      </c>
      <c r="J772" s="8" t="n">
        <v>10</v>
      </c>
      <c r="K772" s="9" t="n">
        <v>45709</v>
      </c>
      <c r="L772" s="8" t="inlineStr">
        <is>
          <t>en es fr de it pt ja ko ru 汉语 漢語</t>
        </is>
      </c>
    </row>
    <row r="773" ht="57.75" customHeight="1" s="6">
      <c r="A773" s="1">
        <f t="array" ref="A773">INDIRECT(_xlfn.CONCAT("$I", $F773))</f>
        <v/>
      </c>
      <c r="B773" s="1">
        <f t="array" ref="B773">INDIRECT(_xlfn.CONCAT("$J", $F773))</f>
        <v/>
      </c>
      <c r="C773" s="1">
        <f t="array" ref="C773">INDIRECT(_xlfn.CONCAT("$K", $F773))</f>
        <v/>
      </c>
      <c r="D773" s="1" t="n"/>
      <c r="E773" s="1">
        <f t="array" ref="E773">INDIRECT(_xlfn.CONCAT("$L", $F773))</f>
        <v/>
      </c>
      <c r="F773" s="1">
        <f t="array" ref="F773">IF(NOT(OR(ISERROR(INDIRECT(_xlfn.CONCAT("$I", $F772 + 1))), ISBLANK(INDIRECT(_xlfn.CONCAT("$I", $F772 + 1))))), $F772 + 1, IF(NOT(ISBLANK(INDIRECT(_xlfn.CONCAT("$I", $F772 + 2)))), $F772 + 2, ""))</f>
        <v/>
      </c>
    </row>
    <row r="774" ht="57.75" customHeight="1" s="6">
      <c r="A774" s="1">
        <f t="array" ref="A774">INDIRECT(_xlfn.CONCAT("$I", $F774))</f>
        <v/>
      </c>
      <c r="B774" s="1">
        <f t="array" ref="B774">INDIRECT(_xlfn.CONCAT("$J", $F774))</f>
        <v/>
      </c>
      <c r="C774" s="1">
        <f t="array" ref="C774">INDIRECT(_xlfn.CONCAT("$K", $F774))</f>
        <v/>
      </c>
      <c r="D774" s="1" t="n"/>
      <c r="E774" s="1">
        <f t="array" ref="E774">INDIRECT(_xlfn.CONCAT("$L", $F774))</f>
        <v/>
      </c>
      <c r="F774" s="1">
        <f t="array" ref="F774">IF(NOT(OR(ISERROR(INDIRECT(_xlfn.CONCAT("$I", $F773 + 1))), ISBLANK(INDIRECT(_xlfn.CONCAT("$I", $F773 + 1))))), $F773 + 1, IF(NOT(ISBLANK(INDIRECT(_xlfn.CONCAT("$I", $F773 + 2)))), $F773 + 2, ""))</f>
        <v/>
      </c>
      <c r="I774" s="8" t="inlineStr">
        <is>
          <t>Secret Lair Promo SLP</t>
        </is>
      </c>
      <c r="J774" s="8" t="n">
        <v>47</v>
      </c>
      <c r="K774" s="9" t="n">
        <v>44974</v>
      </c>
      <c r="L774" s="8" t="inlineStr">
        <is>
          <t>en es fr de it pt ja ko ru 汉语 漢語</t>
        </is>
      </c>
    </row>
    <row r="775" ht="68.25" customHeight="1" s="6">
      <c r="A775" s="1">
        <f t="array" ref="A775">INDIRECT(_xlfn.CONCAT("$I", $F775))</f>
        <v/>
      </c>
      <c r="B775" s="1">
        <f t="array" ref="B775">INDIRECT(_xlfn.CONCAT("$J", $F775))</f>
        <v/>
      </c>
      <c r="C775" s="1">
        <f t="array" ref="C775">INDIRECT(_xlfn.CONCAT("$K", $F775))</f>
        <v/>
      </c>
      <c r="D775" s="1" t="n"/>
      <c r="E775" s="1">
        <f t="array" ref="E775">INDIRECT(_xlfn.CONCAT("$L", $F775))</f>
        <v/>
      </c>
      <c r="F775" s="1">
        <f t="array" ref="F775">IF(NOT(OR(ISERROR(INDIRECT(_xlfn.CONCAT("$I", $F774 + 1))), ISBLANK(INDIRECT(_xlfn.CONCAT("$I", $F774 + 1))))), $F774 + 1, IF(NOT(ISBLANK(INDIRECT(_xlfn.CONCAT("$I", $F774 + 2)))), $F774 + 2, ""))</f>
        <v/>
      </c>
    </row>
    <row r="776" ht="81" customHeight="1" s="6">
      <c r="A776" s="1">
        <f t="array" ref="A776">INDIRECT(_xlfn.CONCAT("$I", $F776))</f>
        <v/>
      </c>
      <c r="B776" s="1">
        <f t="array" ref="B776">INDIRECT(_xlfn.CONCAT("$J", $F776))</f>
        <v/>
      </c>
      <c r="C776" s="1">
        <f t="array" ref="C776">INDIRECT(_xlfn.CONCAT("$K", $F776))</f>
        <v/>
      </c>
      <c r="D776" s="1" t="n"/>
      <c r="E776" s="1">
        <f t="array" ref="E776">INDIRECT(_xlfn.CONCAT("$L", $F776))</f>
        <v/>
      </c>
      <c r="F776" s="1">
        <f t="array" ref="F776">IF(NOT(OR(ISERROR(INDIRECT(_xlfn.CONCAT("$I", $F775 + 1))), ISBLANK(INDIRECT(_xlfn.CONCAT("$I", $F775 + 1))))), $F775 + 1, IF(NOT(ISBLANK(INDIRECT(_xlfn.CONCAT("$I", $F775 + 2)))), $F775 + 2, ""))</f>
        <v/>
      </c>
      <c r="I776" s="8" t="inlineStr">
        <is>
          <t>Secret Lair Countdown SLC</t>
        </is>
      </c>
      <c r="J776" s="8" t="n">
        <v>84</v>
      </c>
      <c r="K776" s="9" t="n">
        <v>44866</v>
      </c>
      <c r="L776" s="8" t="inlineStr">
        <is>
          <t>en es fr de it pt ja ko ru 汉语 漢語</t>
        </is>
      </c>
    </row>
    <row r="777" ht="57.75" customHeight="1" s="6">
      <c r="A777" s="1">
        <f t="array" ref="A777">INDIRECT(_xlfn.CONCAT("$I", $F777))</f>
        <v/>
      </c>
      <c r="B777" s="1">
        <f t="array" ref="B777">INDIRECT(_xlfn.CONCAT("$J", $F777))</f>
        <v/>
      </c>
      <c r="C777" s="1">
        <f t="array" ref="C777">INDIRECT(_xlfn.CONCAT("$K", $F777))</f>
        <v/>
      </c>
      <c r="D777" s="1" t="n"/>
      <c r="E777" s="1">
        <f t="array" ref="E777">INDIRECT(_xlfn.CONCAT("$L", $F777))</f>
        <v/>
      </c>
      <c r="F777" s="1">
        <f t="array" ref="F777">IF(NOT(OR(ISERROR(INDIRECT(_xlfn.CONCAT("$I", $F776 + 1))), ISBLANK(INDIRECT(_xlfn.CONCAT("$I", $F776 + 1))))), $F776 + 1, IF(NOT(ISBLANK(INDIRECT(_xlfn.CONCAT("$I", $F776 + 2)))), $F776 + 2, ""))</f>
        <v/>
      </c>
    </row>
    <row r="778" ht="57.75" customHeight="1" s="6">
      <c r="A778" s="1">
        <f t="array" ref="A778">INDIRECT(_xlfn.CONCAT("$I", $F778))</f>
        <v/>
      </c>
      <c r="B778" s="1">
        <f t="array" ref="B778">INDIRECT(_xlfn.CONCAT("$J", $F778))</f>
        <v/>
      </c>
      <c r="C778" s="1">
        <f t="array" ref="C778">INDIRECT(_xlfn.CONCAT("$K", $F778))</f>
        <v/>
      </c>
      <c r="D778" s="1" t="n"/>
      <c r="E778" s="1">
        <f t="array" ref="E778">INDIRECT(_xlfn.CONCAT("$L", $F778))</f>
        <v/>
      </c>
      <c r="F778" s="1">
        <f t="array" ref="F778">IF(NOT(OR(ISERROR(INDIRECT(_xlfn.CONCAT("$I", $F777 + 1))), ISBLANK(INDIRECT(_xlfn.CONCAT("$I", $F777 + 1))))), $F777 + 1, IF(NOT(ISBLANK(INDIRECT(_xlfn.CONCAT("$I", $F777 + 2)))), $F777 + 2, ""))</f>
        <v/>
      </c>
      <c r="I778" s="8" t="inlineStr">
        <is>
          <t>Universes Within SLX</t>
        </is>
      </c>
      <c r="J778" s="8" t="n">
        <v>30</v>
      </c>
      <c r="K778" s="9" t="n">
        <v>44623</v>
      </c>
      <c r="L778" s="8" t="inlineStr">
        <is>
          <t>en es fr de it pt ja ko ru 汉语 漢語</t>
        </is>
      </c>
    </row>
    <row r="779" ht="57.75" customHeight="1" s="6">
      <c r="A779" s="1">
        <f t="array" ref="A779">INDIRECT(_xlfn.CONCAT("$I", $F779))</f>
        <v/>
      </c>
      <c r="B779" s="1">
        <f t="array" ref="B779">INDIRECT(_xlfn.CONCAT("$J", $F779))</f>
        <v/>
      </c>
      <c r="C779" s="1">
        <f t="array" ref="C779">INDIRECT(_xlfn.CONCAT("$K", $F779))</f>
        <v/>
      </c>
      <c r="D779" s="1" t="n"/>
      <c r="E779" s="1">
        <f t="array" ref="E779">INDIRECT(_xlfn.CONCAT("$L", $F779))</f>
        <v/>
      </c>
      <c r="F779" s="1">
        <f t="array" ref="F779">IF(NOT(OR(ISERROR(INDIRECT(_xlfn.CONCAT("$I", $F778 + 1))), ISBLANK(INDIRECT(_xlfn.CONCAT("$I", $F778 + 1))))), $F778 + 1, IF(NOT(ISBLANK(INDIRECT(_xlfn.CONCAT("$I", $F778 + 2)))), $F778 + 2, ""))</f>
        <v/>
      </c>
    </row>
    <row r="780" ht="57.75" customHeight="1" s="6">
      <c r="A780" s="1">
        <f t="array" ref="A780">INDIRECT(_xlfn.CONCAT("$I", $F780))</f>
        <v/>
      </c>
      <c r="B780" s="1">
        <f t="array" ref="B780">INDIRECT(_xlfn.CONCAT("$J", $F780))</f>
        <v/>
      </c>
      <c r="C780" s="1">
        <f t="array" ref="C780">INDIRECT(_xlfn.CONCAT("$K", $F780))</f>
        <v/>
      </c>
      <c r="D780" s="1" t="n"/>
      <c r="E780" s="1">
        <f t="array" ref="E780">INDIRECT(_xlfn.CONCAT("$L", $F780))</f>
        <v/>
      </c>
      <c r="F780" s="1">
        <f t="array" ref="F780">IF(NOT(OR(ISERROR(INDIRECT(_xlfn.CONCAT("$I", $F779 + 1))), ISBLANK(INDIRECT(_xlfn.CONCAT("$I", $F779 + 1))))), $F779 + 1, IF(NOT(ISBLANK(INDIRECT(_xlfn.CONCAT("$I", $F779 + 2)))), $F779 + 2, ""))</f>
        <v/>
      </c>
      <c r="I780" s="8" t="inlineStr">
        <is>
          <t>Secret Lair: Ultimate Edition SLU</t>
        </is>
      </c>
      <c r="J780" s="8" t="n">
        <v>16</v>
      </c>
      <c r="K780" s="9" t="n">
        <v>43980</v>
      </c>
      <c r="L780" s="8" t="inlineStr">
        <is>
          <t>en es fr de it pt ja ko ru 汉语 漢語</t>
        </is>
      </c>
    </row>
    <row r="781" ht="57.75" customHeight="1" s="6">
      <c r="A781" s="1">
        <f t="array" ref="A781">INDIRECT(_xlfn.CONCAT("$I", $F781))</f>
        <v/>
      </c>
      <c r="B781" s="1">
        <f t="array" ref="B781">INDIRECT(_xlfn.CONCAT("$J", $F781))</f>
        <v/>
      </c>
      <c r="C781" s="1">
        <f t="array" ref="C781">INDIRECT(_xlfn.CONCAT("$K", $F781))</f>
        <v/>
      </c>
      <c r="D781" s="1" t="n"/>
      <c r="E781" s="1">
        <f t="array" ref="E781">INDIRECT(_xlfn.CONCAT("$L", $F781))</f>
        <v/>
      </c>
      <c r="F781" s="1">
        <f t="array" ref="F781">IF(NOT(OR(ISERROR(INDIRECT(_xlfn.CONCAT("$I", $F780 + 1))), ISBLANK(INDIRECT(_xlfn.CONCAT("$I", $F780 + 1))))), $F780 + 1, IF(NOT(ISBLANK(INDIRECT(_xlfn.CONCAT("$I", $F780 + 2)))), $F780 + 2, ""))</f>
        <v/>
      </c>
    </row>
    <row r="782" ht="57.75" customHeight="1" s="6">
      <c r="A782" s="1">
        <f t="array" ref="A782">INDIRECT(_xlfn.CONCAT("$I", $F782))</f>
        <v/>
      </c>
      <c r="B782" s="1">
        <f t="array" ref="B782">INDIRECT(_xlfn.CONCAT("$J", $F782))</f>
        <v/>
      </c>
      <c r="C782" s="1">
        <f t="array" ref="C782">INDIRECT(_xlfn.CONCAT("$K", $F782))</f>
        <v/>
      </c>
      <c r="D782" s="1" t="n"/>
      <c r="E782" s="1">
        <f t="array" ref="E782">INDIRECT(_xlfn.CONCAT("$L", $F782))</f>
        <v/>
      </c>
      <c r="F782" s="1">
        <f t="array" ref="F782">IF(NOT(OR(ISERROR(INDIRECT(_xlfn.CONCAT("$I", $F781 + 1))), ISBLANK(INDIRECT(_xlfn.CONCAT("$I", $F781 + 1))))), $F781 + 1, IF(NOT(ISBLANK(INDIRECT(_xlfn.CONCAT("$I", $F781 + 2)))), $F781 + 2, ""))</f>
        <v/>
      </c>
      <c r="I782" s="8" t="inlineStr">
        <is>
          <t>Historic Anthology 1 HA1</t>
        </is>
      </c>
      <c r="J782" s="8" t="n">
        <v>20</v>
      </c>
      <c r="K782" s="9" t="n">
        <v>43790</v>
      </c>
      <c r="L782" s="8" t="inlineStr">
        <is>
          <t>en es fr de it pt ja ko ru 汉语 漢語</t>
        </is>
      </c>
    </row>
    <row r="783" ht="57.75" customHeight="1" s="6">
      <c r="A783" s="1">
        <f t="array" ref="A783">INDIRECT(_xlfn.CONCAT("$I", $F783))</f>
        <v/>
      </c>
      <c r="B783" s="1">
        <f t="array" ref="B783">INDIRECT(_xlfn.CONCAT("$J", $F783))</f>
        <v/>
      </c>
      <c r="C783" s="1">
        <f t="array" ref="C783">INDIRECT(_xlfn.CONCAT("$K", $F783))</f>
        <v/>
      </c>
      <c r="D783" s="1" t="n"/>
      <c r="E783" s="1">
        <f t="array" ref="E783">INDIRECT(_xlfn.CONCAT("$L", $F783))</f>
        <v/>
      </c>
      <c r="F783" s="1">
        <f t="array" ref="F783">IF(NOT(OR(ISERROR(INDIRECT(_xlfn.CONCAT("$I", $F782 + 1))), ISBLANK(INDIRECT(_xlfn.CONCAT("$I", $F782 + 1))))), $F782 + 1, IF(NOT(ISBLANK(INDIRECT(_xlfn.CONCAT("$I", $F782 + 2)))), $F782 + 2, ""))</f>
        <v/>
      </c>
    </row>
    <row r="784" ht="57.75" customHeight="1" s="6">
      <c r="A784" s="1">
        <f t="array" ref="A784">INDIRECT(_xlfn.CONCAT("$I", $F784))</f>
        <v/>
      </c>
      <c r="B784" s="1">
        <f t="array" ref="B784">INDIRECT(_xlfn.CONCAT("$J", $F784))</f>
        <v/>
      </c>
      <c r="C784" s="1">
        <f t="array" ref="C784">INDIRECT(_xlfn.CONCAT("$K", $F784))</f>
        <v/>
      </c>
      <c r="D784" s="1" t="n"/>
      <c r="E784" s="1">
        <f t="array" ref="E784">INDIRECT(_xlfn.CONCAT("$L", $F784))</f>
        <v/>
      </c>
      <c r="F784" s="1">
        <f t="array" ref="F784">IF(NOT(OR(ISERROR(INDIRECT(_xlfn.CONCAT("$I", $F783 + 1))), ISBLANK(INDIRECT(_xlfn.CONCAT("$I", $F783 + 1))))), $F783 + 1, IF(NOT(ISBLANK(INDIRECT(_xlfn.CONCAT("$I", $F783 + 2)))), $F783 + 2, ""))</f>
        <v/>
      </c>
      <c r="I784" s="8" t="inlineStr">
        <is>
          <t>Game Night 2019 GN2</t>
        </is>
      </c>
      <c r="J784" s="8" t="n">
        <v>64</v>
      </c>
      <c r="K784" s="9" t="n">
        <v>43784</v>
      </c>
      <c r="L784" s="8" t="inlineStr">
        <is>
          <t>en es fr de it pt ja ko ru 汉语 漢語</t>
        </is>
      </c>
    </row>
    <row r="785" ht="57.75" customHeight="1" s="6">
      <c r="A785" s="1">
        <f t="array" ref="A785">INDIRECT(_xlfn.CONCAT("$I", $F785))</f>
        <v/>
      </c>
      <c r="B785" s="1">
        <f t="array" ref="B785">INDIRECT(_xlfn.CONCAT("$J", $F785))</f>
        <v/>
      </c>
      <c r="C785" s="1">
        <f t="array" ref="C785">INDIRECT(_xlfn.CONCAT("$K", $F785))</f>
        <v/>
      </c>
      <c r="D785" s="1" t="n"/>
      <c r="E785" s="1">
        <f t="array" ref="E785">INDIRECT(_xlfn.CONCAT("$L", $F785))</f>
        <v/>
      </c>
      <c r="F785" s="1">
        <f t="array" ref="F785">IF(NOT(OR(ISERROR(INDIRECT(_xlfn.CONCAT("$I", $F784 + 1))), ISBLANK(INDIRECT(_xlfn.CONCAT("$I", $F784 + 1))))), $F784 + 1, IF(NOT(ISBLANK(INDIRECT(_xlfn.CONCAT("$I", $F784 + 2)))), $F784 + 2, ""))</f>
        <v/>
      </c>
    </row>
    <row r="786" ht="57.75" customHeight="1" s="6">
      <c r="A786" s="1">
        <f t="array" ref="A786">INDIRECT(_xlfn.CONCAT("$I", $F786))</f>
        <v/>
      </c>
      <c r="B786" s="1">
        <f t="array" ref="B786">INDIRECT(_xlfn.CONCAT("$J", $F786))</f>
        <v/>
      </c>
      <c r="C786" s="1">
        <f t="array" ref="C786">INDIRECT(_xlfn.CONCAT("$K", $F786))</f>
        <v/>
      </c>
      <c r="D786" s="1" t="n"/>
      <c r="E786" s="1">
        <f t="array" ref="E786">INDIRECT(_xlfn.CONCAT("$L", $F786))</f>
        <v/>
      </c>
      <c r="F786" s="1">
        <f t="array" ref="F786">IF(NOT(OR(ISERROR(INDIRECT(_xlfn.CONCAT("$I", $F785 + 1))), ISBLANK(INDIRECT(_xlfn.CONCAT("$I", $F785 + 1))))), $F785 + 1, IF(NOT(ISBLANK(INDIRECT(_xlfn.CONCAT("$I", $F785 + 2)))), $F785 + 2, ""))</f>
        <v/>
      </c>
      <c r="I786" s="8" t="inlineStr">
        <is>
          <t>Game Night 2019 Tokens TGN2</t>
        </is>
      </c>
      <c r="J786" s="8" t="n">
        <v>3</v>
      </c>
      <c r="K786" s="9" t="n">
        <v>43784</v>
      </c>
      <c r="L786" s="8" t="inlineStr">
        <is>
          <t>en es fr de it pt ja ko ru 汉语 漢語</t>
        </is>
      </c>
    </row>
    <row r="787" ht="57.75" customHeight="1" s="6">
      <c r="A787" s="1">
        <f t="array" ref="A787">INDIRECT(_xlfn.CONCAT("$I", $F787))</f>
        <v/>
      </c>
      <c r="B787" s="1">
        <f t="array" ref="B787">INDIRECT(_xlfn.CONCAT("$J", $F787))</f>
        <v/>
      </c>
      <c r="C787" s="1">
        <f t="array" ref="C787">INDIRECT(_xlfn.CONCAT("$K", $F787))</f>
        <v/>
      </c>
      <c r="D787" s="1" t="n"/>
      <c r="E787" s="1">
        <f t="array" ref="E787">INDIRECT(_xlfn.CONCAT("$L", $F787))</f>
        <v/>
      </c>
      <c r="F787" s="1">
        <f t="array" ref="F787">IF(NOT(OR(ISERROR(INDIRECT(_xlfn.CONCAT("$I", $F786 + 1))), ISBLANK(INDIRECT(_xlfn.CONCAT("$I", $F786 + 1))))), $F786 + 1, IF(NOT(ISBLANK(INDIRECT(_xlfn.CONCAT("$I", $F786 + 2)))), $F786 + 2, ""))</f>
        <v/>
      </c>
    </row>
    <row r="788" ht="57.75" customHeight="1" s="6">
      <c r="A788" s="1">
        <f t="array" ref="A788">INDIRECT(_xlfn.CONCAT("$I", $F788))</f>
        <v/>
      </c>
      <c r="B788" s="1">
        <f t="array" ref="B788">INDIRECT(_xlfn.CONCAT("$J", $F788))</f>
        <v/>
      </c>
      <c r="C788" s="1">
        <f t="array" ref="C788">INDIRECT(_xlfn.CONCAT("$K", $F788))</f>
        <v/>
      </c>
      <c r="D788" s="1" t="n"/>
      <c r="E788" s="1">
        <f t="array" ref="E788">INDIRECT(_xlfn.CONCAT("$L", $F788))</f>
        <v/>
      </c>
      <c r="F788" s="1">
        <f t="array" ref="F788">IF(NOT(OR(ISERROR(INDIRECT(_xlfn.CONCAT("$I", $F787 + 1))), ISBLANK(INDIRECT(_xlfn.CONCAT("$I", $F787 + 1))))), $F787 + 1, IF(NOT(ISBLANK(INDIRECT(_xlfn.CONCAT("$I", $F787 + 2)))), $F787 + 2, ""))</f>
        <v/>
      </c>
      <c r="I788" s="8" t="inlineStr">
        <is>
          <t>Mystery Booster Playtest Cards 2019 CMB1</t>
        </is>
      </c>
      <c r="J788" s="8" t="n">
        <v>121</v>
      </c>
      <c r="K788" s="9" t="n">
        <v>43776</v>
      </c>
      <c r="L788" s="8" t="inlineStr">
        <is>
          <t>en es fr de it pt ja ko ru 汉语 漢語</t>
        </is>
      </c>
    </row>
    <row r="789" ht="57.75" customHeight="1" s="6">
      <c r="A789" s="1">
        <f t="array" ref="A789">INDIRECT(_xlfn.CONCAT("$I", $F789))</f>
        <v/>
      </c>
      <c r="B789" s="1">
        <f t="array" ref="B789">INDIRECT(_xlfn.CONCAT("$J", $F789))</f>
        <v/>
      </c>
      <c r="C789" s="1">
        <f t="array" ref="C789">INDIRECT(_xlfn.CONCAT("$K", $F789))</f>
        <v/>
      </c>
      <c r="D789" s="1" t="n"/>
      <c r="E789" s="1">
        <f t="array" ref="E789">INDIRECT(_xlfn.CONCAT("$L", $F789))</f>
        <v/>
      </c>
      <c r="F789" s="1">
        <f t="array" ref="F789">IF(NOT(OR(ISERROR(INDIRECT(_xlfn.CONCAT("$I", $F788 + 1))), ISBLANK(INDIRECT(_xlfn.CONCAT("$I", $F788 + 1))))), $F788 + 1, IF(NOT(ISBLANK(INDIRECT(_xlfn.CONCAT("$I", $F788 + 2)))), $F788 + 2, ""))</f>
        <v/>
      </c>
    </row>
    <row r="790" ht="57.75" customHeight="1" s="6">
      <c r="A790" s="1">
        <f t="array" ref="A790">INDIRECT(_xlfn.CONCAT("$I", $F790))</f>
        <v/>
      </c>
      <c r="B790" s="1">
        <f t="array" ref="B790">INDIRECT(_xlfn.CONCAT("$J", $F790))</f>
        <v/>
      </c>
      <c r="C790" s="1">
        <f t="array" ref="C790">INDIRECT(_xlfn.CONCAT("$K", $F790))</f>
        <v/>
      </c>
      <c r="D790" s="1" t="n"/>
      <c r="E790" s="1">
        <f t="array" ref="E790">INDIRECT(_xlfn.CONCAT("$L", $F790))</f>
        <v/>
      </c>
      <c r="F790" s="1">
        <f t="array" ref="F790">IF(NOT(OR(ISERROR(INDIRECT(_xlfn.CONCAT("$I", $F789 + 1))), ISBLANK(INDIRECT(_xlfn.CONCAT("$I", $F789 + 1))))), $F789 + 1, IF(NOT(ISBLANK(INDIRECT(_xlfn.CONCAT("$I", $F789 + 2)))), $F789 + 2, ""))</f>
        <v/>
      </c>
      <c r="I790" s="8" t="inlineStr">
        <is>
          <t>Ponies: The Galloping PTG</t>
        </is>
      </c>
      <c r="J790" s="8" t="n">
        <v>3</v>
      </c>
      <c r="K790" s="9" t="n">
        <v>43760</v>
      </c>
      <c r="L790" s="8" t="inlineStr">
        <is>
          <t>en es fr de it pt ja ko ru 汉语 漢語</t>
        </is>
      </c>
    </row>
    <row r="791" ht="68.25" customHeight="1" s="6">
      <c r="A791" s="1">
        <f t="array" ref="A791">INDIRECT(_xlfn.CONCAT("$I", $F791))</f>
        <v/>
      </c>
      <c r="B791" s="1">
        <f t="array" ref="B791">INDIRECT(_xlfn.CONCAT("$J", $F791))</f>
        <v/>
      </c>
      <c r="C791" s="1">
        <f t="array" ref="C791">INDIRECT(_xlfn.CONCAT("$K", $F791))</f>
        <v/>
      </c>
      <c r="D791" s="1" t="n"/>
      <c r="E791" s="1">
        <f t="array" ref="E791">INDIRECT(_xlfn.CONCAT("$L", $F791))</f>
        <v/>
      </c>
      <c r="F791" s="1">
        <f t="array" ref="F791">IF(NOT(OR(ISERROR(INDIRECT(_xlfn.CONCAT("$I", $F790 + 1))), ISBLANK(INDIRECT(_xlfn.CONCAT("$I", $F790 + 1))))), $F790 + 1, IF(NOT(ISBLANK(INDIRECT(_xlfn.CONCAT("$I", $F790 + 2)))), $F790 + 2, ""))</f>
        <v/>
      </c>
    </row>
    <row r="792" ht="81" customHeight="1" s="6">
      <c r="A792" s="1">
        <f t="array" ref="A792">INDIRECT(_xlfn.CONCAT("$I", $F792))</f>
        <v/>
      </c>
      <c r="B792" s="1">
        <f t="array" ref="B792">INDIRECT(_xlfn.CONCAT("$J", $F792))</f>
        <v/>
      </c>
      <c r="C792" s="1">
        <f t="array" ref="C792">INDIRECT(_xlfn.CONCAT("$K", $F792))</f>
        <v/>
      </c>
      <c r="D792" s="1" t="n"/>
      <c r="E792" s="1">
        <f t="array" ref="E792">INDIRECT(_xlfn.CONCAT("$L", $F792))</f>
        <v/>
      </c>
      <c r="F792" s="1">
        <f t="array" ref="F792">IF(NOT(OR(ISERROR(INDIRECT(_xlfn.CONCAT("$I", $F791 + 1))), ISBLANK(INDIRECT(_xlfn.CONCAT("$I", $F791 + 1))))), $F791 + 1, IF(NOT(ISBLANK(INDIRECT(_xlfn.CONCAT("$I", $F791 + 2)))), $F791 + 2, ""))</f>
        <v/>
      </c>
      <c r="I792" s="8" t="inlineStr">
        <is>
          <t>Throne of Eldraine ELD</t>
        </is>
      </c>
      <c r="J792" s="8" t="n">
        <v>398</v>
      </c>
      <c r="K792" s="9" t="n">
        <v>43742</v>
      </c>
      <c r="L792" t="inlineStr">
        <is>
          <t>en es fr de it pt ja ko ru 汉语 漢語</t>
        </is>
      </c>
    </row>
    <row r="793" ht="57.75" customHeight="1" s="6">
      <c r="A793" s="1">
        <f t="array" ref="A793">INDIRECT(_xlfn.CONCAT("$I", $F793))</f>
        <v/>
      </c>
      <c r="B793" s="1">
        <f t="array" ref="B793">INDIRECT(_xlfn.CONCAT("$J", $F793))</f>
        <v/>
      </c>
      <c r="C793" s="1">
        <f t="array" ref="C793">INDIRECT(_xlfn.CONCAT("$K", $F793))</f>
        <v/>
      </c>
      <c r="D793" s="1" t="n"/>
      <c r="E793" s="1">
        <f t="array" ref="E793">INDIRECT(_xlfn.CONCAT("$L", $F793))</f>
        <v/>
      </c>
      <c r="F793" s="1">
        <f t="array" ref="F793">IF(NOT(OR(ISERROR(INDIRECT(_xlfn.CONCAT("$I", $F792 + 1))), ISBLANK(INDIRECT(_xlfn.CONCAT("$I", $F792 + 1))))), $F792 + 1, IF(NOT(ISBLANK(INDIRECT(_xlfn.CONCAT("$I", $F792 + 2)))), $F792 + 2, ""))</f>
        <v/>
      </c>
    </row>
    <row r="794" ht="57.75" customHeight="1" s="6">
      <c r="A794" s="1">
        <f t="array" ref="A794">INDIRECT(_xlfn.CONCAT("$I", $F794))</f>
        <v/>
      </c>
      <c r="B794" s="1">
        <f t="array" ref="B794">INDIRECT(_xlfn.CONCAT("$J", $F794))</f>
        <v/>
      </c>
      <c r="C794" s="1">
        <f t="array" ref="C794">INDIRECT(_xlfn.CONCAT("$K", $F794))</f>
        <v/>
      </c>
      <c r="D794" s="1" t="n"/>
      <c r="E794" s="1">
        <f t="array" ref="E794">INDIRECT(_xlfn.CONCAT("$L", $F794))</f>
        <v/>
      </c>
      <c r="F794" s="1">
        <f t="array" ref="F794">IF(NOT(OR(ISERROR(INDIRECT(_xlfn.CONCAT("$I", $F793 + 1))), ISBLANK(INDIRECT(_xlfn.CONCAT("$I", $F793 + 1))))), $F793 + 1, IF(NOT(ISBLANK(INDIRECT(_xlfn.CONCAT("$I", $F793 + 2)))), $F793 + 2, ""))</f>
        <v/>
      </c>
      <c r="I794" s="8" t="inlineStr">
        <is>
          <t>Throne of Eldraine Promos PELD</t>
        </is>
      </c>
      <c r="J794" s="8" t="n">
        <v>138</v>
      </c>
      <c r="K794" s="9" t="n">
        <v>43742</v>
      </c>
      <c r="L794" s="8" t="inlineStr">
        <is>
          <t>en es fr de it pt ja ko ru 汉语 漢語</t>
        </is>
      </c>
    </row>
    <row r="795" ht="57.75" customHeight="1" s="6">
      <c r="A795" s="1">
        <f t="array" ref="A795">INDIRECT(_xlfn.CONCAT("$I", $F795))</f>
        <v/>
      </c>
      <c r="B795" s="1">
        <f t="array" ref="B795">INDIRECT(_xlfn.CONCAT("$J", $F795))</f>
        <v/>
      </c>
      <c r="C795" s="1">
        <f t="array" ref="C795">INDIRECT(_xlfn.CONCAT("$K", $F795))</f>
        <v/>
      </c>
      <c r="D795" s="1" t="n"/>
      <c r="E795" s="1">
        <f t="array" ref="E795">INDIRECT(_xlfn.CONCAT("$L", $F795))</f>
        <v/>
      </c>
      <c r="F795" s="1">
        <f t="array" ref="F795">IF(NOT(OR(ISERROR(INDIRECT(_xlfn.CONCAT("$I", $F794 + 1))), ISBLANK(INDIRECT(_xlfn.CONCAT("$I", $F794 + 1))))), $F794 + 1, IF(NOT(ISBLANK(INDIRECT(_xlfn.CONCAT("$I", $F794 + 2)))), $F794 + 2, ""))</f>
        <v/>
      </c>
    </row>
    <row r="796" ht="57.75" customHeight="1" s="6">
      <c r="A796" s="1">
        <f t="array" ref="A796">INDIRECT(_xlfn.CONCAT("$I", $F796))</f>
        <v/>
      </c>
      <c r="B796" s="1">
        <f t="array" ref="B796">INDIRECT(_xlfn.CONCAT("$J", $F796))</f>
        <v/>
      </c>
      <c r="C796" s="1">
        <f t="array" ref="C796">INDIRECT(_xlfn.CONCAT("$K", $F796))</f>
        <v/>
      </c>
      <c r="D796" s="1" t="n"/>
      <c r="E796" s="1">
        <f t="array" ref="E796">INDIRECT(_xlfn.CONCAT("$L", $F796))</f>
        <v/>
      </c>
      <c r="F796" s="1">
        <f t="array" ref="F796">IF(NOT(OR(ISERROR(INDIRECT(_xlfn.CONCAT("$I", $F795 + 1))), ISBLANK(INDIRECT(_xlfn.CONCAT("$I", $F795 + 1))))), $F795 + 1, IF(NOT(ISBLANK(INDIRECT(_xlfn.CONCAT("$I", $F795 + 2)))), $F795 + 2, ""))</f>
        <v/>
      </c>
      <c r="I796" s="8" t="inlineStr">
        <is>
          <t>Throne of Eldraine Tokens TELD</t>
        </is>
      </c>
      <c r="J796" s="8" t="n">
        <v>20</v>
      </c>
      <c r="K796" s="9" t="n">
        <v>43742</v>
      </c>
      <c r="L796" s="8" t="inlineStr">
        <is>
          <t>en es fr de it pt ja ko ru 汉语 漢語</t>
        </is>
      </c>
    </row>
    <row r="797" ht="81" customHeight="1" s="6">
      <c r="A797" s="1">
        <f t="array" ref="A797">INDIRECT(_xlfn.CONCAT("$I", $F797))</f>
        <v/>
      </c>
      <c r="B797" s="1">
        <f t="array" ref="B797">INDIRECT(_xlfn.CONCAT("$J", $F797))</f>
        <v/>
      </c>
      <c r="C797" s="1">
        <f t="array" ref="C797">INDIRECT(_xlfn.CONCAT("$K", $F797))</f>
        <v/>
      </c>
      <c r="D797" s="1" t="n"/>
      <c r="E797" s="1">
        <f t="array" ref="E797">INDIRECT(_xlfn.CONCAT("$L", $F797))</f>
        <v/>
      </c>
      <c r="F797" s="1">
        <f t="array" ref="F797">IF(NOT(OR(ISERROR(INDIRECT(_xlfn.CONCAT("$I", $F796 + 1))), ISBLANK(INDIRECT(_xlfn.CONCAT("$I", $F796 + 1))))), $F796 + 1, IF(NOT(ISBLANK(INDIRECT(_xlfn.CONCAT("$I", $F796 + 2)))), $F796 + 2, ""))</f>
        <v/>
      </c>
    </row>
    <row r="798" ht="57.75" customHeight="1" s="6">
      <c r="A798" s="1">
        <f t="array" ref="A798">INDIRECT(_xlfn.CONCAT("$I", $F798))</f>
        <v/>
      </c>
      <c r="B798" s="1">
        <f t="array" ref="B798">INDIRECT(_xlfn.CONCAT("$J", $F798))</f>
        <v/>
      </c>
      <c r="C798" s="1">
        <f t="array" ref="C798">INDIRECT(_xlfn.CONCAT("$K", $F798))</f>
        <v/>
      </c>
      <c r="D798" s="1" t="n"/>
      <c r="E798" s="1">
        <f t="array" ref="E798">INDIRECT(_xlfn.CONCAT("$L", $F798))</f>
        <v/>
      </c>
      <c r="F798" s="1">
        <f t="array" ref="F798">IF(NOT(OR(ISERROR(INDIRECT(_xlfn.CONCAT("$I", $F797 + 1))), ISBLANK(INDIRECT(_xlfn.CONCAT("$I", $F797 + 1))))), $F797 + 1, IF(NOT(ISBLANK(INDIRECT(_xlfn.CONCAT("$I", $F797 + 2)))), $F797 + 2, ""))</f>
        <v/>
      </c>
      <c r="I798" s="8" t="inlineStr">
        <is>
          <t>Planeswalker Championship Promos PWCS</t>
        </is>
      </c>
      <c r="J798" s="8" t="n">
        <v>42</v>
      </c>
      <c r="K798" s="9" t="n">
        <v>43739</v>
      </c>
      <c r="L798" s="8" t="inlineStr">
        <is>
          <t>en es fr de it pt ja ko ru 汉语 漢語</t>
        </is>
      </c>
    </row>
    <row r="799" ht="57.75" customHeight="1" s="6">
      <c r="A799" s="1">
        <f t="array" ref="A799">INDIRECT(_xlfn.CONCAT("$I", $F799))</f>
        <v/>
      </c>
      <c r="B799" s="1">
        <f t="array" ref="B799">INDIRECT(_xlfn.CONCAT("$J", $F799))</f>
        <v/>
      </c>
      <c r="C799" s="1">
        <f t="array" ref="C799">INDIRECT(_xlfn.CONCAT("$K", $F799))</f>
        <v/>
      </c>
      <c r="D799" s="1" t="n"/>
      <c r="E799" s="1">
        <f t="array" ref="E799">INDIRECT(_xlfn.CONCAT("$L", $F799))</f>
        <v/>
      </c>
      <c r="F799" s="1">
        <f t="array" ref="F799">IF(NOT(OR(ISERROR(INDIRECT(_xlfn.CONCAT("$I", $F798 + 1))), ISBLANK(INDIRECT(_xlfn.CONCAT("$I", $F798 + 1))))), $F798 + 1, IF(NOT(ISBLANK(INDIRECT(_xlfn.CONCAT("$I", $F798 + 2)))), $F798 + 2, ""))</f>
        <v/>
      </c>
    </row>
    <row r="800" ht="57.75" customHeight="1" s="6">
      <c r="A800" s="1">
        <f t="array" ref="A800">INDIRECT(_xlfn.CONCAT("$I", $F800))</f>
        <v/>
      </c>
      <c r="B800" s="1">
        <f t="array" ref="B800">INDIRECT(_xlfn.CONCAT("$J", $F800))</f>
        <v/>
      </c>
      <c r="C800" s="1">
        <f t="array" ref="C800">INDIRECT(_xlfn.CONCAT("$K", $F800))</f>
        <v/>
      </c>
      <c r="D800" s="1" t="n"/>
      <c r="E800" s="1">
        <f t="array" ref="E800">INDIRECT(_xlfn.CONCAT("$L", $F800))</f>
        <v/>
      </c>
      <c r="F800" s="1">
        <f t="array" ref="F800">IF(NOT(OR(ISERROR(INDIRECT(_xlfn.CONCAT("$I", $F799 + 1))), ISBLANK(INDIRECT(_xlfn.CONCAT("$I", $F799 + 1))))), $F799 + 1, IF(NOT(ISBLANK(INDIRECT(_xlfn.CONCAT("$I", $F799 + 2)))), $F799 + 2, ""))</f>
        <v/>
      </c>
      <c r="I800" s="8" t="inlineStr">
        <is>
          <t>Grixis Cube GRIXIS</t>
        </is>
      </c>
      <c r="J800" s="8" t="n">
        <v>540</v>
      </c>
      <c r="K800" s="9" t="n">
        <v>43705</v>
      </c>
    </row>
    <row r="801" ht="57.75" customHeight="1" s="6">
      <c r="A801" s="1">
        <f t="array" ref="A801">INDIRECT(_xlfn.CONCAT("$I", $F801))</f>
        <v/>
      </c>
      <c r="B801" s="1">
        <f t="array" ref="B801">INDIRECT(_xlfn.CONCAT("$J", $F801))</f>
        <v/>
      </c>
      <c r="C801" s="1">
        <f t="array" ref="C801">INDIRECT(_xlfn.CONCAT("$K", $F801))</f>
        <v/>
      </c>
      <c r="D801" s="1" t="n"/>
      <c r="E801" s="1">
        <f t="array" ref="E801">INDIRECT(_xlfn.CONCAT("$L", $F801))</f>
        <v/>
      </c>
      <c r="F801" s="1">
        <f t="array" ref="F801">IF(NOT(OR(ISERROR(INDIRECT(_xlfn.CONCAT("$I", $F800 + 1))), ISBLANK(INDIRECT(_xlfn.CONCAT("$I", $F800 + 1))))), $F800 + 1, IF(NOT(ISBLANK(INDIRECT(_xlfn.CONCAT("$I", $F800 + 2)))), $F800 + 2, ""))</f>
        <v/>
      </c>
    </row>
    <row r="802" ht="68.25" customHeight="1" s="6">
      <c r="A802" s="1">
        <f t="array" ref="A802">INDIRECT(_xlfn.CONCAT("$I", $F802))</f>
        <v/>
      </c>
      <c r="B802" s="1">
        <f t="array" ref="B802">INDIRECT(_xlfn.CONCAT("$J", $F802))</f>
        <v/>
      </c>
      <c r="C802" s="1">
        <f t="array" ref="C802">INDIRECT(_xlfn.CONCAT("$K", $F802))</f>
        <v/>
      </c>
      <c r="D802" s="1" t="n"/>
      <c r="E802" s="1">
        <f t="array" ref="E802">INDIRECT(_xlfn.CONCAT("$L", $F802))</f>
        <v/>
      </c>
      <c r="F802" s="1">
        <f t="array" ref="F802">IF(NOT(OR(ISERROR(INDIRECT(_xlfn.CONCAT("$I", $F801 + 1))), ISBLANK(INDIRECT(_xlfn.CONCAT("$I", $F801 + 1))))), $F801 + 1, IF(NOT(ISBLANK(INDIRECT(_xlfn.CONCAT("$I", $F801 + 2)))), $F801 + 2, ""))</f>
        <v/>
      </c>
      <c r="I802" s="8" t="inlineStr">
        <is>
          <t>Commander 2019 C19</t>
        </is>
      </c>
      <c r="J802" s="8" t="n">
        <v>302</v>
      </c>
      <c r="K802" s="9" t="n">
        <v>43700</v>
      </c>
      <c r="L802" t="inlineStr">
        <is>
          <t>en es fr de it pt ja ko ru 汉语 漢語</t>
        </is>
      </c>
    </row>
    <row r="803" ht="81" customHeight="1" s="6">
      <c r="A803" s="1">
        <f t="array" ref="A803">INDIRECT(_xlfn.CONCAT("$I", $F803))</f>
        <v/>
      </c>
      <c r="B803" s="1">
        <f t="array" ref="B803">INDIRECT(_xlfn.CONCAT("$J", $F803))</f>
        <v/>
      </c>
      <c r="C803" s="1">
        <f t="array" ref="C803">INDIRECT(_xlfn.CONCAT("$K", $F803))</f>
        <v/>
      </c>
      <c r="D803" s="1" t="n"/>
      <c r="E803" s="1">
        <f t="array" ref="E803">INDIRECT(_xlfn.CONCAT("$L", $F803))</f>
        <v/>
      </c>
      <c r="F803" s="1">
        <f t="array" ref="F803">IF(NOT(OR(ISERROR(INDIRECT(_xlfn.CONCAT("$I", $F802 + 1))), ISBLANK(INDIRECT(_xlfn.CONCAT("$I", $F802 + 1))))), $F802 + 1, IF(NOT(ISBLANK(INDIRECT(_xlfn.CONCAT("$I", $F802 + 2)))), $F802 + 2, ""))</f>
        <v/>
      </c>
    </row>
    <row r="804" ht="57.75" customHeight="1" s="6">
      <c r="A804" s="1">
        <f t="array" ref="A804">INDIRECT(_xlfn.CONCAT("$I", $F804))</f>
        <v/>
      </c>
      <c r="B804" s="1">
        <f t="array" ref="B804">INDIRECT(_xlfn.CONCAT("$J", $F804))</f>
        <v/>
      </c>
      <c r="C804" s="1">
        <f t="array" ref="C804">INDIRECT(_xlfn.CONCAT("$K", $F804))</f>
        <v/>
      </c>
      <c r="D804" s="1" t="n"/>
      <c r="E804" s="1">
        <f t="array" ref="E804">INDIRECT(_xlfn.CONCAT("$L", $F804))</f>
        <v/>
      </c>
      <c r="F804" s="1">
        <f t="array" ref="F804">IF(NOT(OR(ISERROR(INDIRECT(_xlfn.CONCAT("$I", $F803 + 1))), ISBLANK(INDIRECT(_xlfn.CONCAT("$I", $F803 + 1))))), $F803 + 1, IF(NOT(ISBLANK(INDIRECT(_xlfn.CONCAT("$I", $F803 + 2)))), $F803 + 2, ""))</f>
        <v/>
      </c>
      <c r="I804" s="8" t="inlineStr">
        <is>
          <t>Commander 2019 Tokens TC19</t>
        </is>
      </c>
      <c r="J804" s="8" t="n">
        <v>29</v>
      </c>
      <c r="K804" s="9" t="n">
        <v>43678</v>
      </c>
      <c r="L804" s="8" t="inlineStr">
        <is>
          <t>en es fr de it pt ja ko ru 汉语 漢語</t>
        </is>
      </c>
    </row>
    <row r="805" ht="57.75" customHeight="1" s="6">
      <c r="A805" s="1">
        <f t="array" ref="A805">INDIRECT(_xlfn.CONCAT("$I", $F805))</f>
        <v/>
      </c>
      <c r="B805" s="1">
        <f t="array" ref="B805">INDIRECT(_xlfn.CONCAT("$J", $F805))</f>
        <v/>
      </c>
      <c r="C805" s="1">
        <f t="array" ref="C805">INDIRECT(_xlfn.CONCAT("$K", $F805))</f>
        <v/>
      </c>
      <c r="D805" s="1" t="n"/>
      <c r="E805" s="1">
        <f t="array" ref="E805">INDIRECT(_xlfn.CONCAT("$L", $F805))</f>
        <v/>
      </c>
      <c r="F805" s="1">
        <f t="array" ref="F805">IF(NOT(OR(ISERROR(INDIRECT(_xlfn.CONCAT("$I", $F804 + 1))), ISBLANK(INDIRECT(_xlfn.CONCAT("$I", $F804 + 1))))), $F804 + 1, IF(NOT(ISBLANK(INDIRECT(_xlfn.CONCAT("$I", $F804 + 2)))), $F804 + 2, ""))</f>
        <v/>
      </c>
    </row>
    <row r="806" ht="57.75" customHeight="1" s="6">
      <c r="A806" s="1">
        <f t="array" ref="A806">INDIRECT(_xlfn.CONCAT("$I", $F806))</f>
        <v/>
      </c>
      <c r="B806" s="1">
        <f t="array" ref="B806">INDIRECT(_xlfn.CONCAT("$J", $F806))</f>
        <v/>
      </c>
      <c r="C806" s="1">
        <f t="array" ref="C806">INDIRECT(_xlfn.CONCAT("$K", $F806))</f>
        <v/>
      </c>
      <c r="D806" s="1" t="n"/>
      <c r="E806" s="1">
        <f t="array" ref="E806">INDIRECT(_xlfn.CONCAT("$L", $F806))</f>
        <v/>
      </c>
      <c r="F806" s="1">
        <f t="array" ref="F806">IF(NOT(OR(ISERROR(INDIRECT(_xlfn.CONCAT("$I", $F805 + 1))), ISBLANK(INDIRECT(_xlfn.CONCAT("$I", $F805 + 1))))), $F805 + 1, IF(NOT(ISBLANK(INDIRECT(_xlfn.CONCAT("$I", $F805 + 2)))), $F805 + 2, ""))</f>
        <v/>
      </c>
      <c r="I806" s="8" t="inlineStr">
        <is>
          <t>Commander 2019 Oversized OC19</t>
        </is>
      </c>
      <c r="J806" s="8" t="n">
        <v>4</v>
      </c>
      <c r="K806" s="9" t="n">
        <v>43708</v>
      </c>
      <c r="L806" s="8" t="inlineStr">
        <is>
          <t>en es fr de it pt ja ko ru 汉语 漢語</t>
        </is>
      </c>
    </row>
    <row r="807" ht="57.75" customHeight="1" s="6">
      <c r="A807" s="1">
        <f t="array" ref="A807">INDIRECT(_xlfn.CONCAT("$I", $F807))</f>
        <v/>
      </c>
      <c r="B807" s="1">
        <f t="array" ref="B807">INDIRECT(_xlfn.CONCAT("$J", $F807))</f>
        <v/>
      </c>
      <c r="C807" s="1">
        <f t="array" ref="C807">INDIRECT(_xlfn.CONCAT("$K", $F807))</f>
        <v/>
      </c>
      <c r="D807" s="1" t="n"/>
      <c r="E807" s="1">
        <f t="array" ref="E807">INDIRECT(_xlfn.CONCAT("$L", $F807))</f>
        <v/>
      </c>
      <c r="F807" s="1">
        <f t="array" ref="F807">IF(NOT(OR(ISERROR(INDIRECT(_xlfn.CONCAT("$I", $F806 + 1))), ISBLANK(INDIRECT(_xlfn.CONCAT("$I", $F806 + 1))))), $F806 + 1, IF(NOT(ISBLANK(INDIRECT(_xlfn.CONCAT("$I", $F806 + 2)))), $F806 + 2, ""))</f>
        <v/>
      </c>
    </row>
    <row r="808" ht="57.75" customHeight="1" s="6">
      <c r="A808" s="1">
        <f t="array" ref="A808">INDIRECT(_xlfn.CONCAT("$I", $F808))</f>
        <v/>
      </c>
      <c r="B808" s="1">
        <f t="array" ref="B808">INDIRECT(_xlfn.CONCAT("$J", $F808))</f>
        <v/>
      </c>
      <c r="C808" s="1">
        <f t="array" ref="C808">INDIRECT(_xlfn.CONCAT("$K", $F808))</f>
        <v/>
      </c>
      <c r="D808" s="1" t="n"/>
      <c r="E808" s="1">
        <f t="array" ref="E808">INDIRECT(_xlfn.CONCAT("$L", $F808))</f>
        <v/>
      </c>
      <c r="F808" s="1">
        <f t="array" ref="F808">IF(NOT(OR(ISERROR(INDIRECT(_xlfn.CONCAT("$I", $F807 + 1))), ISBLANK(INDIRECT(_xlfn.CONCAT("$I", $F807 + 1))))), $F807 + 1, IF(NOT(ISBLANK(INDIRECT(_xlfn.CONCAT("$I", $F807 + 2)))), $F807 + 2, ""))</f>
        <v/>
      </c>
      <c r="I808" s="8" t="inlineStr">
        <is>
          <t>2018 Heroes of the Realm PH18</t>
        </is>
      </c>
      <c r="J808" s="8" t="n">
        <v>5</v>
      </c>
      <c r="K808" s="9" t="n">
        <v>43678</v>
      </c>
      <c r="L808" s="8" t="inlineStr">
        <is>
          <t>en es fr de it pt ja ko ru 汉语 漢語</t>
        </is>
      </c>
    </row>
    <row r="809" ht="57.75" customHeight="1" s="6">
      <c r="A809" s="1">
        <f t="array" ref="A809">INDIRECT(_xlfn.CONCAT("$I", $F809))</f>
        <v/>
      </c>
      <c r="B809" s="1">
        <f t="array" ref="B809">INDIRECT(_xlfn.CONCAT("$J", $F809))</f>
        <v/>
      </c>
      <c r="C809" s="1">
        <f t="array" ref="C809">INDIRECT(_xlfn.CONCAT("$K", $F809))</f>
        <v/>
      </c>
      <c r="D809" s="1" t="n"/>
      <c r="E809" s="1">
        <f t="array" ref="E809">INDIRECT(_xlfn.CONCAT("$L", $F809))</f>
        <v/>
      </c>
      <c r="F809" s="1">
        <f t="array" ref="F809">IF(NOT(OR(ISERROR(INDIRECT(_xlfn.CONCAT("$I", $F808 + 1))), ISBLANK(INDIRECT(_xlfn.CONCAT("$I", $F808 + 1))))), $F808 + 1, IF(NOT(ISBLANK(INDIRECT(_xlfn.CONCAT("$I", $F808 + 2)))), $F808 + 2, ""))</f>
        <v/>
      </c>
    </row>
    <row r="810" ht="57.75" customHeight="1" s="6">
      <c r="A810" s="1">
        <f t="array" ref="A810">INDIRECT(_xlfn.CONCAT("$I", $F810))</f>
        <v/>
      </c>
      <c r="B810" s="1">
        <f t="array" ref="B810">INDIRECT(_xlfn.CONCAT("$J", $F810))</f>
        <v/>
      </c>
      <c r="C810" s="1">
        <f t="array" ref="C810">INDIRECT(_xlfn.CONCAT("$K", $F810))</f>
        <v/>
      </c>
      <c r="D810" s="1" t="n"/>
      <c r="E810" s="1">
        <f t="array" ref="E810">INDIRECT(_xlfn.CONCAT("$L", $F810))</f>
        <v/>
      </c>
      <c r="F810" s="1">
        <f t="array" ref="F810">IF(NOT(OR(ISERROR(INDIRECT(_xlfn.CONCAT("$I", $F809 + 1))), ISBLANK(INDIRECT(_xlfn.CONCAT("$I", $F809 + 1))))), $F809 + 1, IF(NOT(ISBLANK(INDIRECT(_xlfn.CONCAT("$I", $F809 + 2)))), $F809 + 2, ""))</f>
        <v/>
      </c>
      <c r="I810" s="8" t="inlineStr">
        <is>
          <t>San Diego Comic-Con 2019 PS19</t>
        </is>
      </c>
      <c r="J810" s="8" t="n">
        <v>5</v>
      </c>
      <c r="K810" s="9" t="n">
        <v>43664</v>
      </c>
      <c r="L810" s="8" t="inlineStr">
        <is>
          <t>en es fr de it pt ja ko ru 汉语 漢語</t>
        </is>
      </c>
    </row>
    <row r="811" ht="57.75" customHeight="1" s="6">
      <c r="A811" s="1">
        <f t="array" ref="A811">INDIRECT(_xlfn.CONCAT("$I", $F811))</f>
        <v/>
      </c>
      <c r="B811" s="1">
        <f t="array" ref="B811">INDIRECT(_xlfn.CONCAT("$J", $F811))</f>
        <v/>
      </c>
      <c r="C811" s="1">
        <f t="array" ref="C811">INDIRECT(_xlfn.CONCAT("$K", $F811))</f>
        <v/>
      </c>
      <c r="D811" s="1" t="n"/>
      <c r="E811" s="1">
        <f t="array" ref="E811">INDIRECT(_xlfn.CONCAT("$L", $F811))</f>
        <v/>
      </c>
      <c r="F811" s="1">
        <f t="array" ref="F811">IF(NOT(OR(ISERROR(INDIRECT(_xlfn.CONCAT("$I", $F810 + 1))), ISBLANK(INDIRECT(_xlfn.CONCAT("$I", $F810 + 1))))), $F810 + 1, IF(NOT(ISBLANK(INDIRECT(_xlfn.CONCAT("$I", $F810 + 2)))), $F810 + 2, ""))</f>
        <v/>
      </c>
    </row>
    <row r="812" ht="57.75" customHeight="1" s="6">
      <c r="A812" s="1">
        <f t="array" ref="A812">INDIRECT(_xlfn.CONCAT("$I", $F812))</f>
        <v/>
      </c>
      <c r="B812" s="1">
        <f t="array" ref="B812">INDIRECT(_xlfn.CONCAT("$J", $F812))</f>
        <v/>
      </c>
      <c r="C812" s="1">
        <f t="array" ref="C812">INDIRECT(_xlfn.CONCAT("$K", $F812))</f>
        <v/>
      </c>
      <c r="D812" s="1" t="n"/>
      <c r="E812" s="1">
        <f t="array" ref="E812">INDIRECT(_xlfn.CONCAT("$L", $F812))</f>
        <v/>
      </c>
      <c r="F812" s="1">
        <f t="array" ref="F812">IF(NOT(OR(ISERROR(INDIRECT(_xlfn.CONCAT("$I", $F811 + 1))), ISBLANK(INDIRECT(_xlfn.CONCAT("$I", $F811 + 1))))), $F811 + 1, IF(NOT(ISBLANK(INDIRECT(_xlfn.CONCAT("$I", $F811 + 2)))), $F811 + 2, ""))</f>
        <v/>
      </c>
      <c r="I812" s="8" t="inlineStr">
        <is>
          <t>Core Set 2020 M20</t>
        </is>
      </c>
      <c r="J812" s="8" t="n">
        <v>346</v>
      </c>
      <c r="K812" s="9" t="n">
        <v>43658</v>
      </c>
      <c r="L812" t="inlineStr">
        <is>
          <t>en es fr de it pt ja ko ru 汉语 漢語</t>
        </is>
      </c>
    </row>
    <row r="813" ht="57.75" customHeight="1" s="6">
      <c r="A813" s="1">
        <f t="array" ref="A813">INDIRECT(_xlfn.CONCAT("$I", $F813))</f>
        <v/>
      </c>
      <c r="B813" s="1">
        <f t="array" ref="B813">INDIRECT(_xlfn.CONCAT("$J", $F813))</f>
        <v/>
      </c>
      <c r="C813" s="1">
        <f t="array" ref="C813">INDIRECT(_xlfn.CONCAT("$K", $F813))</f>
        <v/>
      </c>
      <c r="D813" s="1" t="n"/>
      <c r="E813" s="1">
        <f t="array" ref="E813">INDIRECT(_xlfn.CONCAT("$L", $F813))</f>
        <v/>
      </c>
      <c r="F813" s="1">
        <f t="array" ref="F813">IF(NOT(OR(ISERROR(INDIRECT(_xlfn.CONCAT("$I", $F812 + 1))), ISBLANK(INDIRECT(_xlfn.CONCAT("$I", $F812 + 1))))), $F812 + 1, IF(NOT(ISBLANK(INDIRECT(_xlfn.CONCAT("$I", $F812 + 2)))), $F812 + 2, ""))</f>
        <v/>
      </c>
    </row>
    <row r="814" ht="57.75" customHeight="1" s="6">
      <c r="A814" s="1">
        <f t="array" ref="A814">INDIRECT(_xlfn.CONCAT("$I", $F814))</f>
        <v/>
      </c>
      <c r="B814" s="1">
        <f t="array" ref="B814">INDIRECT(_xlfn.CONCAT("$J", $F814))</f>
        <v/>
      </c>
      <c r="C814" s="1">
        <f t="array" ref="C814">INDIRECT(_xlfn.CONCAT("$K", $F814))</f>
        <v/>
      </c>
      <c r="D814" s="1" t="n"/>
      <c r="E814" s="1">
        <f t="array" ref="E814">INDIRECT(_xlfn.CONCAT("$L", $F814))</f>
        <v/>
      </c>
      <c r="F814" s="1">
        <f t="array" ref="F814">IF(NOT(OR(ISERROR(INDIRECT(_xlfn.CONCAT("$I", $F813 + 1))), ISBLANK(INDIRECT(_xlfn.CONCAT("$I", $F813 + 1))))), $F813 + 1, IF(NOT(ISBLANK(INDIRECT(_xlfn.CONCAT("$I", $F813 + 2)))), $F813 + 2, ""))</f>
        <v/>
      </c>
      <c r="I814" s="8" t="inlineStr">
        <is>
          <t>Core Set 2020 Promos PM20</t>
        </is>
      </c>
      <c r="J814" s="8" t="n">
        <v>144</v>
      </c>
      <c r="K814" s="9" t="n">
        <v>43658</v>
      </c>
      <c r="L814" s="8" t="inlineStr">
        <is>
          <t>en es fr de it pt ja ko ru 汉语 漢語</t>
        </is>
      </c>
    </row>
    <row r="815" ht="57.75" customHeight="1" s="6">
      <c r="A815" s="1">
        <f t="array" ref="A815">INDIRECT(_xlfn.CONCAT("$I", $F815))</f>
        <v/>
      </c>
      <c r="B815" s="1">
        <f t="array" ref="B815">INDIRECT(_xlfn.CONCAT("$J", $F815))</f>
        <v/>
      </c>
      <c r="C815" s="1">
        <f t="array" ref="C815">INDIRECT(_xlfn.CONCAT("$K", $F815))</f>
        <v/>
      </c>
      <c r="D815" s="1" t="n"/>
      <c r="E815" s="1">
        <f t="array" ref="E815">INDIRECT(_xlfn.CONCAT("$L", $F815))</f>
        <v/>
      </c>
      <c r="F815" s="1">
        <f t="array" ref="F815">IF(NOT(OR(ISERROR(INDIRECT(_xlfn.CONCAT("$I", $F814 + 1))), ISBLANK(INDIRECT(_xlfn.CONCAT("$I", $F814 + 1))))), $F814 + 1, IF(NOT(ISBLANK(INDIRECT(_xlfn.CONCAT("$I", $F814 + 2)))), $F814 + 2, ""))</f>
        <v/>
      </c>
    </row>
    <row r="816" ht="57.75" customHeight="1" s="6">
      <c r="A816" s="1">
        <f t="array" ref="A816">INDIRECT(_xlfn.CONCAT("$I", $F816))</f>
        <v/>
      </c>
      <c r="B816" s="1">
        <f t="array" ref="B816">INDIRECT(_xlfn.CONCAT("$J", $F816))</f>
        <v/>
      </c>
      <c r="C816" s="1">
        <f t="array" ref="C816">INDIRECT(_xlfn.CONCAT("$K", $F816))</f>
        <v/>
      </c>
      <c r="D816" s="1" t="n"/>
      <c r="E816" s="1">
        <f t="array" ref="E816">INDIRECT(_xlfn.CONCAT("$L", $F816))</f>
        <v/>
      </c>
      <c r="F816" s="1">
        <f t="array" ref="F816">IF(NOT(OR(ISERROR(INDIRECT(_xlfn.CONCAT("$I", $F815 + 1))), ISBLANK(INDIRECT(_xlfn.CONCAT("$I", $F815 + 1))))), $F815 + 1, IF(NOT(ISBLANK(INDIRECT(_xlfn.CONCAT("$I", $F815 + 2)))), $F815 + 2, ""))</f>
        <v/>
      </c>
      <c r="I816" s="8" t="inlineStr">
        <is>
          <t>Core Set 2020 Tokens TM20</t>
        </is>
      </c>
      <c r="J816" s="8" t="n">
        <v>12</v>
      </c>
      <c r="K816" s="9" t="n">
        <v>43658</v>
      </c>
      <c r="L816" s="8" t="inlineStr">
        <is>
          <t>en es fr de it pt ja ko ru 汉语 漢語</t>
        </is>
      </c>
    </row>
    <row r="817" ht="57.75" customHeight="1" s="6">
      <c r="A817" s="1">
        <f t="array" ref="A817">INDIRECT(_xlfn.CONCAT("$I", $F817))</f>
        <v/>
      </c>
      <c r="B817" s="1">
        <f t="array" ref="B817">INDIRECT(_xlfn.CONCAT("$J", $F817))</f>
        <v/>
      </c>
      <c r="C817" s="1">
        <f t="array" ref="C817">INDIRECT(_xlfn.CONCAT("$K", $F817))</f>
        <v/>
      </c>
      <c r="D817" s="1" t="n"/>
      <c r="E817" s="1">
        <f t="array" ref="E817">INDIRECT(_xlfn.CONCAT("$L", $F817))</f>
        <v/>
      </c>
      <c r="F817" s="1">
        <f t="array" ref="F817">IF(NOT(OR(ISERROR(INDIRECT(_xlfn.CONCAT("$I", $F816 + 1))), ISBLANK(INDIRECT(_xlfn.CONCAT("$I", $F816 + 1))))), $F816 + 1, IF(NOT(ISBLANK(INDIRECT(_xlfn.CONCAT("$I", $F816 + 2)))), $F816 + 2, ""))</f>
        <v/>
      </c>
    </row>
    <row r="818" ht="57.75" customHeight="1" s="6">
      <c r="A818" s="1">
        <f t="array" ref="A818">INDIRECT(_xlfn.CONCAT("$I", $F818))</f>
        <v/>
      </c>
      <c r="B818" s="1">
        <f t="array" ref="B818">INDIRECT(_xlfn.CONCAT("$J", $F818))</f>
        <v/>
      </c>
      <c r="C818" s="1">
        <f t="array" ref="C818">INDIRECT(_xlfn.CONCAT("$K", $F818))</f>
        <v/>
      </c>
      <c r="D818" s="1" t="n"/>
      <c r="E818" s="1">
        <f t="array" ref="E818">INDIRECT(_xlfn.CONCAT("$L", $F818))</f>
        <v/>
      </c>
      <c r="F818" s="1">
        <f t="array" ref="F818">IF(NOT(OR(ISERROR(INDIRECT(_xlfn.CONCAT("$I", $F817 + 1))), ISBLANK(INDIRECT(_xlfn.CONCAT("$I", $F817 + 1))))), $F817 + 1, IF(NOT(ISBLANK(INDIRECT(_xlfn.CONCAT("$I", $F817 + 2)))), $F817 + 2, ""))</f>
        <v/>
      </c>
      <c r="I818" s="8" t="inlineStr">
        <is>
          <t>M20 Promo Packs PPP1</t>
        </is>
      </c>
      <c r="J818" s="8" t="n">
        <v>5</v>
      </c>
      <c r="K818" s="9" t="n">
        <v>43658</v>
      </c>
      <c r="L818" s="8" t="inlineStr">
        <is>
          <t>en es fr de it pt ja ko ru 汉语 漢語</t>
        </is>
      </c>
    </row>
    <row r="819" ht="57.75" customHeight="1" s="6">
      <c r="A819" s="1">
        <f t="array" ref="A819">INDIRECT(_xlfn.CONCAT("$I", $F819))</f>
        <v/>
      </c>
      <c r="B819" s="1">
        <f t="array" ref="B819">INDIRECT(_xlfn.CONCAT("$J", $F819))</f>
        <v/>
      </c>
      <c r="C819" s="1">
        <f t="array" ref="C819">INDIRECT(_xlfn.CONCAT("$K", $F819))</f>
        <v/>
      </c>
      <c r="D819" s="1" t="n"/>
      <c r="E819" s="1">
        <f t="array" ref="E819">INDIRECT(_xlfn.CONCAT("$L", $F819))</f>
        <v/>
      </c>
      <c r="F819" s="1">
        <f t="array" ref="F819">IF(NOT(OR(ISERROR(INDIRECT(_xlfn.CONCAT("$I", $F818 + 1))), ISBLANK(INDIRECT(_xlfn.CONCAT("$I", $F818 + 1))))), $F818 + 1, IF(NOT(ISBLANK(INDIRECT(_xlfn.CONCAT("$I", $F818 + 2)))), $F818 + 2, ""))</f>
        <v/>
      </c>
    </row>
    <row r="820" ht="57.75" customHeight="1" s="6">
      <c r="A820" s="1">
        <f t="array" ref="A820">INDIRECT(_xlfn.CONCAT("$I", $F820))</f>
        <v/>
      </c>
      <c r="B820" s="1">
        <f t="array" ref="B820">INDIRECT(_xlfn.CONCAT("$J", $F820))</f>
        <v/>
      </c>
      <c r="C820" s="1">
        <f t="array" ref="C820">INDIRECT(_xlfn.CONCAT("$K", $F820))</f>
        <v/>
      </c>
      <c r="D820" s="1" t="n"/>
      <c r="E820" s="1">
        <f t="array" ref="E820">INDIRECT(_xlfn.CONCAT("$L", $F820))</f>
        <v/>
      </c>
      <c r="F820" s="1">
        <f t="array" ref="F820">IF(NOT(OR(ISERROR(INDIRECT(_xlfn.CONCAT("$I", $F819 + 1))), ISBLANK(INDIRECT(_xlfn.CONCAT("$I", $F819 + 1))))), $F819 + 1, IF(NOT(ISBLANK(INDIRECT(_xlfn.CONCAT("$I", $F819 + 2)))), $F819 + 2, ""))</f>
        <v/>
      </c>
      <c r="I820" s="8" t="inlineStr">
        <is>
          <t>Signature Spellbook: Gideon SS2</t>
        </is>
      </c>
      <c r="J820" s="8" t="n">
        <v>8</v>
      </c>
      <c r="K820" s="9" t="n">
        <v>43644</v>
      </c>
      <c r="L820" s="8" t="inlineStr">
        <is>
          <t>en es fr de it pt ja ko ru 汉语 漢語</t>
        </is>
      </c>
    </row>
    <row r="821" ht="57.75" customHeight="1" s="6">
      <c r="A821" s="1">
        <f t="array" ref="A821">INDIRECT(_xlfn.CONCAT("$I", $F821))</f>
        <v/>
      </c>
      <c r="B821" s="1">
        <f t="array" ref="B821">INDIRECT(_xlfn.CONCAT("$J", $F821))</f>
        <v/>
      </c>
      <c r="C821" s="1">
        <f t="array" ref="C821">INDIRECT(_xlfn.CONCAT("$K", $F821))</f>
        <v/>
      </c>
      <c r="D821" s="1" t="n"/>
      <c r="E821" s="1">
        <f t="array" ref="E821">INDIRECT(_xlfn.CONCAT("$L", $F821))</f>
        <v/>
      </c>
      <c r="F821" s="1">
        <f t="array" ref="F821">IF(NOT(OR(ISERROR(INDIRECT(_xlfn.CONCAT("$I", $F820 + 1))), ISBLANK(INDIRECT(_xlfn.CONCAT("$I", $F820 + 1))))), $F820 + 1, IF(NOT(ISBLANK(INDIRECT(_xlfn.CONCAT("$I", $F820 + 2)))), $F820 + 2, ""))</f>
        <v/>
      </c>
    </row>
    <row r="822" ht="57.75" customHeight="1" s="6">
      <c r="A822" s="1">
        <f t="array" ref="A822">INDIRECT(_xlfn.CONCAT("$I", $F822))</f>
        <v/>
      </c>
      <c r="B822" s="1">
        <f t="array" ref="B822">INDIRECT(_xlfn.CONCAT("$J", $F822))</f>
        <v/>
      </c>
      <c r="C822" s="1">
        <f t="array" ref="C822">INDIRECT(_xlfn.CONCAT("$K", $F822))</f>
        <v/>
      </c>
      <c r="D822" s="1" t="n"/>
      <c r="E822" s="1">
        <f t="array" ref="E822">INDIRECT(_xlfn.CONCAT("$L", $F822))</f>
        <v/>
      </c>
      <c r="F822" s="1">
        <f t="array" ref="F822">IF(NOT(OR(ISERROR(INDIRECT(_xlfn.CONCAT("$I", $F821 + 1))), ISBLANK(INDIRECT(_xlfn.CONCAT("$I", $F821 + 1))))), $F821 + 1, IF(NOT(ISBLANK(INDIRECT(_xlfn.CONCAT("$I", $F821 + 2)))), $F821 + 2, ""))</f>
        <v/>
      </c>
      <c r="I822" s="8" t="inlineStr">
        <is>
          <t>Modern Horizons MH1</t>
        </is>
      </c>
      <c r="J822" s="8" t="n">
        <v>255</v>
      </c>
      <c r="K822" s="9" t="n">
        <v>43630</v>
      </c>
      <c r="L822" t="inlineStr">
        <is>
          <t>en es fr de it pt ja ko ru 汉语 漢語</t>
        </is>
      </c>
    </row>
    <row r="823" ht="68.25" customHeight="1" s="6">
      <c r="A823" s="1">
        <f t="array" ref="A823">INDIRECT(_xlfn.CONCAT("$I", $F823))</f>
        <v/>
      </c>
      <c r="B823" s="1">
        <f t="array" ref="B823">INDIRECT(_xlfn.CONCAT("$J", $F823))</f>
        <v/>
      </c>
      <c r="C823" s="1">
        <f t="array" ref="C823">INDIRECT(_xlfn.CONCAT("$K", $F823))</f>
        <v/>
      </c>
      <c r="D823" s="1" t="n"/>
      <c r="E823" s="1">
        <f t="array" ref="E823">INDIRECT(_xlfn.CONCAT("$L", $F823))</f>
        <v/>
      </c>
      <c r="F823" s="1">
        <f t="array" ref="F823">IF(NOT(OR(ISERROR(INDIRECT(_xlfn.CONCAT("$I", $F822 + 1))), ISBLANK(INDIRECT(_xlfn.CONCAT("$I", $F822 + 1))))), $F822 + 1, IF(NOT(ISBLANK(INDIRECT(_xlfn.CONCAT("$I", $F822 + 2)))), $F822 + 2, ""))</f>
        <v/>
      </c>
    </row>
    <row r="824" ht="81" customHeight="1" s="6">
      <c r="A824" s="1">
        <f t="array" ref="A824">INDIRECT(_xlfn.CONCAT("$I", $F824))</f>
        <v/>
      </c>
      <c r="B824" s="1">
        <f t="array" ref="B824">INDIRECT(_xlfn.CONCAT("$J", $F824))</f>
        <v/>
      </c>
      <c r="C824" s="1">
        <f t="array" ref="C824">INDIRECT(_xlfn.CONCAT("$K", $F824))</f>
        <v/>
      </c>
      <c r="D824" s="1" t="n"/>
      <c r="E824" s="1">
        <f t="array" ref="E824">INDIRECT(_xlfn.CONCAT("$L", $F824))</f>
        <v/>
      </c>
      <c r="F824" s="1">
        <f t="array" ref="F824">IF(NOT(OR(ISERROR(INDIRECT(_xlfn.CONCAT("$I", $F823 + 1))), ISBLANK(INDIRECT(_xlfn.CONCAT("$I", $F823 + 1))))), $F823 + 1, IF(NOT(ISBLANK(INDIRECT(_xlfn.CONCAT("$I", $F823 + 2)))), $F823 + 2, ""))</f>
        <v/>
      </c>
      <c r="I824" s="8" t="inlineStr">
        <is>
          <t>Modern Horizons Promos PMH1</t>
        </is>
      </c>
      <c r="J824" s="8" t="n">
        <v>2</v>
      </c>
      <c r="K824" s="9" t="n">
        <v>43630</v>
      </c>
      <c r="L824" s="8" t="inlineStr">
        <is>
          <t>en es fr de it pt ja ko ru 汉语 漢語</t>
        </is>
      </c>
    </row>
    <row r="825" ht="57.75" customHeight="1" s="6">
      <c r="A825" s="1">
        <f t="array" ref="A825">INDIRECT(_xlfn.CONCAT("$I", $F825))</f>
        <v/>
      </c>
      <c r="B825" s="1">
        <f t="array" ref="B825">INDIRECT(_xlfn.CONCAT("$J", $F825))</f>
        <v/>
      </c>
      <c r="C825" s="1">
        <f t="array" ref="C825">INDIRECT(_xlfn.CONCAT("$K", $F825))</f>
        <v/>
      </c>
      <c r="D825" s="1" t="n"/>
      <c r="E825" s="1">
        <f t="array" ref="E825">INDIRECT(_xlfn.CONCAT("$L", $F825))</f>
        <v/>
      </c>
      <c r="F825" s="1">
        <f t="array" ref="F825">IF(NOT(OR(ISERROR(INDIRECT(_xlfn.CONCAT("$I", $F824 + 1))), ISBLANK(INDIRECT(_xlfn.CONCAT("$I", $F824 + 1))))), $F824 + 1, IF(NOT(ISBLANK(INDIRECT(_xlfn.CONCAT("$I", $F824 + 2)))), $F824 + 2, ""))</f>
        <v/>
      </c>
    </row>
    <row r="826" ht="57.75" customHeight="1" s="6">
      <c r="A826" s="1">
        <f t="array" ref="A826">INDIRECT(_xlfn.CONCAT("$I", $F826))</f>
        <v/>
      </c>
      <c r="B826" s="1">
        <f t="array" ref="B826">INDIRECT(_xlfn.CONCAT("$J", $F826))</f>
        <v/>
      </c>
      <c r="C826" s="1">
        <f t="array" ref="C826">INDIRECT(_xlfn.CONCAT("$K", $F826))</f>
        <v/>
      </c>
      <c r="D826" s="1" t="n"/>
      <c r="E826" s="1">
        <f t="array" ref="E826">INDIRECT(_xlfn.CONCAT("$L", $F826))</f>
        <v/>
      </c>
      <c r="F826" s="1">
        <f t="array" ref="F826">IF(NOT(OR(ISERROR(INDIRECT(_xlfn.CONCAT("$I", $F825 + 1))), ISBLANK(INDIRECT(_xlfn.CONCAT("$I", $F825 + 1))))), $F825 + 1, IF(NOT(ISBLANK(INDIRECT(_xlfn.CONCAT("$I", $F825 + 2)))), $F825 + 2, ""))</f>
        <v/>
      </c>
      <c r="I826" s="8" t="inlineStr">
        <is>
          <t>Modern Horizons Tokens TMH1</t>
        </is>
      </c>
      <c r="J826" s="8" t="n">
        <v>21</v>
      </c>
      <c r="K826" s="9" t="n">
        <v>43615</v>
      </c>
      <c r="L826" s="8" t="inlineStr">
        <is>
          <t>en es fr de it pt ja ko ru 汉语 漢語</t>
        </is>
      </c>
    </row>
    <row r="827" ht="57.75" customHeight="1" s="6">
      <c r="A827" s="1">
        <f t="array" ref="A827">INDIRECT(_xlfn.CONCAT("$I", $F827))</f>
        <v/>
      </c>
      <c r="B827" s="1">
        <f t="array" ref="B827">INDIRECT(_xlfn.CONCAT("$J", $F827))</f>
        <v/>
      </c>
      <c r="C827" s="1">
        <f t="array" ref="C827">INDIRECT(_xlfn.CONCAT("$K", $F827))</f>
        <v/>
      </c>
      <c r="D827" s="1" t="n"/>
      <c r="E827" s="1">
        <f t="array" ref="E827">INDIRECT(_xlfn.CONCAT("$L", $F827))</f>
        <v/>
      </c>
      <c r="F827" s="1">
        <f t="array" ref="F827">IF(NOT(OR(ISERROR(INDIRECT(_xlfn.CONCAT("$I", $F826 + 1))), ISBLANK(INDIRECT(_xlfn.CONCAT("$I", $F826 + 1))))), $F826 + 1, IF(NOT(ISBLANK(INDIRECT(_xlfn.CONCAT("$I", $F826 + 2)))), $F826 + 2, ""))</f>
        <v/>
      </c>
    </row>
    <row r="828" ht="57.75" customHeight="1" s="6">
      <c r="A828" s="1">
        <f t="array" ref="A828">INDIRECT(_xlfn.CONCAT("$I", $F828))</f>
        <v/>
      </c>
      <c r="B828" s="1">
        <f t="array" ref="B828">INDIRECT(_xlfn.CONCAT("$J", $F828))</f>
        <v/>
      </c>
      <c r="C828" s="1">
        <f t="array" ref="C828">INDIRECT(_xlfn.CONCAT("$K", $F828))</f>
        <v/>
      </c>
      <c r="D828" s="1" t="n"/>
      <c r="E828" s="1">
        <f t="array" ref="E828">INDIRECT(_xlfn.CONCAT("$L", $F828))</f>
        <v/>
      </c>
      <c r="F828" s="1">
        <f t="array" ref="F828">IF(NOT(OR(ISERROR(INDIRECT(_xlfn.CONCAT("$I", $F827 + 1))), ISBLANK(INDIRECT(_xlfn.CONCAT("$I", $F827 + 1))))), $F827 + 1, IF(NOT(ISBLANK(INDIRECT(_xlfn.CONCAT("$I", $F827 + 2)))), $F827 + 2, ""))</f>
        <v/>
      </c>
      <c r="I828" s="8" t="inlineStr">
        <is>
          <t>Modern Horizons Art Series AMH1</t>
        </is>
      </c>
      <c r="J828" s="8" t="n">
        <v>54</v>
      </c>
      <c r="K828" s="9" t="n">
        <v>43621</v>
      </c>
      <c r="L828" s="8" t="inlineStr">
        <is>
          <t>en es fr de it pt ja ko ru 汉语 漢語</t>
        </is>
      </c>
    </row>
    <row r="829" ht="57.75" customHeight="1" s="6">
      <c r="A829" s="1">
        <f t="array" ref="A829">INDIRECT(_xlfn.CONCAT("$I", $F829))</f>
        <v/>
      </c>
      <c r="B829" s="1">
        <f t="array" ref="B829">INDIRECT(_xlfn.CONCAT("$J", $F829))</f>
        <v/>
      </c>
      <c r="C829" s="1">
        <f t="array" ref="C829">INDIRECT(_xlfn.CONCAT("$K", $F829))</f>
        <v/>
      </c>
      <c r="D829" s="1" t="n"/>
      <c r="E829" s="1">
        <f t="array" ref="E829">INDIRECT(_xlfn.CONCAT("$L", $F829))</f>
        <v/>
      </c>
      <c r="F829" s="1">
        <f t="array" ref="F829">IF(NOT(OR(ISERROR(INDIRECT(_xlfn.CONCAT("$I", $F828 + 1))), ISBLANK(INDIRECT(_xlfn.CONCAT("$I", $F828 + 1))))), $F828 + 1, IF(NOT(ISBLANK(INDIRECT(_xlfn.CONCAT("$I", $F828 + 2)))), $F828 + 2, ""))</f>
        <v/>
      </c>
    </row>
    <row r="830" ht="57.75" customHeight="1" s="6">
      <c r="A830" s="1">
        <f t="array" ref="A830">INDIRECT(_xlfn.CONCAT("$I", $F830))</f>
        <v/>
      </c>
      <c r="B830" s="1">
        <f t="array" ref="B830">INDIRECT(_xlfn.CONCAT("$J", $F830))</f>
        <v/>
      </c>
      <c r="C830" s="1">
        <f t="array" ref="C830">INDIRECT(_xlfn.CONCAT("$K", $F830))</f>
        <v/>
      </c>
      <c r="D830" s="1" t="n"/>
      <c r="E830" s="1">
        <f t="array" ref="E830">INDIRECT(_xlfn.CONCAT("$L", $F830))</f>
        <v/>
      </c>
      <c r="F830" s="1">
        <f t="array" ref="F830">IF(NOT(OR(ISERROR(INDIRECT(_xlfn.CONCAT("$I", $F829 + 1))), ISBLANK(INDIRECT(_xlfn.CONCAT("$I", $F829 + 1))))), $F829 + 1, IF(NOT(ISBLANK(INDIRECT(_xlfn.CONCAT("$I", $F829 + 2)))), $F829 + 2, ""))</f>
        <v/>
      </c>
      <c r="I830" s="8" t="inlineStr">
        <is>
          <t>War of the Spark WAR</t>
        </is>
      </c>
      <c r="J830" s="8" t="n">
        <v>312</v>
      </c>
      <c r="K830" s="9" t="n">
        <v>43588</v>
      </c>
      <c r="L830" t="inlineStr">
        <is>
          <t>en es fr de it pt ja ko ru 汉语 漢語</t>
        </is>
      </c>
    </row>
    <row r="831" ht="57.75" customHeight="1" s="6">
      <c r="A831" s="1">
        <f t="array" ref="A831">INDIRECT(_xlfn.CONCAT("$I", $F831))</f>
        <v/>
      </c>
      <c r="B831" s="1">
        <f t="array" ref="B831">INDIRECT(_xlfn.CONCAT("$J", $F831))</f>
        <v/>
      </c>
      <c r="C831" s="1">
        <f t="array" ref="C831">INDIRECT(_xlfn.CONCAT("$K", $F831))</f>
        <v/>
      </c>
      <c r="D831" s="1" t="n"/>
      <c r="E831" s="1">
        <f t="array" ref="E831">INDIRECT(_xlfn.CONCAT("$L", $F831))</f>
        <v/>
      </c>
      <c r="F831" s="1">
        <f t="array" ref="F831">IF(NOT(OR(ISERROR(INDIRECT(_xlfn.CONCAT("$I", $F830 + 1))), ISBLANK(INDIRECT(_xlfn.CONCAT("$I", $F830 + 1))))), $F830 + 1, IF(NOT(ISBLANK(INDIRECT(_xlfn.CONCAT("$I", $F830 + 2)))), $F830 + 2, ""))</f>
        <v/>
      </c>
    </row>
    <row r="832" ht="57.75" customHeight="1" s="6">
      <c r="A832" s="1">
        <f t="array" ref="A832">INDIRECT(_xlfn.CONCAT("$I", $F832))</f>
        <v/>
      </c>
      <c r="B832" s="1">
        <f t="array" ref="B832">INDIRECT(_xlfn.CONCAT("$J", $F832))</f>
        <v/>
      </c>
      <c r="C832" s="1">
        <f t="array" ref="C832">INDIRECT(_xlfn.CONCAT("$K", $F832))</f>
        <v/>
      </c>
      <c r="D832" s="1" t="n"/>
      <c r="E832" s="1">
        <f t="array" ref="E832">INDIRECT(_xlfn.CONCAT("$L", $F832))</f>
        <v/>
      </c>
      <c r="F832" s="1">
        <f t="array" ref="F832">IF(NOT(OR(ISERROR(INDIRECT(_xlfn.CONCAT("$I", $F831 + 1))), ISBLANK(INDIRECT(_xlfn.CONCAT("$I", $F831 + 1))))), $F831 + 1, IF(NOT(ISBLANK(INDIRECT(_xlfn.CONCAT("$I", $F831 + 2)))), $F831 + 2, ""))</f>
        <v/>
      </c>
      <c r="I832" s="8" t="inlineStr">
        <is>
          <t>War of the Spark Promos PWAR</t>
        </is>
      </c>
      <c r="J832" s="8" t="n">
        <v>176</v>
      </c>
      <c r="K832" s="9" t="n">
        <v>43588</v>
      </c>
      <c r="L832" t="inlineStr">
        <is>
          <t>en es fr de it pt ja ko ru 汉语 漢語</t>
        </is>
      </c>
    </row>
    <row r="833" ht="57.75" customHeight="1" s="6">
      <c r="A833" s="1">
        <f t="array" ref="A833">INDIRECT(_xlfn.CONCAT("$I", $F833))</f>
        <v/>
      </c>
      <c r="B833" s="1">
        <f t="array" ref="B833">INDIRECT(_xlfn.CONCAT("$J", $F833))</f>
        <v/>
      </c>
      <c r="C833" s="1">
        <f t="array" ref="C833">INDIRECT(_xlfn.CONCAT("$K", $F833))</f>
        <v/>
      </c>
      <c r="D833" s="1" t="n"/>
      <c r="E833" s="1">
        <f t="array" ref="E833">INDIRECT(_xlfn.CONCAT("$L", $F833))</f>
        <v/>
      </c>
      <c r="F833" s="1">
        <f t="array" ref="F833">IF(NOT(OR(ISERROR(INDIRECT(_xlfn.CONCAT("$I", $F832 + 1))), ISBLANK(INDIRECT(_xlfn.CONCAT("$I", $F832 + 1))))), $F832 + 1, IF(NOT(ISBLANK(INDIRECT(_xlfn.CONCAT("$I", $F832 + 2)))), $F832 + 2, ""))</f>
        <v/>
      </c>
    </row>
    <row r="834" ht="57.75" customHeight="1" s="6">
      <c r="A834" s="1">
        <f t="array" ref="A834">INDIRECT(_xlfn.CONCAT("$I", $F834))</f>
        <v/>
      </c>
      <c r="B834" s="1">
        <f t="array" ref="B834">INDIRECT(_xlfn.CONCAT("$J", $F834))</f>
        <v/>
      </c>
      <c r="C834" s="1">
        <f t="array" ref="C834">INDIRECT(_xlfn.CONCAT("$K", $F834))</f>
        <v/>
      </c>
      <c r="D834" s="1" t="n"/>
      <c r="E834" s="1">
        <f t="array" ref="E834">INDIRECT(_xlfn.CONCAT("$L", $F834))</f>
        <v/>
      </c>
      <c r="F834" s="1">
        <f t="array" ref="F834">IF(NOT(OR(ISERROR(INDIRECT(_xlfn.CONCAT("$I", $F833 + 1))), ISBLANK(INDIRECT(_xlfn.CONCAT("$I", $F833 + 1))))), $F833 + 1, IF(NOT(ISBLANK(INDIRECT(_xlfn.CONCAT("$I", $F833 + 2)))), $F833 + 2, ""))</f>
        <v/>
      </c>
      <c r="I834" s="8" t="inlineStr">
        <is>
          <t>War of the Spark Tokens TWAR</t>
        </is>
      </c>
      <c r="J834" s="8" t="n">
        <v>19</v>
      </c>
      <c r="K834" s="9" t="n">
        <v>43588</v>
      </c>
      <c r="L834" s="8" t="inlineStr">
        <is>
          <t>en es fr de it pt ja ko ru 汉语 漢語</t>
        </is>
      </c>
    </row>
    <row r="835" ht="57.75" customHeight="1" s="6">
      <c r="A835" s="1">
        <f t="array" ref="A835">INDIRECT(_xlfn.CONCAT("$I", $F835))</f>
        <v/>
      </c>
      <c r="B835" s="1">
        <f t="array" ref="B835">INDIRECT(_xlfn.CONCAT("$J", $F835))</f>
        <v/>
      </c>
      <c r="C835" s="1">
        <f t="array" ref="C835">INDIRECT(_xlfn.CONCAT("$K", $F835))</f>
        <v/>
      </c>
      <c r="D835" s="1" t="n"/>
      <c r="E835" s="1">
        <f t="array" ref="E835">INDIRECT(_xlfn.CONCAT("$L", $F835))</f>
        <v/>
      </c>
      <c r="F835" s="1">
        <f t="array" ref="F835">IF(NOT(OR(ISERROR(INDIRECT(_xlfn.CONCAT("$I", $F834 + 1))), ISBLANK(INDIRECT(_xlfn.CONCAT("$I", $F834 + 1))))), $F834 + 1, IF(NOT(ISBLANK(INDIRECT(_xlfn.CONCAT("$I", $F834 + 2)))), $F834 + 2, ""))</f>
        <v/>
      </c>
    </row>
    <row r="836" ht="57.75" customHeight="1" s="6">
      <c r="A836" s="1">
        <f t="array" ref="A836">INDIRECT(_xlfn.CONCAT("$I", $F836))</f>
        <v/>
      </c>
      <c r="B836" s="1">
        <f t="array" ref="B836">INDIRECT(_xlfn.CONCAT("$J", $F836))</f>
        <v/>
      </c>
      <c r="C836" s="1">
        <f t="array" ref="C836">INDIRECT(_xlfn.CONCAT("$K", $F836))</f>
        <v/>
      </c>
      <c r="D836" s="1" t="n"/>
      <c r="E836" s="1">
        <f t="array" ref="E836">INDIRECT(_xlfn.CONCAT("$L", $F836))</f>
        <v/>
      </c>
      <c r="F836" s="1">
        <f t="array" ref="F836">IF(NOT(OR(ISERROR(INDIRECT(_xlfn.CONCAT("$I", $F835 + 1))), ISBLANK(INDIRECT(_xlfn.CONCAT("$I", $F835 + 1))))), $F835 + 1, IF(NOT(ISBLANK(INDIRECT(_xlfn.CONCAT("$I", $F835 + 2)))), $F835 + 2, ""))</f>
        <v/>
      </c>
      <c r="I836" s="8" t="inlineStr">
        <is>
          <t>Judge Gift Cards 2019 J19</t>
        </is>
      </c>
      <c r="J836" s="8" t="n">
        <v>8</v>
      </c>
      <c r="K836" s="9" t="n">
        <v>43565</v>
      </c>
      <c r="L836" s="8" t="inlineStr">
        <is>
          <t>en es fr de it pt ja ko ru 汉语 漢語</t>
        </is>
      </c>
    </row>
    <row r="837" ht="57.75" customHeight="1" s="6">
      <c r="A837" s="1">
        <f t="array" ref="A837">INDIRECT(_xlfn.CONCAT("$I", $F837))</f>
        <v/>
      </c>
      <c r="B837" s="1">
        <f t="array" ref="B837">INDIRECT(_xlfn.CONCAT("$J", $F837))</f>
        <v/>
      </c>
      <c r="C837" s="1">
        <f t="array" ref="C837">INDIRECT(_xlfn.CONCAT("$K", $F837))</f>
        <v/>
      </c>
      <c r="D837" s="1" t="n"/>
      <c r="E837" s="1">
        <f t="array" ref="E837">INDIRECT(_xlfn.CONCAT("$L", $F837))</f>
        <v/>
      </c>
      <c r="F837" s="1">
        <f t="array" ref="F837">IF(NOT(OR(ISERROR(INDIRECT(_xlfn.CONCAT("$I", $F836 + 1))), ISBLANK(INDIRECT(_xlfn.CONCAT("$I", $F836 + 1))))), $F836 + 1, IF(NOT(ISBLANK(INDIRECT(_xlfn.CONCAT("$I", $F836 + 2)))), $F836 + 2, ""))</f>
        <v/>
      </c>
    </row>
    <row r="838" ht="57.75" customHeight="1" s="6">
      <c r="A838" s="1">
        <f t="array" ref="A838">INDIRECT(_xlfn.CONCAT("$I", $F838))</f>
        <v/>
      </c>
      <c r="B838" s="1">
        <f t="array" ref="B838">INDIRECT(_xlfn.CONCAT("$J", $F838))</f>
        <v/>
      </c>
      <c r="C838" s="1">
        <f t="array" ref="C838">INDIRECT(_xlfn.CONCAT("$K", $F838))</f>
        <v/>
      </c>
      <c r="D838" s="1" t="n"/>
      <c r="E838" s="1">
        <f t="array" ref="E838">INDIRECT(_xlfn.CONCAT("$L", $F838))</f>
        <v/>
      </c>
      <c r="F838" s="1">
        <f t="array" ref="F838">IF(NOT(OR(ISERROR(INDIRECT(_xlfn.CONCAT("$I", $F837 + 1))), ISBLANK(INDIRECT(_xlfn.CONCAT("$I", $F837 + 1))))), $F837 + 1, IF(NOT(ISBLANK(INDIRECT(_xlfn.CONCAT("$I", $F837 + 2)))), $F837 + 2, ""))</f>
        <v/>
      </c>
      <c r="I838" s="8" t="inlineStr">
        <is>
          <t>RNA Guild Kit GK2</t>
        </is>
      </c>
      <c r="J838" s="8" t="n">
        <v>133</v>
      </c>
      <c r="K838" s="9" t="n">
        <v>43511</v>
      </c>
      <c r="L838" t="inlineStr">
        <is>
          <t>en es fr de it pt ja ko ru 汉语 漢語</t>
        </is>
      </c>
    </row>
    <row r="839" ht="57.75" customHeight="1" s="6">
      <c r="A839" s="1">
        <f t="array" ref="A839">INDIRECT(_xlfn.CONCAT("$I", $F839))</f>
        <v/>
      </c>
      <c r="B839" s="1">
        <f t="array" ref="B839">INDIRECT(_xlfn.CONCAT("$J", $F839))</f>
        <v/>
      </c>
      <c r="C839" s="1">
        <f t="array" ref="C839">INDIRECT(_xlfn.CONCAT("$K", $F839))</f>
        <v/>
      </c>
      <c r="D839" s="1" t="n"/>
      <c r="E839" s="1">
        <f t="array" ref="E839">INDIRECT(_xlfn.CONCAT("$L", $F839))</f>
        <v/>
      </c>
      <c r="F839" s="1">
        <f t="array" ref="F839">IF(NOT(OR(ISERROR(INDIRECT(_xlfn.CONCAT("$I", $F838 + 1))), ISBLANK(INDIRECT(_xlfn.CONCAT("$I", $F838 + 1))))), $F838 + 1, IF(NOT(ISBLANK(INDIRECT(_xlfn.CONCAT("$I", $F838 + 2)))), $F838 + 2, ""))</f>
        <v/>
      </c>
    </row>
    <row r="840" ht="57.75" customHeight="1" s="6">
      <c r="A840" s="1">
        <f t="array" ref="A840">INDIRECT(_xlfn.CONCAT("$I", $F840))</f>
        <v/>
      </c>
      <c r="B840" s="1">
        <f t="array" ref="B840">INDIRECT(_xlfn.CONCAT("$J", $F840))</f>
        <v/>
      </c>
      <c r="C840" s="1">
        <f t="array" ref="C840">INDIRECT(_xlfn.CONCAT("$K", $F840))</f>
        <v/>
      </c>
      <c r="D840" s="1" t="n"/>
      <c r="E840" s="1">
        <f t="array" ref="E840">INDIRECT(_xlfn.CONCAT("$L", $F840))</f>
        <v/>
      </c>
      <c r="F840" s="1">
        <f t="array" ref="F840">IF(NOT(OR(ISERROR(INDIRECT(_xlfn.CONCAT("$I", $F839 + 1))), ISBLANK(INDIRECT(_xlfn.CONCAT("$I", $F839 + 1))))), $F839 + 1, IF(NOT(ISBLANK(INDIRECT(_xlfn.CONCAT("$I", $F839 + 2)))), $F839 + 2, ""))</f>
        <v/>
      </c>
      <c r="I840" s="8" t="inlineStr">
        <is>
          <t>RNA Guild Kit Tokens TGK2</t>
        </is>
      </c>
      <c r="J840" s="8" t="n">
        <v>9</v>
      </c>
      <c r="K840" s="9" t="n">
        <v>43511</v>
      </c>
      <c r="L840" s="8" t="inlineStr">
        <is>
          <t>en es fr de it pt ja ko ru 汉语 漢語</t>
        </is>
      </c>
    </row>
    <row r="841" ht="57.75" customHeight="1" s="6">
      <c r="A841" s="1">
        <f t="array" ref="A841">INDIRECT(_xlfn.CONCAT("$I", $F841))</f>
        <v/>
      </c>
      <c r="B841" s="1">
        <f t="array" ref="B841">INDIRECT(_xlfn.CONCAT("$J", $F841))</f>
        <v/>
      </c>
      <c r="C841" s="1">
        <f t="array" ref="C841">INDIRECT(_xlfn.CONCAT("$K", $F841))</f>
        <v/>
      </c>
      <c r="D841" s="1" t="n"/>
      <c r="E841" s="1">
        <f t="array" ref="E841">INDIRECT(_xlfn.CONCAT("$L", $F841))</f>
        <v/>
      </c>
      <c r="F841" s="1">
        <f t="array" ref="F841">IF(NOT(OR(ISERROR(INDIRECT(_xlfn.CONCAT("$I", $F840 + 1))), ISBLANK(INDIRECT(_xlfn.CONCAT("$I", $F840 + 1))))), $F840 + 1, IF(NOT(ISBLANK(INDIRECT(_xlfn.CONCAT("$I", $F840 + 2)))), $F840 + 2, ""))</f>
        <v/>
      </c>
    </row>
    <row r="842" ht="57.75" customHeight="1" s="6">
      <c r="A842" s="1">
        <f t="array" ref="A842">INDIRECT(_xlfn.CONCAT("$I", $F842))</f>
        <v/>
      </c>
      <c r="B842" s="1">
        <f t="array" ref="B842">INDIRECT(_xlfn.CONCAT("$J", $F842))</f>
        <v/>
      </c>
      <c r="C842" s="1">
        <f t="array" ref="C842">INDIRECT(_xlfn.CONCAT("$K", $F842))</f>
        <v/>
      </c>
      <c r="D842" s="1" t="n"/>
      <c r="E842" s="1">
        <f t="array" ref="E842">INDIRECT(_xlfn.CONCAT("$L", $F842))</f>
        <v/>
      </c>
      <c r="F842" s="1">
        <f t="array" ref="F842">IF(NOT(OR(ISERROR(INDIRECT(_xlfn.CONCAT("$I", $F841 + 1))), ISBLANK(INDIRECT(_xlfn.CONCAT("$I", $F841 + 1))))), $F841 + 1, IF(NOT(ISBLANK(INDIRECT(_xlfn.CONCAT("$I", $F841 + 2)))), $F841 + 2, ""))</f>
        <v/>
      </c>
      <c r="I842" s="8" t="inlineStr">
        <is>
          <t>Ravnica Allegiance RNA</t>
        </is>
      </c>
      <c r="J842" s="8" t="n">
        <v>273</v>
      </c>
      <c r="K842" s="9" t="n">
        <v>43490</v>
      </c>
      <c r="L842" t="inlineStr">
        <is>
          <t>en es fr de it pt ja ko ru 汉语 漢語</t>
        </is>
      </c>
    </row>
    <row r="843" ht="57.75" customHeight="1" s="6">
      <c r="A843" s="1">
        <f t="array" ref="A843">INDIRECT(_xlfn.CONCAT("$I", $F843))</f>
        <v/>
      </c>
      <c r="B843" s="1">
        <f t="array" ref="B843">INDIRECT(_xlfn.CONCAT("$J", $F843))</f>
        <v/>
      </c>
      <c r="C843" s="1">
        <f t="array" ref="C843">INDIRECT(_xlfn.CONCAT("$K", $F843))</f>
        <v/>
      </c>
      <c r="D843" s="1" t="n"/>
      <c r="E843" s="1">
        <f t="array" ref="E843">INDIRECT(_xlfn.CONCAT("$L", $F843))</f>
        <v/>
      </c>
      <c r="F843" s="1">
        <f t="array" ref="F843">IF(NOT(OR(ISERROR(INDIRECT(_xlfn.CONCAT("$I", $F842 + 1))), ISBLANK(INDIRECT(_xlfn.CONCAT("$I", $F842 + 1))))), $F842 + 1, IF(NOT(ISBLANK(INDIRECT(_xlfn.CONCAT("$I", $F842 + 2)))), $F842 + 2, ""))</f>
        <v/>
      </c>
    </row>
    <row r="844" ht="57.75" customHeight="1" s="6">
      <c r="A844" s="1">
        <f t="array" ref="A844">INDIRECT(_xlfn.CONCAT("$I", $F844))</f>
        <v/>
      </c>
      <c r="B844" s="1">
        <f t="array" ref="B844">INDIRECT(_xlfn.CONCAT("$J", $F844))</f>
        <v/>
      </c>
      <c r="C844" s="1">
        <f t="array" ref="C844">INDIRECT(_xlfn.CONCAT("$K", $F844))</f>
        <v/>
      </c>
      <c r="D844" s="1" t="n"/>
      <c r="E844" s="1">
        <f t="array" ref="E844">INDIRECT(_xlfn.CONCAT("$L", $F844))</f>
        <v/>
      </c>
      <c r="F844" s="1">
        <f t="array" ref="F844">IF(NOT(OR(ISERROR(INDIRECT(_xlfn.CONCAT("$I", $F843 + 1))), ISBLANK(INDIRECT(_xlfn.CONCAT("$I", $F843 + 1))))), $F843 + 1, IF(NOT(ISBLANK(INDIRECT(_xlfn.CONCAT("$I", $F843 + 2)))), $F843 + 2, ""))</f>
        <v/>
      </c>
      <c r="I844" s="8" t="inlineStr">
        <is>
          <t>Ravnica Allegiance Promos PRNA</t>
        </is>
      </c>
      <c r="J844" s="8" t="n">
        <v>81</v>
      </c>
      <c r="K844" s="9" t="n">
        <v>43490</v>
      </c>
      <c r="L844" s="8" t="inlineStr">
        <is>
          <t>en es fr de it pt ja ko ru 汉语 漢語</t>
        </is>
      </c>
    </row>
    <row r="845" ht="57.75" customHeight="1" s="6">
      <c r="A845" s="1">
        <f t="array" ref="A845">INDIRECT(_xlfn.CONCAT("$I", $F845))</f>
        <v/>
      </c>
      <c r="B845" s="1">
        <f t="array" ref="B845">INDIRECT(_xlfn.CONCAT("$J", $F845))</f>
        <v/>
      </c>
      <c r="C845" s="1">
        <f t="array" ref="C845">INDIRECT(_xlfn.CONCAT("$K", $F845))</f>
        <v/>
      </c>
      <c r="D845" s="1" t="n"/>
      <c r="E845" s="1">
        <f t="array" ref="E845">INDIRECT(_xlfn.CONCAT("$L", $F845))</f>
        <v/>
      </c>
      <c r="F845" s="1">
        <f t="array" ref="F845">IF(NOT(OR(ISERROR(INDIRECT(_xlfn.CONCAT("$I", $F844 + 1))), ISBLANK(INDIRECT(_xlfn.CONCAT("$I", $F844 + 1))))), $F844 + 1, IF(NOT(ISBLANK(INDIRECT(_xlfn.CONCAT("$I", $F844 + 2)))), $F844 + 2, ""))</f>
        <v/>
      </c>
    </row>
    <row r="846" ht="57.75" customHeight="1" s="6">
      <c r="A846" s="1">
        <f t="array" ref="A846">INDIRECT(_xlfn.CONCAT("$I", $F846))</f>
        <v/>
      </c>
      <c r="B846" s="1">
        <f t="array" ref="B846">INDIRECT(_xlfn.CONCAT("$J", $F846))</f>
        <v/>
      </c>
      <c r="C846" s="1">
        <f t="array" ref="C846">INDIRECT(_xlfn.CONCAT("$K", $F846))</f>
        <v/>
      </c>
      <c r="D846" s="1" t="n"/>
      <c r="E846" s="1">
        <f t="array" ref="E846">INDIRECT(_xlfn.CONCAT("$L", $F846))</f>
        <v/>
      </c>
      <c r="F846" s="1">
        <f t="array" ref="F846">IF(NOT(OR(ISERROR(INDIRECT(_xlfn.CONCAT("$I", $F845 + 1))), ISBLANK(INDIRECT(_xlfn.CONCAT("$I", $F845 + 1))))), $F845 + 1, IF(NOT(ISBLANK(INDIRECT(_xlfn.CONCAT("$I", $F845 + 2)))), $F845 + 2, ""))</f>
        <v/>
      </c>
      <c r="I846" s="8" t="inlineStr">
        <is>
          <t>Ravnica Allegiance Tokens TRNA</t>
        </is>
      </c>
      <c r="J846" s="8" t="n">
        <v>13</v>
      </c>
      <c r="K846" s="9" t="n">
        <v>43490</v>
      </c>
      <c r="L846" s="8" t="inlineStr">
        <is>
          <t>en es fr de it pt ja ko ru 汉语 漢語</t>
        </is>
      </c>
    </row>
    <row r="847" ht="57.75" customHeight="1" s="6">
      <c r="A847" s="1">
        <f t="array" ref="A847">INDIRECT(_xlfn.CONCAT("$I", $F847))</f>
        <v/>
      </c>
      <c r="B847" s="1">
        <f t="array" ref="B847">INDIRECT(_xlfn.CONCAT("$J", $F847))</f>
        <v/>
      </c>
      <c r="C847" s="1">
        <f t="array" ref="C847">INDIRECT(_xlfn.CONCAT("$K", $F847))</f>
        <v/>
      </c>
      <c r="D847" s="1" t="n"/>
      <c r="E847" s="1">
        <f t="array" ref="E847">INDIRECT(_xlfn.CONCAT("$L", $F847))</f>
        <v/>
      </c>
      <c r="F847" s="1">
        <f t="array" ref="F847">IF(NOT(OR(ISERROR(INDIRECT(_xlfn.CONCAT("$I", $F846 + 1))), ISBLANK(INDIRECT(_xlfn.CONCAT("$I", $F846 + 1))))), $F846 + 1, IF(NOT(ISBLANK(INDIRECT(_xlfn.CONCAT("$I", $F846 + 2)))), $F846 + 2, ""))</f>
        <v/>
      </c>
    </row>
    <row r="848" ht="57.75" customHeight="1" s="6">
      <c r="A848" s="1">
        <f t="array" ref="A848">INDIRECT(_xlfn.CONCAT("$I", $F848))</f>
        <v/>
      </c>
      <c r="B848" s="1">
        <f t="array" ref="B848">INDIRECT(_xlfn.CONCAT("$J", $F848))</f>
        <v/>
      </c>
      <c r="C848" s="1">
        <f t="array" ref="C848">INDIRECT(_xlfn.CONCAT("$K", $F848))</f>
        <v/>
      </c>
      <c r="D848" s="1" t="n"/>
      <c r="E848" s="1">
        <f t="array" ref="E848">INDIRECT(_xlfn.CONCAT("$L", $F848))</f>
        <v/>
      </c>
      <c r="F848" s="1">
        <f t="array" ref="F848">IF(NOT(OR(ISERROR(INDIRECT(_xlfn.CONCAT("$I", $F847 + 1))), ISBLANK(INDIRECT(_xlfn.CONCAT("$I", $F847 + 1))))), $F847 + 1, IF(NOT(ISBLANK(INDIRECT(_xlfn.CONCAT("$I", $F847 + 2)))), $F847 + 2, ""))</f>
        <v/>
      </c>
      <c r="I848" s="8" t="inlineStr">
        <is>
          <t>RNA Ravnica Weekend PRW2</t>
        </is>
      </c>
      <c r="J848" s="8" t="n">
        <v>10</v>
      </c>
      <c r="K848" s="9" t="n">
        <v>43512</v>
      </c>
      <c r="L848" s="8" t="inlineStr">
        <is>
          <t>en es fr de it pt ja ko ru 汉语 漢語</t>
        </is>
      </c>
    </row>
    <row r="849" ht="57.75" customHeight="1" s="6">
      <c r="A849" s="1">
        <f t="array" ref="A849">INDIRECT(_xlfn.CONCAT("$I", $F849))</f>
        <v/>
      </c>
      <c r="B849" s="1">
        <f t="array" ref="B849">INDIRECT(_xlfn.CONCAT("$J", $F849))</f>
        <v/>
      </c>
      <c r="C849" s="1">
        <f t="array" ref="C849">INDIRECT(_xlfn.CONCAT("$K", $F849))</f>
        <v/>
      </c>
      <c r="D849" s="1" t="n"/>
      <c r="E849" s="1">
        <f t="array" ref="E849">INDIRECT(_xlfn.CONCAT("$L", $F849))</f>
        <v/>
      </c>
      <c r="F849" s="1">
        <f t="array" ref="F849">IF(NOT(OR(ISERROR(INDIRECT(_xlfn.CONCAT("$I", $F848 + 1))), ISBLANK(INDIRECT(_xlfn.CONCAT("$I", $F848 + 1))))), $F848 + 1, IF(NOT(ISBLANK(INDIRECT(_xlfn.CONCAT("$I", $F848 + 2)))), $F848 + 2, ""))</f>
        <v/>
      </c>
    </row>
    <row r="850" ht="57.75" customHeight="1" s="6">
      <c r="A850" s="1">
        <f t="array" ref="A850">INDIRECT(_xlfn.CONCAT("$I", $F850))</f>
        <v/>
      </c>
      <c r="B850" s="1">
        <f t="array" ref="B850">INDIRECT(_xlfn.CONCAT("$J", $F850))</f>
        <v/>
      </c>
      <c r="C850" s="1">
        <f t="array" ref="C850">INDIRECT(_xlfn.CONCAT("$K", $F850))</f>
        <v/>
      </c>
      <c r="D850" s="1" t="n"/>
      <c r="E850" s="1">
        <f t="array" ref="E850">INDIRECT(_xlfn.CONCAT("$L", $F850))</f>
        <v/>
      </c>
      <c r="F850" s="1">
        <f t="array" ref="F850">IF(NOT(OR(ISERROR(INDIRECT(_xlfn.CONCAT("$I", $F849 + 1))), ISBLANK(INDIRECT(_xlfn.CONCAT("$I", $F849 + 1))))), $F849 + 1, IF(NOT(ISBLANK(INDIRECT(_xlfn.CONCAT("$I", $F849 + 2)))), $F849 + 2, ""))</f>
        <v/>
      </c>
      <c r="I850" s="8" t="inlineStr">
        <is>
          <t>MagicFest 2019 PF19</t>
        </is>
      </c>
      <c r="J850" s="8" t="n">
        <v>7</v>
      </c>
      <c r="K850" s="9" t="n">
        <v>43466</v>
      </c>
      <c r="L850" s="8" t="inlineStr">
        <is>
          <t>en es fr de it pt ja ko ru 汉语 漢語</t>
        </is>
      </c>
    </row>
    <row r="851" ht="57.75" customHeight="1" s="6">
      <c r="A851" s="1">
        <f t="array" ref="A851">INDIRECT(_xlfn.CONCAT("$I", $F851))</f>
        <v/>
      </c>
      <c r="B851" s="1">
        <f t="array" ref="B851">INDIRECT(_xlfn.CONCAT("$J", $F851))</f>
        <v/>
      </c>
      <c r="C851" s="1">
        <f t="array" ref="C851">INDIRECT(_xlfn.CONCAT("$K", $F851))</f>
        <v/>
      </c>
      <c r="D851" s="1" t="n"/>
      <c r="E851" s="1">
        <f t="array" ref="E851">INDIRECT(_xlfn.CONCAT("$L", $F851))</f>
        <v/>
      </c>
      <c r="F851" s="1">
        <f t="array" ref="F851">IF(NOT(OR(ISERROR(INDIRECT(_xlfn.CONCAT("$I", $F850 + 1))), ISBLANK(INDIRECT(_xlfn.CONCAT("$I", $F850 + 1))))), $F850 + 1, IF(NOT(ISBLANK(INDIRECT(_xlfn.CONCAT("$I", $F850 + 2)))), $F850 + 2, ""))</f>
        <v/>
      </c>
    </row>
    <row r="852" ht="57.75" customHeight="1" s="6">
      <c r="A852" s="1">
        <f t="array" ref="A852">INDIRECT(_xlfn.CONCAT("$I", $F852))</f>
        <v/>
      </c>
      <c r="B852" s="1">
        <f t="array" ref="B852">INDIRECT(_xlfn.CONCAT("$J", $F852))</f>
        <v/>
      </c>
      <c r="C852" s="1">
        <f t="array" ref="C852">INDIRECT(_xlfn.CONCAT("$K", $F852))</f>
        <v/>
      </c>
      <c r="D852" s="1" t="n"/>
      <c r="E852" s="1">
        <f t="array" ref="E852">INDIRECT(_xlfn.CONCAT("$L", $F852))</f>
        <v/>
      </c>
      <c r="F852" s="1">
        <f t="array" ref="F852">IF(NOT(OR(ISERROR(INDIRECT(_xlfn.CONCAT("$I", $F851 + 1))), ISBLANK(INDIRECT(_xlfn.CONCAT("$I", $F851 + 1))))), $F851 + 1, IF(NOT(ISBLANK(INDIRECT(_xlfn.CONCAT("$I", $F851 + 2)))), $F851 + 2, ""))</f>
        <v/>
      </c>
      <c r="I852" s="8" t="inlineStr">
        <is>
          <t>Ultimate Masters UMA</t>
        </is>
      </c>
      <c r="J852" s="8" t="n">
        <v>254</v>
      </c>
      <c r="K852" s="9" t="n">
        <v>43441</v>
      </c>
      <c r="L852" t="inlineStr">
        <is>
          <t>en es fr de it pt ja ko ru 汉语 漢語</t>
        </is>
      </c>
    </row>
    <row r="853" ht="57.75" customHeight="1" s="6">
      <c r="A853" s="1">
        <f t="array" ref="A853">INDIRECT(_xlfn.CONCAT("$I", $F853))</f>
        <v/>
      </c>
      <c r="B853" s="1">
        <f t="array" ref="B853">INDIRECT(_xlfn.CONCAT("$J", $F853))</f>
        <v/>
      </c>
      <c r="C853" s="1">
        <f t="array" ref="C853">INDIRECT(_xlfn.CONCAT("$K", $F853))</f>
        <v/>
      </c>
      <c r="D853" s="1" t="n"/>
      <c r="E853" s="1">
        <f t="array" ref="E853">INDIRECT(_xlfn.CONCAT("$L", $F853))</f>
        <v/>
      </c>
      <c r="F853" s="1">
        <f t="array" ref="F853">IF(NOT(OR(ISERROR(INDIRECT(_xlfn.CONCAT("$I", $F852 + 1))), ISBLANK(INDIRECT(_xlfn.CONCAT("$I", $F852 + 1))))), $F852 + 1, IF(NOT(ISBLANK(INDIRECT(_xlfn.CONCAT("$I", $F852 + 2)))), $F852 + 2, ""))</f>
        <v/>
      </c>
    </row>
    <row r="854" ht="57.75" customHeight="1" s="6">
      <c r="A854" s="1">
        <f t="array" ref="A854">INDIRECT(_xlfn.CONCAT("$I", $F854))</f>
        <v/>
      </c>
      <c r="B854" s="1">
        <f t="array" ref="B854">INDIRECT(_xlfn.CONCAT("$J", $F854))</f>
        <v/>
      </c>
      <c r="C854" s="1">
        <f t="array" ref="C854">INDIRECT(_xlfn.CONCAT("$K", $F854))</f>
        <v/>
      </c>
      <c r="D854" s="1" t="n"/>
      <c r="E854" s="1">
        <f t="array" ref="E854">INDIRECT(_xlfn.CONCAT("$L", $F854))</f>
        <v/>
      </c>
      <c r="F854" s="1">
        <f t="array" ref="F854">IF(NOT(OR(ISERROR(INDIRECT(_xlfn.CONCAT("$I", $F853 + 1))), ISBLANK(INDIRECT(_xlfn.CONCAT("$I", $F853 + 1))))), $F853 + 1, IF(NOT(ISBLANK(INDIRECT(_xlfn.CONCAT("$I", $F853 + 2)))), $F853 + 2, ""))</f>
        <v/>
      </c>
      <c r="I854" s="8" t="inlineStr">
        <is>
          <t>Ultimate Box Topper PUMA</t>
        </is>
      </c>
      <c r="J854" s="8" t="n">
        <v>40</v>
      </c>
      <c r="K854" s="9" t="n">
        <v>43441</v>
      </c>
      <c r="L854" s="8" t="inlineStr">
        <is>
          <t>en es fr de it pt ja ko ru 汉语 漢語</t>
        </is>
      </c>
    </row>
    <row r="855" ht="57.75" customHeight="1" s="6">
      <c r="A855" s="1">
        <f t="array" ref="A855">INDIRECT(_xlfn.CONCAT("$I", $F855))</f>
        <v/>
      </c>
      <c r="B855" s="1">
        <f t="array" ref="B855">INDIRECT(_xlfn.CONCAT("$J", $F855))</f>
        <v/>
      </c>
      <c r="C855" s="1">
        <f t="array" ref="C855">INDIRECT(_xlfn.CONCAT("$K", $F855))</f>
        <v/>
      </c>
      <c r="D855" s="1" t="n"/>
      <c r="E855" s="1">
        <f t="array" ref="E855">INDIRECT(_xlfn.CONCAT("$L", $F855))</f>
        <v/>
      </c>
      <c r="F855" s="1">
        <f t="array" ref="F855">IF(NOT(OR(ISERROR(INDIRECT(_xlfn.CONCAT("$I", $F854 + 1))), ISBLANK(INDIRECT(_xlfn.CONCAT("$I", $F854 + 1))))), $F854 + 1, IF(NOT(ISBLANK(INDIRECT(_xlfn.CONCAT("$I", $F854 + 2)))), $F854 + 2, ""))</f>
        <v/>
      </c>
    </row>
    <row r="856" ht="57.75" customHeight="1" s="6">
      <c r="A856" s="1">
        <f t="array" ref="A856">INDIRECT(_xlfn.CONCAT("$I", $F856))</f>
        <v/>
      </c>
      <c r="B856" s="1">
        <f t="array" ref="B856">INDIRECT(_xlfn.CONCAT("$J", $F856))</f>
        <v/>
      </c>
      <c r="C856" s="1">
        <f t="array" ref="C856">INDIRECT(_xlfn.CONCAT("$K", $F856))</f>
        <v/>
      </c>
      <c r="D856" s="1" t="n"/>
      <c r="E856" s="1">
        <f t="array" ref="E856">INDIRECT(_xlfn.CONCAT("$L", $F856))</f>
        <v/>
      </c>
      <c r="F856" s="1">
        <f t="array" ref="F856">IF(NOT(OR(ISERROR(INDIRECT(_xlfn.CONCAT("$I", $F855 + 1))), ISBLANK(INDIRECT(_xlfn.CONCAT("$I", $F855 + 1))))), $F855 + 1, IF(NOT(ISBLANK(INDIRECT(_xlfn.CONCAT("$I", $F855 + 2)))), $F855 + 2, ""))</f>
        <v/>
      </c>
      <c r="I856" s="8" t="inlineStr">
        <is>
          <t>Ultimate Masters Tokens TUMA</t>
        </is>
      </c>
      <c r="J856" s="8" t="n">
        <v>16</v>
      </c>
      <c r="K856" s="9" t="n">
        <v>43441</v>
      </c>
      <c r="L856" s="8" t="inlineStr">
        <is>
          <t>en es fr de it pt ja ko ru 汉语 漢語</t>
        </is>
      </c>
    </row>
    <row r="857" ht="57.75" customHeight="1" s="6">
      <c r="A857" s="1">
        <f t="array" ref="A857">INDIRECT(_xlfn.CONCAT("$I", $F857))</f>
        <v/>
      </c>
      <c r="B857" s="1">
        <f t="array" ref="B857">INDIRECT(_xlfn.CONCAT("$J", $F857))</f>
        <v/>
      </c>
      <c r="C857" s="1">
        <f t="array" ref="C857">INDIRECT(_xlfn.CONCAT("$K", $F857))</f>
        <v/>
      </c>
      <c r="D857" s="1" t="n"/>
      <c r="E857" s="1">
        <f t="array" ref="E857">INDIRECT(_xlfn.CONCAT("$L", $F857))</f>
        <v/>
      </c>
      <c r="F857" s="1">
        <f t="array" ref="F857">IF(NOT(OR(ISERROR(INDIRECT(_xlfn.CONCAT("$I", $F856 + 1))), ISBLANK(INDIRECT(_xlfn.CONCAT("$I", $F856 + 1))))), $F856 + 1, IF(NOT(ISBLANK(INDIRECT(_xlfn.CONCAT("$I", $F856 + 2)))), $F856 + 2, ""))</f>
        <v/>
      </c>
    </row>
    <row r="858" ht="57.75" customHeight="1" s="6">
      <c r="A858" s="1">
        <f t="array" ref="A858">INDIRECT(_xlfn.CONCAT("$I", $F858))</f>
        <v/>
      </c>
      <c r="B858" s="1">
        <f t="array" ref="B858">INDIRECT(_xlfn.CONCAT("$J", $F858))</f>
        <v/>
      </c>
      <c r="C858" s="1">
        <f t="array" ref="C858">INDIRECT(_xlfn.CONCAT("$K", $F858))</f>
        <v/>
      </c>
      <c r="D858" s="1" t="n"/>
      <c r="E858" s="1">
        <f t="array" ref="E858">INDIRECT(_xlfn.CONCAT("$L", $F858))</f>
        <v/>
      </c>
      <c r="F858" s="1">
        <f t="array" ref="F858">IF(NOT(OR(ISERROR(INDIRECT(_xlfn.CONCAT("$I", $F857 + 1))), ISBLANK(INDIRECT(_xlfn.CONCAT("$I", $F857 + 1))))), $F857 + 1, IF(NOT(ISBLANK(INDIRECT(_xlfn.CONCAT("$I", $F857 + 2)))), $F857 + 2, ""))</f>
        <v/>
      </c>
      <c r="I858" s="8" t="inlineStr">
        <is>
          <t>Game Night GNT</t>
        </is>
      </c>
      <c r="J858" s="8" t="n">
        <v>68</v>
      </c>
      <c r="K858" s="9" t="n">
        <v>43420</v>
      </c>
      <c r="L858" s="8" t="inlineStr">
        <is>
          <t>en es fr de it pt ja ko ru 汉语 漢語</t>
        </is>
      </c>
    </row>
    <row r="859" ht="57.75" customHeight="1" s="6">
      <c r="A859" s="1">
        <f t="array" ref="A859">INDIRECT(_xlfn.CONCAT("$I", $F859))</f>
        <v/>
      </c>
      <c r="B859" s="1">
        <f t="array" ref="B859">INDIRECT(_xlfn.CONCAT("$J", $F859))</f>
        <v/>
      </c>
      <c r="C859" s="1">
        <f t="array" ref="C859">INDIRECT(_xlfn.CONCAT("$K", $F859))</f>
        <v/>
      </c>
      <c r="D859" s="1" t="n"/>
      <c r="E859" s="1">
        <f t="array" ref="E859">INDIRECT(_xlfn.CONCAT("$L", $F859))</f>
        <v/>
      </c>
      <c r="F859" s="1">
        <f t="array" ref="F859">IF(NOT(OR(ISERROR(INDIRECT(_xlfn.CONCAT("$I", $F858 + 1))), ISBLANK(INDIRECT(_xlfn.CONCAT("$I", $F858 + 1))))), $F858 + 1, IF(NOT(ISBLANK(INDIRECT(_xlfn.CONCAT("$I", $F858 + 2)))), $F858 + 2, ""))</f>
        <v/>
      </c>
    </row>
    <row r="860" ht="57.75" customHeight="1" s="6">
      <c r="A860" s="1">
        <f t="array" ref="A860">INDIRECT(_xlfn.CONCAT("$I", $F860))</f>
        <v/>
      </c>
      <c r="B860" s="1">
        <f t="array" ref="B860">INDIRECT(_xlfn.CONCAT("$J", $F860))</f>
        <v/>
      </c>
      <c r="C860" s="1">
        <f t="array" ref="C860">INDIRECT(_xlfn.CONCAT("$K", $F860))</f>
        <v/>
      </c>
      <c r="D860" s="1" t="n"/>
      <c r="E860" s="1">
        <f t="array" ref="E860">INDIRECT(_xlfn.CONCAT("$L", $F860))</f>
        <v/>
      </c>
      <c r="F860" s="1">
        <f t="array" ref="F860">IF(NOT(OR(ISERROR(INDIRECT(_xlfn.CONCAT("$I", $F859 + 1))), ISBLANK(INDIRECT(_xlfn.CONCAT("$I", $F859 + 1))))), $F859 + 1, IF(NOT(ISBLANK(INDIRECT(_xlfn.CONCAT("$I", $F859 + 2)))), $F859 + 2, ""))</f>
        <v/>
      </c>
      <c r="I860" s="8" t="inlineStr">
        <is>
          <t>GRN Guild Kit GK1</t>
        </is>
      </c>
      <c r="J860" s="8" t="n">
        <v>127</v>
      </c>
      <c r="K860" s="9" t="n">
        <v>43406</v>
      </c>
      <c r="L860" t="inlineStr">
        <is>
          <t>en es fr de it pt ja ko ru 汉语 漢語</t>
        </is>
      </c>
    </row>
    <row r="861" ht="57.75" customHeight="1" s="6">
      <c r="A861" s="1">
        <f t="array" ref="A861">INDIRECT(_xlfn.CONCAT("$I", $F861))</f>
        <v/>
      </c>
      <c r="B861" s="1">
        <f t="array" ref="B861">INDIRECT(_xlfn.CONCAT("$J", $F861))</f>
        <v/>
      </c>
      <c r="C861" s="1">
        <f t="array" ref="C861">INDIRECT(_xlfn.CONCAT("$K", $F861))</f>
        <v/>
      </c>
      <c r="D861" s="1" t="n"/>
      <c r="E861" s="1">
        <f t="array" ref="E861">INDIRECT(_xlfn.CONCAT("$L", $F861))</f>
        <v/>
      </c>
      <c r="F861" s="1">
        <f t="array" ref="F861">IF(NOT(OR(ISERROR(INDIRECT(_xlfn.CONCAT("$I", $F860 + 1))), ISBLANK(INDIRECT(_xlfn.CONCAT("$I", $F860 + 1))))), $F860 + 1, IF(NOT(ISBLANK(INDIRECT(_xlfn.CONCAT("$I", $F860 + 2)))), $F860 + 2, ""))</f>
        <v/>
      </c>
    </row>
    <row r="862" ht="68.25" customHeight="1" s="6">
      <c r="A862" s="1">
        <f t="array" ref="A862">INDIRECT(_xlfn.CONCAT("$I", $F862))</f>
        <v/>
      </c>
      <c r="B862" s="1">
        <f t="array" ref="B862">INDIRECT(_xlfn.CONCAT("$J", $F862))</f>
        <v/>
      </c>
      <c r="C862" s="1">
        <f t="array" ref="C862">INDIRECT(_xlfn.CONCAT("$K", $F862))</f>
        <v/>
      </c>
      <c r="D862" s="1" t="n"/>
      <c r="E862" s="1">
        <f t="array" ref="E862">INDIRECT(_xlfn.CONCAT("$L", $F862))</f>
        <v/>
      </c>
      <c r="F862" s="1">
        <f t="array" ref="F862">IF(NOT(OR(ISERROR(INDIRECT(_xlfn.CONCAT("$I", $F861 + 1))), ISBLANK(INDIRECT(_xlfn.CONCAT("$I", $F861 + 1))))), $F861 + 1, IF(NOT(ISBLANK(INDIRECT(_xlfn.CONCAT("$I", $F861 + 2)))), $F861 + 2, ""))</f>
        <v/>
      </c>
      <c r="I862" s="8" t="inlineStr">
        <is>
          <t>GRN Guild Kit Tokens TGK1</t>
        </is>
      </c>
      <c r="J862" s="8" t="n">
        <v>10</v>
      </c>
      <c r="K862" s="9" t="n">
        <v>43406</v>
      </c>
      <c r="L862" s="8" t="inlineStr">
        <is>
          <t>en es fr de it pt ja ko ru 汉语 漢語</t>
        </is>
      </c>
    </row>
    <row r="863" ht="57.75" customHeight="1" s="6">
      <c r="A863" s="1">
        <f t="array" ref="A863">INDIRECT(_xlfn.CONCAT("$I", $F863))</f>
        <v/>
      </c>
      <c r="B863" s="1">
        <f t="array" ref="B863">INDIRECT(_xlfn.CONCAT("$J", $F863))</f>
        <v/>
      </c>
      <c r="C863" s="1">
        <f t="array" ref="C863">INDIRECT(_xlfn.CONCAT("$K", $F863))</f>
        <v/>
      </c>
      <c r="D863" s="1" t="n"/>
      <c r="E863" s="1">
        <f t="array" ref="E863">INDIRECT(_xlfn.CONCAT("$L", $F863))</f>
        <v/>
      </c>
      <c r="F863" s="1">
        <f t="array" ref="F863">IF(NOT(OR(ISERROR(INDIRECT(_xlfn.CONCAT("$I", $F862 + 1))), ISBLANK(INDIRECT(_xlfn.CONCAT("$I", $F862 + 1))))), $F862 + 1, IF(NOT(ISBLANK(INDIRECT(_xlfn.CONCAT("$I", $F862 + 2)))), $F862 + 2, ""))</f>
        <v/>
      </c>
    </row>
    <row r="864" ht="57.75" customHeight="1" s="6">
      <c r="A864" s="1">
        <f t="array" ref="A864">INDIRECT(_xlfn.CONCAT("$I", $F864))</f>
        <v/>
      </c>
      <c r="B864" s="1">
        <f t="array" ref="B864">INDIRECT(_xlfn.CONCAT("$J", $F864))</f>
        <v/>
      </c>
      <c r="C864" s="1">
        <f t="array" ref="C864">INDIRECT(_xlfn.CONCAT("$K", $F864))</f>
        <v/>
      </c>
      <c r="D864" s="1" t="n"/>
      <c r="E864" s="1">
        <f t="array" ref="E864">INDIRECT(_xlfn.CONCAT("$L", $F864))</f>
        <v/>
      </c>
      <c r="F864" s="1">
        <f t="array" ref="F864">IF(NOT(OR(ISERROR(INDIRECT(_xlfn.CONCAT("$I", $F863 + 1))), ISBLANK(INDIRECT(_xlfn.CONCAT("$I", $F863 + 1))))), $F863 + 1, IF(NOT(ISBLANK(INDIRECT(_xlfn.CONCAT("$I", $F863 + 2)))), $F863 + 2, ""))</f>
        <v/>
      </c>
      <c r="I864" s="8" t="inlineStr">
        <is>
          <t>Guilds of Ravnica GRN</t>
        </is>
      </c>
      <c r="J864" s="8" t="n">
        <v>273</v>
      </c>
      <c r="K864" s="9" t="n">
        <v>43378</v>
      </c>
      <c r="L864" t="inlineStr">
        <is>
          <t>en es fr de it pt ja ko ru 汉语 漢語</t>
        </is>
      </c>
    </row>
    <row r="865" ht="68.25" customHeight="1" s="6">
      <c r="A865" s="1">
        <f t="array" ref="A865">INDIRECT(_xlfn.CONCAT("$I", $F865))</f>
        <v/>
      </c>
      <c r="B865" s="1">
        <f t="array" ref="B865">INDIRECT(_xlfn.CONCAT("$J", $F865))</f>
        <v/>
      </c>
      <c r="C865" s="1">
        <f t="array" ref="C865">INDIRECT(_xlfn.CONCAT("$K", $F865))</f>
        <v/>
      </c>
      <c r="D865" s="1" t="n"/>
      <c r="E865" s="1">
        <f t="array" ref="E865">INDIRECT(_xlfn.CONCAT("$L", $F865))</f>
        <v/>
      </c>
      <c r="F865" s="1">
        <f t="array" ref="F865">IF(NOT(OR(ISERROR(INDIRECT(_xlfn.CONCAT("$I", $F864 + 1))), ISBLANK(INDIRECT(_xlfn.CONCAT("$I", $F864 + 1))))), $F864 + 1, IF(NOT(ISBLANK(INDIRECT(_xlfn.CONCAT("$I", $F864 + 2)))), $F864 + 2, ""))</f>
        <v/>
      </c>
    </row>
    <row r="866" ht="57.75" customHeight="1" s="6">
      <c r="A866" s="1">
        <f t="array" ref="A866">INDIRECT(_xlfn.CONCAT("$I", $F866))</f>
        <v/>
      </c>
      <c r="B866" s="1">
        <f t="array" ref="B866">INDIRECT(_xlfn.CONCAT("$J", $F866))</f>
        <v/>
      </c>
      <c r="C866" s="1">
        <f t="array" ref="C866">INDIRECT(_xlfn.CONCAT("$K", $F866))</f>
        <v/>
      </c>
      <c r="D866" s="1" t="n"/>
      <c r="E866" s="1">
        <f t="array" ref="E866">INDIRECT(_xlfn.CONCAT("$L", $F866))</f>
        <v/>
      </c>
      <c r="F866" s="1">
        <f t="array" ref="F866">IF(NOT(OR(ISERROR(INDIRECT(_xlfn.CONCAT("$I", $F865 + 1))), ISBLANK(INDIRECT(_xlfn.CONCAT("$I", $F865 + 1))))), $F865 + 1, IF(NOT(ISBLANK(INDIRECT(_xlfn.CONCAT("$I", $F865 + 2)))), $F865 + 2, ""))</f>
        <v/>
      </c>
      <c r="I866" s="8" t="inlineStr">
        <is>
          <t>Guilds of Ravnica Promos PGRN</t>
        </is>
      </c>
      <c r="J866" s="8" t="n">
        <v>84</v>
      </c>
      <c r="K866" s="9" t="n">
        <v>43378</v>
      </c>
      <c r="L866" t="inlineStr">
        <is>
          <t>en es fr de it pt ja ko ru 汉语 漢語</t>
        </is>
      </c>
    </row>
    <row r="867" ht="57.75" customHeight="1" s="6">
      <c r="A867" s="1">
        <f t="array" ref="A867">INDIRECT(_xlfn.CONCAT("$I", $F867))</f>
        <v/>
      </c>
      <c r="B867" s="1">
        <f t="array" ref="B867">INDIRECT(_xlfn.CONCAT("$J", $F867))</f>
        <v/>
      </c>
      <c r="C867" s="1">
        <f t="array" ref="C867">INDIRECT(_xlfn.CONCAT("$K", $F867))</f>
        <v/>
      </c>
      <c r="D867" s="1" t="n"/>
      <c r="E867" s="1">
        <f t="array" ref="E867">INDIRECT(_xlfn.CONCAT("$L", $F867))</f>
        <v/>
      </c>
      <c r="F867" s="1">
        <f t="array" ref="F867">IF(NOT(OR(ISERROR(INDIRECT(_xlfn.CONCAT("$I", $F866 + 1))), ISBLANK(INDIRECT(_xlfn.CONCAT("$I", $F866 + 1))))), $F866 + 1, IF(NOT(ISBLANK(INDIRECT(_xlfn.CONCAT("$I", $F866 + 2)))), $F866 + 2, ""))</f>
        <v/>
      </c>
    </row>
    <row r="868" ht="57.75" customHeight="1" s="6">
      <c r="A868" s="1">
        <f t="array" ref="A868">INDIRECT(_xlfn.CONCAT("$I", $F868))</f>
        <v/>
      </c>
      <c r="B868" s="1">
        <f t="array" ref="B868">INDIRECT(_xlfn.CONCAT("$J", $F868))</f>
        <v/>
      </c>
      <c r="C868" s="1">
        <f t="array" ref="C868">INDIRECT(_xlfn.CONCAT("$K", $F868))</f>
        <v/>
      </c>
      <c r="D868" s="1" t="n"/>
      <c r="E868" s="1">
        <f t="array" ref="E868">INDIRECT(_xlfn.CONCAT("$L", $F868))</f>
        <v/>
      </c>
      <c r="F868" s="1">
        <f t="array" ref="F868">IF(NOT(OR(ISERROR(INDIRECT(_xlfn.CONCAT("$I", $F867 + 1))), ISBLANK(INDIRECT(_xlfn.CONCAT("$I", $F867 + 1))))), $F867 + 1, IF(NOT(ISBLANK(INDIRECT(_xlfn.CONCAT("$I", $F867 + 2)))), $F867 + 2, ""))</f>
        <v/>
      </c>
      <c r="I868" s="8" t="inlineStr">
        <is>
          <t>Guilds of Ravnica Tokens TGRN</t>
        </is>
      </c>
      <c r="J868" s="8" t="n">
        <v>8</v>
      </c>
      <c r="K868" s="9" t="n">
        <v>43378</v>
      </c>
      <c r="L868" s="8" t="inlineStr">
        <is>
          <t>en es fr de it pt ja ko ru 汉语 漢語</t>
        </is>
      </c>
    </row>
    <row r="869" ht="57.75" customHeight="1" s="6">
      <c r="A869" s="1">
        <f t="array" ref="A869">INDIRECT(_xlfn.CONCAT("$I", $F869))</f>
        <v/>
      </c>
      <c r="B869" s="1">
        <f t="array" ref="B869">INDIRECT(_xlfn.CONCAT("$J", $F869))</f>
        <v/>
      </c>
      <c r="C869" s="1">
        <f t="array" ref="C869">INDIRECT(_xlfn.CONCAT("$K", $F869))</f>
        <v/>
      </c>
      <c r="D869" s="1" t="n"/>
      <c r="E869" s="1">
        <f t="array" ref="E869">INDIRECT(_xlfn.CONCAT("$L", $F869))</f>
        <v/>
      </c>
      <c r="F869" s="1">
        <f t="array" ref="F869">IF(NOT(OR(ISERROR(INDIRECT(_xlfn.CONCAT("$I", $F868 + 1))), ISBLANK(INDIRECT(_xlfn.CONCAT("$I", $F868 + 1))))), $F868 + 1, IF(NOT(ISBLANK(INDIRECT(_xlfn.CONCAT("$I", $F868 + 2)))), $F868 + 2, ""))</f>
        <v/>
      </c>
    </row>
    <row r="870" ht="57.75" customHeight="1" s="6">
      <c r="A870" s="1">
        <f t="array" ref="A870">INDIRECT(_xlfn.CONCAT("$I", $F870))</f>
        <v/>
      </c>
      <c r="B870" s="1">
        <f t="array" ref="B870">INDIRECT(_xlfn.CONCAT("$J", $F870))</f>
        <v/>
      </c>
      <c r="C870" s="1">
        <f t="array" ref="C870">INDIRECT(_xlfn.CONCAT("$K", $F870))</f>
        <v/>
      </c>
      <c r="D870" s="1" t="n"/>
      <c r="E870" s="1">
        <f t="array" ref="E870">INDIRECT(_xlfn.CONCAT("$L", $F870))</f>
        <v/>
      </c>
      <c r="F870" s="1">
        <f t="array" ref="F870">IF(NOT(OR(ISERROR(INDIRECT(_xlfn.CONCAT("$I", $F869 + 1))), ISBLANK(INDIRECT(_xlfn.CONCAT("$I", $F869 + 1))))), $F869 + 1, IF(NOT(ISBLANK(INDIRECT(_xlfn.CONCAT("$I", $F869 + 2)))), $F869 + 2, ""))</f>
        <v/>
      </c>
      <c r="I870" s="8" t="inlineStr">
        <is>
          <t>GRN Ravnica Weekend PRWK</t>
        </is>
      </c>
      <c r="J870" s="8" t="n">
        <v>10</v>
      </c>
      <c r="K870" s="9" t="n">
        <v>43413</v>
      </c>
      <c r="L870" s="8" t="inlineStr">
        <is>
          <t>en es fr de it pt ja ko ru 汉语 漢語</t>
        </is>
      </c>
    </row>
    <row r="871" ht="57.75" customHeight="1" s="6">
      <c r="A871" s="1">
        <f t="array" ref="A871">INDIRECT(_xlfn.CONCAT("$I", $F871))</f>
        <v/>
      </c>
      <c r="B871" s="1">
        <f t="array" ref="B871">INDIRECT(_xlfn.CONCAT("$J", $F871))</f>
        <v/>
      </c>
      <c r="C871" s="1">
        <f t="array" ref="C871">INDIRECT(_xlfn.CONCAT("$K", $F871))</f>
        <v/>
      </c>
      <c r="D871" s="1" t="n"/>
      <c r="E871" s="1">
        <f t="array" ref="E871">INDIRECT(_xlfn.CONCAT("$L", $F871))</f>
        <v/>
      </c>
      <c r="F871" s="1">
        <f t="array" ref="F871">IF(NOT(OR(ISERROR(INDIRECT(_xlfn.CONCAT("$I", $F870 + 1))), ISBLANK(INDIRECT(_xlfn.CONCAT("$I", $F870 + 1))))), $F870 + 1, IF(NOT(ISBLANK(INDIRECT(_xlfn.CONCAT("$I", $F870 + 2)))), $F870 + 2, ""))</f>
        <v/>
      </c>
    </row>
    <row r="872" ht="68.25" customHeight="1" s="6">
      <c r="A872" s="1">
        <f t="array" ref="A872">INDIRECT(_xlfn.CONCAT("$I", $F872))</f>
        <v/>
      </c>
      <c r="B872" s="1">
        <f t="array" ref="B872">INDIRECT(_xlfn.CONCAT("$J", $F872))</f>
        <v/>
      </c>
      <c r="C872" s="1">
        <f t="array" ref="C872">INDIRECT(_xlfn.CONCAT("$K", $F872))</f>
        <v/>
      </c>
      <c r="D872" s="1" t="n"/>
      <c r="E872" s="1">
        <f t="array" ref="E872">INDIRECT(_xlfn.CONCAT("$L", $F872))</f>
        <v/>
      </c>
      <c r="F872" s="1">
        <f t="array" ref="F872">IF(NOT(OR(ISERROR(INDIRECT(_xlfn.CONCAT("$I", $F871 + 1))), ISBLANK(INDIRECT(_xlfn.CONCAT("$I", $F871 + 1))))), $F871 + 1, IF(NOT(ISBLANK(INDIRECT(_xlfn.CONCAT("$I", $F871 + 2)))), $F871 + 2, ""))</f>
        <v/>
      </c>
      <c r="I872" s="8" t="inlineStr">
        <is>
          <t>Mythic Edition MED</t>
        </is>
      </c>
      <c r="J872" s="8" t="n">
        <v>24</v>
      </c>
      <c r="K872" s="9" t="n">
        <v>43378</v>
      </c>
      <c r="L872" s="8" t="inlineStr">
        <is>
          <t>en es fr de it pt ja ko ru 汉语 漢語</t>
        </is>
      </c>
    </row>
    <row r="873" ht="57.75" customHeight="1" s="6">
      <c r="A873" s="1">
        <f t="array" ref="A873">INDIRECT(_xlfn.CONCAT("$I", $F873))</f>
        <v/>
      </c>
      <c r="B873" s="1">
        <f t="array" ref="B873">INDIRECT(_xlfn.CONCAT("$J", $F873))</f>
        <v/>
      </c>
      <c r="C873" s="1">
        <f t="array" ref="C873">INDIRECT(_xlfn.CONCAT("$K", $F873))</f>
        <v/>
      </c>
      <c r="D873" s="1" t="n"/>
      <c r="E873" s="1">
        <f t="array" ref="E873">INDIRECT(_xlfn.CONCAT("$L", $F873))</f>
        <v/>
      </c>
      <c r="F873" s="1">
        <f t="array" ref="F873">IF(NOT(OR(ISERROR(INDIRECT(_xlfn.CONCAT("$I", $F872 + 1))), ISBLANK(INDIRECT(_xlfn.CONCAT("$I", $F872 + 1))))), $F872 + 1, IF(NOT(ISBLANK(INDIRECT(_xlfn.CONCAT("$I", $F872 + 2)))), $F872 + 2, ""))</f>
        <v/>
      </c>
    </row>
    <row r="874" ht="57.75" customHeight="1" s="6">
      <c r="A874" s="1">
        <f t="array" ref="A874">INDIRECT(_xlfn.CONCAT("$I", $F874))</f>
        <v/>
      </c>
      <c r="B874" s="1">
        <f t="array" ref="B874">INDIRECT(_xlfn.CONCAT("$J", $F874))</f>
        <v/>
      </c>
      <c r="C874" s="1">
        <f t="array" ref="C874">INDIRECT(_xlfn.CONCAT("$K", $F874))</f>
        <v/>
      </c>
      <c r="D874" s="1" t="n"/>
      <c r="E874" s="1">
        <f t="array" ref="E874">INDIRECT(_xlfn.CONCAT("$L", $F874))</f>
        <v/>
      </c>
      <c r="F874" s="1">
        <f t="array" ref="F874">IF(NOT(OR(ISERROR(INDIRECT(_xlfn.CONCAT("$I", $F873 + 1))), ISBLANK(INDIRECT(_xlfn.CONCAT("$I", $F873 + 1))))), $F873 + 1, IF(NOT(ISBLANK(INDIRECT(_xlfn.CONCAT("$I", $F873 + 2)))), $F873 + 2, ""))</f>
        <v/>
      </c>
      <c r="I874" s="8" t="inlineStr">
        <is>
          <t>Mythic Edition Tokens TMED</t>
        </is>
      </c>
      <c r="J874" s="8" t="n">
        <v>16</v>
      </c>
      <c r="K874" s="9" t="n">
        <v>43378</v>
      </c>
      <c r="L874" s="8" t="inlineStr">
        <is>
          <t>en es fr de it pt ja ko ru 汉语 漢語</t>
        </is>
      </c>
    </row>
    <row r="875" ht="57.75" customHeight="1" s="6">
      <c r="A875" s="1">
        <f t="array" ref="A875">INDIRECT(_xlfn.CONCAT("$I", $F875))</f>
        <v/>
      </c>
      <c r="B875" s="1">
        <f t="array" ref="B875">INDIRECT(_xlfn.CONCAT("$J", $F875))</f>
        <v/>
      </c>
      <c r="C875" s="1">
        <f t="array" ref="C875">INDIRECT(_xlfn.CONCAT("$K", $F875))</f>
        <v/>
      </c>
      <c r="D875" s="1" t="n"/>
      <c r="E875" s="1">
        <f t="array" ref="E875">INDIRECT(_xlfn.CONCAT("$L", $F875))</f>
        <v/>
      </c>
      <c r="F875" s="1">
        <f t="array" ref="F875">IF(NOT(OR(ISERROR(INDIRECT(_xlfn.CONCAT("$I", $F874 + 1))), ISBLANK(INDIRECT(_xlfn.CONCAT("$I", $F874 + 1))))), $F874 + 1, IF(NOT(ISBLANK(INDIRECT(_xlfn.CONCAT("$I", $F874 + 2)))), $F874 + 2, ""))</f>
        <v/>
      </c>
    </row>
    <row r="876" ht="57.75" customHeight="1" s="6">
      <c r="A876" s="1">
        <f t="array" ref="A876">INDIRECT(_xlfn.CONCAT("$I", $F876))</f>
        <v/>
      </c>
      <c r="B876" s="1">
        <f t="array" ref="B876">INDIRECT(_xlfn.CONCAT("$J", $F876))</f>
        <v/>
      </c>
      <c r="C876" s="1">
        <f t="array" ref="C876">INDIRECT(_xlfn.CONCAT("$K", $F876))</f>
        <v/>
      </c>
      <c r="D876" s="1" t="n"/>
      <c r="E876" s="1">
        <f t="array" ref="E876">INDIRECT(_xlfn.CONCAT("$L", $F876))</f>
        <v/>
      </c>
      <c r="F876" s="1">
        <f t="array" ref="F876">IF(NOT(OR(ISERROR(INDIRECT(_xlfn.CONCAT("$I", $F875 + 1))), ISBLANK(INDIRECT(_xlfn.CONCAT("$I", $F875 + 1))))), $F875 + 1, IF(NOT(ISBLANK(INDIRECT(_xlfn.CONCAT("$I", $F875 + 2)))), $F875 + 2, ""))</f>
        <v/>
      </c>
      <c r="I876" s="8" t="inlineStr">
        <is>
          <t>Commander 2018 C18</t>
        </is>
      </c>
      <c r="J876" s="8" t="n">
        <v>307</v>
      </c>
      <c r="K876" s="9" t="n">
        <v>43322</v>
      </c>
      <c r="L876" t="inlineStr">
        <is>
          <t>en es fr de it pt ja ko ru 汉语 漢語</t>
        </is>
      </c>
    </row>
    <row r="877" ht="57.75" customHeight="1" s="6">
      <c r="A877" s="1">
        <f t="array" ref="A877">INDIRECT(_xlfn.CONCAT("$I", $F877))</f>
        <v/>
      </c>
      <c r="B877" s="1">
        <f t="array" ref="B877">INDIRECT(_xlfn.CONCAT("$J", $F877))</f>
        <v/>
      </c>
      <c r="C877" s="1">
        <f t="array" ref="C877">INDIRECT(_xlfn.CONCAT("$K", $F877))</f>
        <v/>
      </c>
      <c r="D877" s="1" t="n"/>
      <c r="E877" s="1">
        <f t="array" ref="E877">INDIRECT(_xlfn.CONCAT("$L", $F877))</f>
        <v/>
      </c>
      <c r="F877" s="1">
        <f t="array" ref="F877">IF(NOT(OR(ISERROR(INDIRECT(_xlfn.CONCAT("$I", $F876 + 1))), ISBLANK(INDIRECT(_xlfn.CONCAT("$I", $F876 + 1))))), $F876 + 1, IF(NOT(ISBLANK(INDIRECT(_xlfn.CONCAT("$I", $F876 + 2)))), $F876 + 2, ""))</f>
        <v/>
      </c>
    </row>
    <row r="878" ht="57.75" customHeight="1" s="6">
      <c r="A878" s="1">
        <f t="array" ref="A878">INDIRECT(_xlfn.CONCAT("$I", $F878))</f>
        <v/>
      </c>
      <c r="B878" s="1">
        <f t="array" ref="B878">INDIRECT(_xlfn.CONCAT("$J", $F878))</f>
        <v/>
      </c>
      <c r="C878" s="1">
        <f t="array" ref="C878">INDIRECT(_xlfn.CONCAT("$K", $F878))</f>
        <v/>
      </c>
      <c r="D878" s="1" t="n"/>
      <c r="E878" s="1">
        <f t="array" ref="E878">INDIRECT(_xlfn.CONCAT("$L", $F878))</f>
        <v/>
      </c>
      <c r="F878" s="1">
        <f t="array" ref="F878">IF(NOT(OR(ISERROR(INDIRECT(_xlfn.CONCAT("$I", $F877 + 1))), ISBLANK(INDIRECT(_xlfn.CONCAT("$I", $F877 + 1))))), $F877 + 1, IF(NOT(ISBLANK(INDIRECT(_xlfn.CONCAT("$I", $F877 + 2)))), $F877 + 2, ""))</f>
        <v/>
      </c>
      <c r="I878" s="8" t="inlineStr">
        <is>
          <t>Commander 2018 Tokens TC18</t>
        </is>
      </c>
      <c r="J878" s="8" t="n">
        <v>26</v>
      </c>
      <c r="K878" s="9" t="n">
        <v>43321</v>
      </c>
      <c r="L878" s="8" t="inlineStr">
        <is>
          <t>en es fr de it pt ja ko ru 汉语 漢語</t>
        </is>
      </c>
    </row>
    <row r="879" ht="57.75" customHeight="1" s="6">
      <c r="A879" s="1">
        <f t="array" ref="A879">INDIRECT(_xlfn.CONCAT("$I", $F879))</f>
        <v/>
      </c>
      <c r="B879" s="1">
        <f t="array" ref="B879">INDIRECT(_xlfn.CONCAT("$J", $F879))</f>
        <v/>
      </c>
      <c r="C879" s="1">
        <f t="array" ref="C879">INDIRECT(_xlfn.CONCAT("$K", $F879))</f>
        <v/>
      </c>
      <c r="D879" s="1" t="n"/>
      <c r="E879" s="1">
        <f t="array" ref="E879">INDIRECT(_xlfn.CONCAT("$L", $F879))</f>
        <v/>
      </c>
      <c r="F879" s="1">
        <f t="array" ref="F879">IF(NOT(OR(ISERROR(INDIRECT(_xlfn.CONCAT("$I", $F878 + 1))), ISBLANK(INDIRECT(_xlfn.CONCAT("$I", $F878 + 1))))), $F878 + 1, IF(NOT(ISBLANK(INDIRECT(_xlfn.CONCAT("$I", $F878 + 2)))), $F878 + 2, ""))</f>
        <v/>
      </c>
    </row>
    <row r="880" ht="57.75" customHeight="1" s="6">
      <c r="A880" s="1">
        <f t="array" ref="A880">INDIRECT(_xlfn.CONCAT("$I", $F880))</f>
        <v/>
      </c>
      <c r="B880" s="1">
        <f t="array" ref="B880">INDIRECT(_xlfn.CONCAT("$J", $F880))</f>
        <v/>
      </c>
      <c r="C880" s="1">
        <f t="array" ref="C880">INDIRECT(_xlfn.CONCAT("$K", $F880))</f>
        <v/>
      </c>
      <c r="D880" s="1" t="n"/>
      <c r="E880" s="1">
        <f t="array" ref="E880">INDIRECT(_xlfn.CONCAT("$L", $F880))</f>
        <v/>
      </c>
      <c r="F880" s="1">
        <f t="array" ref="F880">IF(NOT(OR(ISERROR(INDIRECT(_xlfn.CONCAT("$I", $F879 + 1))), ISBLANK(INDIRECT(_xlfn.CONCAT("$I", $F879 + 1))))), $F879 + 1, IF(NOT(ISBLANK(INDIRECT(_xlfn.CONCAT("$I", $F879 + 2)))), $F879 + 2, ""))</f>
        <v/>
      </c>
      <c r="I880" s="8" t="inlineStr">
        <is>
          <t>Commander 2018 Oversized OC18</t>
        </is>
      </c>
      <c r="J880" s="8" t="n">
        <v>4</v>
      </c>
      <c r="K880" s="9" t="n">
        <v>43321</v>
      </c>
      <c r="L880" s="8" t="inlineStr">
        <is>
          <t>en es fr de it pt ja ko ru 汉语 漢語</t>
        </is>
      </c>
    </row>
    <row r="881" ht="68.25" customHeight="1" s="6">
      <c r="A881" s="1">
        <f t="array" ref="A881">INDIRECT(_xlfn.CONCAT("$I", $F881))</f>
        <v/>
      </c>
      <c r="B881" s="1">
        <f t="array" ref="B881">INDIRECT(_xlfn.CONCAT("$J", $F881))</f>
        <v/>
      </c>
      <c r="C881" s="1">
        <f t="array" ref="C881">INDIRECT(_xlfn.CONCAT("$K", $F881))</f>
        <v/>
      </c>
      <c r="D881" s="1" t="n"/>
      <c r="E881" s="1">
        <f t="array" ref="E881">INDIRECT(_xlfn.CONCAT("$L", $F881))</f>
        <v/>
      </c>
      <c r="F881" s="1">
        <f t="array" ref="F881">IF(NOT(OR(ISERROR(INDIRECT(_xlfn.CONCAT("$I", $F880 + 1))), ISBLANK(INDIRECT(_xlfn.CONCAT("$I", $F880 + 1))))), $F880 + 1, IF(NOT(ISBLANK(INDIRECT(_xlfn.CONCAT("$I", $F880 + 2)))), $F880 + 2, ""))</f>
        <v/>
      </c>
    </row>
    <row r="882" ht="68.25" customHeight="1" s="6">
      <c r="A882" s="1">
        <f t="array" ref="A882">INDIRECT(_xlfn.CONCAT("$I", $F882))</f>
        <v/>
      </c>
      <c r="B882" s="1">
        <f t="array" ref="B882">INDIRECT(_xlfn.CONCAT("$J", $F882))</f>
        <v/>
      </c>
      <c r="C882" s="1">
        <f t="array" ref="C882">INDIRECT(_xlfn.CONCAT("$K", $F882))</f>
        <v/>
      </c>
      <c r="D882" s="1" t="n"/>
      <c r="E882" s="1">
        <f t="array" ref="E882">INDIRECT(_xlfn.CONCAT("$L", $F882))</f>
        <v/>
      </c>
      <c r="F882" s="1">
        <f t="array" ref="F882">IF(NOT(OR(ISERROR(INDIRECT(_xlfn.CONCAT("$I", $F881 + 1))), ISBLANK(INDIRECT(_xlfn.CONCAT("$I", $F881 + 1))))), $F881 + 1, IF(NOT(ISBLANK(INDIRECT(_xlfn.CONCAT("$I", $F881 + 2)))), $F881 + 2, ""))</f>
        <v/>
      </c>
      <c r="I882" s="8" t="inlineStr">
        <is>
          <t>Pro Tour Cube PROTOUR</t>
        </is>
      </c>
      <c r="J882" s="8" t="n">
        <v>540</v>
      </c>
      <c r="K882" s="9" t="n">
        <v>43320</v>
      </c>
    </row>
    <row r="883" ht="57.75" customHeight="1" s="6">
      <c r="A883" s="1">
        <f t="array" ref="A883">INDIRECT(_xlfn.CONCAT("$I", $F883))</f>
        <v/>
      </c>
      <c r="B883" s="1">
        <f t="array" ref="B883">INDIRECT(_xlfn.CONCAT("$J", $F883))</f>
        <v/>
      </c>
      <c r="C883" s="1">
        <f t="array" ref="C883">INDIRECT(_xlfn.CONCAT("$K", $F883))</f>
        <v/>
      </c>
      <c r="D883" s="1" t="n"/>
      <c r="E883" s="1">
        <f t="array" ref="E883">INDIRECT(_xlfn.CONCAT("$L", $F883))</f>
        <v/>
      </c>
      <c r="F883" s="1">
        <f t="array" ref="F883">IF(NOT(OR(ISERROR(INDIRECT(_xlfn.CONCAT("$I", $F882 + 1))), ISBLANK(INDIRECT(_xlfn.CONCAT("$I", $F882 + 1))))), $F882 + 1, IF(NOT(ISBLANK(INDIRECT(_xlfn.CONCAT("$I", $F882 + 2)))), $F882 + 2, ""))</f>
        <v/>
      </c>
    </row>
    <row r="884" ht="57.75" customHeight="1" s="6">
      <c r="A884" s="1">
        <f t="array" ref="A884">INDIRECT(_xlfn.CONCAT("$I", $F884))</f>
        <v/>
      </c>
      <c r="B884" s="1">
        <f t="array" ref="B884">INDIRECT(_xlfn.CONCAT("$J", $F884))</f>
        <v/>
      </c>
      <c r="C884" s="1">
        <f t="array" ref="C884">INDIRECT(_xlfn.CONCAT("$K", $F884))</f>
        <v/>
      </c>
      <c r="D884" s="1" t="n"/>
      <c r="E884" s="1">
        <f t="array" ref="E884">INDIRECT(_xlfn.CONCAT("$L", $F884))</f>
        <v/>
      </c>
      <c r="F884" s="1">
        <f t="array" ref="F884">IF(NOT(OR(ISERROR(INDIRECT(_xlfn.CONCAT("$I", $F883 + 1))), ISBLANK(INDIRECT(_xlfn.CONCAT("$I", $F883 + 1))))), $F883 + 1, IF(NOT(ISBLANK(INDIRECT(_xlfn.CONCAT("$I", $F883 + 2)))), $F883 + 2, ""))</f>
        <v/>
      </c>
      <c r="I884" s="8" t="inlineStr">
        <is>
          <t>2017 Heroes of the Realm PH17</t>
        </is>
      </c>
      <c r="J884" s="8" t="n">
        <v>3</v>
      </c>
      <c r="K884" s="9" t="n">
        <v>43313</v>
      </c>
      <c r="L884" s="8" t="inlineStr">
        <is>
          <t>en es fr de it pt ja ko ru 汉语 漢語</t>
        </is>
      </c>
    </row>
    <row r="885" ht="57.75" customHeight="1" s="6">
      <c r="A885" s="1">
        <f t="array" ref="A885">INDIRECT(_xlfn.CONCAT("$I", $F885))</f>
        <v/>
      </c>
      <c r="B885" s="1">
        <f t="array" ref="B885">INDIRECT(_xlfn.CONCAT("$J", $F885))</f>
        <v/>
      </c>
      <c r="C885" s="1">
        <f t="array" ref="C885">INDIRECT(_xlfn.CONCAT("$K", $F885))</f>
        <v/>
      </c>
      <c r="D885" s="1" t="n"/>
      <c r="E885" s="1">
        <f t="array" ref="E885">INDIRECT(_xlfn.CONCAT("$L", $F885))</f>
        <v/>
      </c>
      <c r="F885" s="1">
        <f t="array" ref="F885">IF(NOT(OR(ISERROR(INDIRECT(_xlfn.CONCAT("$I", $F884 + 1))), ISBLANK(INDIRECT(_xlfn.CONCAT("$I", $F884 + 1))))), $F884 + 1, IF(NOT(ISBLANK(INDIRECT(_xlfn.CONCAT("$I", $F884 + 2)))), $F884 + 2, ""))</f>
        <v/>
      </c>
    </row>
    <row r="886" ht="57.75" customHeight="1" s="6">
      <c r="A886" s="1">
        <f t="array" ref="A886">INDIRECT(_xlfn.CONCAT("$I", $F886))</f>
        <v/>
      </c>
      <c r="B886" s="1">
        <f t="array" ref="B886">INDIRECT(_xlfn.CONCAT("$J", $F886))</f>
        <v/>
      </c>
      <c r="C886" s="1">
        <f t="array" ref="C886">INDIRECT(_xlfn.CONCAT("$K", $F886))</f>
        <v/>
      </c>
      <c r="D886" s="1" t="n"/>
      <c r="E886" s="1">
        <f t="array" ref="E886">INDIRECT(_xlfn.CONCAT("$L", $F886))</f>
        <v/>
      </c>
      <c r="F886" s="1">
        <f t="array" ref="F886">IF(NOT(OR(ISERROR(INDIRECT(_xlfn.CONCAT("$I", $F885 + 1))), ISBLANK(INDIRECT(_xlfn.CONCAT("$I", $F885 + 1))))), $F885 + 1, IF(NOT(ISBLANK(INDIRECT(_xlfn.CONCAT("$I", $F885 + 2)))), $F885 + 2, ""))</f>
        <v/>
      </c>
      <c r="I886" s="8" t="inlineStr">
        <is>
          <t>San Diego Comic-Con 2018 PS18</t>
        </is>
      </c>
      <c r="J886" s="8" t="n">
        <v>5</v>
      </c>
      <c r="K886" s="9" t="n">
        <v>43300</v>
      </c>
      <c r="L886" s="8" t="inlineStr">
        <is>
          <t>en es fr de it pt ja ko ru 汉语 漢語</t>
        </is>
      </c>
    </row>
    <row r="887" ht="57.75" customHeight="1" s="6">
      <c r="A887" s="1">
        <f t="array" ref="A887">INDIRECT(_xlfn.CONCAT("$I", $F887))</f>
        <v/>
      </c>
      <c r="B887" s="1">
        <f t="array" ref="B887">INDIRECT(_xlfn.CONCAT("$J", $F887))</f>
        <v/>
      </c>
      <c r="C887" s="1">
        <f t="array" ref="C887">INDIRECT(_xlfn.CONCAT("$K", $F887))</f>
        <v/>
      </c>
      <c r="D887" s="1" t="n"/>
      <c r="E887" s="1">
        <f t="array" ref="E887">INDIRECT(_xlfn.CONCAT("$L", $F887))</f>
        <v/>
      </c>
      <c r="F887" s="1">
        <f t="array" ref="F887">IF(NOT(OR(ISERROR(INDIRECT(_xlfn.CONCAT("$I", $F886 + 1))), ISBLANK(INDIRECT(_xlfn.CONCAT("$I", $F886 + 1))))), $F886 + 1, IF(NOT(ISBLANK(INDIRECT(_xlfn.CONCAT("$I", $F886 + 2)))), $F886 + 2, ""))</f>
        <v/>
      </c>
    </row>
    <row r="888" ht="57.75" customHeight="1" s="6">
      <c r="A888" s="1">
        <f t="array" ref="A888">INDIRECT(_xlfn.CONCAT("$I", $F888))</f>
        <v/>
      </c>
      <c r="B888" s="1">
        <f t="array" ref="B888">INDIRECT(_xlfn.CONCAT("$J", $F888))</f>
        <v/>
      </c>
      <c r="C888" s="1">
        <f t="array" ref="C888">INDIRECT(_xlfn.CONCAT("$K", $F888))</f>
        <v/>
      </c>
      <c r="D888" s="1" t="n"/>
      <c r="E888" s="1">
        <f t="array" ref="E888">INDIRECT(_xlfn.CONCAT("$L", $F888))</f>
        <v/>
      </c>
      <c r="F888" s="1">
        <f t="array" ref="F888">IF(NOT(OR(ISERROR(INDIRECT(_xlfn.CONCAT("$I", $F887 + 1))), ISBLANK(INDIRECT(_xlfn.CONCAT("$I", $F887 + 1))))), $F887 + 1, IF(NOT(ISBLANK(INDIRECT(_xlfn.CONCAT("$I", $F887 + 2)))), $F887 + 2, ""))</f>
        <v/>
      </c>
      <c r="I888" s="8" t="inlineStr">
        <is>
          <t>Arena New Player Experience ANA</t>
        </is>
      </c>
      <c r="J888" s="8" t="n">
        <v>46</v>
      </c>
      <c r="K888" s="9" t="n">
        <v>43295</v>
      </c>
      <c r="L888" s="8" t="inlineStr">
        <is>
          <t>en es fr de it pt ja ko ru 汉语 漢語</t>
        </is>
      </c>
    </row>
    <row r="889" ht="57.75" customHeight="1" s="6">
      <c r="A889" s="1">
        <f t="array" ref="A889">INDIRECT(_xlfn.CONCAT("$I", $F889))</f>
        <v/>
      </c>
      <c r="B889" s="1">
        <f t="array" ref="B889">INDIRECT(_xlfn.CONCAT("$J", $F889))</f>
        <v/>
      </c>
      <c r="C889" s="1">
        <f t="array" ref="C889">INDIRECT(_xlfn.CONCAT("$K", $F889))</f>
        <v/>
      </c>
      <c r="D889" s="1" t="n"/>
      <c r="E889" s="1">
        <f t="array" ref="E889">INDIRECT(_xlfn.CONCAT("$L", $F889))</f>
        <v/>
      </c>
      <c r="F889" s="1">
        <f t="array" ref="F889">IF(NOT(OR(ISERROR(INDIRECT(_xlfn.CONCAT("$I", $F888 + 1))), ISBLANK(INDIRECT(_xlfn.CONCAT("$I", $F888 + 1))))), $F888 + 1, IF(NOT(ISBLANK(INDIRECT(_xlfn.CONCAT("$I", $F888 + 2)))), $F888 + 2, ""))</f>
        <v/>
      </c>
    </row>
    <row r="890" ht="57.75" customHeight="1" s="6">
      <c r="A890" s="1">
        <f t="array" ref="A890">INDIRECT(_xlfn.CONCAT("$I", $F890))</f>
        <v/>
      </c>
      <c r="B890" s="1">
        <f t="array" ref="B890">INDIRECT(_xlfn.CONCAT("$J", $F890))</f>
        <v/>
      </c>
      <c r="C890" s="1">
        <f t="array" ref="C890">INDIRECT(_xlfn.CONCAT("$K", $F890))</f>
        <v/>
      </c>
      <c r="D890" s="1" t="n"/>
      <c r="E890" s="1">
        <f t="array" ref="E890">INDIRECT(_xlfn.CONCAT("$L", $F890))</f>
        <v/>
      </c>
      <c r="F890" s="1">
        <f t="array" ref="F890">IF(NOT(OR(ISERROR(INDIRECT(_xlfn.CONCAT("$I", $F889 + 1))), ISBLANK(INDIRECT(_xlfn.CONCAT("$I", $F889 + 1))))), $F889 + 1, IF(NOT(ISBLANK(INDIRECT(_xlfn.CONCAT("$I", $F889 + 2)))), $F889 + 2, ""))</f>
        <v/>
      </c>
      <c r="I890" s="8" t="inlineStr">
        <is>
          <t>Arena New Player Experience Extras XANA</t>
        </is>
      </c>
      <c r="J890" s="8" t="n">
        <v>20</v>
      </c>
      <c r="K890" s="9" t="n">
        <v>43295</v>
      </c>
      <c r="L890" s="8" t="inlineStr">
        <is>
          <t>en es fr de it pt ja ko ru 汉语 漢語</t>
        </is>
      </c>
    </row>
    <row r="891" ht="57.75" customHeight="1" s="6">
      <c r="A891" s="1">
        <f t="array" ref="A891">INDIRECT(_xlfn.CONCAT("$I", $F891))</f>
        <v/>
      </c>
      <c r="B891" s="1">
        <f t="array" ref="B891">INDIRECT(_xlfn.CONCAT("$J", $F891))</f>
        <v/>
      </c>
      <c r="C891" s="1">
        <f t="array" ref="C891">INDIRECT(_xlfn.CONCAT("$K", $F891))</f>
        <v/>
      </c>
      <c r="D891" s="1" t="n"/>
      <c r="E891" s="1">
        <f t="array" ref="E891">INDIRECT(_xlfn.CONCAT("$L", $F891))</f>
        <v/>
      </c>
      <c r="F891" s="1">
        <f t="array" ref="F891">IF(NOT(OR(ISERROR(INDIRECT(_xlfn.CONCAT("$I", $F890 + 1))), ISBLANK(INDIRECT(_xlfn.CONCAT("$I", $F890 + 1))))), $F890 + 1, IF(NOT(ISBLANK(INDIRECT(_xlfn.CONCAT("$I", $F890 + 2)))), $F890 + 2, ""))</f>
        <v/>
      </c>
    </row>
    <row r="892" ht="57.75" customHeight="1" s="6">
      <c r="A892" s="1">
        <f t="array" ref="A892">INDIRECT(_xlfn.CONCAT("$I", $F892))</f>
        <v/>
      </c>
      <c r="B892" s="1">
        <f t="array" ref="B892">INDIRECT(_xlfn.CONCAT("$J", $F892))</f>
        <v/>
      </c>
      <c r="C892" s="1">
        <f t="array" ref="C892">INDIRECT(_xlfn.CONCAT("$K", $F892))</f>
        <v/>
      </c>
      <c r="D892" s="1" t="n"/>
      <c r="E892" s="1">
        <f t="array" ref="E892">INDIRECT(_xlfn.CONCAT("$L", $F892))</f>
        <v/>
      </c>
      <c r="F892" s="1">
        <f t="array" ref="F892">IF(NOT(OR(ISERROR(INDIRECT(_xlfn.CONCAT("$I", $F891 + 1))), ISBLANK(INDIRECT(_xlfn.CONCAT("$I", $F891 + 1))))), $F891 + 1, IF(NOT(ISBLANK(INDIRECT(_xlfn.CONCAT("$I", $F891 + 2)))), $F891 + 2, ""))</f>
        <v/>
      </c>
      <c r="I892" s="8" t="inlineStr">
        <is>
          <t>Arena New Player Experience Cards OANA</t>
        </is>
      </c>
      <c r="J892" s="8" t="n">
        <v>14</v>
      </c>
      <c r="K892" s="9" t="n">
        <v>43295</v>
      </c>
      <c r="L892" s="8" t="inlineStr">
        <is>
          <t>en es fr de it pt ja ko ru 汉语 漢語</t>
        </is>
      </c>
    </row>
    <row r="893" ht="68.25" customHeight="1" s="6">
      <c r="A893" s="1">
        <f t="array" ref="A893">INDIRECT(_xlfn.CONCAT("$I", $F893))</f>
        <v/>
      </c>
      <c r="B893" s="1">
        <f t="array" ref="B893">INDIRECT(_xlfn.CONCAT("$J", $F893))</f>
        <v/>
      </c>
      <c r="C893" s="1">
        <f t="array" ref="C893">INDIRECT(_xlfn.CONCAT("$K", $F893))</f>
        <v/>
      </c>
      <c r="D893" s="1" t="n"/>
      <c r="E893" s="1">
        <f t="array" ref="E893">INDIRECT(_xlfn.CONCAT("$L", $F893))</f>
        <v/>
      </c>
      <c r="F893" s="1">
        <f t="array" ref="F893">IF(NOT(OR(ISERROR(INDIRECT(_xlfn.CONCAT("$I", $F892 + 1))), ISBLANK(INDIRECT(_xlfn.CONCAT("$I", $F892 + 1))))), $F892 + 1, IF(NOT(ISBLANK(INDIRECT(_xlfn.CONCAT("$I", $F892 + 2)))), $F892 + 2, ""))</f>
        <v/>
      </c>
    </row>
    <row r="894" ht="57.75" customHeight="1" s="6">
      <c r="A894" s="1">
        <f t="array" ref="A894">INDIRECT(_xlfn.CONCAT("$I", $F894))</f>
        <v/>
      </c>
      <c r="B894" s="1">
        <f t="array" ref="B894">INDIRECT(_xlfn.CONCAT("$J", $F894))</f>
        <v/>
      </c>
      <c r="C894" s="1">
        <f t="array" ref="C894">INDIRECT(_xlfn.CONCAT("$K", $F894))</f>
        <v/>
      </c>
      <c r="D894" s="1" t="n"/>
      <c r="E894" s="1">
        <f t="array" ref="E894">INDIRECT(_xlfn.CONCAT("$L", $F894))</f>
        <v/>
      </c>
      <c r="F894" s="1">
        <f t="array" ref="F894">IF(NOT(OR(ISERROR(INDIRECT(_xlfn.CONCAT("$I", $F893 + 1))), ISBLANK(INDIRECT(_xlfn.CONCAT("$I", $F893 + 1))))), $F893 + 1, IF(NOT(ISBLANK(INDIRECT(_xlfn.CONCAT("$I", $F893 + 2)))), $F893 + 2, ""))</f>
        <v/>
      </c>
      <c r="I894" s="8" t="inlineStr">
        <is>
          <t>MTG Arena Promos PANA</t>
        </is>
      </c>
      <c r="J894" s="8" t="n">
        <v>78</v>
      </c>
      <c r="K894" s="9" t="n">
        <v>43295</v>
      </c>
      <c r="L894" s="8" t="inlineStr">
        <is>
          <t>en es fr de it pt ja ko ru 汉语 漢語</t>
        </is>
      </c>
    </row>
    <row r="895" ht="57.75" customHeight="1" s="6">
      <c r="A895" s="1">
        <f t="array" ref="A895">INDIRECT(_xlfn.CONCAT("$I", $F895))</f>
        <v/>
      </c>
      <c r="B895" s="1">
        <f t="array" ref="B895">INDIRECT(_xlfn.CONCAT("$J", $F895))</f>
        <v/>
      </c>
      <c r="C895" s="1">
        <f t="array" ref="C895">INDIRECT(_xlfn.CONCAT("$K", $F895))</f>
        <v/>
      </c>
      <c r="D895" s="1" t="n"/>
      <c r="E895" s="1">
        <f t="array" ref="E895">INDIRECT(_xlfn.CONCAT("$L", $F895))</f>
        <v/>
      </c>
      <c r="F895" s="1">
        <f t="array" ref="F895">IF(NOT(OR(ISERROR(INDIRECT(_xlfn.CONCAT("$I", $F894 + 1))), ISBLANK(INDIRECT(_xlfn.CONCAT("$I", $F894 + 1))))), $F894 + 1, IF(NOT(ISBLANK(INDIRECT(_xlfn.CONCAT("$I", $F894 + 2)))), $F894 + 2, ""))</f>
        <v/>
      </c>
    </row>
    <row r="896" ht="57.75" customHeight="1" s="6">
      <c r="A896" s="1">
        <f t="array" ref="A896">INDIRECT(_xlfn.CONCAT("$I", $F896))</f>
        <v/>
      </c>
      <c r="B896" s="1">
        <f t="array" ref="B896">INDIRECT(_xlfn.CONCAT("$J", $F896))</f>
        <v/>
      </c>
      <c r="C896" s="1">
        <f t="array" ref="C896">INDIRECT(_xlfn.CONCAT("$K", $F896))</f>
        <v/>
      </c>
      <c r="D896" s="1" t="n"/>
      <c r="E896" s="1">
        <f t="array" ref="E896">INDIRECT(_xlfn.CONCAT("$L", $F896))</f>
        <v/>
      </c>
      <c r="F896" s="1">
        <f t="array" ref="F896">IF(NOT(OR(ISERROR(INDIRECT(_xlfn.CONCAT("$I", $F895 + 1))), ISBLANK(INDIRECT(_xlfn.CONCAT("$I", $F895 + 1))))), $F895 + 1, IF(NOT(ISBLANK(INDIRECT(_xlfn.CONCAT("$I", $F895 + 2)))), $F895 + 2, ""))</f>
        <v/>
      </c>
      <c r="I896" s="8" t="inlineStr">
        <is>
          <t>Core Set 2019 M19</t>
        </is>
      </c>
      <c r="J896" s="8" t="n">
        <v>314</v>
      </c>
      <c r="K896" s="9" t="n">
        <v>43294</v>
      </c>
      <c r="L896" t="inlineStr">
        <is>
          <t>en es fr de it pt ja ko ru 汉语 漢語</t>
        </is>
      </c>
    </row>
    <row r="897" ht="57.75" customHeight="1" s="6">
      <c r="A897" s="1">
        <f t="array" ref="A897">INDIRECT(_xlfn.CONCAT("$I", $F897))</f>
        <v/>
      </c>
      <c r="B897" s="1">
        <f t="array" ref="B897">INDIRECT(_xlfn.CONCAT("$J", $F897))</f>
        <v/>
      </c>
      <c r="C897" s="1">
        <f t="array" ref="C897">INDIRECT(_xlfn.CONCAT("$K", $F897))</f>
        <v/>
      </c>
      <c r="D897" s="1" t="n"/>
      <c r="E897" s="1">
        <f t="array" ref="E897">INDIRECT(_xlfn.CONCAT("$L", $F897))</f>
        <v/>
      </c>
      <c r="F897" s="1">
        <f t="array" ref="F897">IF(NOT(OR(ISERROR(INDIRECT(_xlfn.CONCAT("$I", $F896 + 1))), ISBLANK(INDIRECT(_xlfn.CONCAT("$I", $F896 + 1))))), $F896 + 1, IF(NOT(ISBLANK(INDIRECT(_xlfn.CONCAT("$I", $F896 + 2)))), $F896 + 2, ""))</f>
        <v/>
      </c>
    </row>
    <row r="898" ht="57.75" customHeight="1" s="6">
      <c r="A898" s="1">
        <f t="array" ref="A898">INDIRECT(_xlfn.CONCAT("$I", $F898))</f>
        <v/>
      </c>
      <c r="B898" s="1">
        <f t="array" ref="B898">INDIRECT(_xlfn.CONCAT("$J", $F898))</f>
        <v/>
      </c>
      <c r="C898" s="1">
        <f t="array" ref="C898">INDIRECT(_xlfn.CONCAT("$K", $F898))</f>
        <v/>
      </c>
      <c r="D898" s="1" t="n"/>
      <c r="E898" s="1">
        <f t="array" ref="E898">INDIRECT(_xlfn.CONCAT("$L", $F898))</f>
        <v/>
      </c>
      <c r="F898" s="1">
        <f t="array" ref="F898">IF(NOT(OR(ISERROR(INDIRECT(_xlfn.CONCAT("$I", $F897 + 1))), ISBLANK(INDIRECT(_xlfn.CONCAT("$I", $F897 + 1))))), $F897 + 1, IF(NOT(ISBLANK(INDIRECT(_xlfn.CONCAT("$I", $F897 + 2)))), $F897 + 2, ""))</f>
        <v/>
      </c>
      <c r="I898" s="8" t="inlineStr">
        <is>
          <t>Core Set 2019 Promos PM19</t>
        </is>
      </c>
      <c r="J898" s="8" t="n">
        <v>95</v>
      </c>
      <c r="K898" s="9" t="n">
        <v>43294</v>
      </c>
      <c r="L898" s="8" t="inlineStr">
        <is>
          <t>en es fr de it pt ja ko ru 汉语 漢語</t>
        </is>
      </c>
    </row>
    <row r="899" ht="57.75" customHeight="1" s="6">
      <c r="A899" s="1">
        <f t="array" ref="A899">INDIRECT(_xlfn.CONCAT("$I", $F899))</f>
        <v/>
      </c>
      <c r="B899" s="1">
        <f t="array" ref="B899">INDIRECT(_xlfn.CONCAT("$J", $F899))</f>
        <v/>
      </c>
      <c r="C899" s="1">
        <f t="array" ref="C899">INDIRECT(_xlfn.CONCAT("$K", $F899))</f>
        <v/>
      </c>
      <c r="D899" s="1" t="n"/>
      <c r="E899" s="1">
        <f t="array" ref="E899">INDIRECT(_xlfn.CONCAT("$L", $F899))</f>
        <v/>
      </c>
      <c r="F899" s="1">
        <f t="array" ref="F899">IF(NOT(OR(ISERROR(INDIRECT(_xlfn.CONCAT("$I", $F898 + 1))), ISBLANK(INDIRECT(_xlfn.CONCAT("$I", $F898 + 1))))), $F898 + 1, IF(NOT(ISBLANK(INDIRECT(_xlfn.CONCAT("$I", $F898 + 2)))), $F898 + 2, ""))</f>
        <v/>
      </c>
    </row>
    <row r="900" ht="57.75" customHeight="1" s="6">
      <c r="A900" s="1">
        <f t="array" ref="A900">INDIRECT(_xlfn.CONCAT("$I", $F900))</f>
        <v/>
      </c>
      <c r="B900" s="1">
        <f t="array" ref="B900">INDIRECT(_xlfn.CONCAT("$J", $F900))</f>
        <v/>
      </c>
      <c r="C900" s="1">
        <f t="array" ref="C900">INDIRECT(_xlfn.CONCAT("$K", $F900))</f>
        <v/>
      </c>
      <c r="D900" s="1" t="n"/>
      <c r="E900" s="1">
        <f t="array" ref="E900">INDIRECT(_xlfn.CONCAT("$L", $F900))</f>
        <v/>
      </c>
      <c r="F900" s="1">
        <f t="array" ref="F900">IF(NOT(OR(ISERROR(INDIRECT(_xlfn.CONCAT("$I", $F899 + 1))), ISBLANK(INDIRECT(_xlfn.CONCAT("$I", $F899 + 1))))), $F899 + 1, IF(NOT(ISBLANK(INDIRECT(_xlfn.CONCAT("$I", $F899 + 2)))), $F899 + 2, ""))</f>
        <v/>
      </c>
      <c r="I900" s="8" t="inlineStr">
        <is>
          <t>Core Set 2019 Tokens TM19</t>
        </is>
      </c>
      <c r="J900" s="8" t="n">
        <v>18</v>
      </c>
      <c r="K900" s="9" t="n">
        <v>43294</v>
      </c>
      <c r="L900" s="8" t="inlineStr">
        <is>
          <t>en es fr de it pt ja ko ru 汉语 漢語</t>
        </is>
      </c>
    </row>
    <row r="901" ht="57.75" customHeight="1" s="6">
      <c r="A901" s="1">
        <f t="array" ref="A901">INDIRECT(_xlfn.CONCAT("$I", $F901))</f>
        <v/>
      </c>
      <c r="B901" s="1">
        <f t="array" ref="B901">INDIRECT(_xlfn.CONCAT("$J", $F901))</f>
        <v/>
      </c>
      <c r="C901" s="1">
        <f t="array" ref="C901">INDIRECT(_xlfn.CONCAT("$K", $F901))</f>
        <v/>
      </c>
      <c r="D901" s="1" t="n"/>
      <c r="E901" s="1">
        <f t="array" ref="E901">INDIRECT(_xlfn.CONCAT("$L", $F901))</f>
        <v/>
      </c>
      <c r="F901" s="1">
        <f t="array" ref="F901">IF(NOT(OR(ISERROR(INDIRECT(_xlfn.CONCAT("$I", $F900 + 1))), ISBLANK(INDIRECT(_xlfn.CONCAT("$I", $F900 + 1))))), $F900 + 1, IF(NOT(ISBLANK(INDIRECT(_xlfn.CONCAT("$I", $F900 + 2)))), $F900 + 2, ""))</f>
        <v/>
      </c>
    </row>
    <row r="902" ht="57.75" customHeight="1" s="6">
      <c r="A902" s="1">
        <f t="array" ref="A902">INDIRECT(_xlfn.CONCAT("$I", $F902))</f>
        <v/>
      </c>
      <c r="B902" s="1">
        <f t="array" ref="B902">INDIRECT(_xlfn.CONCAT("$J", $F902))</f>
        <v/>
      </c>
      <c r="C902" s="1">
        <f t="array" ref="C902">INDIRECT(_xlfn.CONCAT("$K", $F902))</f>
        <v/>
      </c>
      <c r="D902" s="1" t="n"/>
      <c r="E902" s="1">
        <f t="array" ref="E902">INDIRECT(_xlfn.CONCAT("$L", $F902))</f>
        <v/>
      </c>
      <c r="F902" s="1">
        <f t="array" ref="F902">IF(NOT(OR(ISERROR(INDIRECT(_xlfn.CONCAT("$I", $F901 + 1))), ISBLANK(INDIRECT(_xlfn.CONCAT("$I", $F901 + 1))))), $F901 + 1, IF(NOT(ISBLANK(INDIRECT(_xlfn.CONCAT("$I", $F901 + 2)))), $F901 + 2, ""))</f>
        <v/>
      </c>
      <c r="I902" s="8" t="inlineStr">
        <is>
          <t>M19 Gift Pack G18</t>
        </is>
      </c>
      <c r="J902" s="8" t="n">
        <v>5</v>
      </c>
      <c r="K902" s="9" t="n">
        <v>43420</v>
      </c>
      <c r="L902" s="8" t="inlineStr">
        <is>
          <t>en es fr de it pt ja ko ru 汉语 漢語</t>
        </is>
      </c>
    </row>
    <row r="903" ht="57.75" customHeight="1" s="6">
      <c r="A903" s="1">
        <f t="array" ref="A903">INDIRECT(_xlfn.CONCAT("$I", $F903))</f>
        <v/>
      </c>
      <c r="B903" s="1">
        <f t="array" ref="B903">INDIRECT(_xlfn.CONCAT("$J", $F903))</f>
        <v/>
      </c>
      <c r="C903" s="1">
        <f t="array" ref="C903">INDIRECT(_xlfn.CONCAT("$K", $F903))</f>
        <v/>
      </c>
      <c r="D903" s="1" t="n"/>
      <c r="E903" s="1">
        <f t="array" ref="E903">INDIRECT(_xlfn.CONCAT("$L", $F903))</f>
        <v/>
      </c>
      <c r="F903" s="1">
        <f t="array" ref="F903">IF(NOT(OR(ISERROR(INDIRECT(_xlfn.CONCAT("$I", $F902 + 1))), ISBLANK(INDIRECT(_xlfn.CONCAT("$I", $F902 + 1))))), $F902 + 1, IF(NOT(ISBLANK(INDIRECT(_xlfn.CONCAT("$I", $F902 + 2)))), $F902 + 2, ""))</f>
        <v/>
      </c>
    </row>
    <row r="904" ht="57.75" customHeight="1" s="6">
      <c r="A904" s="1">
        <f t="array" ref="A904">INDIRECT(_xlfn.CONCAT("$I", $F904))</f>
        <v/>
      </c>
      <c r="B904" s="1">
        <f t="array" ref="B904">INDIRECT(_xlfn.CONCAT("$J", $F904))</f>
        <v/>
      </c>
      <c r="C904" s="1">
        <f t="array" ref="C904">INDIRECT(_xlfn.CONCAT("$K", $F904))</f>
        <v/>
      </c>
      <c r="D904" s="1" t="n"/>
      <c r="E904" s="1">
        <f t="array" ref="E904">INDIRECT(_xlfn.CONCAT("$L", $F904))</f>
        <v/>
      </c>
      <c r="F904" s="1">
        <f t="array" ref="F904">IF(NOT(OR(ISERROR(INDIRECT(_xlfn.CONCAT("$I", $F903 + 1))), ISBLANK(INDIRECT(_xlfn.CONCAT("$I", $F903 + 1))))), $F903 + 1, IF(NOT(ISBLANK(INDIRECT(_xlfn.CONCAT("$I", $F903 + 2)))), $F903 + 2, ""))</f>
        <v/>
      </c>
      <c r="I904" s="8" t="inlineStr">
        <is>
          <t>M19 Standard Showdown PSS3</t>
        </is>
      </c>
      <c r="J904" s="8" t="n">
        <v>5</v>
      </c>
      <c r="K904" s="9" t="n">
        <v>43294</v>
      </c>
      <c r="L904" s="8" t="inlineStr">
        <is>
          <t>en es fr de it pt ja ko ru 汉语 漢語</t>
        </is>
      </c>
    </row>
    <row r="905" ht="57.75" customHeight="1" s="6">
      <c r="A905" s="1">
        <f t="array" ref="A905">INDIRECT(_xlfn.CONCAT("$I", $F905))</f>
        <v/>
      </c>
      <c r="B905" s="1">
        <f t="array" ref="B905">INDIRECT(_xlfn.CONCAT("$J", $F905))</f>
        <v/>
      </c>
      <c r="C905" s="1">
        <f t="array" ref="C905">INDIRECT(_xlfn.CONCAT("$K", $F905))</f>
        <v/>
      </c>
      <c r="D905" s="1" t="n"/>
      <c r="E905" s="1">
        <f t="array" ref="E905">INDIRECT(_xlfn.CONCAT("$L", $F905))</f>
        <v/>
      </c>
      <c r="F905" s="1">
        <f t="array" ref="F905">IF(NOT(OR(ISERROR(INDIRECT(_xlfn.CONCAT("$I", $F904 + 1))), ISBLANK(INDIRECT(_xlfn.CONCAT("$I", $F904 + 1))))), $F904 + 1, IF(NOT(ISBLANK(INDIRECT(_xlfn.CONCAT("$I", $F904 + 2)))), $F904 + 2, ""))</f>
        <v/>
      </c>
    </row>
    <row r="906" ht="57.75" customHeight="1" s="6">
      <c r="A906" s="1">
        <f t="array" ref="A906">INDIRECT(_xlfn.CONCAT("$I", $F906))</f>
        <v/>
      </c>
      <c r="B906" s="1">
        <f t="array" ref="B906">INDIRECT(_xlfn.CONCAT("$J", $F906))</f>
        <v/>
      </c>
      <c r="C906" s="1">
        <f t="array" ref="C906">INDIRECT(_xlfn.CONCAT("$K", $F906))</f>
        <v/>
      </c>
      <c r="D906" s="1" t="n"/>
      <c r="E906" s="1">
        <f t="array" ref="E906">INDIRECT(_xlfn.CONCAT("$L", $F906))</f>
        <v/>
      </c>
      <c r="F906" s="1">
        <f t="array" ref="F906">IF(NOT(OR(ISERROR(INDIRECT(_xlfn.CONCAT("$I", $F905 + 1))), ISBLANK(INDIRECT(_xlfn.CONCAT("$I", $F905 + 1))))), $F905 + 1, IF(NOT(ISBLANK(INDIRECT(_xlfn.CONCAT("$I", $F905 + 2)))), $F905 + 2, ""))</f>
        <v/>
      </c>
      <c r="I906" s="8" t="inlineStr">
        <is>
          <t>Global Series Jiang Yanggu &amp; Mu Yanling GS1</t>
        </is>
      </c>
      <c r="J906" s="8" t="n">
        <v>41</v>
      </c>
      <c r="K906" s="9" t="n">
        <v>43273</v>
      </c>
      <c r="L906" t="inlineStr">
        <is>
          <t>en es fr de it pt ja ko ru 汉语 漢語</t>
        </is>
      </c>
    </row>
    <row r="907" ht="68.25" customHeight="1" s="6">
      <c r="A907" s="1">
        <f t="array" ref="A907">INDIRECT(_xlfn.CONCAT("$I", $F907))</f>
        <v/>
      </c>
      <c r="B907" s="1">
        <f t="array" ref="B907">INDIRECT(_xlfn.CONCAT("$J", $F907))</f>
        <v/>
      </c>
      <c r="C907" s="1">
        <f t="array" ref="C907">INDIRECT(_xlfn.CONCAT("$K", $F907))</f>
        <v/>
      </c>
      <c r="D907" s="1" t="n"/>
      <c r="E907" s="1">
        <f t="array" ref="E907">INDIRECT(_xlfn.CONCAT("$L", $F907))</f>
        <v/>
      </c>
      <c r="F907" s="1">
        <f t="array" ref="F907">IF(NOT(OR(ISERROR(INDIRECT(_xlfn.CONCAT("$I", $F906 + 1))), ISBLANK(INDIRECT(_xlfn.CONCAT("$I", $F906 + 1))))), $F906 + 1, IF(NOT(ISBLANK(INDIRECT(_xlfn.CONCAT("$I", $F906 + 2)))), $F906 + 2, ""))</f>
        <v/>
      </c>
    </row>
    <row r="908" ht="57.75" customHeight="1" s="6">
      <c r="A908" s="1">
        <f t="array" ref="A908">INDIRECT(_xlfn.CONCAT("$I", $F908))</f>
        <v/>
      </c>
      <c r="B908" s="1">
        <f t="array" ref="B908">INDIRECT(_xlfn.CONCAT("$J", $F908))</f>
        <v/>
      </c>
      <c r="C908" s="1">
        <f t="array" ref="C908">INDIRECT(_xlfn.CONCAT("$K", $F908))</f>
        <v/>
      </c>
      <c r="D908" s="1" t="n"/>
      <c r="E908" s="1">
        <f t="array" ref="E908">INDIRECT(_xlfn.CONCAT("$L", $F908))</f>
        <v/>
      </c>
      <c r="F908" s="1">
        <f t="array" ref="F908">IF(NOT(OR(ISERROR(INDIRECT(_xlfn.CONCAT("$I", $F907 + 1))), ISBLANK(INDIRECT(_xlfn.CONCAT("$I", $F907 + 1))))), $F907 + 1, IF(NOT(ISBLANK(INDIRECT(_xlfn.CONCAT("$I", $F907 + 2)))), $F907 + 2, ""))</f>
        <v/>
      </c>
      <c r="I908" s="8" t="inlineStr">
        <is>
          <t>Signature Spellbook: Jace SS1</t>
        </is>
      </c>
      <c r="J908" s="8" t="n">
        <v>8</v>
      </c>
      <c r="K908" s="9" t="n">
        <v>43266</v>
      </c>
      <c r="L908" s="8" t="inlineStr">
        <is>
          <t>en es fr de it pt ja ko ru 汉语 漢語</t>
        </is>
      </c>
    </row>
    <row r="909" ht="57.75" customHeight="1" s="6">
      <c r="A909" s="1">
        <f t="array" ref="A909">INDIRECT(_xlfn.CONCAT("$I", $F909))</f>
        <v/>
      </c>
      <c r="B909" s="1">
        <f t="array" ref="B909">INDIRECT(_xlfn.CONCAT("$J", $F909))</f>
        <v/>
      </c>
      <c r="C909" s="1">
        <f t="array" ref="C909">INDIRECT(_xlfn.CONCAT("$K", $F909))</f>
        <v/>
      </c>
      <c r="D909" s="1" t="n"/>
      <c r="E909" s="1">
        <f t="array" ref="E909">INDIRECT(_xlfn.CONCAT("$L", $F909))</f>
        <v/>
      </c>
      <c r="F909" s="1">
        <f t="array" ref="F909">IF(NOT(OR(ISERROR(INDIRECT(_xlfn.CONCAT("$I", $F908 + 1))), ISBLANK(INDIRECT(_xlfn.CONCAT("$I", $F908 + 1))))), $F908 + 1, IF(NOT(ISBLANK(INDIRECT(_xlfn.CONCAT("$I", $F908 + 2)))), $F908 + 2, ""))</f>
        <v/>
      </c>
    </row>
    <row r="910" ht="57.75" customHeight="1" s="6">
      <c r="A910" s="1">
        <f t="array" ref="A910">INDIRECT(_xlfn.CONCAT("$I", $F910))</f>
        <v/>
      </c>
      <c r="B910" s="1">
        <f t="array" ref="B910">INDIRECT(_xlfn.CONCAT("$J", $F910))</f>
        <v/>
      </c>
      <c r="C910" s="1">
        <f t="array" ref="C910">INDIRECT(_xlfn.CONCAT("$K", $F910))</f>
        <v/>
      </c>
      <c r="D910" s="1" t="n"/>
      <c r="E910" s="1">
        <f t="array" ref="E910">INDIRECT(_xlfn.CONCAT("$L", $F910))</f>
        <v/>
      </c>
      <c r="F910" s="1">
        <f t="array" ref="F910">IF(NOT(OR(ISERROR(INDIRECT(_xlfn.CONCAT("$I", $F909 + 1))), ISBLANK(INDIRECT(_xlfn.CONCAT("$I", $F909 + 1))))), $F909 + 1, IF(NOT(ISBLANK(INDIRECT(_xlfn.CONCAT("$I", $F909 + 2)))), $F909 + 2, ""))</f>
        <v/>
      </c>
      <c r="I910" s="8" t="inlineStr">
        <is>
          <t>Vintage Cube VINTAGE</t>
        </is>
      </c>
      <c r="J910" s="8" t="n">
        <v>540</v>
      </c>
      <c r="K910" s="9" t="n">
        <v>43264</v>
      </c>
    </row>
    <row r="911" ht="57.75" customHeight="1" s="6">
      <c r="A911" s="1">
        <f t="array" ref="A911">INDIRECT(_xlfn.CONCAT("$I", $F911))</f>
        <v/>
      </c>
      <c r="B911" s="1">
        <f t="array" ref="B911">INDIRECT(_xlfn.CONCAT("$J", $F911))</f>
        <v/>
      </c>
      <c r="C911" s="1">
        <f t="array" ref="C911">INDIRECT(_xlfn.CONCAT("$K", $F911))</f>
        <v/>
      </c>
      <c r="D911" s="1" t="n"/>
      <c r="E911" s="1">
        <f t="array" ref="E911">INDIRECT(_xlfn.CONCAT("$L", $F911))</f>
        <v/>
      </c>
      <c r="F911" s="1">
        <f t="array" ref="F911">IF(NOT(OR(ISERROR(INDIRECT(_xlfn.CONCAT("$I", $F910 + 1))), ISBLANK(INDIRECT(_xlfn.CONCAT("$I", $F910 + 1))))), $F910 + 1, IF(NOT(ISBLANK(INDIRECT(_xlfn.CONCAT("$I", $F910 + 2)))), $F910 + 2, ""))</f>
        <v/>
      </c>
    </row>
    <row r="912" ht="57.75" customHeight="1" s="6">
      <c r="A912" s="1">
        <f t="array" ref="A912">INDIRECT(_xlfn.CONCAT("$I", $F912))</f>
        <v/>
      </c>
      <c r="B912" s="1">
        <f t="array" ref="B912">INDIRECT(_xlfn.CONCAT("$J", $F912))</f>
        <v/>
      </c>
      <c r="C912" s="1">
        <f t="array" ref="C912">INDIRECT(_xlfn.CONCAT("$K", $F912))</f>
        <v/>
      </c>
      <c r="D912" s="1" t="n"/>
      <c r="E912" s="1">
        <f t="array" ref="E912">INDIRECT(_xlfn.CONCAT("$L", $F912))</f>
        <v/>
      </c>
      <c r="F912" s="1">
        <f t="array" ref="F912">IF(NOT(OR(ISERROR(INDIRECT(_xlfn.CONCAT("$I", $F911 + 1))), ISBLANK(INDIRECT(_xlfn.CONCAT("$I", $F911 + 1))))), $F911 + 1, IF(NOT(ISBLANK(INDIRECT(_xlfn.CONCAT("$I", $F911 + 2)))), $F911 + 2, ""))</f>
        <v/>
      </c>
      <c r="I912" s="8" t="inlineStr">
        <is>
          <t>Commander Anthology Volume II CM2</t>
        </is>
      </c>
      <c r="J912" s="8" t="n">
        <v>312</v>
      </c>
      <c r="K912" s="9" t="n">
        <v>43259</v>
      </c>
      <c r="L912" s="8" t="inlineStr">
        <is>
          <t>en es fr de it pt ja ko ru 汉语 漢語</t>
        </is>
      </c>
    </row>
    <row r="913" ht="57.75" customHeight="1" s="6">
      <c r="A913" s="1">
        <f t="array" ref="A913">INDIRECT(_xlfn.CONCAT("$I", $F913))</f>
        <v/>
      </c>
      <c r="B913" s="1">
        <f t="array" ref="B913">INDIRECT(_xlfn.CONCAT("$J", $F913))</f>
        <v/>
      </c>
      <c r="C913" s="1">
        <f t="array" ref="C913">INDIRECT(_xlfn.CONCAT("$K", $F913))</f>
        <v/>
      </c>
      <c r="D913" s="1" t="n"/>
      <c r="E913" s="1">
        <f t="array" ref="E913">INDIRECT(_xlfn.CONCAT("$L", $F913))</f>
        <v/>
      </c>
      <c r="F913" s="1">
        <f t="array" ref="F913">IF(NOT(OR(ISERROR(INDIRECT(_xlfn.CONCAT("$I", $F912 + 1))), ISBLANK(INDIRECT(_xlfn.CONCAT("$I", $F912 + 1))))), $F912 + 1, IF(NOT(ISBLANK(INDIRECT(_xlfn.CONCAT("$I", $F912 + 2)))), $F912 + 2, ""))</f>
        <v/>
      </c>
    </row>
    <row r="914" ht="57.75" customHeight="1" s="6">
      <c r="A914" s="1">
        <f t="array" ref="A914">INDIRECT(_xlfn.CONCAT("$I", $F914))</f>
        <v/>
      </c>
      <c r="B914" s="1">
        <f t="array" ref="B914">INDIRECT(_xlfn.CONCAT("$J", $F914))</f>
        <v/>
      </c>
      <c r="C914" s="1">
        <f t="array" ref="C914">INDIRECT(_xlfn.CONCAT("$K", $F914))</f>
        <v/>
      </c>
      <c r="D914" s="1" t="n"/>
      <c r="E914" s="1">
        <f t="array" ref="E914">INDIRECT(_xlfn.CONCAT("$L", $F914))</f>
        <v/>
      </c>
      <c r="F914" s="1">
        <f t="array" ref="F914">IF(NOT(OR(ISERROR(INDIRECT(_xlfn.CONCAT("$I", $F913 + 1))), ISBLANK(INDIRECT(_xlfn.CONCAT("$I", $F913 + 1))))), $F913 + 1, IF(NOT(ISBLANK(INDIRECT(_xlfn.CONCAT("$I", $F913 + 2)))), $F913 + 2, ""))</f>
        <v/>
      </c>
      <c r="I914" s="8" t="inlineStr">
        <is>
          <t>Commander Anthology Volume II Tokens TCM2</t>
        </is>
      </c>
      <c r="J914" s="8" t="n">
        <v>19</v>
      </c>
      <c r="K914" s="9" t="n">
        <v>43259</v>
      </c>
      <c r="L914" s="8" t="inlineStr">
        <is>
          <t>en es fr de it pt ja ko ru 汉语 漢語</t>
        </is>
      </c>
    </row>
    <row r="915" ht="57.75" customHeight="1" s="6">
      <c r="A915" s="1">
        <f t="array" ref="A915">INDIRECT(_xlfn.CONCAT("$I", $F915))</f>
        <v/>
      </c>
      <c r="B915" s="1">
        <f t="array" ref="B915">INDIRECT(_xlfn.CONCAT("$J", $F915))</f>
        <v/>
      </c>
      <c r="C915" s="1">
        <f t="array" ref="C915">INDIRECT(_xlfn.CONCAT("$K", $F915))</f>
        <v/>
      </c>
      <c r="D915" s="1" t="n"/>
      <c r="E915" s="1">
        <f t="array" ref="E915">INDIRECT(_xlfn.CONCAT("$L", $F915))</f>
        <v/>
      </c>
      <c r="F915" s="1">
        <f t="array" ref="F915">IF(NOT(OR(ISERROR(INDIRECT(_xlfn.CONCAT("$I", $F914 + 1))), ISBLANK(INDIRECT(_xlfn.CONCAT("$I", $F914 + 1))))), $F914 + 1, IF(NOT(ISBLANK(INDIRECT(_xlfn.CONCAT("$I", $F914 + 2)))), $F914 + 2, ""))</f>
        <v/>
      </c>
    </row>
    <row r="916" ht="57.75" customHeight="1" s="6">
      <c r="A916" s="1">
        <f t="array" ref="A916">INDIRECT(_xlfn.CONCAT("$I", $F916))</f>
        <v/>
      </c>
      <c r="B916" s="1">
        <f t="array" ref="B916">INDIRECT(_xlfn.CONCAT("$J", $F916))</f>
        <v/>
      </c>
      <c r="C916" s="1">
        <f t="array" ref="C916">INDIRECT(_xlfn.CONCAT("$K", $F916))</f>
        <v/>
      </c>
      <c r="D916" s="1" t="n"/>
      <c r="E916" s="1">
        <f t="array" ref="E916">INDIRECT(_xlfn.CONCAT("$L", $F916))</f>
        <v/>
      </c>
      <c r="F916" s="1">
        <f t="array" ref="F916">IF(NOT(OR(ISERROR(INDIRECT(_xlfn.CONCAT("$I", $F915 + 1))), ISBLANK(INDIRECT(_xlfn.CONCAT("$I", $F915 + 1))))), $F915 + 1, IF(NOT(ISBLANK(INDIRECT(_xlfn.CONCAT("$I", $F915 + 2)))), $F915 + 2, ""))</f>
        <v/>
      </c>
      <c r="I916" s="8" t="inlineStr">
        <is>
          <t>Battlebond BBD</t>
        </is>
      </c>
      <c r="J916" s="8" t="n">
        <v>256</v>
      </c>
      <c r="K916" s="9" t="n">
        <v>43259</v>
      </c>
      <c r="L916" t="inlineStr">
        <is>
          <t>en es fr de it pt ja ko ru 汉语 漢語</t>
        </is>
      </c>
    </row>
    <row r="917" ht="57.75" customHeight="1" s="6">
      <c r="A917" s="1">
        <f t="array" ref="A917">INDIRECT(_xlfn.CONCAT("$I", $F917))</f>
        <v/>
      </c>
      <c r="B917" s="1">
        <f t="array" ref="B917">INDIRECT(_xlfn.CONCAT("$J", $F917))</f>
        <v/>
      </c>
      <c r="C917" s="1">
        <f t="array" ref="C917">INDIRECT(_xlfn.CONCAT("$K", $F917))</f>
        <v/>
      </c>
      <c r="D917" s="1" t="n"/>
      <c r="E917" s="1">
        <f t="array" ref="E917">INDIRECT(_xlfn.CONCAT("$L", $F917))</f>
        <v/>
      </c>
      <c r="F917" s="1">
        <f t="array" ref="F917">IF(NOT(OR(ISERROR(INDIRECT(_xlfn.CONCAT("$I", $F916 + 1))), ISBLANK(INDIRECT(_xlfn.CONCAT("$I", $F916 + 1))))), $F916 + 1, IF(NOT(ISBLANK(INDIRECT(_xlfn.CONCAT("$I", $F916 + 2)))), $F916 + 2, ""))</f>
        <v/>
      </c>
    </row>
    <row r="918" ht="57.75" customHeight="1" s="6">
      <c r="A918" s="1">
        <f t="array" ref="A918">INDIRECT(_xlfn.CONCAT("$I", $F918))</f>
        <v/>
      </c>
      <c r="B918" s="1">
        <f t="array" ref="B918">INDIRECT(_xlfn.CONCAT("$J", $F918))</f>
        <v/>
      </c>
      <c r="C918" s="1">
        <f t="array" ref="C918">INDIRECT(_xlfn.CONCAT("$K", $F918))</f>
        <v/>
      </c>
      <c r="D918" s="1" t="n"/>
      <c r="E918" s="1">
        <f t="array" ref="E918">INDIRECT(_xlfn.CONCAT("$L", $F918))</f>
        <v/>
      </c>
      <c r="F918" s="1">
        <f t="array" ref="F918">IF(NOT(OR(ISERROR(INDIRECT(_xlfn.CONCAT("$I", $F917 + 1))), ISBLANK(INDIRECT(_xlfn.CONCAT("$I", $F917 + 1))))), $F917 + 1, IF(NOT(ISBLANK(INDIRECT(_xlfn.CONCAT("$I", $F917 + 2)))), $F917 + 2, ""))</f>
        <v/>
      </c>
      <c r="I918" s="8" t="inlineStr">
        <is>
          <t>Battlebond Promos PBBD</t>
        </is>
      </c>
      <c r="J918" s="8" t="n">
        <v>22</v>
      </c>
      <c r="K918" s="9" t="n">
        <v>43259</v>
      </c>
      <c r="L918" s="8" t="inlineStr">
        <is>
          <t>en es fr de it pt ja ko ru 汉语 漢語</t>
        </is>
      </c>
    </row>
    <row r="919" ht="57.75" customHeight="1" s="6">
      <c r="A919" s="1">
        <f t="array" ref="A919">INDIRECT(_xlfn.CONCAT("$I", $F919))</f>
        <v/>
      </c>
      <c r="B919" s="1">
        <f t="array" ref="B919">INDIRECT(_xlfn.CONCAT("$J", $F919))</f>
        <v/>
      </c>
      <c r="C919" s="1">
        <f t="array" ref="C919">INDIRECT(_xlfn.CONCAT("$K", $F919))</f>
        <v/>
      </c>
      <c r="D919" s="1" t="n"/>
      <c r="E919" s="1">
        <f t="array" ref="E919">INDIRECT(_xlfn.CONCAT("$L", $F919))</f>
        <v/>
      </c>
      <c r="F919" s="1">
        <f t="array" ref="F919">IF(NOT(OR(ISERROR(INDIRECT(_xlfn.CONCAT("$I", $F918 + 1))), ISBLANK(INDIRECT(_xlfn.CONCAT("$I", $F918 + 1))))), $F918 + 1, IF(NOT(ISBLANK(INDIRECT(_xlfn.CONCAT("$I", $F918 + 2)))), $F918 + 2, ""))</f>
        <v/>
      </c>
    </row>
    <row r="920" ht="57.75" customHeight="1" s="6">
      <c r="A920" s="1">
        <f t="array" ref="A920">INDIRECT(_xlfn.CONCAT("$I", $F920))</f>
        <v/>
      </c>
      <c r="B920" s="1">
        <f t="array" ref="B920">INDIRECT(_xlfn.CONCAT("$J", $F920))</f>
        <v/>
      </c>
      <c r="C920" s="1">
        <f t="array" ref="C920">INDIRECT(_xlfn.CONCAT("$K", $F920))</f>
        <v/>
      </c>
      <c r="D920" s="1" t="n"/>
      <c r="E920" s="1">
        <f t="array" ref="E920">INDIRECT(_xlfn.CONCAT("$L", $F920))</f>
        <v/>
      </c>
      <c r="F920" s="1">
        <f t="array" ref="F920">IF(NOT(OR(ISERROR(INDIRECT(_xlfn.CONCAT("$I", $F919 + 1))), ISBLANK(INDIRECT(_xlfn.CONCAT("$I", $F919 + 1))))), $F919 + 1, IF(NOT(ISBLANK(INDIRECT(_xlfn.CONCAT("$I", $F919 + 2)))), $F919 + 2, ""))</f>
        <v/>
      </c>
      <c r="I920" s="8" t="inlineStr">
        <is>
          <t>Battlebond Tokens TBBD</t>
        </is>
      </c>
      <c r="J920" s="8" t="n">
        <v>8</v>
      </c>
      <c r="K920" s="9" t="n">
        <v>43259</v>
      </c>
      <c r="L920" s="8" t="inlineStr">
        <is>
          <t>en es fr de it pt ja ko ru 汉语 漢語</t>
        </is>
      </c>
    </row>
    <row r="921" ht="57.75" customHeight="1" s="6">
      <c r="A921" s="1">
        <f t="array" ref="A921">INDIRECT(_xlfn.CONCAT("$I", $F921))</f>
        <v/>
      </c>
      <c r="B921" s="1">
        <f t="array" ref="B921">INDIRECT(_xlfn.CONCAT("$J", $F921))</f>
        <v/>
      </c>
      <c r="C921" s="1">
        <f t="array" ref="C921">INDIRECT(_xlfn.CONCAT("$K", $F921))</f>
        <v/>
      </c>
      <c r="D921" s="1" t="n"/>
      <c r="E921" s="1">
        <f t="array" ref="E921">INDIRECT(_xlfn.CONCAT("$L", $F921))</f>
        <v/>
      </c>
      <c r="F921" s="1">
        <f t="array" ref="F921">IF(NOT(OR(ISERROR(INDIRECT(_xlfn.CONCAT("$I", $F920 + 1))), ISBLANK(INDIRECT(_xlfn.CONCAT("$I", $F920 + 1))))), $F920 + 1, IF(NOT(ISBLANK(INDIRECT(_xlfn.CONCAT("$I", $F920 + 2)))), $F920 + 2, ""))</f>
        <v/>
      </c>
    </row>
    <row r="922" ht="57.75" customHeight="1" s="6">
      <c r="A922" s="1">
        <f t="array" ref="A922">INDIRECT(_xlfn.CONCAT("$I", $F922))</f>
        <v/>
      </c>
      <c r="B922" s="1">
        <f t="array" ref="B922">INDIRECT(_xlfn.CONCAT("$J", $F922))</f>
        <v/>
      </c>
      <c r="C922" s="1">
        <f t="array" ref="C922">INDIRECT(_xlfn.CONCAT("$K", $F922))</f>
        <v/>
      </c>
      <c r="D922" s="1" t="n"/>
      <c r="E922" s="1">
        <f t="array" ref="E922">INDIRECT(_xlfn.CONCAT("$L", $F922))</f>
        <v/>
      </c>
      <c r="F922" s="1">
        <f t="array" ref="F922">IF(NOT(OR(ISERROR(INDIRECT(_xlfn.CONCAT("$I", $F921 + 1))), ISBLANK(INDIRECT(_xlfn.CONCAT("$I", $F921 + 1))))), $F921 + 1, IF(NOT(ISBLANK(INDIRECT(_xlfn.CONCAT("$I", $F921 + 2)))), $F921 + 2, ""))</f>
        <v/>
      </c>
      <c r="I922" s="8" t="inlineStr">
        <is>
          <t>Uncommon Cube UNCOMMON</t>
        </is>
      </c>
      <c r="J922" s="8" t="n">
        <v>600</v>
      </c>
      <c r="K922" s="9" t="n">
        <v>43243</v>
      </c>
    </row>
    <row r="923" ht="68.25" customHeight="1" s="6">
      <c r="A923" s="1">
        <f t="array" ref="A923">INDIRECT(_xlfn.CONCAT("$I", $F923))</f>
        <v/>
      </c>
      <c r="B923" s="1">
        <f t="array" ref="B923">INDIRECT(_xlfn.CONCAT("$J", $F923))</f>
        <v/>
      </c>
      <c r="C923" s="1">
        <f t="array" ref="C923">INDIRECT(_xlfn.CONCAT("$K", $F923))</f>
        <v/>
      </c>
      <c r="D923" s="1" t="n"/>
      <c r="E923" s="1">
        <f t="array" ref="E923">INDIRECT(_xlfn.CONCAT("$L", $F923))</f>
        <v/>
      </c>
      <c r="F923" s="1">
        <f t="array" ref="F923">IF(NOT(OR(ISERROR(INDIRECT(_xlfn.CONCAT("$I", $F922 + 1))), ISBLANK(INDIRECT(_xlfn.CONCAT("$I", $F922 + 1))))), $F922 + 1, IF(NOT(ISBLANK(INDIRECT(_xlfn.CONCAT("$I", $F922 + 2)))), $F922 + 2, ""))</f>
        <v/>
      </c>
    </row>
    <row r="924" ht="57.75" customHeight="1" s="6">
      <c r="A924" s="1">
        <f t="array" ref="A924">INDIRECT(_xlfn.CONCAT("$I", $F924))</f>
        <v/>
      </c>
      <c r="B924" s="1">
        <f t="array" ref="B924">INDIRECT(_xlfn.CONCAT("$J", $F924))</f>
        <v/>
      </c>
      <c r="C924" s="1">
        <f t="array" ref="C924">INDIRECT(_xlfn.CONCAT("$K", $F924))</f>
        <v/>
      </c>
      <c r="D924" s="1" t="n"/>
      <c r="E924" s="1">
        <f t="array" ref="E924">INDIRECT(_xlfn.CONCAT("$L", $F924))</f>
        <v/>
      </c>
      <c r="F924" s="1">
        <f t="array" ref="F924">IF(NOT(OR(ISERROR(INDIRECT(_xlfn.CONCAT("$I", $F923 + 1))), ISBLANK(INDIRECT(_xlfn.CONCAT("$I", $F923 + 1))))), $F923 + 1, IF(NOT(ISBLANK(INDIRECT(_xlfn.CONCAT("$I", $F923 + 2)))), $F923 + 2, ""))</f>
        <v/>
      </c>
      <c r="I924" s="8" t="inlineStr">
        <is>
          <t>Dominaria DOM</t>
        </is>
      </c>
      <c r="J924" s="8" t="n">
        <v>280</v>
      </c>
      <c r="K924" s="9" t="n">
        <v>43217</v>
      </c>
      <c r="L924" t="inlineStr">
        <is>
          <t>en es fr de it pt ja ko ru 汉语 漢語</t>
        </is>
      </c>
    </row>
    <row r="925" ht="57.75" customHeight="1" s="6">
      <c r="A925" s="1">
        <f t="array" ref="A925">INDIRECT(_xlfn.CONCAT("$I", $F925))</f>
        <v/>
      </c>
      <c r="B925" s="1">
        <f t="array" ref="B925">INDIRECT(_xlfn.CONCAT("$J", $F925))</f>
        <v/>
      </c>
      <c r="C925" s="1">
        <f t="array" ref="C925">INDIRECT(_xlfn.CONCAT("$K", $F925))</f>
        <v/>
      </c>
      <c r="D925" s="1" t="n"/>
      <c r="E925" s="1">
        <f t="array" ref="E925">INDIRECT(_xlfn.CONCAT("$L", $F925))</f>
        <v/>
      </c>
      <c r="F925" s="1">
        <f t="array" ref="F925">IF(NOT(OR(ISERROR(INDIRECT(_xlfn.CONCAT("$I", $F924 + 1))), ISBLANK(INDIRECT(_xlfn.CONCAT("$I", $F924 + 1))))), $F924 + 1, IF(NOT(ISBLANK(INDIRECT(_xlfn.CONCAT("$I", $F924 + 2)))), $F924 + 2, ""))</f>
        <v/>
      </c>
    </row>
    <row r="926" ht="57.75" customHeight="1" s="6">
      <c r="A926" s="1">
        <f t="array" ref="A926">INDIRECT(_xlfn.CONCAT("$I", $F926))</f>
        <v/>
      </c>
      <c r="B926" s="1">
        <f t="array" ref="B926">INDIRECT(_xlfn.CONCAT("$J", $F926))</f>
        <v/>
      </c>
      <c r="C926" s="1">
        <f t="array" ref="C926">INDIRECT(_xlfn.CONCAT("$K", $F926))</f>
        <v/>
      </c>
      <c r="D926" s="1" t="n"/>
      <c r="E926" s="1">
        <f t="array" ref="E926">INDIRECT(_xlfn.CONCAT("$L", $F926))</f>
        <v/>
      </c>
      <c r="F926" s="1">
        <f t="array" ref="F926">IF(NOT(OR(ISERROR(INDIRECT(_xlfn.CONCAT("$I", $F925 + 1))), ISBLANK(INDIRECT(_xlfn.CONCAT("$I", $F925 + 1))))), $F925 + 1, IF(NOT(ISBLANK(INDIRECT(_xlfn.CONCAT("$I", $F925 + 2)))), $F925 + 2, ""))</f>
        <v/>
      </c>
      <c r="I926" s="8" t="inlineStr">
        <is>
          <t>Dominaria Promos PDOM</t>
        </is>
      </c>
      <c r="J926" s="8" t="n">
        <v>118</v>
      </c>
      <c r="K926" s="9" t="n">
        <v>43217</v>
      </c>
      <c r="L926" t="inlineStr">
        <is>
          <t>en es fr de it pt ja ko ru 汉语 漢語</t>
        </is>
      </c>
    </row>
    <row r="927" ht="57.75" customHeight="1" s="6">
      <c r="A927" s="1">
        <f t="array" ref="A927">INDIRECT(_xlfn.CONCAT("$I", $F927))</f>
        <v/>
      </c>
      <c r="B927" s="1">
        <f t="array" ref="B927">INDIRECT(_xlfn.CONCAT("$J", $F927))</f>
        <v/>
      </c>
      <c r="C927" s="1">
        <f t="array" ref="C927">INDIRECT(_xlfn.CONCAT("$K", $F927))</f>
        <v/>
      </c>
      <c r="D927" s="1" t="n"/>
      <c r="E927" s="1">
        <f t="array" ref="E927">INDIRECT(_xlfn.CONCAT("$L", $F927))</f>
        <v/>
      </c>
      <c r="F927" s="1">
        <f t="array" ref="F927">IF(NOT(OR(ISERROR(INDIRECT(_xlfn.CONCAT("$I", $F926 + 1))), ISBLANK(INDIRECT(_xlfn.CONCAT("$I", $F926 + 1))))), $F926 + 1, IF(NOT(ISBLANK(INDIRECT(_xlfn.CONCAT("$I", $F926 + 2)))), $F926 + 2, ""))</f>
        <v/>
      </c>
    </row>
    <row r="928" ht="57.75" customHeight="1" s="6">
      <c r="A928" s="1">
        <f t="array" ref="A928">INDIRECT(_xlfn.CONCAT("$I", $F928))</f>
        <v/>
      </c>
      <c r="B928" s="1">
        <f t="array" ref="B928">INDIRECT(_xlfn.CONCAT("$J", $F928))</f>
        <v/>
      </c>
      <c r="C928" s="1">
        <f t="array" ref="C928">INDIRECT(_xlfn.CONCAT("$K", $F928))</f>
        <v/>
      </c>
      <c r="D928" s="1" t="n"/>
      <c r="E928" s="1">
        <f t="array" ref="E928">INDIRECT(_xlfn.CONCAT("$L", $F928))</f>
        <v/>
      </c>
      <c r="F928" s="1">
        <f t="array" ref="F928">IF(NOT(OR(ISERROR(INDIRECT(_xlfn.CONCAT("$I", $F927 + 1))), ISBLANK(INDIRECT(_xlfn.CONCAT("$I", $F927 + 1))))), $F927 + 1, IF(NOT(ISBLANK(INDIRECT(_xlfn.CONCAT("$I", $F927 + 2)))), $F927 + 2, ""))</f>
        <v/>
      </c>
      <c r="I928" s="8" t="inlineStr">
        <is>
          <t>Dominaria Tokens TDOM</t>
        </is>
      </c>
      <c r="J928" s="8" t="n">
        <v>16</v>
      </c>
      <c r="K928" s="9" t="n">
        <v>43217</v>
      </c>
      <c r="L928" s="8" t="inlineStr">
        <is>
          <t>en es fr de it pt ja ko ru 汉语 漢語</t>
        </is>
      </c>
    </row>
    <row r="929" ht="57.75" customHeight="1" s="6">
      <c r="A929" s="1">
        <f t="array" ref="A929">INDIRECT(_xlfn.CONCAT("$I", $F929))</f>
        <v/>
      </c>
      <c r="B929" s="1">
        <f t="array" ref="B929">INDIRECT(_xlfn.CONCAT("$J", $F929))</f>
        <v/>
      </c>
      <c r="C929" s="1">
        <f t="array" ref="C929">INDIRECT(_xlfn.CONCAT("$K", $F929))</f>
        <v/>
      </c>
      <c r="D929" s="1" t="n"/>
      <c r="E929" s="1">
        <f t="array" ref="E929">INDIRECT(_xlfn.CONCAT("$L", $F929))</f>
        <v/>
      </c>
      <c r="F929" s="1">
        <f t="array" ref="F929">IF(NOT(OR(ISERROR(INDIRECT(_xlfn.CONCAT("$I", $F928 + 1))), ISBLANK(INDIRECT(_xlfn.CONCAT("$I", $F928 + 1))))), $F928 + 1, IF(NOT(ISBLANK(INDIRECT(_xlfn.CONCAT("$I", $F928 + 2)))), $F928 + 2, ""))</f>
        <v/>
      </c>
    </row>
    <row r="930" ht="57.75" customHeight="1" s="6">
      <c r="A930" s="1">
        <f t="array" ref="A930">INDIRECT(_xlfn.CONCAT("$I", $F930))</f>
        <v/>
      </c>
      <c r="B930" s="1">
        <f t="array" ref="B930">INDIRECT(_xlfn.CONCAT("$J", $F930))</f>
        <v/>
      </c>
      <c r="C930" s="1">
        <f t="array" ref="C930">INDIRECT(_xlfn.CONCAT("$K", $F930))</f>
        <v/>
      </c>
      <c r="D930" s="1" t="n"/>
      <c r="E930" s="1">
        <f t="array" ref="E930">INDIRECT(_xlfn.CONCAT("$L", $F930))</f>
        <v/>
      </c>
      <c r="F930" s="1">
        <f t="array" ref="F930">IF(NOT(OR(ISERROR(INDIRECT(_xlfn.CONCAT("$I", $F929 + 1))), ISBLANK(INDIRECT(_xlfn.CONCAT("$I", $F929 + 1))))), $F929 + 1, IF(NOT(ISBLANK(INDIRECT(_xlfn.CONCAT("$I", $F929 + 2)))), $F929 + 2, ""))</f>
        <v/>
      </c>
      <c r="I930" s="8" t="inlineStr">
        <is>
          <t>Duel Decks: Elves vs. Inventors DDU</t>
        </is>
      </c>
      <c r="J930" s="8" t="n">
        <v>76</v>
      </c>
      <c r="K930" s="9" t="n">
        <v>43196</v>
      </c>
      <c r="L930" t="inlineStr">
        <is>
          <t>en es fr de it pt ja ko ru 汉语 漢語</t>
        </is>
      </c>
    </row>
    <row r="931" ht="57.75" customHeight="1" s="6">
      <c r="A931" s="1">
        <f t="array" ref="A931">INDIRECT(_xlfn.CONCAT("$I", $F931))</f>
        <v/>
      </c>
      <c r="B931" s="1">
        <f t="array" ref="B931">INDIRECT(_xlfn.CONCAT("$J", $F931))</f>
        <v/>
      </c>
      <c r="C931" s="1">
        <f t="array" ref="C931">INDIRECT(_xlfn.CONCAT("$K", $F931))</f>
        <v/>
      </c>
      <c r="D931" s="1" t="n"/>
      <c r="E931" s="1">
        <f t="array" ref="E931">INDIRECT(_xlfn.CONCAT("$L", $F931))</f>
        <v/>
      </c>
      <c r="F931" s="1">
        <f t="array" ref="F931">IF(NOT(OR(ISERROR(INDIRECT(_xlfn.CONCAT("$I", $F930 + 1))), ISBLANK(INDIRECT(_xlfn.CONCAT("$I", $F930 + 1))))), $F930 + 1, IF(NOT(ISBLANK(INDIRECT(_xlfn.CONCAT("$I", $F930 + 2)))), $F930 + 2, ""))</f>
        <v/>
      </c>
    </row>
    <row r="932" ht="57.75" customHeight="1" s="6">
      <c r="A932" s="1">
        <f t="array" ref="A932">INDIRECT(_xlfn.CONCAT("$I", $F932))</f>
        <v/>
      </c>
      <c r="B932" s="1">
        <f t="array" ref="B932">INDIRECT(_xlfn.CONCAT("$J", $F932))</f>
        <v/>
      </c>
      <c r="C932" s="1">
        <f t="array" ref="C932">INDIRECT(_xlfn.CONCAT("$K", $F932))</f>
        <v/>
      </c>
      <c r="D932" s="1" t="n"/>
      <c r="E932" s="1">
        <f t="array" ref="E932">INDIRECT(_xlfn.CONCAT("$L", $F932))</f>
        <v/>
      </c>
      <c r="F932" s="1">
        <f t="array" ref="F932">IF(NOT(OR(ISERROR(INDIRECT(_xlfn.CONCAT("$I", $F931 + 1))), ISBLANK(INDIRECT(_xlfn.CONCAT("$I", $F931 + 1))))), $F931 + 1, IF(NOT(ISBLANK(INDIRECT(_xlfn.CONCAT("$I", $F931 + 2)))), $F931 + 2, ""))</f>
        <v/>
      </c>
      <c r="I932" s="8" t="inlineStr">
        <is>
          <t>Duel Decks: Elves vs. Inventors Tokens TDDU</t>
        </is>
      </c>
      <c r="J932" s="8" t="n">
        <v>4</v>
      </c>
      <c r="K932" s="9" t="n">
        <v>43196</v>
      </c>
      <c r="L932" s="8" t="inlineStr">
        <is>
          <t>en es fr de it pt ja ko ru 汉语 漢語</t>
        </is>
      </c>
    </row>
    <row r="933" ht="57.75" customHeight="1" s="6">
      <c r="A933" s="1">
        <f t="array" ref="A933">INDIRECT(_xlfn.CONCAT("$I", $F933))</f>
        <v/>
      </c>
      <c r="B933" s="1">
        <f t="array" ref="B933">INDIRECT(_xlfn.CONCAT("$J", $F933))</f>
        <v/>
      </c>
      <c r="C933" s="1">
        <f t="array" ref="C933">INDIRECT(_xlfn.CONCAT("$K", $F933))</f>
        <v/>
      </c>
      <c r="D933" s="1" t="n"/>
      <c r="E933" s="1">
        <f t="array" ref="E933">INDIRECT(_xlfn.CONCAT("$L", $F933))</f>
        <v/>
      </c>
      <c r="F933" s="1">
        <f t="array" ref="F933">IF(NOT(OR(ISERROR(INDIRECT(_xlfn.CONCAT("$I", $F932 + 1))), ISBLANK(INDIRECT(_xlfn.CONCAT("$I", $F932 + 1))))), $F932 + 1, IF(NOT(ISBLANK(INDIRECT(_xlfn.CONCAT("$I", $F932 + 2)))), $F932 + 2, ""))</f>
        <v/>
      </c>
    </row>
    <row r="934" ht="57.75" customHeight="1" s="6">
      <c r="A934" s="1">
        <f t="array" ref="A934">INDIRECT(_xlfn.CONCAT("$I", $F934))</f>
        <v/>
      </c>
      <c r="B934" s="1">
        <f t="array" ref="B934">INDIRECT(_xlfn.CONCAT("$J", $F934))</f>
        <v/>
      </c>
      <c r="C934" s="1">
        <f t="array" ref="C934">INDIRECT(_xlfn.CONCAT("$K", $F934))</f>
        <v/>
      </c>
      <c r="D934" s="1" t="n"/>
      <c r="E934" s="1">
        <f t="array" ref="E934">INDIRECT(_xlfn.CONCAT("$L", $F934))</f>
        <v/>
      </c>
      <c r="F934" s="1">
        <f t="array" ref="F934">IF(NOT(OR(ISERROR(INDIRECT(_xlfn.CONCAT("$I", $F933 + 1))), ISBLANK(INDIRECT(_xlfn.CONCAT("$I", $F933 + 1))))), $F933 + 1, IF(NOT(ISBLANK(INDIRECT(_xlfn.CONCAT("$I", $F933 + 2)))), $F933 + 2, ""))</f>
        <v/>
      </c>
      <c r="I934" s="8" t="inlineStr">
        <is>
          <t>Masters 25 A25</t>
        </is>
      </c>
      <c r="J934" s="8" t="n">
        <v>249</v>
      </c>
      <c r="K934" s="9" t="n">
        <v>43175</v>
      </c>
      <c r="L934" t="inlineStr">
        <is>
          <t>en es fr de it pt ja ko ru 汉语 漢語</t>
        </is>
      </c>
    </row>
    <row r="935" ht="57.75" customHeight="1" s="6">
      <c r="A935" s="1">
        <f t="array" ref="A935">INDIRECT(_xlfn.CONCAT("$I", $F935))</f>
        <v/>
      </c>
      <c r="B935" s="1">
        <f t="array" ref="B935">INDIRECT(_xlfn.CONCAT("$J", $F935))</f>
        <v/>
      </c>
      <c r="C935" s="1">
        <f t="array" ref="C935">INDIRECT(_xlfn.CONCAT("$K", $F935))</f>
        <v/>
      </c>
      <c r="D935" s="1" t="n"/>
      <c r="E935" s="1">
        <f t="array" ref="E935">INDIRECT(_xlfn.CONCAT("$L", $F935))</f>
        <v/>
      </c>
      <c r="F935" s="1">
        <f t="array" ref="F935">IF(NOT(OR(ISERROR(INDIRECT(_xlfn.CONCAT("$I", $F934 + 1))), ISBLANK(INDIRECT(_xlfn.CONCAT("$I", $F934 + 1))))), $F934 + 1, IF(NOT(ISBLANK(INDIRECT(_xlfn.CONCAT("$I", $F934 + 2)))), $F934 + 2, ""))</f>
        <v/>
      </c>
    </row>
    <row r="936" ht="57.75" customHeight="1" s="6">
      <c r="A936" s="1">
        <f t="array" ref="A936">INDIRECT(_xlfn.CONCAT("$I", $F936))</f>
        <v/>
      </c>
      <c r="B936" s="1">
        <f t="array" ref="B936">INDIRECT(_xlfn.CONCAT("$J", $F936))</f>
        <v/>
      </c>
      <c r="C936" s="1">
        <f t="array" ref="C936">INDIRECT(_xlfn.CONCAT("$K", $F936))</f>
        <v/>
      </c>
      <c r="D936" s="1" t="n"/>
      <c r="E936" s="1">
        <f t="array" ref="E936">INDIRECT(_xlfn.CONCAT("$L", $F936))</f>
        <v/>
      </c>
      <c r="F936" s="1">
        <f t="array" ref="F936">IF(NOT(OR(ISERROR(INDIRECT(_xlfn.CONCAT("$I", $F935 + 1))), ISBLANK(INDIRECT(_xlfn.CONCAT("$I", $F935 + 1))))), $F935 + 1, IF(NOT(ISBLANK(INDIRECT(_xlfn.CONCAT("$I", $F935 + 2)))), $F935 + 2, ""))</f>
        <v/>
      </c>
      <c r="I936" s="8" t="inlineStr">
        <is>
          <t>Masters 25 Tokens TA25</t>
        </is>
      </c>
      <c r="J936" s="8" t="n">
        <v>16</v>
      </c>
      <c r="K936" s="9" t="n">
        <v>43175</v>
      </c>
      <c r="L936" s="8" t="inlineStr">
        <is>
          <t>en es fr de it pt ja ko ru 汉语 漢語</t>
        </is>
      </c>
    </row>
    <row r="937" ht="68.25" customHeight="1" s="6">
      <c r="A937" s="1">
        <f t="array" ref="A937">INDIRECT(_xlfn.CONCAT("$I", $F937))</f>
        <v/>
      </c>
      <c r="B937" s="1">
        <f t="array" ref="B937">INDIRECT(_xlfn.CONCAT("$J", $F937))</f>
        <v/>
      </c>
      <c r="C937" s="1">
        <f t="array" ref="C937">INDIRECT(_xlfn.CONCAT("$K", $F937))</f>
        <v/>
      </c>
      <c r="D937" s="1" t="n"/>
      <c r="E937" s="1">
        <f t="array" ref="E937">INDIRECT(_xlfn.CONCAT("$L", $F937))</f>
        <v/>
      </c>
      <c r="F937" s="1">
        <f t="array" ref="F937">IF(NOT(OR(ISERROR(INDIRECT(_xlfn.CONCAT("$I", $F936 + 1))), ISBLANK(INDIRECT(_xlfn.CONCAT("$I", $F936 + 1))))), $F936 + 1, IF(NOT(ISBLANK(INDIRECT(_xlfn.CONCAT("$I", $F936 + 2)))), $F936 + 2, ""))</f>
        <v/>
      </c>
    </row>
    <row r="938" ht="57.75" customHeight="1" s="6">
      <c r="A938" s="1">
        <f t="array" ref="A938">INDIRECT(_xlfn.CONCAT("$I", $F938))</f>
        <v/>
      </c>
      <c r="B938" s="1">
        <f t="array" ref="B938">INDIRECT(_xlfn.CONCAT("$J", $F938))</f>
        <v/>
      </c>
      <c r="C938" s="1">
        <f t="array" ref="C938">INDIRECT(_xlfn.CONCAT("$K", $F938))</f>
        <v/>
      </c>
      <c r="D938" s="1" t="n"/>
      <c r="E938" s="1">
        <f t="array" ref="E938">INDIRECT(_xlfn.CONCAT("$L", $F938))</f>
        <v/>
      </c>
      <c r="F938" s="1">
        <f t="array" ref="F938">IF(NOT(OR(ISERROR(INDIRECT(_xlfn.CONCAT("$I", $F937 + 1))), ISBLANK(INDIRECT(_xlfn.CONCAT("$I", $F937 + 1))))), $F937 + 1, IF(NOT(ISBLANK(INDIRECT(_xlfn.CONCAT("$I", $F937 + 2)))), $F937 + 2, ""))</f>
        <v/>
      </c>
      <c r="I938" s="8" t="inlineStr">
        <is>
          <t>Lunar New Year 2018 PLNY</t>
        </is>
      </c>
      <c r="J938" s="8" t="n">
        <v>1</v>
      </c>
      <c r="K938" s="9" t="n">
        <v>43147</v>
      </c>
      <c r="L938" s="8" t="inlineStr">
        <is>
          <t>en es fr de it pt ja ko ru 汉语 漢語</t>
        </is>
      </c>
    </row>
    <row r="939" ht="57.75" customHeight="1" s="6">
      <c r="A939" s="1">
        <f t="array" ref="A939">INDIRECT(_xlfn.CONCAT("$I", $F939))</f>
        <v/>
      </c>
      <c r="B939" s="1">
        <f t="array" ref="B939">INDIRECT(_xlfn.CONCAT("$J", $F939))</f>
        <v/>
      </c>
      <c r="C939" s="1">
        <f t="array" ref="C939">INDIRECT(_xlfn.CONCAT("$K", $F939))</f>
        <v/>
      </c>
      <c r="D939" s="1" t="n"/>
      <c r="E939" s="1">
        <f t="array" ref="E939">INDIRECT(_xlfn.CONCAT("$L", $F939))</f>
        <v/>
      </c>
      <c r="F939" s="1">
        <f t="array" ref="F939">IF(NOT(OR(ISERROR(INDIRECT(_xlfn.CONCAT("$I", $F938 + 1))), ISBLANK(INDIRECT(_xlfn.CONCAT("$I", $F938 + 1))))), $F938 + 1, IF(NOT(ISBLANK(INDIRECT(_xlfn.CONCAT("$I", $F938 + 2)))), $F938 + 2, ""))</f>
        <v/>
      </c>
    </row>
    <row r="940" ht="57.75" customHeight="1" s="6">
      <c r="A940" s="1">
        <f t="array" ref="A940">INDIRECT(_xlfn.CONCAT("$I", $F940))</f>
        <v/>
      </c>
      <c r="B940" s="1">
        <f t="array" ref="B940">INDIRECT(_xlfn.CONCAT("$J", $F940))</f>
        <v/>
      </c>
      <c r="C940" s="1">
        <f t="array" ref="C940">INDIRECT(_xlfn.CONCAT("$K", $F940))</f>
        <v/>
      </c>
      <c r="D940" s="1" t="n"/>
      <c r="E940" s="1">
        <f t="array" ref="E940">INDIRECT(_xlfn.CONCAT("$L", $F940))</f>
        <v/>
      </c>
      <c r="F940" s="1">
        <f t="array" ref="F940">IF(NOT(OR(ISERROR(INDIRECT(_xlfn.CONCAT("$I", $F939 + 1))), ISBLANK(INDIRECT(_xlfn.CONCAT("$I", $F939 + 1))))), $F939 + 1, IF(NOT(ISBLANK(INDIRECT(_xlfn.CONCAT("$I", $F939 + 2)))), $F939 + 2, ""))</f>
        <v/>
      </c>
      <c r="I940" s="8" t="inlineStr">
        <is>
          <t>Nationals Promos PNAT</t>
        </is>
      </c>
      <c r="J940" s="8" t="n">
        <v>1</v>
      </c>
      <c r="K940" s="9" t="n">
        <v>43125</v>
      </c>
      <c r="L940" s="8" t="inlineStr">
        <is>
          <t>en es fr de it pt ja ko ru 汉语 漢語</t>
        </is>
      </c>
    </row>
    <row r="941" ht="57.75" customHeight="1" s="6">
      <c r="A941" s="1">
        <f t="array" ref="A941">INDIRECT(_xlfn.CONCAT("$I", $F941))</f>
        <v/>
      </c>
      <c r="B941" s="1">
        <f t="array" ref="B941">INDIRECT(_xlfn.CONCAT("$J", $F941))</f>
        <v/>
      </c>
      <c r="C941" s="1">
        <f t="array" ref="C941">INDIRECT(_xlfn.CONCAT("$K", $F941))</f>
        <v/>
      </c>
      <c r="D941" s="1" t="n"/>
      <c r="E941" s="1">
        <f t="array" ref="E941">INDIRECT(_xlfn.CONCAT("$L", $F941))</f>
        <v/>
      </c>
      <c r="F941" s="1">
        <f t="array" ref="F941">IF(NOT(OR(ISERROR(INDIRECT(_xlfn.CONCAT("$I", $F940 + 1))), ISBLANK(INDIRECT(_xlfn.CONCAT("$I", $F940 + 1))))), $F940 + 1, IF(NOT(ISBLANK(INDIRECT(_xlfn.CONCAT("$I", $F940 + 2)))), $F940 + 2, ""))</f>
        <v/>
      </c>
    </row>
    <row r="942" ht="57.75" customHeight="1" s="6">
      <c r="A942" s="1">
        <f t="array" ref="A942">INDIRECT(_xlfn.CONCAT("$I", $F942))</f>
        <v/>
      </c>
      <c r="B942" s="1">
        <f t="array" ref="B942">INDIRECT(_xlfn.CONCAT("$J", $F942))</f>
        <v/>
      </c>
      <c r="C942" s="1">
        <f t="array" ref="C942">INDIRECT(_xlfn.CONCAT("$K", $F942))</f>
        <v/>
      </c>
      <c r="D942" s="1" t="n"/>
      <c r="E942" s="1">
        <f t="array" ref="E942">INDIRECT(_xlfn.CONCAT("$L", $F942))</f>
        <v/>
      </c>
      <c r="F942" s="1">
        <f t="array" ref="F942">IF(NOT(OR(ISERROR(INDIRECT(_xlfn.CONCAT("$I", $F941 + 1))), ISBLANK(INDIRECT(_xlfn.CONCAT("$I", $F941 + 1))))), $F941 + 1, IF(NOT(ISBLANK(INDIRECT(_xlfn.CONCAT("$I", $F941 + 2)))), $F941 + 2, ""))</f>
        <v/>
      </c>
      <c r="I942" s="8" t="inlineStr">
        <is>
          <t>Rivals of Ixalan RIX</t>
        </is>
      </c>
      <c r="J942" s="8" t="n">
        <v>205</v>
      </c>
      <c r="K942" s="9" t="n">
        <v>43119</v>
      </c>
      <c r="L942" t="inlineStr">
        <is>
          <t>en es fr de it pt ja ko ru 汉语 漢語</t>
        </is>
      </c>
    </row>
    <row r="943" ht="57.75" customHeight="1" s="6">
      <c r="A943" s="1">
        <f t="array" ref="A943">INDIRECT(_xlfn.CONCAT("$I", $F943))</f>
        <v/>
      </c>
      <c r="B943" s="1">
        <f t="array" ref="B943">INDIRECT(_xlfn.CONCAT("$J", $F943))</f>
        <v/>
      </c>
      <c r="C943" s="1">
        <f t="array" ref="C943">INDIRECT(_xlfn.CONCAT("$K", $F943))</f>
        <v/>
      </c>
      <c r="D943" s="1" t="n"/>
      <c r="E943" s="1">
        <f t="array" ref="E943">INDIRECT(_xlfn.CONCAT("$L", $F943))</f>
        <v/>
      </c>
      <c r="F943" s="1">
        <f t="array" ref="F943">IF(NOT(OR(ISERROR(INDIRECT(_xlfn.CONCAT("$I", $F942 + 1))), ISBLANK(INDIRECT(_xlfn.CONCAT("$I", $F942 + 1))))), $F942 + 1, IF(NOT(ISBLANK(INDIRECT(_xlfn.CONCAT("$I", $F942 + 2)))), $F942 + 2, ""))</f>
        <v/>
      </c>
    </row>
    <row r="944" ht="57.75" customHeight="1" s="6">
      <c r="A944" s="1">
        <f t="array" ref="A944">INDIRECT(_xlfn.CONCAT("$I", $F944))</f>
        <v/>
      </c>
      <c r="B944" s="1">
        <f t="array" ref="B944">INDIRECT(_xlfn.CONCAT("$J", $F944))</f>
        <v/>
      </c>
      <c r="C944" s="1">
        <f t="array" ref="C944">INDIRECT(_xlfn.CONCAT("$K", $F944))</f>
        <v/>
      </c>
      <c r="D944" s="1" t="n"/>
      <c r="E944" s="1">
        <f t="array" ref="E944">INDIRECT(_xlfn.CONCAT("$L", $F944))</f>
        <v/>
      </c>
      <c r="F944" s="1">
        <f t="array" ref="F944">IF(NOT(OR(ISERROR(INDIRECT(_xlfn.CONCAT("$I", $F943 + 1))), ISBLANK(INDIRECT(_xlfn.CONCAT("$I", $F943 + 1))))), $F943 + 1, IF(NOT(ISBLANK(INDIRECT(_xlfn.CONCAT("$I", $F943 + 2)))), $F943 + 2, ""))</f>
        <v/>
      </c>
      <c r="I944" s="8" t="inlineStr">
        <is>
          <t>Rivals of Ixalan Promos PRIX</t>
        </is>
      </c>
      <c r="J944" s="8" t="n">
        <v>98</v>
      </c>
      <c r="K944" s="9" t="n">
        <v>43119</v>
      </c>
      <c r="L944" s="8" t="inlineStr">
        <is>
          <t>en es fr de it pt ja ko ru 汉语 漢語</t>
        </is>
      </c>
    </row>
    <row r="945" ht="57.75" customHeight="1" s="6">
      <c r="A945" s="1">
        <f t="array" ref="A945">INDIRECT(_xlfn.CONCAT("$I", $F945))</f>
        <v/>
      </c>
      <c r="B945" s="1">
        <f t="array" ref="B945">INDIRECT(_xlfn.CONCAT("$J", $F945))</f>
        <v/>
      </c>
      <c r="C945" s="1">
        <f t="array" ref="C945">INDIRECT(_xlfn.CONCAT("$K", $F945))</f>
        <v/>
      </c>
      <c r="D945" s="1" t="n"/>
      <c r="E945" s="1">
        <f t="array" ref="E945">INDIRECT(_xlfn.CONCAT("$L", $F945))</f>
        <v/>
      </c>
      <c r="F945" s="1">
        <f t="array" ref="F945">IF(NOT(OR(ISERROR(INDIRECT(_xlfn.CONCAT("$I", $F944 + 1))), ISBLANK(INDIRECT(_xlfn.CONCAT("$I", $F944 + 1))))), $F944 + 1, IF(NOT(ISBLANK(INDIRECT(_xlfn.CONCAT("$I", $F944 + 2)))), $F944 + 2, ""))</f>
        <v/>
      </c>
    </row>
    <row r="946" ht="57.75" customHeight="1" s="6">
      <c r="A946" s="1">
        <f t="array" ref="A946">INDIRECT(_xlfn.CONCAT("$I", $F946))</f>
        <v/>
      </c>
      <c r="B946" s="1">
        <f t="array" ref="B946">INDIRECT(_xlfn.CONCAT("$J", $F946))</f>
        <v/>
      </c>
      <c r="C946" s="1">
        <f t="array" ref="C946">INDIRECT(_xlfn.CONCAT("$K", $F946))</f>
        <v/>
      </c>
      <c r="D946" s="1" t="n"/>
      <c r="E946" s="1">
        <f t="array" ref="E946">INDIRECT(_xlfn.CONCAT("$L", $F946))</f>
        <v/>
      </c>
      <c r="F946" s="1">
        <f t="array" ref="F946">IF(NOT(OR(ISERROR(INDIRECT(_xlfn.CONCAT("$I", $F945 + 1))), ISBLANK(INDIRECT(_xlfn.CONCAT("$I", $F945 + 1))))), $F945 + 1, IF(NOT(ISBLANK(INDIRECT(_xlfn.CONCAT("$I", $F945 + 2)))), $F945 + 2, ""))</f>
        <v/>
      </c>
      <c r="I946" s="8" t="inlineStr">
        <is>
          <t>Rivals of Ixalan Tokens TRIX</t>
        </is>
      </c>
      <c r="J946" s="8" t="n">
        <v>7</v>
      </c>
      <c r="K946" s="9" t="n">
        <v>43119</v>
      </c>
      <c r="L946" s="8" t="inlineStr">
        <is>
          <t>en es fr de it pt ja ko ru 汉语 漢語</t>
        </is>
      </c>
    </row>
    <row r="947" ht="57.75" customHeight="1" s="6">
      <c r="A947" s="1">
        <f t="array" ref="A947">INDIRECT(_xlfn.CONCAT("$I", $F947))</f>
        <v/>
      </c>
      <c r="B947" s="1">
        <f t="array" ref="B947">INDIRECT(_xlfn.CONCAT("$J", $F947))</f>
        <v/>
      </c>
      <c r="C947" s="1">
        <f t="array" ref="C947">INDIRECT(_xlfn.CONCAT("$K", $F947))</f>
        <v/>
      </c>
      <c r="D947" s="1" t="n"/>
      <c r="E947" s="1">
        <f t="array" ref="E947">INDIRECT(_xlfn.CONCAT("$L", $F947))</f>
        <v/>
      </c>
      <c r="F947" s="1">
        <f t="array" ref="F947">IF(NOT(OR(ISERROR(INDIRECT(_xlfn.CONCAT("$I", $F946 + 1))), ISBLANK(INDIRECT(_xlfn.CONCAT("$I", $F946 + 1))))), $F946 + 1, IF(NOT(ISBLANK(INDIRECT(_xlfn.CONCAT("$I", $F946 + 2)))), $F946 + 2, ""))</f>
        <v/>
      </c>
    </row>
    <row r="948" ht="57.75" customHeight="1" s="6">
      <c r="A948" s="1">
        <f t="array" ref="A948">INDIRECT(_xlfn.CONCAT("$I", $F948))</f>
        <v/>
      </c>
      <c r="B948" s="1">
        <f t="array" ref="B948">INDIRECT(_xlfn.CONCAT("$J", $F948))</f>
        <v/>
      </c>
      <c r="C948" s="1">
        <f t="array" ref="C948">INDIRECT(_xlfn.CONCAT("$K", $F948))</f>
        <v/>
      </c>
      <c r="D948" s="1" t="n"/>
      <c r="E948" s="1">
        <f t="array" ref="E948">INDIRECT(_xlfn.CONCAT("$L", $F948))</f>
        <v/>
      </c>
      <c r="F948" s="1">
        <f t="array" ref="F948">IF(NOT(OR(ISERROR(INDIRECT(_xlfn.CONCAT("$I", $F947 + 1))), ISBLANK(INDIRECT(_xlfn.CONCAT("$I", $F947 + 1))))), $F947 + 1, IF(NOT(ISBLANK(INDIRECT(_xlfn.CONCAT("$I", $F947 + 2)))), $F947 + 2, ""))</f>
        <v/>
      </c>
      <c r="I948" s="8" t="inlineStr">
        <is>
          <t>Judge Gift Cards 2018 J18</t>
        </is>
      </c>
      <c r="J948" s="8" t="n">
        <v>8</v>
      </c>
      <c r="K948" s="9" t="n">
        <v>43101</v>
      </c>
      <c r="L948" s="8" t="inlineStr">
        <is>
          <t>en es fr de it pt ja ko ru 汉语 漢語</t>
        </is>
      </c>
    </row>
    <row r="949" ht="57.75" customHeight="1" s="6">
      <c r="A949" s="1">
        <f t="array" ref="A949">INDIRECT(_xlfn.CONCAT("$I", $F949))</f>
        <v/>
      </c>
      <c r="B949" s="1">
        <f t="array" ref="B949">INDIRECT(_xlfn.CONCAT("$J", $F949))</f>
        <v/>
      </c>
      <c r="C949" s="1">
        <f t="array" ref="C949">INDIRECT(_xlfn.CONCAT("$K", $F949))</f>
        <v/>
      </c>
      <c r="D949" s="1" t="n"/>
      <c r="E949" s="1">
        <f t="array" ref="E949">INDIRECT(_xlfn.CONCAT("$L", $F949))</f>
        <v/>
      </c>
      <c r="F949" s="1">
        <f t="array" ref="F949">IF(NOT(OR(ISERROR(INDIRECT(_xlfn.CONCAT("$I", $F948 + 1))), ISBLANK(INDIRECT(_xlfn.CONCAT("$I", $F948 + 1))))), $F948 + 1, IF(NOT(ISBLANK(INDIRECT(_xlfn.CONCAT("$I", $F948 + 2)))), $F948 + 2, ""))</f>
        <v/>
      </c>
    </row>
    <row r="950" ht="57.75" customHeight="1" s="6">
      <c r="A950" s="1">
        <f t="array" ref="A950">INDIRECT(_xlfn.CONCAT("$I", $F950))</f>
        <v/>
      </c>
      <c r="B950" s="1">
        <f t="array" ref="B950">INDIRECT(_xlfn.CONCAT("$J", $F950))</f>
        <v/>
      </c>
      <c r="C950" s="1">
        <f t="array" ref="C950">INDIRECT(_xlfn.CONCAT("$K", $F950))</f>
        <v/>
      </c>
      <c r="D950" s="1" t="n"/>
      <c r="E950" s="1">
        <f t="array" ref="E950">INDIRECT(_xlfn.CONCAT("$L", $F950))</f>
        <v/>
      </c>
      <c r="F950" s="1">
        <f t="array" ref="F950">IF(NOT(OR(ISERROR(INDIRECT(_xlfn.CONCAT("$I", $F949 + 1))), ISBLANK(INDIRECT(_xlfn.CONCAT("$I", $F949 + 1))))), $F949 + 1, IF(NOT(ISBLANK(INDIRECT(_xlfn.CONCAT("$I", $F949 + 2)))), $F949 + 2, ""))</f>
        <v/>
      </c>
      <c r="I950" s="8" t="inlineStr">
        <is>
          <t>Friday Night Magic 2018 F18</t>
        </is>
      </c>
      <c r="J950" s="8" t="n">
        <v>3</v>
      </c>
      <c r="K950" s="9" t="n">
        <v>43096</v>
      </c>
      <c r="L950" s="8" t="inlineStr">
        <is>
          <t>en es fr de it pt ja ko ru 汉语 漢語</t>
        </is>
      </c>
    </row>
    <row r="951" ht="68.25" customHeight="1" s="6">
      <c r="A951" s="1">
        <f t="array" ref="A951">INDIRECT(_xlfn.CONCAT("$I", $F951))</f>
        <v/>
      </c>
      <c r="B951" s="1">
        <f t="array" ref="B951">INDIRECT(_xlfn.CONCAT("$J", $F951))</f>
        <v/>
      </c>
      <c r="C951" s="1">
        <f t="array" ref="C951">INDIRECT(_xlfn.CONCAT("$K", $F951))</f>
        <v/>
      </c>
      <c r="D951" s="1" t="n"/>
      <c r="E951" s="1">
        <f t="array" ref="E951">INDIRECT(_xlfn.CONCAT("$L", $F951))</f>
        <v/>
      </c>
      <c r="F951" s="1">
        <f t="array" ref="F951">IF(NOT(OR(ISERROR(INDIRECT(_xlfn.CONCAT("$I", $F950 + 1))), ISBLANK(INDIRECT(_xlfn.CONCAT("$I", $F950 + 1))))), $F950 + 1, IF(NOT(ISBLANK(INDIRECT(_xlfn.CONCAT("$I", $F950 + 2)))), $F950 + 2, ""))</f>
        <v/>
      </c>
    </row>
    <row r="952" ht="68.25" customHeight="1" s="6">
      <c r="A952" s="1">
        <f t="array" ref="A952">INDIRECT(_xlfn.CONCAT("$I", $F952))</f>
        <v/>
      </c>
      <c r="B952" s="1">
        <f t="array" ref="B952">INDIRECT(_xlfn.CONCAT("$J", $F952))</f>
        <v/>
      </c>
      <c r="C952" s="1">
        <f t="array" ref="C952">INDIRECT(_xlfn.CONCAT("$K", $F952))</f>
        <v/>
      </c>
      <c r="D952" s="1" t="n"/>
      <c r="E952" s="1">
        <f t="array" ref="E952">INDIRECT(_xlfn.CONCAT("$L", $F952))</f>
        <v/>
      </c>
      <c r="F952" s="1">
        <f t="array" ref="F952">IF(NOT(OR(ISERROR(INDIRECT(_xlfn.CONCAT("$I", $F951 + 1))), ISBLANK(INDIRECT(_xlfn.CONCAT("$I", $F951 + 1))))), $F951 + 1, IF(NOT(ISBLANK(INDIRECT(_xlfn.CONCAT("$I", $F951 + 2)))), $F951 + 2, ""))</f>
        <v/>
      </c>
      <c r="I952" s="8" t="inlineStr">
        <is>
          <t>Unstable UST</t>
        </is>
      </c>
      <c r="J952" s="8" t="n">
        <v>268</v>
      </c>
      <c r="K952" s="9" t="n">
        <v>43077</v>
      </c>
      <c r="L952" s="8" t="inlineStr">
        <is>
          <t>en es fr de it pt ja ko ru 汉语 漢語</t>
        </is>
      </c>
    </row>
    <row r="953" ht="68.25" customHeight="1" s="6">
      <c r="A953" s="1">
        <f t="array" ref="A953">INDIRECT(_xlfn.CONCAT("$I", $F953))</f>
        <v/>
      </c>
      <c r="B953" s="1">
        <f t="array" ref="B953">INDIRECT(_xlfn.CONCAT("$J", $F953))</f>
        <v/>
      </c>
      <c r="C953" s="1">
        <f t="array" ref="C953">INDIRECT(_xlfn.CONCAT("$K", $F953))</f>
        <v/>
      </c>
      <c r="D953" s="1" t="n"/>
      <c r="E953" s="1">
        <f t="array" ref="E953">INDIRECT(_xlfn.CONCAT("$L", $F953))</f>
        <v/>
      </c>
      <c r="F953" s="1">
        <f t="array" ref="F953">IF(NOT(OR(ISERROR(INDIRECT(_xlfn.CONCAT("$I", $F952 + 1))), ISBLANK(INDIRECT(_xlfn.CONCAT("$I", $F952 + 1))))), $F952 + 1, IF(NOT(ISBLANK(INDIRECT(_xlfn.CONCAT("$I", $F952 + 2)))), $F952 + 2, ""))</f>
        <v/>
      </c>
    </row>
    <row r="954" ht="57.75" customHeight="1" s="6">
      <c r="A954" s="1">
        <f t="array" ref="A954">INDIRECT(_xlfn.CONCAT("$I", $F954))</f>
        <v/>
      </c>
      <c r="B954" s="1">
        <f t="array" ref="B954">INDIRECT(_xlfn.CONCAT("$J", $F954))</f>
        <v/>
      </c>
      <c r="C954" s="1">
        <f t="array" ref="C954">INDIRECT(_xlfn.CONCAT("$K", $F954))</f>
        <v/>
      </c>
      <c r="D954" s="1" t="n"/>
      <c r="E954" s="1">
        <f t="array" ref="E954">INDIRECT(_xlfn.CONCAT("$L", $F954))</f>
        <v/>
      </c>
      <c r="F954" s="1">
        <f t="array" ref="F954">IF(NOT(OR(ISERROR(INDIRECT(_xlfn.CONCAT("$I", $F953 + 1))), ISBLANK(INDIRECT(_xlfn.CONCAT("$I", $F953 + 1))))), $F953 + 1, IF(NOT(ISBLANK(INDIRECT(_xlfn.CONCAT("$I", $F953 + 2)))), $F953 + 2, ""))</f>
        <v/>
      </c>
      <c r="I954" s="8" t="inlineStr">
        <is>
          <t>Unstable Promos PUST</t>
        </is>
      </c>
      <c r="J954" s="8" t="n">
        <v>1</v>
      </c>
      <c r="K954" s="9" t="n">
        <v>43077</v>
      </c>
      <c r="L954" s="8" t="inlineStr">
        <is>
          <t>en es fr de it pt ja ko ru 汉语 漢語</t>
        </is>
      </c>
    </row>
    <row r="955" ht="57.75" customHeight="1" s="6">
      <c r="A955" s="1">
        <f t="array" ref="A955">INDIRECT(_xlfn.CONCAT("$I", $F955))</f>
        <v/>
      </c>
      <c r="B955" s="1">
        <f t="array" ref="B955">INDIRECT(_xlfn.CONCAT("$J", $F955))</f>
        <v/>
      </c>
      <c r="C955" s="1">
        <f t="array" ref="C955">INDIRECT(_xlfn.CONCAT("$K", $F955))</f>
        <v/>
      </c>
      <c r="D955" s="1" t="n"/>
      <c r="E955" s="1">
        <f t="array" ref="E955">INDIRECT(_xlfn.CONCAT("$L", $F955))</f>
        <v/>
      </c>
      <c r="F955" s="1">
        <f t="array" ref="F955">IF(NOT(OR(ISERROR(INDIRECT(_xlfn.CONCAT("$I", $F954 + 1))), ISBLANK(INDIRECT(_xlfn.CONCAT("$I", $F954 + 1))))), $F954 + 1, IF(NOT(ISBLANK(INDIRECT(_xlfn.CONCAT("$I", $F954 + 2)))), $F954 + 2, ""))</f>
        <v/>
      </c>
    </row>
    <row r="956" ht="57.75" customHeight="1" s="6">
      <c r="A956" s="1">
        <f t="array" ref="A956">INDIRECT(_xlfn.CONCAT("$I", $F956))</f>
        <v/>
      </c>
      <c r="B956" s="1">
        <f t="array" ref="B956">INDIRECT(_xlfn.CONCAT("$J", $F956))</f>
        <v/>
      </c>
      <c r="C956" s="1">
        <f t="array" ref="C956">INDIRECT(_xlfn.CONCAT("$K", $F956))</f>
        <v/>
      </c>
      <c r="D956" s="1" t="n"/>
      <c r="E956" s="1">
        <f t="array" ref="E956">INDIRECT(_xlfn.CONCAT("$L", $F956))</f>
        <v/>
      </c>
      <c r="F956" s="1">
        <f t="array" ref="F956">IF(NOT(OR(ISERROR(INDIRECT(_xlfn.CONCAT("$I", $F955 + 1))), ISBLANK(INDIRECT(_xlfn.CONCAT("$I", $F955 + 1))))), $F955 + 1, IF(NOT(ISBLANK(INDIRECT(_xlfn.CONCAT("$I", $F955 + 2)))), $F955 + 2, ""))</f>
        <v/>
      </c>
      <c r="I956" s="8" t="inlineStr">
        <is>
          <t>Unstable Tokens TUST</t>
        </is>
      </c>
      <c r="J956" s="8" t="n">
        <v>20</v>
      </c>
      <c r="K956" s="9" t="n">
        <v>43077</v>
      </c>
      <c r="L956" s="8" t="inlineStr">
        <is>
          <t>en es fr de it pt ja ko ru 汉语 漢語</t>
        </is>
      </c>
    </row>
    <row r="957" ht="57.75" customHeight="1" s="6">
      <c r="A957" s="1">
        <f t="array" ref="A957">INDIRECT(_xlfn.CONCAT("$I", $F957))</f>
        <v/>
      </c>
      <c r="B957" s="1">
        <f t="array" ref="B957">INDIRECT(_xlfn.CONCAT("$J", $F957))</f>
        <v/>
      </c>
      <c r="C957" s="1">
        <f t="array" ref="C957">INDIRECT(_xlfn.CONCAT("$K", $F957))</f>
        <v/>
      </c>
      <c r="D957" s="1" t="n"/>
      <c r="E957" s="1">
        <f t="array" ref="E957">INDIRECT(_xlfn.CONCAT("$L", $F957))</f>
        <v/>
      </c>
      <c r="F957" s="1">
        <f t="array" ref="F957">IF(NOT(OR(ISERROR(INDIRECT(_xlfn.CONCAT("$I", $F956 + 1))), ISBLANK(INDIRECT(_xlfn.CONCAT("$I", $F956 + 1))))), $F956 + 1, IF(NOT(ISBLANK(INDIRECT(_xlfn.CONCAT("$I", $F956 + 2)))), $F956 + 2, ""))</f>
        <v/>
      </c>
    </row>
    <row r="958" ht="57.75" customHeight="1" s="6">
      <c r="A958" s="1">
        <f t="array" ref="A958">INDIRECT(_xlfn.CONCAT("$I", $F958))</f>
        <v/>
      </c>
      <c r="B958" s="1">
        <f t="array" ref="B958">INDIRECT(_xlfn.CONCAT("$J", $F958))</f>
        <v/>
      </c>
      <c r="C958" s="1">
        <f t="array" ref="C958">INDIRECT(_xlfn.CONCAT("$K", $F958))</f>
        <v/>
      </c>
      <c r="D958" s="1" t="n"/>
      <c r="E958" s="1">
        <f t="array" ref="E958">INDIRECT(_xlfn.CONCAT("$L", $F958))</f>
        <v/>
      </c>
      <c r="F958" s="1">
        <f t="array" ref="F958">IF(NOT(OR(ISERROR(INDIRECT(_xlfn.CONCAT("$I", $F957 + 1))), ISBLANK(INDIRECT(_xlfn.CONCAT("$I", $F957 + 1))))), $F957 + 1, IF(NOT(ISBLANK(INDIRECT(_xlfn.CONCAT("$I", $F957 + 2)))), $F957 + 2, ""))</f>
        <v/>
      </c>
      <c r="I958" s="8" t="inlineStr">
        <is>
          <t>From the Vault: Transform V17</t>
        </is>
      </c>
      <c r="J958" s="8" t="n">
        <v>16</v>
      </c>
      <c r="K958" s="9" t="n">
        <v>43063</v>
      </c>
      <c r="L958" s="8" t="inlineStr">
        <is>
          <t>en es fr de it pt ja ko ru 汉语 漢語</t>
        </is>
      </c>
    </row>
    <row r="959" ht="68.25" customHeight="1" s="6">
      <c r="A959" s="1">
        <f t="array" ref="A959">INDIRECT(_xlfn.CONCAT("$I", $F959))</f>
        <v/>
      </c>
      <c r="B959" s="1">
        <f t="array" ref="B959">INDIRECT(_xlfn.CONCAT("$J", $F959))</f>
        <v/>
      </c>
      <c r="C959" s="1">
        <f t="array" ref="C959">INDIRECT(_xlfn.CONCAT("$K", $F959))</f>
        <v/>
      </c>
      <c r="D959" s="1" t="n"/>
      <c r="E959" s="1">
        <f t="array" ref="E959">INDIRECT(_xlfn.CONCAT("$L", $F959))</f>
        <v/>
      </c>
      <c r="F959" s="1">
        <f t="array" ref="F959">IF(NOT(OR(ISERROR(INDIRECT(_xlfn.CONCAT("$I", $F958 + 1))), ISBLANK(INDIRECT(_xlfn.CONCAT("$I", $F958 + 1))))), $F958 + 1, IF(NOT(ISBLANK(INDIRECT(_xlfn.CONCAT("$I", $F958 + 2)))), $F958 + 2, ""))</f>
        <v/>
      </c>
    </row>
    <row r="960" ht="57.75" customHeight="1" s="6">
      <c r="A960" s="1">
        <f t="array" ref="A960">INDIRECT(_xlfn.CONCAT("$I", $F960))</f>
        <v/>
      </c>
      <c r="B960" s="1">
        <f t="array" ref="B960">INDIRECT(_xlfn.CONCAT("$J", $F960))</f>
        <v/>
      </c>
      <c r="C960" s="1">
        <f t="array" ref="C960">INDIRECT(_xlfn.CONCAT("$K", $F960))</f>
        <v/>
      </c>
      <c r="D960" s="1" t="n"/>
      <c r="E960" s="1">
        <f t="array" ref="E960">INDIRECT(_xlfn.CONCAT("$L", $F960))</f>
        <v/>
      </c>
      <c r="F960" s="1">
        <f t="array" ref="F960">IF(NOT(OR(ISERROR(INDIRECT(_xlfn.CONCAT("$I", $F959 + 1))), ISBLANK(INDIRECT(_xlfn.CONCAT("$I", $F959 + 1))))), $F959 + 1, IF(NOT(ISBLANK(INDIRECT(_xlfn.CONCAT("$I", $F959 + 2)))), $F959 + 2, ""))</f>
        <v/>
      </c>
      <c r="I960" s="8" t="inlineStr">
        <is>
          <t>Explorers of Ixalan E02</t>
        </is>
      </c>
      <c r="J960" s="8" t="n">
        <v>48</v>
      </c>
      <c r="K960" s="9" t="n">
        <v>43063</v>
      </c>
      <c r="L960" s="8" t="inlineStr">
        <is>
          <t>en es fr de it pt ja ko ru 汉语 漢語</t>
        </is>
      </c>
    </row>
    <row r="961" ht="57.75" customHeight="1" s="6">
      <c r="A961" s="1">
        <f t="array" ref="A961">INDIRECT(_xlfn.CONCAT("$I", $F961))</f>
        <v/>
      </c>
      <c r="B961" s="1">
        <f t="array" ref="B961">INDIRECT(_xlfn.CONCAT("$J", $F961))</f>
        <v/>
      </c>
      <c r="C961" s="1">
        <f t="array" ref="C961">INDIRECT(_xlfn.CONCAT("$K", $F961))</f>
        <v/>
      </c>
      <c r="D961" s="1" t="n"/>
      <c r="E961" s="1">
        <f t="array" ref="E961">INDIRECT(_xlfn.CONCAT("$L", $F961))</f>
        <v/>
      </c>
      <c r="F961" s="1">
        <f t="array" ref="F961">IF(NOT(OR(ISERROR(INDIRECT(_xlfn.CONCAT("$I", $F960 + 1))), ISBLANK(INDIRECT(_xlfn.CONCAT("$I", $F960 + 1))))), $F960 + 1, IF(NOT(ISBLANK(INDIRECT(_xlfn.CONCAT("$I", $F960 + 2)))), $F960 + 2, ""))</f>
        <v/>
      </c>
    </row>
    <row r="962" ht="57.75" customHeight="1" s="6">
      <c r="A962" s="1">
        <f t="array" ref="A962">INDIRECT(_xlfn.CONCAT("$I", $F962))</f>
        <v/>
      </c>
      <c r="B962" s="1">
        <f t="array" ref="B962">INDIRECT(_xlfn.CONCAT("$J", $F962))</f>
        <v/>
      </c>
      <c r="C962" s="1">
        <f t="array" ref="C962">INDIRECT(_xlfn.CONCAT("$K", $F962))</f>
        <v/>
      </c>
      <c r="D962" s="1" t="n"/>
      <c r="E962" s="1">
        <f t="array" ref="E962">INDIRECT(_xlfn.CONCAT("$L", $F962))</f>
        <v/>
      </c>
      <c r="F962" s="1">
        <f t="array" ref="F962">IF(NOT(OR(ISERROR(INDIRECT(_xlfn.CONCAT("$I", $F961 + 1))), ISBLANK(INDIRECT(_xlfn.CONCAT("$I", $F961 + 1))))), $F961 + 1, IF(NOT(ISBLANK(INDIRECT(_xlfn.CONCAT("$I", $F961 + 2)))), $F961 + 2, ""))</f>
        <v/>
      </c>
      <c r="I962" s="8" t="inlineStr">
        <is>
          <t>Iconic Masters IMA</t>
        </is>
      </c>
      <c r="J962" s="8" t="n">
        <v>249</v>
      </c>
      <c r="K962" s="9" t="n">
        <v>43056</v>
      </c>
      <c r="L962" t="inlineStr">
        <is>
          <t>en es fr de it pt ja ko ru 汉语 漢語</t>
        </is>
      </c>
    </row>
    <row r="963" ht="57.75" customHeight="1" s="6">
      <c r="A963" s="1">
        <f t="array" ref="A963">INDIRECT(_xlfn.CONCAT("$I", $F963))</f>
        <v/>
      </c>
      <c r="B963" s="1">
        <f t="array" ref="B963">INDIRECT(_xlfn.CONCAT("$J", $F963))</f>
        <v/>
      </c>
      <c r="C963" s="1">
        <f t="array" ref="C963">INDIRECT(_xlfn.CONCAT("$K", $F963))</f>
        <v/>
      </c>
      <c r="D963" s="1" t="n"/>
      <c r="E963" s="1">
        <f t="array" ref="E963">INDIRECT(_xlfn.CONCAT("$L", $F963))</f>
        <v/>
      </c>
      <c r="F963" s="1">
        <f t="array" ref="F963">IF(NOT(OR(ISERROR(INDIRECT(_xlfn.CONCAT("$I", $F962 + 1))), ISBLANK(INDIRECT(_xlfn.CONCAT("$I", $F962 + 1))))), $F962 + 1, IF(NOT(ISBLANK(INDIRECT(_xlfn.CONCAT("$I", $F962 + 2)))), $F962 + 2, ""))</f>
        <v/>
      </c>
    </row>
    <row r="964" ht="57.75" customHeight="1" s="6">
      <c r="A964" s="1">
        <f t="array" ref="A964">INDIRECT(_xlfn.CONCAT("$I", $F964))</f>
        <v/>
      </c>
      <c r="B964" s="1">
        <f t="array" ref="B964">INDIRECT(_xlfn.CONCAT("$J", $F964))</f>
        <v/>
      </c>
      <c r="C964" s="1">
        <f t="array" ref="C964">INDIRECT(_xlfn.CONCAT("$K", $F964))</f>
        <v/>
      </c>
      <c r="D964" s="1" t="n"/>
      <c r="E964" s="1">
        <f t="array" ref="E964">INDIRECT(_xlfn.CONCAT("$L", $F964))</f>
        <v/>
      </c>
      <c r="F964" s="1">
        <f t="array" ref="F964">IF(NOT(OR(ISERROR(INDIRECT(_xlfn.CONCAT("$I", $F963 + 1))), ISBLANK(INDIRECT(_xlfn.CONCAT("$I", $F963 + 1))))), $F963 + 1, IF(NOT(ISBLANK(INDIRECT(_xlfn.CONCAT("$I", $F963 + 2)))), $F963 + 2, ""))</f>
        <v/>
      </c>
      <c r="I964" s="8" t="inlineStr">
        <is>
          <t>Iconic Masters Tokens TIMA</t>
        </is>
      </c>
      <c r="J964" s="8" t="n">
        <v>7</v>
      </c>
      <c r="K964" s="9" t="n">
        <v>43068</v>
      </c>
      <c r="L964" s="8" t="inlineStr">
        <is>
          <t>en es fr de it pt ja ko ru 汉语 漢語</t>
        </is>
      </c>
    </row>
    <row r="965" ht="57.75" customHeight="1" s="6">
      <c r="A965" s="1">
        <f t="array" ref="A965">INDIRECT(_xlfn.CONCAT("$I", $F965))</f>
        <v/>
      </c>
      <c r="B965" s="1">
        <f t="array" ref="B965">INDIRECT(_xlfn.CONCAT("$J", $F965))</f>
        <v/>
      </c>
      <c r="C965" s="1">
        <f t="array" ref="C965">INDIRECT(_xlfn.CONCAT("$K", $F965))</f>
        <v/>
      </c>
      <c r="D965" s="1" t="n"/>
      <c r="E965" s="1">
        <f t="array" ref="E965">INDIRECT(_xlfn.CONCAT("$L", $F965))</f>
        <v/>
      </c>
      <c r="F965" s="1">
        <f t="array" ref="F965">IF(NOT(OR(ISERROR(INDIRECT(_xlfn.CONCAT("$I", $F964 + 1))), ISBLANK(INDIRECT(_xlfn.CONCAT("$I", $F964 + 1))))), $F964 + 1, IF(NOT(ISBLANK(INDIRECT(_xlfn.CONCAT("$I", $F964 + 2)))), $F964 + 2, ""))</f>
        <v/>
      </c>
    </row>
    <row r="966" ht="57.75" customHeight="1" s="6">
      <c r="A966" s="1">
        <f t="array" ref="A966">INDIRECT(_xlfn.CONCAT("$I", $F966))</f>
        <v/>
      </c>
      <c r="B966" s="1">
        <f t="array" ref="B966">INDIRECT(_xlfn.CONCAT("$J", $F966))</f>
        <v/>
      </c>
      <c r="C966" s="1">
        <f t="array" ref="C966">INDIRECT(_xlfn.CONCAT("$K", $F966))</f>
        <v/>
      </c>
      <c r="D966" s="1" t="n"/>
      <c r="E966" s="1">
        <f t="array" ref="E966">INDIRECT(_xlfn.CONCAT("$L", $F966))</f>
        <v/>
      </c>
      <c r="F966" s="1">
        <f t="array" ref="F966">IF(NOT(OR(ISERROR(INDIRECT(_xlfn.CONCAT("$I", $F965 + 1))), ISBLANK(INDIRECT(_xlfn.CONCAT("$I", $F965 + 1))))), $F965 + 1, IF(NOT(ISBLANK(INDIRECT(_xlfn.CONCAT("$I", $F965 + 2)))), $F965 + 2, ""))</f>
        <v/>
      </c>
      <c r="I966" s="8" t="inlineStr">
        <is>
          <t>Duel Decks: Merfolk vs. Goblins DDT</t>
        </is>
      </c>
      <c r="J966" s="8" t="n">
        <v>63</v>
      </c>
      <c r="K966" s="9" t="n">
        <v>43032</v>
      </c>
      <c r="L966" t="inlineStr">
        <is>
          <t>en es fr de it pt ja ko ru 汉语 漢語</t>
        </is>
      </c>
    </row>
    <row r="967" ht="57.75" customHeight="1" s="6">
      <c r="A967" s="1">
        <f t="array" ref="A967">INDIRECT(_xlfn.CONCAT("$I", $F967))</f>
        <v/>
      </c>
      <c r="B967" s="1">
        <f t="array" ref="B967">INDIRECT(_xlfn.CONCAT("$J", $F967))</f>
        <v/>
      </c>
      <c r="C967" s="1">
        <f t="array" ref="C967">INDIRECT(_xlfn.CONCAT("$K", $F967))</f>
        <v/>
      </c>
      <c r="D967" s="1" t="n"/>
      <c r="E967" s="1">
        <f t="array" ref="E967">INDIRECT(_xlfn.CONCAT("$L", $F967))</f>
        <v/>
      </c>
      <c r="F967" s="1">
        <f t="array" ref="F967">IF(NOT(OR(ISERROR(INDIRECT(_xlfn.CONCAT("$I", $F966 + 1))), ISBLANK(INDIRECT(_xlfn.CONCAT("$I", $F966 + 1))))), $F966 + 1, IF(NOT(ISBLANK(INDIRECT(_xlfn.CONCAT("$I", $F966 + 2)))), $F966 + 2, ""))</f>
        <v/>
      </c>
    </row>
    <row r="968" ht="68.25" customHeight="1" s="6">
      <c r="A968" s="1">
        <f t="array" ref="A968">INDIRECT(_xlfn.CONCAT("$I", $F968))</f>
        <v/>
      </c>
      <c r="B968" s="1">
        <f t="array" ref="B968">INDIRECT(_xlfn.CONCAT("$J", $F968))</f>
        <v/>
      </c>
      <c r="C968" s="1">
        <f t="array" ref="C968">INDIRECT(_xlfn.CONCAT("$K", $F968))</f>
        <v/>
      </c>
      <c r="D968" s="1" t="n"/>
      <c r="E968" s="1">
        <f t="array" ref="E968">INDIRECT(_xlfn.CONCAT("$L", $F968))</f>
        <v/>
      </c>
      <c r="F968" s="1">
        <f t="array" ref="F968">IF(NOT(OR(ISERROR(INDIRECT(_xlfn.CONCAT("$I", $F967 + 1))), ISBLANK(INDIRECT(_xlfn.CONCAT("$I", $F967 + 1))))), $F967 + 1, IF(NOT(ISBLANK(INDIRECT(_xlfn.CONCAT("$I", $F967 + 2)))), $F967 + 2, ""))</f>
        <v/>
      </c>
      <c r="I968" s="8" t="inlineStr">
        <is>
          <t>Duel Decks: Merfolk vs. Goblins Tokens TDDT</t>
        </is>
      </c>
      <c r="J968" s="8" t="n">
        <v>3</v>
      </c>
      <c r="K968" s="9" t="n">
        <v>43032</v>
      </c>
      <c r="L968" s="8" t="inlineStr">
        <is>
          <t>en es fr de it pt ja ko ru 汉语 漢語</t>
        </is>
      </c>
    </row>
    <row r="969" ht="68.25" customHeight="1" s="6">
      <c r="A969" s="1">
        <f t="array" ref="A969">INDIRECT(_xlfn.CONCAT("$I", $F969))</f>
        <v/>
      </c>
      <c r="B969" s="1">
        <f t="array" ref="B969">INDIRECT(_xlfn.CONCAT("$J", $F969))</f>
        <v/>
      </c>
      <c r="C969" s="1">
        <f t="array" ref="C969">INDIRECT(_xlfn.CONCAT("$K", $F969))</f>
        <v/>
      </c>
      <c r="D969" s="1" t="n"/>
      <c r="E969" s="1">
        <f t="array" ref="E969">INDIRECT(_xlfn.CONCAT("$L", $F969))</f>
        <v/>
      </c>
      <c r="F969" s="1">
        <f t="array" ref="F969">IF(NOT(OR(ISERROR(INDIRECT(_xlfn.CONCAT("$I", $F968 + 1))), ISBLANK(INDIRECT(_xlfn.CONCAT("$I", $F968 + 1))))), $F968 + 1, IF(NOT(ISBLANK(INDIRECT(_xlfn.CONCAT("$I", $F968 + 2)))), $F968 + 2, ""))</f>
        <v/>
      </c>
    </row>
    <row r="970" ht="57.75" customHeight="1" s="6">
      <c r="A970" s="1">
        <f t="array" ref="A970">INDIRECT(_xlfn.CONCAT("$I", $F970))</f>
        <v/>
      </c>
      <c r="B970" s="1">
        <f t="array" ref="B970">INDIRECT(_xlfn.CONCAT("$J", $F970))</f>
        <v/>
      </c>
      <c r="C970" s="1">
        <f t="array" ref="C970">INDIRECT(_xlfn.CONCAT("$K", $F970))</f>
        <v/>
      </c>
      <c r="D970" s="1" t="n"/>
      <c r="E970" s="1">
        <f t="array" ref="E970">INDIRECT(_xlfn.CONCAT("$L", $F970))</f>
        <v/>
      </c>
      <c r="F970" s="1">
        <f t="array" ref="F970">IF(NOT(OR(ISERROR(INDIRECT(_xlfn.CONCAT("$I", $F969 + 1))), ISBLANK(INDIRECT(_xlfn.CONCAT("$I", $F969 + 1))))), $F969 + 1, IF(NOT(ISBLANK(INDIRECT(_xlfn.CONCAT("$I", $F969 + 2)))), $F969 + 2, ""))</f>
        <v/>
      </c>
      <c r="I970" s="8" t="inlineStr">
        <is>
          <t>2017 Gift Pack G17</t>
        </is>
      </c>
      <c r="J970" s="8" t="n">
        <v>5</v>
      </c>
      <c r="K970" s="9" t="n">
        <v>43028</v>
      </c>
      <c r="L970" s="8" t="inlineStr">
        <is>
          <t>en es fr de it pt ja ko ru 汉语 漢語</t>
        </is>
      </c>
    </row>
    <row r="971" ht="57.75" customHeight="1" s="6">
      <c r="A971" s="1">
        <f t="array" ref="A971">INDIRECT(_xlfn.CONCAT("$I", $F971))</f>
        <v/>
      </c>
      <c r="B971" s="1">
        <f t="array" ref="B971">INDIRECT(_xlfn.CONCAT("$J", $F971))</f>
        <v/>
      </c>
      <c r="C971" s="1">
        <f t="array" ref="C971">INDIRECT(_xlfn.CONCAT("$K", $F971))</f>
        <v/>
      </c>
      <c r="D971" s="1" t="n"/>
      <c r="E971" s="1">
        <f t="array" ref="E971">INDIRECT(_xlfn.CONCAT("$L", $F971))</f>
        <v/>
      </c>
      <c r="F971" s="1">
        <f t="array" ref="F971">IF(NOT(OR(ISERROR(INDIRECT(_xlfn.CONCAT("$I", $F970 + 1))), ISBLANK(INDIRECT(_xlfn.CONCAT("$I", $F970 + 1))))), $F970 + 1, IF(NOT(ISBLANK(INDIRECT(_xlfn.CONCAT("$I", $F970 + 2)))), $F970 + 2, ""))</f>
        <v/>
      </c>
    </row>
    <row r="972" ht="57.75" customHeight="1" s="6">
      <c r="A972" s="1">
        <f t="array" ref="A972">INDIRECT(_xlfn.CONCAT("$I", $F972))</f>
        <v/>
      </c>
      <c r="B972" s="1">
        <f t="array" ref="B972">INDIRECT(_xlfn.CONCAT("$J", $F972))</f>
        <v/>
      </c>
      <c r="C972" s="1">
        <f t="array" ref="C972">INDIRECT(_xlfn.CONCAT("$K", $F972))</f>
        <v/>
      </c>
      <c r="D972" s="1" t="n"/>
      <c r="E972" s="1">
        <f t="array" ref="E972">INDIRECT(_xlfn.CONCAT("$L", $F972))</f>
        <v/>
      </c>
      <c r="F972" s="1">
        <f t="array" ref="F972">IF(NOT(OR(ISERROR(INDIRECT(_xlfn.CONCAT("$I", $F971 + 1))), ISBLANK(INDIRECT(_xlfn.CONCAT("$I", $F971 + 1))))), $F971 + 1, IF(NOT(ISBLANK(INDIRECT(_xlfn.CONCAT("$I", $F971 + 2)))), $F971 + 2, ""))</f>
        <v/>
      </c>
      <c r="I972" s="8" t="inlineStr">
        <is>
          <t>Ixalan XLN</t>
        </is>
      </c>
      <c r="J972" s="8" t="n">
        <v>289</v>
      </c>
      <c r="K972" s="9" t="n">
        <v>43007</v>
      </c>
      <c r="L972" t="inlineStr">
        <is>
          <t>en es fr de it pt ja ko ru 汉语 漢語</t>
        </is>
      </c>
    </row>
    <row r="973" ht="57.75" customHeight="1" s="6">
      <c r="A973" s="1">
        <f t="array" ref="A973">INDIRECT(_xlfn.CONCAT("$I", $F973))</f>
        <v/>
      </c>
      <c r="B973" s="1">
        <f t="array" ref="B973">INDIRECT(_xlfn.CONCAT("$J", $F973))</f>
        <v/>
      </c>
      <c r="C973" s="1">
        <f t="array" ref="C973">INDIRECT(_xlfn.CONCAT("$K", $F973))</f>
        <v/>
      </c>
      <c r="D973" s="1" t="n"/>
      <c r="E973" s="1">
        <f t="array" ref="E973">INDIRECT(_xlfn.CONCAT("$L", $F973))</f>
        <v/>
      </c>
      <c r="F973" s="1">
        <f t="array" ref="F973">IF(NOT(OR(ISERROR(INDIRECT(_xlfn.CONCAT("$I", $F972 + 1))), ISBLANK(INDIRECT(_xlfn.CONCAT("$I", $F972 + 1))))), $F972 + 1, IF(NOT(ISBLANK(INDIRECT(_xlfn.CONCAT("$I", $F972 + 2)))), $F972 + 2, ""))</f>
        <v/>
      </c>
    </row>
    <row r="974" ht="57.75" customHeight="1" s="6">
      <c r="A974" s="1">
        <f t="array" ref="A974">INDIRECT(_xlfn.CONCAT("$I", $F974))</f>
        <v/>
      </c>
      <c r="B974" s="1">
        <f t="array" ref="B974">INDIRECT(_xlfn.CONCAT("$J", $F974))</f>
        <v/>
      </c>
      <c r="C974" s="1">
        <f t="array" ref="C974">INDIRECT(_xlfn.CONCAT("$K", $F974))</f>
        <v/>
      </c>
      <c r="D974" s="1" t="n"/>
      <c r="E974" s="1">
        <f t="array" ref="E974">INDIRECT(_xlfn.CONCAT("$L", $F974))</f>
        <v/>
      </c>
      <c r="F974" s="1">
        <f t="array" ref="F974">IF(NOT(OR(ISERROR(INDIRECT(_xlfn.CONCAT("$I", $F973 + 1))), ISBLANK(INDIRECT(_xlfn.CONCAT("$I", $F973 + 1))))), $F973 + 1, IF(NOT(ISBLANK(INDIRECT(_xlfn.CONCAT("$I", $F973 + 2)))), $F973 + 2, ""))</f>
        <v/>
      </c>
      <c r="I974" s="8" t="inlineStr">
        <is>
          <t>Ixalan Promos PXLN</t>
        </is>
      </c>
      <c r="J974" s="8" t="n">
        <v>120</v>
      </c>
      <c r="K974" s="9" t="n">
        <v>43007</v>
      </c>
      <c r="L974" s="8" t="inlineStr">
        <is>
          <t>en es fr de it pt ja ko ru 汉语 漢語</t>
        </is>
      </c>
    </row>
    <row r="975" ht="57.75" customHeight="1" s="6">
      <c r="A975" s="1">
        <f t="array" ref="A975">INDIRECT(_xlfn.CONCAT("$I", $F975))</f>
        <v/>
      </c>
      <c r="B975" s="1">
        <f t="array" ref="B975">INDIRECT(_xlfn.CONCAT("$J", $F975))</f>
        <v/>
      </c>
      <c r="C975" s="1">
        <f t="array" ref="C975">INDIRECT(_xlfn.CONCAT("$K", $F975))</f>
        <v/>
      </c>
      <c r="D975" s="1" t="n"/>
      <c r="E975" s="1">
        <f t="array" ref="E975">INDIRECT(_xlfn.CONCAT("$L", $F975))</f>
        <v/>
      </c>
      <c r="F975" s="1">
        <f t="array" ref="F975">IF(NOT(OR(ISERROR(INDIRECT(_xlfn.CONCAT("$I", $F974 + 1))), ISBLANK(INDIRECT(_xlfn.CONCAT("$I", $F974 + 1))))), $F974 + 1, IF(NOT(ISBLANK(INDIRECT(_xlfn.CONCAT("$I", $F974 + 2)))), $F974 + 2, ""))</f>
        <v/>
      </c>
    </row>
    <row r="976" ht="57.75" customHeight="1" s="6">
      <c r="A976" s="1">
        <f t="array" ref="A976">INDIRECT(_xlfn.CONCAT("$I", $F976))</f>
        <v/>
      </c>
      <c r="B976" s="1">
        <f t="array" ref="B976">INDIRECT(_xlfn.CONCAT("$J", $F976))</f>
        <v/>
      </c>
      <c r="C976" s="1">
        <f t="array" ref="C976">INDIRECT(_xlfn.CONCAT("$K", $F976))</f>
        <v/>
      </c>
      <c r="D976" s="1" t="n"/>
      <c r="E976" s="1">
        <f t="array" ref="E976">INDIRECT(_xlfn.CONCAT("$L", $F976))</f>
        <v/>
      </c>
      <c r="F976" s="1">
        <f t="array" ref="F976">IF(NOT(OR(ISERROR(INDIRECT(_xlfn.CONCAT("$I", $F975 + 1))), ISBLANK(INDIRECT(_xlfn.CONCAT("$I", $F975 + 1))))), $F975 + 1, IF(NOT(ISBLANK(INDIRECT(_xlfn.CONCAT("$I", $F975 + 2)))), $F975 + 2, ""))</f>
        <v/>
      </c>
      <c r="I976" s="8" t="inlineStr">
        <is>
          <t>Ixalan Tokens TXLN</t>
        </is>
      </c>
      <c r="J976" s="8" t="n">
        <v>11</v>
      </c>
      <c r="K976" s="9" t="n">
        <v>43007</v>
      </c>
      <c r="L976" s="8" t="inlineStr">
        <is>
          <t>en es fr de it pt ja ko ru 汉语 漢語</t>
        </is>
      </c>
    </row>
    <row r="977" ht="57.75" customHeight="1" s="6">
      <c r="A977" s="1">
        <f t="array" ref="A977">INDIRECT(_xlfn.CONCAT("$I", $F977))</f>
        <v/>
      </c>
      <c r="B977" s="1">
        <f t="array" ref="B977">INDIRECT(_xlfn.CONCAT("$J", $F977))</f>
        <v/>
      </c>
      <c r="C977" s="1">
        <f t="array" ref="C977">INDIRECT(_xlfn.CONCAT("$K", $F977))</f>
        <v/>
      </c>
      <c r="D977" s="1" t="n"/>
      <c r="E977" s="1">
        <f t="array" ref="E977">INDIRECT(_xlfn.CONCAT("$L", $F977))</f>
        <v/>
      </c>
      <c r="F977" s="1">
        <f t="array" ref="F977">IF(NOT(OR(ISERROR(INDIRECT(_xlfn.CONCAT("$I", $F976 + 1))), ISBLANK(INDIRECT(_xlfn.CONCAT("$I", $F976 + 1))))), $F976 + 1, IF(NOT(ISBLANK(INDIRECT(_xlfn.CONCAT("$I", $F976 + 2)))), $F976 + 2, ""))</f>
        <v/>
      </c>
    </row>
    <row r="978" ht="57.75" customHeight="1" s="6">
      <c r="A978" s="1">
        <f t="array" ref="A978">INDIRECT(_xlfn.CONCAT("$I", $F978))</f>
        <v/>
      </c>
      <c r="B978" s="1">
        <f t="array" ref="B978">INDIRECT(_xlfn.CONCAT("$J", $F978))</f>
        <v/>
      </c>
      <c r="C978" s="1">
        <f t="array" ref="C978">INDIRECT(_xlfn.CONCAT("$K", $F978))</f>
        <v/>
      </c>
      <c r="D978" s="1" t="n"/>
      <c r="E978" s="1">
        <f t="array" ref="E978">INDIRECT(_xlfn.CONCAT("$L", $F978))</f>
        <v/>
      </c>
      <c r="F978" s="1">
        <f t="array" ref="F978">IF(NOT(OR(ISERROR(INDIRECT(_xlfn.CONCAT("$I", $F977 + 1))), ISBLANK(INDIRECT(_xlfn.CONCAT("$I", $F977 + 1))))), $F977 + 1, IF(NOT(ISBLANK(INDIRECT(_xlfn.CONCAT("$I", $F977 + 2)))), $F977 + 2, ""))</f>
        <v/>
      </c>
      <c r="I978" s="8" t="inlineStr">
        <is>
          <t>XLN Treasure Chest PXTC</t>
        </is>
      </c>
      <c r="J978" s="8" t="n">
        <v>10</v>
      </c>
      <c r="K978" s="9" t="n">
        <v>43063</v>
      </c>
      <c r="L978" s="8" t="inlineStr">
        <is>
          <t>en es fr de it pt ja ko ru 汉语 漢語</t>
        </is>
      </c>
    </row>
    <row r="979" ht="57.75" customHeight="1" s="6">
      <c r="A979" s="1">
        <f t="array" ref="A979">INDIRECT(_xlfn.CONCAT("$I", $F979))</f>
        <v/>
      </c>
      <c r="B979" s="1">
        <f t="array" ref="B979">INDIRECT(_xlfn.CONCAT("$J", $F979))</f>
        <v/>
      </c>
      <c r="C979" s="1">
        <f t="array" ref="C979">INDIRECT(_xlfn.CONCAT("$K", $F979))</f>
        <v/>
      </c>
      <c r="D979" s="1" t="n"/>
      <c r="E979" s="1">
        <f t="array" ref="E979">INDIRECT(_xlfn.CONCAT("$L", $F979))</f>
        <v/>
      </c>
      <c r="F979" s="1">
        <f t="array" ref="F979">IF(NOT(OR(ISERROR(INDIRECT(_xlfn.CONCAT("$I", $F978 + 1))), ISBLANK(INDIRECT(_xlfn.CONCAT("$I", $F978 + 1))))), $F978 + 1, IF(NOT(ISBLANK(INDIRECT(_xlfn.CONCAT("$I", $F978 + 2)))), $F978 + 2, ""))</f>
        <v/>
      </c>
    </row>
    <row r="980" ht="68.25" customHeight="1" s="6">
      <c r="A980" s="1">
        <f t="array" ref="A980">INDIRECT(_xlfn.CONCAT("$I", $F980))</f>
        <v/>
      </c>
      <c r="B980" s="1">
        <f t="array" ref="B980">INDIRECT(_xlfn.CONCAT("$J", $F980))</f>
        <v/>
      </c>
      <c r="C980" s="1">
        <f t="array" ref="C980">INDIRECT(_xlfn.CONCAT("$K", $F980))</f>
        <v/>
      </c>
      <c r="D980" s="1" t="n"/>
      <c r="E980" s="1">
        <f t="array" ref="E980">INDIRECT(_xlfn.CONCAT("$L", $F980))</f>
        <v/>
      </c>
      <c r="F980" s="1">
        <f t="array" ref="F980">IF(NOT(OR(ISERROR(INDIRECT(_xlfn.CONCAT("$I", $F979 + 1))), ISBLANK(INDIRECT(_xlfn.CONCAT("$I", $F979 + 1))))), $F979 + 1, IF(NOT(ISBLANK(INDIRECT(_xlfn.CONCAT("$I", $F979 + 2)))), $F979 + 2, ""))</f>
        <v/>
      </c>
      <c r="I980" s="8" t="inlineStr">
        <is>
          <t>XLN Standard Showdown PSS2</t>
        </is>
      </c>
      <c r="J980" s="8" t="n">
        <v>5</v>
      </c>
      <c r="K980" s="9" t="n">
        <v>43007</v>
      </c>
      <c r="L980" s="8" t="inlineStr">
        <is>
          <t>en es fr de it pt ja ko ru 汉语 漢語</t>
        </is>
      </c>
    </row>
    <row r="981" ht="57.75" customHeight="1" s="6">
      <c r="A981" s="1">
        <f t="array" ref="A981">INDIRECT(_xlfn.CONCAT("$I", $F981))</f>
        <v/>
      </c>
      <c r="B981" s="1">
        <f t="array" ref="B981">INDIRECT(_xlfn.CONCAT("$J", $F981))</f>
        <v/>
      </c>
      <c r="C981" s="1">
        <f t="array" ref="C981">INDIRECT(_xlfn.CONCAT("$K", $F981))</f>
        <v/>
      </c>
      <c r="D981" s="1" t="n"/>
      <c r="E981" s="1">
        <f t="array" ref="E981">INDIRECT(_xlfn.CONCAT("$L", $F981))</f>
        <v/>
      </c>
      <c r="F981" s="1">
        <f t="array" ref="F981">IF(NOT(OR(ISERROR(INDIRECT(_xlfn.CONCAT("$I", $F980 + 1))), ISBLANK(INDIRECT(_xlfn.CONCAT("$I", $F980 + 1))))), $F980 + 1, IF(NOT(ISBLANK(INDIRECT(_xlfn.CONCAT("$I", $F980 + 2)))), $F980 + 2, ""))</f>
        <v/>
      </c>
    </row>
    <row r="982" ht="57.75" customHeight="1" s="6">
      <c r="A982" s="1">
        <f t="array" ref="A982">INDIRECT(_xlfn.CONCAT("$I", $F982))</f>
        <v/>
      </c>
      <c r="B982" s="1">
        <f t="array" ref="B982">INDIRECT(_xlfn.CONCAT("$J", $F982))</f>
        <v/>
      </c>
      <c r="C982" s="1">
        <f t="array" ref="C982">INDIRECT(_xlfn.CONCAT("$K", $F982))</f>
        <v/>
      </c>
      <c r="D982" s="1" t="n"/>
      <c r="E982" s="1">
        <f t="array" ref="E982">INDIRECT(_xlfn.CONCAT("$L", $F982))</f>
        <v/>
      </c>
      <c r="F982" s="1">
        <f t="array" ref="F982">IF(NOT(OR(ISERROR(INDIRECT(_xlfn.CONCAT("$I", $F981 + 1))), ISBLANK(INDIRECT(_xlfn.CONCAT("$I", $F981 + 1))))), $F981 + 1, IF(NOT(ISBLANK(INDIRECT(_xlfn.CONCAT("$I", $F981 + 2)))), $F981 + 2, ""))</f>
        <v/>
      </c>
      <c r="I982" s="8" t="inlineStr">
        <is>
          <t>HasCon 2017 H17</t>
        </is>
      </c>
      <c r="J982" s="8" t="n">
        <v>4</v>
      </c>
      <c r="K982" s="9" t="n">
        <v>42998</v>
      </c>
      <c r="L982" s="8" t="inlineStr">
        <is>
          <t>en es fr de it pt ja ko ru 汉语 漢語</t>
        </is>
      </c>
    </row>
    <row r="983" ht="57.75" customHeight="1" s="6">
      <c r="A983" s="1">
        <f t="array" ref="A983">INDIRECT(_xlfn.CONCAT("$I", $F983))</f>
        <v/>
      </c>
      <c r="B983" s="1">
        <f t="array" ref="B983">INDIRECT(_xlfn.CONCAT("$J", $F983))</f>
        <v/>
      </c>
      <c r="C983" s="1">
        <f t="array" ref="C983">INDIRECT(_xlfn.CONCAT("$K", $F983))</f>
        <v/>
      </c>
      <c r="D983" s="1" t="n"/>
      <c r="E983" s="1">
        <f t="array" ref="E983">INDIRECT(_xlfn.CONCAT("$L", $F983))</f>
        <v/>
      </c>
      <c r="F983" s="1">
        <f t="array" ref="F983">IF(NOT(OR(ISERROR(INDIRECT(_xlfn.CONCAT("$I", $F982 + 1))), ISBLANK(INDIRECT(_xlfn.CONCAT("$I", $F982 + 1))))), $F982 + 1, IF(NOT(ISBLANK(INDIRECT(_xlfn.CONCAT("$I", $F982 + 2)))), $F982 + 2, ""))</f>
        <v/>
      </c>
    </row>
    <row r="984" ht="57.75" customHeight="1" s="6">
      <c r="A984" s="1">
        <f t="array" ref="A984">INDIRECT(_xlfn.CONCAT("$I", $F984))</f>
        <v/>
      </c>
      <c r="B984" s="1">
        <f t="array" ref="B984">INDIRECT(_xlfn.CONCAT("$J", $F984))</f>
        <v/>
      </c>
      <c r="C984" s="1">
        <f t="array" ref="C984">INDIRECT(_xlfn.CONCAT("$K", $F984))</f>
        <v/>
      </c>
      <c r="D984" s="1" t="n"/>
      <c r="E984" s="1">
        <f t="array" ref="E984">INDIRECT(_xlfn.CONCAT("$L", $F984))</f>
        <v/>
      </c>
      <c r="F984" s="1">
        <f t="array" ref="F984">IF(NOT(OR(ISERROR(INDIRECT(_xlfn.CONCAT("$I", $F983 + 1))), ISBLANK(INDIRECT(_xlfn.CONCAT("$I", $F983 + 1))))), $F983 + 1, IF(NOT(ISBLANK(INDIRECT(_xlfn.CONCAT("$I", $F983 + 2)))), $F983 + 2, ""))</f>
        <v/>
      </c>
      <c r="I984" s="8" t="inlineStr">
        <is>
          <t>2016 Heroes of the Realm PHTR</t>
        </is>
      </c>
      <c r="J984" s="8" t="n">
        <v>3</v>
      </c>
      <c r="K984" s="9" t="n">
        <v>42998</v>
      </c>
      <c r="L984" s="8" t="inlineStr">
        <is>
          <t>en es fr de it pt ja ko ru 汉语 漢語</t>
        </is>
      </c>
    </row>
    <row r="985" ht="57.75" customHeight="1" s="6">
      <c r="A985" s="1">
        <f t="array" ref="A985">INDIRECT(_xlfn.CONCAT("$I", $F985))</f>
        <v/>
      </c>
      <c r="B985" s="1">
        <f t="array" ref="B985">INDIRECT(_xlfn.CONCAT("$J", $F985))</f>
        <v/>
      </c>
      <c r="C985" s="1">
        <f t="array" ref="C985">INDIRECT(_xlfn.CONCAT("$K", $F985))</f>
        <v/>
      </c>
      <c r="D985" s="1" t="n"/>
      <c r="E985" s="1">
        <f t="array" ref="E985">INDIRECT(_xlfn.CONCAT("$L", $F985))</f>
        <v/>
      </c>
      <c r="F985" s="1">
        <f t="array" ref="F985">IF(NOT(OR(ISERROR(INDIRECT(_xlfn.CONCAT("$I", $F984 + 1))), ISBLANK(INDIRECT(_xlfn.CONCAT("$I", $F984 + 1))))), $F984 + 1, IF(NOT(ISBLANK(INDIRECT(_xlfn.CONCAT("$I", $F984 + 2)))), $F984 + 2, ""))</f>
        <v/>
      </c>
    </row>
    <row r="986" ht="57.75" customHeight="1" s="6">
      <c r="A986" s="1">
        <f t="array" ref="A986">INDIRECT(_xlfn.CONCAT("$I", $F986))</f>
        <v/>
      </c>
      <c r="B986" s="1">
        <f t="array" ref="B986">INDIRECT(_xlfn.CONCAT("$J", $F986))</f>
        <v/>
      </c>
      <c r="C986" s="1">
        <f t="array" ref="C986">INDIRECT(_xlfn.CONCAT("$K", $F986))</f>
        <v/>
      </c>
      <c r="D986" s="1" t="n"/>
      <c r="E986" s="1">
        <f t="array" ref="E986">INDIRECT(_xlfn.CONCAT("$L", $F986))</f>
        <v/>
      </c>
      <c r="F986" s="1">
        <f t="array" ref="F986">IF(NOT(OR(ISERROR(INDIRECT(_xlfn.CONCAT("$I", $F985 + 1))), ISBLANK(INDIRECT(_xlfn.CONCAT("$I", $F985 + 1))))), $F985 + 1, IF(NOT(ISBLANK(INDIRECT(_xlfn.CONCAT("$I", $F985 + 2)))), $F985 + 2, ""))</f>
        <v/>
      </c>
      <c r="I986" s="8" t="inlineStr">
        <is>
          <t>Modern Cube MODERN</t>
        </is>
      </c>
      <c r="J986" s="8" t="n">
        <v>540</v>
      </c>
      <c r="K986" s="9" t="n">
        <v>42984</v>
      </c>
    </row>
    <row r="987" ht="57.75" customHeight="1" s="6">
      <c r="A987" s="1">
        <f t="array" ref="A987">INDIRECT(_xlfn.CONCAT("$I", $F987))</f>
        <v/>
      </c>
      <c r="B987" s="1">
        <f t="array" ref="B987">INDIRECT(_xlfn.CONCAT("$J", $F987))</f>
        <v/>
      </c>
      <c r="C987" s="1">
        <f t="array" ref="C987">INDIRECT(_xlfn.CONCAT("$K", $F987))</f>
        <v/>
      </c>
      <c r="D987" s="1" t="n"/>
      <c r="E987" s="1">
        <f t="array" ref="E987">INDIRECT(_xlfn.CONCAT("$L", $F987))</f>
        <v/>
      </c>
      <c r="F987" s="1">
        <f t="array" ref="F987">IF(NOT(OR(ISERROR(INDIRECT(_xlfn.CONCAT("$I", $F986 + 1))), ISBLANK(INDIRECT(_xlfn.CONCAT("$I", $F986 + 1))))), $F986 + 1, IF(NOT(ISBLANK(INDIRECT(_xlfn.CONCAT("$I", $F986 + 2)))), $F986 + 2, ""))</f>
        <v/>
      </c>
    </row>
    <row r="988" ht="57.75" customHeight="1" s="6">
      <c r="A988" s="1">
        <f t="array" ref="A988">INDIRECT(_xlfn.CONCAT("$I", $F988))</f>
        <v/>
      </c>
      <c r="B988" s="1">
        <f t="array" ref="B988">INDIRECT(_xlfn.CONCAT("$J", $F988))</f>
        <v/>
      </c>
      <c r="C988" s="1">
        <f t="array" ref="C988">INDIRECT(_xlfn.CONCAT("$K", $F988))</f>
        <v/>
      </c>
      <c r="D988" s="1" t="n"/>
      <c r="E988" s="1">
        <f t="array" ref="E988">INDIRECT(_xlfn.CONCAT("$L", $F988))</f>
        <v/>
      </c>
      <c r="F988" s="1">
        <f t="array" ref="F988">IF(NOT(OR(ISERROR(INDIRECT(_xlfn.CONCAT("$I", $F987 + 1))), ISBLANK(INDIRECT(_xlfn.CONCAT("$I", $F987 + 1))))), $F987 + 1, IF(NOT(ISBLANK(INDIRECT(_xlfn.CONCAT("$I", $F987 + 2)))), $F987 + 2, ""))</f>
        <v/>
      </c>
      <c r="I988" s="8" t="inlineStr">
        <is>
          <t>Commander 2017 C17</t>
        </is>
      </c>
      <c r="J988" s="8" t="n">
        <v>309</v>
      </c>
      <c r="K988" s="9" t="n">
        <v>42972</v>
      </c>
      <c r="L988" t="inlineStr">
        <is>
          <t>en es fr de it pt ja ko ru 汉语 漢語</t>
        </is>
      </c>
    </row>
    <row r="989" ht="57.75" customHeight="1" s="6">
      <c r="A989" s="1">
        <f t="array" ref="A989">INDIRECT(_xlfn.CONCAT("$I", $F989))</f>
        <v/>
      </c>
      <c r="B989" s="1">
        <f t="array" ref="B989">INDIRECT(_xlfn.CONCAT("$J", $F989))</f>
        <v/>
      </c>
      <c r="C989" s="1">
        <f t="array" ref="C989">INDIRECT(_xlfn.CONCAT("$K", $F989))</f>
        <v/>
      </c>
      <c r="D989" s="1" t="n"/>
      <c r="E989" s="1">
        <f t="array" ref="E989">INDIRECT(_xlfn.CONCAT("$L", $F989))</f>
        <v/>
      </c>
      <c r="F989" s="1">
        <f t="array" ref="F989">IF(NOT(OR(ISERROR(INDIRECT(_xlfn.CONCAT("$I", $F988 + 1))), ISBLANK(INDIRECT(_xlfn.CONCAT("$I", $F988 + 1))))), $F988 + 1, IF(NOT(ISBLANK(INDIRECT(_xlfn.CONCAT("$I", $F988 + 2)))), $F988 + 2, ""))</f>
        <v/>
      </c>
    </row>
    <row r="990" ht="57.75" customHeight="1" s="6">
      <c r="A990" s="1">
        <f t="array" ref="A990">INDIRECT(_xlfn.CONCAT("$I", $F990))</f>
        <v/>
      </c>
      <c r="B990" s="1">
        <f t="array" ref="B990">INDIRECT(_xlfn.CONCAT("$J", $F990))</f>
        <v/>
      </c>
      <c r="C990" s="1">
        <f t="array" ref="C990">INDIRECT(_xlfn.CONCAT("$K", $F990))</f>
        <v/>
      </c>
      <c r="D990" s="1" t="n"/>
      <c r="E990" s="1">
        <f t="array" ref="E990">INDIRECT(_xlfn.CONCAT("$L", $F990))</f>
        <v/>
      </c>
      <c r="F990" s="1">
        <f t="array" ref="F990">IF(NOT(OR(ISERROR(INDIRECT(_xlfn.CONCAT("$I", $F989 + 1))), ISBLANK(INDIRECT(_xlfn.CONCAT("$I", $F989 + 1))))), $F989 + 1, IF(NOT(ISBLANK(INDIRECT(_xlfn.CONCAT("$I", $F989 + 2)))), $F989 + 2, ""))</f>
        <v/>
      </c>
      <c r="I990" s="8" t="inlineStr">
        <is>
          <t>Commander 2017 Tokens TC17</t>
        </is>
      </c>
      <c r="J990" s="8" t="n">
        <v>11</v>
      </c>
      <c r="K990" s="9" t="n">
        <v>42972</v>
      </c>
      <c r="L990" s="8" t="inlineStr">
        <is>
          <t>en es fr de it pt ja ko ru 汉语 漢語</t>
        </is>
      </c>
    </row>
    <row r="991" ht="57.75" customHeight="1" s="6">
      <c r="A991" s="1">
        <f t="array" ref="A991">INDIRECT(_xlfn.CONCAT("$I", $F991))</f>
        <v/>
      </c>
      <c r="B991" s="1">
        <f t="array" ref="B991">INDIRECT(_xlfn.CONCAT("$J", $F991))</f>
        <v/>
      </c>
      <c r="C991" s="1">
        <f t="array" ref="C991">INDIRECT(_xlfn.CONCAT("$K", $F991))</f>
        <v/>
      </c>
      <c r="D991" s="1" t="n"/>
      <c r="E991" s="1">
        <f t="array" ref="E991">INDIRECT(_xlfn.CONCAT("$L", $F991))</f>
        <v/>
      </c>
      <c r="F991" s="1">
        <f t="array" ref="F991">IF(NOT(OR(ISERROR(INDIRECT(_xlfn.CONCAT("$I", $F990 + 1))), ISBLANK(INDIRECT(_xlfn.CONCAT("$I", $F990 + 1))))), $F990 + 1, IF(NOT(ISBLANK(INDIRECT(_xlfn.CONCAT("$I", $F990 + 2)))), $F990 + 2, ""))</f>
        <v/>
      </c>
    </row>
    <row r="992" ht="57.75" customHeight="1" s="6">
      <c r="A992" s="1">
        <f t="array" ref="A992">INDIRECT(_xlfn.CONCAT("$I", $F992))</f>
        <v/>
      </c>
      <c r="B992" s="1">
        <f t="array" ref="B992">INDIRECT(_xlfn.CONCAT("$J", $F992))</f>
        <v/>
      </c>
      <c r="C992" s="1">
        <f t="array" ref="C992">INDIRECT(_xlfn.CONCAT("$K", $F992))</f>
        <v/>
      </c>
      <c r="D992" s="1" t="n"/>
      <c r="E992" s="1">
        <f t="array" ref="E992">INDIRECT(_xlfn.CONCAT("$L", $F992))</f>
        <v/>
      </c>
      <c r="F992" s="1">
        <f t="array" ref="F992">IF(NOT(OR(ISERROR(INDIRECT(_xlfn.CONCAT("$I", $F991 + 1))), ISBLANK(INDIRECT(_xlfn.CONCAT("$I", $F991 + 1))))), $F991 + 1, IF(NOT(ISBLANK(INDIRECT(_xlfn.CONCAT("$I", $F991 + 2)))), $F991 + 2, ""))</f>
        <v/>
      </c>
      <c r="I992" s="8" t="inlineStr">
        <is>
          <t>Commander 2017 Oversized OC17</t>
        </is>
      </c>
      <c r="J992" s="8" t="n">
        <v>4</v>
      </c>
      <c r="K992" s="9" t="n">
        <v>42972</v>
      </c>
      <c r="L992" s="8" t="inlineStr">
        <is>
          <t>en es fr de it pt ja ko ru 汉语 漢語</t>
        </is>
      </c>
    </row>
    <row r="993" ht="57.75" customHeight="1" s="6">
      <c r="A993" s="1">
        <f t="array" ref="A993">INDIRECT(_xlfn.CONCAT("$I", $F993))</f>
        <v/>
      </c>
      <c r="B993" s="1">
        <f t="array" ref="B993">INDIRECT(_xlfn.CONCAT("$J", $F993))</f>
        <v/>
      </c>
      <c r="C993" s="1">
        <f t="array" ref="C993">INDIRECT(_xlfn.CONCAT("$K", $F993))</f>
        <v/>
      </c>
      <c r="D993" s="1" t="n"/>
      <c r="E993" s="1">
        <f t="array" ref="E993">INDIRECT(_xlfn.CONCAT("$L", $F993))</f>
        <v/>
      </c>
      <c r="F993" s="1">
        <f t="array" ref="F993">IF(NOT(OR(ISERROR(INDIRECT(_xlfn.CONCAT("$I", $F992 + 1))), ISBLANK(INDIRECT(_xlfn.CONCAT("$I", $F992 + 1))))), $F992 + 1, IF(NOT(ISBLANK(INDIRECT(_xlfn.CONCAT("$I", $F992 + 2)))), $F992 + 2, ""))</f>
        <v/>
      </c>
    </row>
    <row r="994" ht="57.75" customHeight="1" s="6">
      <c r="A994" s="1">
        <f t="array" ref="A994">INDIRECT(_xlfn.CONCAT("$I", $F994))</f>
        <v/>
      </c>
      <c r="B994" s="1">
        <f t="array" ref="B994">INDIRECT(_xlfn.CONCAT("$J", $F994))</f>
        <v/>
      </c>
      <c r="C994" s="1">
        <f t="array" ref="C994">INDIRECT(_xlfn.CONCAT("$K", $F994))</f>
        <v/>
      </c>
      <c r="D994" s="1" t="n"/>
      <c r="E994" s="1">
        <f t="array" ref="E994">INDIRECT(_xlfn.CONCAT("$L", $F994))</f>
        <v/>
      </c>
      <c r="F994" s="1">
        <f t="array" ref="F994">IF(NOT(OR(ISERROR(INDIRECT(_xlfn.CONCAT("$I", $F993 + 1))), ISBLANK(INDIRECT(_xlfn.CONCAT("$I", $F993 + 1))))), $F993 + 1, IF(NOT(ISBLANK(INDIRECT(_xlfn.CONCAT("$I", $F993 + 2)))), $F993 + 2, ""))</f>
        <v/>
      </c>
      <c r="I994" s="8" t="inlineStr">
        <is>
          <t>San Diego Comic-Con 2017 PS17</t>
        </is>
      </c>
      <c r="J994" s="8" t="n">
        <v>6</v>
      </c>
      <c r="K994" s="9" t="n">
        <v>42936</v>
      </c>
      <c r="L994" s="8" t="inlineStr">
        <is>
          <t>en es fr de it pt ja ko ru 汉语 漢語</t>
        </is>
      </c>
    </row>
    <row r="995" ht="57.75" customHeight="1" s="6">
      <c r="A995" s="1">
        <f t="array" ref="A995">INDIRECT(_xlfn.CONCAT("$I", $F995))</f>
        <v/>
      </c>
      <c r="B995" s="1">
        <f t="array" ref="B995">INDIRECT(_xlfn.CONCAT("$J", $F995))</f>
        <v/>
      </c>
      <c r="C995" s="1">
        <f t="array" ref="C995">INDIRECT(_xlfn.CONCAT("$K", $F995))</f>
        <v/>
      </c>
      <c r="D995" s="1" t="n"/>
      <c r="E995" s="1">
        <f t="array" ref="E995">INDIRECT(_xlfn.CONCAT("$L", $F995))</f>
        <v/>
      </c>
      <c r="F995" s="1">
        <f t="array" ref="F995">IF(NOT(OR(ISERROR(INDIRECT(_xlfn.CONCAT("$I", $F994 + 1))), ISBLANK(INDIRECT(_xlfn.CONCAT("$I", $F994 + 1))))), $F994 + 1, IF(NOT(ISBLANK(INDIRECT(_xlfn.CONCAT("$I", $F994 + 2)))), $F994 + 2, ""))</f>
        <v/>
      </c>
    </row>
    <row r="996" ht="57.75" customHeight="1" s="6">
      <c r="A996" s="1">
        <f t="array" ref="A996">INDIRECT(_xlfn.CONCAT("$I", $F996))</f>
        <v/>
      </c>
      <c r="B996" s="1">
        <f t="array" ref="B996">INDIRECT(_xlfn.CONCAT("$J", $F996))</f>
        <v/>
      </c>
      <c r="C996" s="1">
        <f t="array" ref="C996">INDIRECT(_xlfn.CONCAT("$K", $F996))</f>
        <v/>
      </c>
      <c r="D996" s="1" t="n"/>
      <c r="E996" s="1">
        <f t="array" ref="E996">INDIRECT(_xlfn.CONCAT("$L", $F996))</f>
        <v/>
      </c>
      <c r="F996" s="1">
        <f t="array" ref="F996">IF(NOT(OR(ISERROR(INDIRECT(_xlfn.CONCAT("$I", $F995 + 1))), ISBLANK(INDIRECT(_xlfn.CONCAT("$I", $F995 + 1))))), $F995 + 1, IF(NOT(ISBLANK(INDIRECT(_xlfn.CONCAT("$I", $F995 + 2)))), $F995 + 2, ""))</f>
        <v/>
      </c>
      <c r="I996" s="8" t="inlineStr">
        <is>
          <t>Hour of Devastation HOU</t>
        </is>
      </c>
      <c r="J996" s="8" t="n">
        <v>209</v>
      </c>
      <c r="K996" s="9" t="n">
        <v>42930</v>
      </c>
      <c r="L996" t="inlineStr">
        <is>
          <t>en es fr de it pt ja ko ru 汉语 漢語</t>
        </is>
      </c>
    </row>
    <row r="997" ht="57.75" customHeight="1" s="6">
      <c r="A997" s="1">
        <f t="array" ref="A997">INDIRECT(_xlfn.CONCAT("$I", $F997))</f>
        <v/>
      </c>
      <c r="B997" s="1">
        <f t="array" ref="B997">INDIRECT(_xlfn.CONCAT("$J", $F997))</f>
        <v/>
      </c>
      <c r="C997" s="1">
        <f t="array" ref="C997">INDIRECT(_xlfn.CONCAT("$K", $F997))</f>
        <v/>
      </c>
      <c r="D997" s="1" t="n"/>
      <c r="E997" s="1">
        <f t="array" ref="E997">INDIRECT(_xlfn.CONCAT("$L", $F997))</f>
        <v/>
      </c>
      <c r="F997" s="1">
        <f t="array" ref="F997">IF(NOT(OR(ISERROR(INDIRECT(_xlfn.CONCAT("$I", $F996 + 1))), ISBLANK(INDIRECT(_xlfn.CONCAT("$I", $F996 + 1))))), $F996 + 1, IF(NOT(ISBLANK(INDIRECT(_xlfn.CONCAT("$I", $F996 + 2)))), $F996 + 2, ""))</f>
        <v/>
      </c>
    </row>
    <row r="998" ht="57.75" customHeight="1" s="6">
      <c r="A998" s="1">
        <f t="array" ref="A998">INDIRECT(_xlfn.CONCAT("$I", $F998))</f>
        <v/>
      </c>
      <c r="B998" s="1">
        <f t="array" ref="B998">INDIRECT(_xlfn.CONCAT("$J", $F998))</f>
        <v/>
      </c>
      <c r="C998" s="1">
        <f t="array" ref="C998">INDIRECT(_xlfn.CONCAT("$K", $F998))</f>
        <v/>
      </c>
      <c r="D998" s="1" t="n"/>
      <c r="E998" s="1">
        <f t="array" ref="E998">INDIRECT(_xlfn.CONCAT("$L", $F998))</f>
        <v/>
      </c>
      <c r="F998" s="1">
        <f t="array" ref="F998">IF(NOT(OR(ISERROR(INDIRECT(_xlfn.CONCAT("$I", $F997 + 1))), ISBLANK(INDIRECT(_xlfn.CONCAT("$I", $F997 + 1))))), $F997 + 1, IF(NOT(ISBLANK(INDIRECT(_xlfn.CONCAT("$I", $F997 + 2)))), $F997 + 2, ""))</f>
        <v/>
      </c>
      <c r="I998" s="8" t="inlineStr">
        <is>
          <t>Hour of Devastation Promos PHOU</t>
        </is>
      </c>
      <c r="J998" s="8" t="n">
        <v>62</v>
      </c>
      <c r="K998" s="9" t="n">
        <v>42930</v>
      </c>
      <c r="L998" s="8" t="inlineStr">
        <is>
          <t>en es fr de it pt ja ko ru 汉语 漢語</t>
        </is>
      </c>
    </row>
    <row r="999" ht="57.75" customHeight="1" s="6">
      <c r="A999" s="1">
        <f t="array" ref="A999">INDIRECT(_xlfn.CONCAT("$I", $F999))</f>
        <v/>
      </c>
      <c r="B999" s="1">
        <f t="array" ref="B999">INDIRECT(_xlfn.CONCAT("$J", $F999))</f>
        <v/>
      </c>
      <c r="C999" s="1">
        <f t="array" ref="C999">INDIRECT(_xlfn.CONCAT("$K", $F999))</f>
        <v/>
      </c>
      <c r="D999" s="1" t="n"/>
      <c r="E999" s="1">
        <f t="array" ref="E999">INDIRECT(_xlfn.CONCAT("$L", $F999))</f>
        <v/>
      </c>
      <c r="F999" s="1">
        <f t="array" ref="F999">IF(NOT(OR(ISERROR(INDIRECT(_xlfn.CONCAT("$I", $F998 + 1))), ISBLANK(INDIRECT(_xlfn.CONCAT("$I", $F998 + 1))))), $F998 + 1, IF(NOT(ISBLANK(INDIRECT(_xlfn.CONCAT("$I", $F998 + 2)))), $F998 + 2, ""))</f>
        <v/>
      </c>
    </row>
    <row r="1000" ht="57.75" customHeight="1" s="6">
      <c r="A1000" s="1">
        <f t="array" ref="A1000">INDIRECT(_xlfn.CONCAT("$I", $F1000))</f>
        <v/>
      </c>
      <c r="B1000" s="1">
        <f t="array" ref="B1000">INDIRECT(_xlfn.CONCAT("$J", $F1000))</f>
        <v/>
      </c>
      <c r="C1000" s="1">
        <f t="array" ref="C1000">INDIRECT(_xlfn.CONCAT("$K", $F1000))</f>
        <v/>
      </c>
      <c r="D1000" s="1" t="n"/>
      <c r="E1000" s="1">
        <f t="array" ref="E1000">INDIRECT(_xlfn.CONCAT("$L", $F1000))</f>
        <v/>
      </c>
      <c r="F1000" s="1">
        <f t="array" ref="F1000">IF(NOT(OR(ISERROR(INDIRECT(_xlfn.CONCAT("$I", $F999 + 1))), ISBLANK(INDIRECT(_xlfn.CONCAT("$I", $F999 + 1))))), $F999 + 1, IF(NOT(ISBLANK(INDIRECT(_xlfn.CONCAT("$I", $F999 + 2)))), $F999 + 2, ""))</f>
        <v/>
      </c>
      <c r="I1000" s="8" t="inlineStr">
        <is>
          <t>Hour of Devastation Tokens THOU</t>
        </is>
      </c>
      <c r="J1000" s="8" t="n">
        <v>13</v>
      </c>
      <c r="K1000" s="9" t="n">
        <v>42930</v>
      </c>
      <c r="L1000" s="8" t="inlineStr">
        <is>
          <t>en es fr de it pt ja ko ru 汉语 漢語</t>
        </is>
      </c>
    </row>
    <row r="1001" ht="57.75" customHeight="1" s="6">
      <c r="A1001" s="1">
        <f t="array" ref="A1001">INDIRECT(_xlfn.CONCAT("$I", $F1001))</f>
        <v/>
      </c>
      <c r="B1001" s="1">
        <f t="array" ref="B1001">INDIRECT(_xlfn.CONCAT("$J", $F1001))</f>
        <v/>
      </c>
      <c r="C1001" s="1">
        <f t="array" ref="C1001">INDIRECT(_xlfn.CONCAT("$K", $F1001))</f>
        <v/>
      </c>
      <c r="D1001" s="1" t="n"/>
      <c r="E1001" s="1">
        <f t="array" ref="E1001">INDIRECT(_xlfn.CONCAT("$L", $F1001))</f>
        <v/>
      </c>
      <c r="F1001" s="1">
        <f t="array" ref="F1001">IF(NOT(OR(ISERROR(INDIRECT(_xlfn.CONCAT("$I", $F1000 + 1))), ISBLANK(INDIRECT(_xlfn.CONCAT("$I", $F1000 + 1))))), $F1000 + 1, IF(NOT(ISBLANK(INDIRECT(_xlfn.CONCAT("$I", $F1000 + 2)))), $F1000 + 2, ""))</f>
        <v/>
      </c>
    </row>
    <row r="1002" ht="57.75" customHeight="1" s="6">
      <c r="A1002" s="1">
        <f t="array" ref="A1002">INDIRECT(_xlfn.CONCAT("$I", $F1002))</f>
        <v/>
      </c>
      <c r="B1002" s="1">
        <f t="array" ref="B1002">INDIRECT(_xlfn.CONCAT("$J", $F1002))</f>
        <v/>
      </c>
      <c r="C1002" s="1">
        <f t="array" ref="C1002">INDIRECT(_xlfn.CONCAT("$K", $F1002))</f>
        <v/>
      </c>
      <c r="D1002" s="1" t="n"/>
      <c r="E1002" s="1">
        <f t="array" ref="E1002">INDIRECT(_xlfn.CONCAT("$L", $F1002))</f>
        <v/>
      </c>
      <c r="F1002" s="1">
        <f t="array" ref="F1002">IF(NOT(OR(ISERROR(INDIRECT(_xlfn.CONCAT("$I", $F1001 + 1))), ISBLANK(INDIRECT(_xlfn.CONCAT("$I", $F1001 + 1))))), $F1001 + 1, IF(NOT(ISBLANK(INDIRECT(_xlfn.CONCAT("$I", $F1001 + 2)))), $F1001 + 2, ""))</f>
        <v/>
      </c>
      <c r="I1002" s="8" t="inlineStr">
        <is>
          <t>Archenemy: Nicol Bolas E01</t>
        </is>
      </c>
      <c r="J1002" s="8" t="n">
        <v>106</v>
      </c>
      <c r="K1002" s="9" t="n">
        <v>42902</v>
      </c>
      <c r="L1002" s="8" t="inlineStr">
        <is>
          <t>en es fr de it pt ja ko ru 汉语 漢語</t>
        </is>
      </c>
    </row>
    <row r="1003" ht="57.75" customHeight="1" s="6">
      <c r="A1003" s="1">
        <f t="array" ref="A1003">INDIRECT(_xlfn.CONCAT("$I", $F1003))</f>
        <v/>
      </c>
      <c r="B1003" s="1">
        <f t="array" ref="B1003">INDIRECT(_xlfn.CONCAT("$J", $F1003))</f>
        <v/>
      </c>
      <c r="C1003" s="1">
        <f t="array" ref="C1003">INDIRECT(_xlfn.CONCAT("$K", $F1003))</f>
        <v/>
      </c>
      <c r="D1003" s="1" t="n"/>
      <c r="E1003" s="1">
        <f t="array" ref="E1003">INDIRECT(_xlfn.CONCAT("$L", $F1003))</f>
        <v/>
      </c>
      <c r="F1003" s="1">
        <f t="array" ref="F1003">IF(NOT(OR(ISERROR(INDIRECT(_xlfn.CONCAT("$I", $F1002 + 1))), ISBLANK(INDIRECT(_xlfn.CONCAT("$I", $F1002 + 1))))), $F1002 + 1, IF(NOT(ISBLANK(INDIRECT(_xlfn.CONCAT("$I", $F1002 + 2)))), $F1002 + 2, ""))</f>
        <v/>
      </c>
    </row>
    <row r="1004" ht="68.25" customHeight="1" s="6">
      <c r="A1004" s="1">
        <f t="array" ref="A1004">INDIRECT(_xlfn.CONCAT("$I", $F1004))</f>
        <v/>
      </c>
      <c r="B1004" s="1">
        <f t="array" ref="B1004">INDIRECT(_xlfn.CONCAT("$J", $F1004))</f>
        <v/>
      </c>
      <c r="C1004" s="1">
        <f t="array" ref="C1004">INDIRECT(_xlfn.CONCAT("$K", $F1004))</f>
        <v/>
      </c>
      <c r="D1004" s="1" t="n"/>
      <c r="E1004" s="1">
        <f t="array" ref="E1004">INDIRECT(_xlfn.CONCAT("$L", $F1004))</f>
        <v/>
      </c>
      <c r="F1004" s="1">
        <f t="array" ref="F1004">IF(NOT(OR(ISERROR(INDIRECT(_xlfn.CONCAT("$I", $F1003 + 1))), ISBLANK(INDIRECT(_xlfn.CONCAT("$I", $F1003 + 1))))), $F1003 + 1, IF(NOT(ISBLANK(INDIRECT(_xlfn.CONCAT("$I", $F1003 + 2)))), $F1003 + 2, ""))</f>
        <v/>
      </c>
      <c r="I1004" s="8" t="inlineStr">
        <is>
          <t>Archenemy: Nicol Bolas Tokens TE01</t>
        </is>
      </c>
      <c r="J1004" s="8" t="n">
        <v>5</v>
      </c>
      <c r="K1004" s="9" t="n">
        <v>42986</v>
      </c>
      <c r="L1004" s="8" t="inlineStr">
        <is>
          <t>en es fr de it pt ja ko ru 汉语 漢語</t>
        </is>
      </c>
    </row>
    <row r="1005" ht="57.75" customHeight="1" s="6">
      <c r="A1005" s="1">
        <f t="array" ref="A1005">INDIRECT(_xlfn.CONCAT("$I", $F1005))</f>
        <v/>
      </c>
      <c r="B1005" s="1">
        <f t="array" ref="B1005">INDIRECT(_xlfn.CONCAT("$J", $F1005))</f>
        <v/>
      </c>
      <c r="C1005" s="1">
        <f t="array" ref="C1005">INDIRECT(_xlfn.CONCAT("$K", $F1005))</f>
        <v/>
      </c>
      <c r="D1005" s="1" t="n"/>
      <c r="E1005" s="1">
        <f t="array" ref="E1005">INDIRECT(_xlfn.CONCAT("$L", $F1005))</f>
        <v/>
      </c>
      <c r="F1005" s="1">
        <f t="array" ref="F1005">IF(NOT(OR(ISERROR(INDIRECT(_xlfn.CONCAT("$I", $F1004 + 1))), ISBLANK(INDIRECT(_xlfn.CONCAT("$I", $F1004 + 1))))), $F1004 + 1, IF(NOT(ISBLANK(INDIRECT(_xlfn.CONCAT("$I", $F1004 + 2)))), $F1004 + 2, ""))</f>
        <v/>
      </c>
    </row>
    <row r="1006" ht="57.75" customHeight="1" s="6">
      <c r="A1006" s="1">
        <f t="array" ref="A1006">INDIRECT(_xlfn.CONCAT("$I", $F1006))</f>
        <v/>
      </c>
      <c r="B1006" s="1">
        <f t="array" ref="B1006">INDIRECT(_xlfn.CONCAT("$J", $F1006))</f>
        <v/>
      </c>
      <c r="C1006" s="1">
        <f t="array" ref="C1006">INDIRECT(_xlfn.CONCAT("$K", $F1006))</f>
        <v/>
      </c>
      <c r="D1006" s="1" t="n"/>
      <c r="E1006" s="1">
        <f t="array" ref="E1006">INDIRECT(_xlfn.CONCAT("$L", $F1006))</f>
        <v/>
      </c>
      <c r="F1006" s="1">
        <f t="array" ref="F1006">IF(NOT(OR(ISERROR(INDIRECT(_xlfn.CONCAT("$I", $F1005 + 1))), ISBLANK(INDIRECT(_xlfn.CONCAT("$I", $F1005 + 1))))), $F1005 + 1, IF(NOT(ISBLANK(INDIRECT(_xlfn.CONCAT("$I", $F1005 + 2)))), $F1005 + 2, ""))</f>
        <v/>
      </c>
      <c r="I1006" s="8" t="inlineStr">
        <is>
          <t>Archenemy: Nicol Bolas Schemes OE01</t>
        </is>
      </c>
      <c r="J1006" s="8" t="n">
        <v>20</v>
      </c>
      <c r="K1006" s="9" t="n">
        <v>42902</v>
      </c>
      <c r="L1006" s="8" t="inlineStr">
        <is>
          <t>en es fr de it pt ja ko ru 汉语 漢語</t>
        </is>
      </c>
    </row>
    <row r="1007" ht="68.25" customHeight="1" s="6">
      <c r="A1007" s="1">
        <f t="array" ref="A1007">INDIRECT(_xlfn.CONCAT("$I", $F1007))</f>
        <v/>
      </c>
      <c r="B1007" s="1">
        <f t="array" ref="B1007">INDIRECT(_xlfn.CONCAT("$J", $F1007))</f>
        <v/>
      </c>
      <c r="C1007" s="1">
        <f t="array" ref="C1007">INDIRECT(_xlfn.CONCAT("$K", $F1007))</f>
        <v/>
      </c>
      <c r="D1007" s="1" t="n"/>
      <c r="E1007" s="1">
        <f t="array" ref="E1007">INDIRECT(_xlfn.CONCAT("$L", $F1007))</f>
        <v/>
      </c>
      <c r="F1007" s="1">
        <f t="array" ref="F1007">IF(NOT(OR(ISERROR(INDIRECT(_xlfn.CONCAT("$I", $F1006 + 1))), ISBLANK(INDIRECT(_xlfn.CONCAT("$I", $F1006 + 1))))), $F1006 + 1, IF(NOT(ISBLANK(INDIRECT(_xlfn.CONCAT("$I", $F1006 + 2)))), $F1006 + 2, ""))</f>
        <v/>
      </c>
    </row>
    <row r="1008" ht="57.75" customHeight="1" s="6">
      <c r="A1008" s="1">
        <f t="array" ref="A1008">INDIRECT(_xlfn.CONCAT("$I", $F1008))</f>
        <v/>
      </c>
      <c r="B1008" s="1">
        <f t="array" ref="B1008">INDIRECT(_xlfn.CONCAT("$J", $F1008))</f>
        <v/>
      </c>
      <c r="C1008" s="1">
        <f t="array" ref="C1008">INDIRECT(_xlfn.CONCAT("$K", $F1008))</f>
        <v/>
      </c>
      <c r="D1008" s="1" t="n"/>
      <c r="E1008" s="1">
        <f t="array" ref="E1008">INDIRECT(_xlfn.CONCAT("$L", $F1008))</f>
        <v/>
      </c>
      <c r="F1008" s="1">
        <f t="array" ref="F1008">IF(NOT(OR(ISERROR(INDIRECT(_xlfn.CONCAT("$I", $F1007 + 1))), ISBLANK(INDIRECT(_xlfn.CONCAT("$I", $F1007 + 1))))), $F1007 + 1, IF(NOT(ISBLANK(INDIRECT(_xlfn.CONCAT("$I", $F1007 + 2)))), $F1007 + 2, ""))</f>
        <v/>
      </c>
      <c r="I1008" s="8" t="inlineStr">
        <is>
          <t>Commander Anthology CMA</t>
        </is>
      </c>
      <c r="J1008" s="8" t="n">
        <v>320</v>
      </c>
      <c r="K1008" s="9" t="n">
        <v>42895</v>
      </c>
      <c r="L1008" s="8" t="inlineStr">
        <is>
          <t>en es fr de it pt ja ko ru 汉语 漢語</t>
        </is>
      </c>
    </row>
    <row r="1009" ht="57.75" customHeight="1" s="6">
      <c r="A1009" s="1">
        <f t="array" ref="A1009">INDIRECT(_xlfn.CONCAT("$I", $F1009))</f>
        <v/>
      </c>
      <c r="B1009" s="1">
        <f t="array" ref="B1009">INDIRECT(_xlfn.CONCAT("$J", $F1009))</f>
        <v/>
      </c>
      <c r="C1009" s="1">
        <f t="array" ref="C1009">INDIRECT(_xlfn.CONCAT("$K", $F1009))</f>
        <v/>
      </c>
      <c r="D1009" s="1" t="n"/>
      <c r="E1009" s="1">
        <f t="array" ref="E1009">INDIRECT(_xlfn.CONCAT("$L", $F1009))</f>
        <v/>
      </c>
      <c r="F1009" s="1">
        <f t="array" ref="F1009">IF(NOT(OR(ISERROR(INDIRECT(_xlfn.CONCAT("$I", $F1008 + 1))), ISBLANK(INDIRECT(_xlfn.CONCAT("$I", $F1008 + 1))))), $F1008 + 1, IF(NOT(ISBLANK(INDIRECT(_xlfn.CONCAT("$I", $F1008 + 2)))), $F1008 + 2, ""))</f>
        <v/>
      </c>
    </row>
    <row r="1010" ht="57.75" customHeight="1" s="6">
      <c r="A1010" s="1">
        <f t="array" ref="A1010">INDIRECT(_xlfn.CONCAT("$I", $F1010))</f>
        <v/>
      </c>
      <c r="B1010" s="1">
        <f t="array" ref="B1010">INDIRECT(_xlfn.CONCAT("$J", $F1010))</f>
        <v/>
      </c>
      <c r="C1010" s="1">
        <f t="array" ref="C1010">INDIRECT(_xlfn.CONCAT("$K", $F1010))</f>
        <v/>
      </c>
      <c r="D1010" s="1" t="n"/>
      <c r="E1010" s="1">
        <f t="array" ref="E1010">INDIRECT(_xlfn.CONCAT("$L", $F1010))</f>
        <v/>
      </c>
      <c r="F1010" s="1">
        <f t="array" ref="F1010">IF(NOT(OR(ISERROR(INDIRECT(_xlfn.CONCAT("$I", $F1009 + 1))), ISBLANK(INDIRECT(_xlfn.CONCAT("$I", $F1009 + 1))))), $F1009 + 1, IF(NOT(ISBLANK(INDIRECT(_xlfn.CONCAT("$I", $F1009 + 2)))), $F1009 + 2, ""))</f>
        <v/>
      </c>
      <c r="I1010" s="8" t="inlineStr">
        <is>
          <t>Commander Anthology Tokens TCMA</t>
        </is>
      </c>
      <c r="J1010" s="8" t="n">
        <v>20</v>
      </c>
      <c r="K1010" s="9" t="n">
        <v>42895</v>
      </c>
      <c r="L1010" s="8" t="inlineStr">
        <is>
          <t>en es fr de it pt ja ko ru 汉语 漢語</t>
        </is>
      </c>
    </row>
    <row r="1011" ht="57.75" customHeight="1" s="6">
      <c r="A1011" s="1">
        <f t="array" ref="A1011">INDIRECT(_xlfn.CONCAT("$I", $F1011))</f>
        <v/>
      </c>
      <c r="B1011" s="1">
        <f t="array" ref="B1011">INDIRECT(_xlfn.CONCAT("$J", $F1011))</f>
        <v/>
      </c>
      <c r="C1011" s="1">
        <f t="array" ref="C1011">INDIRECT(_xlfn.CONCAT("$K", $F1011))</f>
        <v/>
      </c>
      <c r="D1011" s="1" t="n"/>
      <c r="E1011" s="1">
        <f t="array" ref="E1011">INDIRECT(_xlfn.CONCAT("$L", $F1011))</f>
        <v/>
      </c>
      <c r="F1011" s="1">
        <f t="array" ref="F1011">IF(NOT(OR(ISERROR(INDIRECT(_xlfn.CONCAT("$I", $F1010 + 1))), ISBLANK(INDIRECT(_xlfn.CONCAT("$I", $F1010 + 1))))), $F1010 + 1, IF(NOT(ISBLANK(INDIRECT(_xlfn.CONCAT("$I", $F1010 + 2)))), $F1010 + 2, ""))</f>
        <v/>
      </c>
    </row>
    <row r="1012" ht="57.75" customHeight="1" s="6">
      <c r="A1012" s="1">
        <f t="array" ref="A1012">INDIRECT(_xlfn.CONCAT("$I", $F1012))</f>
        <v/>
      </c>
      <c r="B1012" s="1">
        <f t="array" ref="B1012">INDIRECT(_xlfn.CONCAT("$J", $F1012))</f>
        <v/>
      </c>
      <c r="C1012" s="1">
        <f t="array" ref="C1012">INDIRECT(_xlfn.CONCAT("$K", $F1012))</f>
        <v/>
      </c>
      <c r="D1012" s="1" t="n"/>
      <c r="E1012" s="1">
        <f t="array" ref="E1012">INDIRECT(_xlfn.CONCAT("$L", $F1012))</f>
        <v/>
      </c>
      <c r="F1012" s="1">
        <f t="array" ref="F1012">IF(NOT(OR(ISERROR(INDIRECT(_xlfn.CONCAT("$I", $F1011 + 1))), ISBLANK(INDIRECT(_xlfn.CONCAT("$I", $F1011 + 1))))), $F1011 + 1, IF(NOT(ISBLANK(INDIRECT(_xlfn.CONCAT("$I", $F1011 + 2)))), $F1011 + 2, ""))</f>
        <v/>
      </c>
      <c r="I1012" s="8" t="inlineStr">
        <is>
          <t>Amonkhet AKH</t>
        </is>
      </c>
      <c r="J1012" s="8" t="n">
        <v>287</v>
      </c>
      <c r="K1012" s="9" t="n">
        <v>42853</v>
      </c>
      <c r="L1012" t="inlineStr">
        <is>
          <t>en es fr de it pt ja ko ru 汉语 漢語</t>
        </is>
      </c>
    </row>
    <row r="1013" ht="57.75" customHeight="1" s="6">
      <c r="A1013" s="1">
        <f t="array" ref="A1013">INDIRECT(_xlfn.CONCAT("$I", $F1013))</f>
        <v/>
      </c>
      <c r="B1013" s="1">
        <f t="array" ref="B1013">INDIRECT(_xlfn.CONCAT("$J", $F1013))</f>
        <v/>
      </c>
      <c r="C1013" s="1">
        <f t="array" ref="C1013">INDIRECT(_xlfn.CONCAT("$K", $F1013))</f>
        <v/>
      </c>
      <c r="D1013" s="1" t="n"/>
      <c r="E1013" s="1">
        <f t="array" ref="E1013">INDIRECT(_xlfn.CONCAT("$L", $F1013))</f>
        <v/>
      </c>
      <c r="F1013" s="1">
        <f t="array" ref="F1013">IF(NOT(OR(ISERROR(INDIRECT(_xlfn.CONCAT("$I", $F1012 + 1))), ISBLANK(INDIRECT(_xlfn.CONCAT("$I", $F1012 + 1))))), $F1012 + 1, IF(NOT(ISBLANK(INDIRECT(_xlfn.CONCAT("$I", $F1012 + 2)))), $F1012 + 2, ""))</f>
        <v/>
      </c>
    </row>
    <row r="1014" ht="57.75" customHeight="1" s="6">
      <c r="A1014" s="1">
        <f t="array" ref="A1014">INDIRECT(_xlfn.CONCAT("$I", $F1014))</f>
        <v/>
      </c>
      <c r="B1014" s="1">
        <f t="array" ref="B1014">INDIRECT(_xlfn.CONCAT("$J", $F1014))</f>
        <v/>
      </c>
      <c r="C1014" s="1">
        <f t="array" ref="C1014">INDIRECT(_xlfn.CONCAT("$K", $F1014))</f>
        <v/>
      </c>
      <c r="D1014" s="1" t="n"/>
      <c r="E1014" s="1">
        <f t="array" ref="E1014">INDIRECT(_xlfn.CONCAT("$L", $F1014))</f>
        <v/>
      </c>
      <c r="F1014" s="1">
        <f t="array" ref="F1014">IF(NOT(OR(ISERROR(INDIRECT(_xlfn.CONCAT("$I", $F1013 + 1))), ISBLANK(INDIRECT(_xlfn.CONCAT("$I", $F1013 + 1))))), $F1013 + 1, IF(NOT(ISBLANK(INDIRECT(_xlfn.CONCAT("$I", $F1013 + 2)))), $F1013 + 2, ""))</f>
        <v/>
      </c>
      <c r="I1014" s="8" t="inlineStr">
        <is>
          <t>Amonkhet Invocations MP2</t>
        </is>
      </c>
      <c r="J1014" s="8" t="n">
        <v>54</v>
      </c>
      <c r="K1014" s="9" t="n">
        <v>42853</v>
      </c>
      <c r="L1014" s="8" t="inlineStr">
        <is>
          <t>en es fr de it pt ja ko ru 汉语 漢語</t>
        </is>
      </c>
    </row>
    <row r="1015" ht="57.75" customHeight="1" s="6">
      <c r="A1015" s="1">
        <f t="array" ref="A1015">INDIRECT(_xlfn.CONCAT("$I", $F1015))</f>
        <v/>
      </c>
      <c r="B1015" s="1">
        <f t="array" ref="B1015">INDIRECT(_xlfn.CONCAT("$J", $F1015))</f>
        <v/>
      </c>
      <c r="C1015" s="1">
        <f t="array" ref="C1015">INDIRECT(_xlfn.CONCAT("$K", $F1015))</f>
        <v/>
      </c>
      <c r="D1015" s="1" t="n"/>
      <c r="E1015" s="1">
        <f t="array" ref="E1015">INDIRECT(_xlfn.CONCAT("$L", $F1015))</f>
        <v/>
      </c>
      <c r="F1015" s="1">
        <f t="array" ref="F1015">IF(NOT(OR(ISERROR(INDIRECT(_xlfn.CONCAT("$I", $F1014 + 1))), ISBLANK(INDIRECT(_xlfn.CONCAT("$I", $F1014 + 1))))), $F1014 + 1, IF(NOT(ISBLANK(INDIRECT(_xlfn.CONCAT("$I", $F1014 + 2)))), $F1014 + 2, ""))</f>
        <v/>
      </c>
    </row>
    <row r="1016" ht="57.75" customHeight="1" s="6">
      <c r="A1016" s="1">
        <f t="array" ref="A1016">INDIRECT(_xlfn.CONCAT("$I", $F1016))</f>
        <v/>
      </c>
      <c r="B1016" s="1">
        <f t="array" ref="B1016">INDIRECT(_xlfn.CONCAT("$J", $F1016))</f>
        <v/>
      </c>
      <c r="C1016" s="1">
        <f t="array" ref="C1016">INDIRECT(_xlfn.CONCAT("$K", $F1016))</f>
        <v/>
      </c>
      <c r="D1016" s="1" t="n"/>
      <c r="E1016" s="1">
        <f t="array" ref="E1016">INDIRECT(_xlfn.CONCAT("$L", $F1016))</f>
        <v/>
      </c>
      <c r="F1016" s="1">
        <f t="array" ref="F1016">IF(NOT(OR(ISERROR(INDIRECT(_xlfn.CONCAT("$I", $F1015 + 1))), ISBLANK(INDIRECT(_xlfn.CONCAT("$I", $F1015 + 1))))), $F1015 + 1, IF(NOT(ISBLANK(INDIRECT(_xlfn.CONCAT("$I", $F1015 + 2)))), $F1015 + 2, ""))</f>
        <v/>
      </c>
      <c r="I1016" s="8" t="inlineStr">
        <is>
          <t>Amonkhet Promos PAKH</t>
        </is>
      </c>
      <c r="J1016" s="8" t="n">
        <v>77</v>
      </c>
      <c r="K1016" s="9" t="n">
        <v>42853</v>
      </c>
      <c r="L1016" s="8" t="inlineStr">
        <is>
          <t>en es fr de it pt ja ko ru 汉语 漢語</t>
        </is>
      </c>
    </row>
    <row r="1017" ht="57.75" customHeight="1" s="6">
      <c r="A1017" s="1">
        <f t="array" ref="A1017">INDIRECT(_xlfn.CONCAT("$I", $F1017))</f>
        <v/>
      </c>
      <c r="B1017" s="1">
        <f t="array" ref="B1017">INDIRECT(_xlfn.CONCAT("$J", $F1017))</f>
        <v/>
      </c>
      <c r="C1017" s="1">
        <f t="array" ref="C1017">INDIRECT(_xlfn.CONCAT("$K", $F1017))</f>
        <v/>
      </c>
      <c r="D1017" s="1" t="n"/>
      <c r="E1017" s="1">
        <f t="array" ref="E1017">INDIRECT(_xlfn.CONCAT("$L", $F1017))</f>
        <v/>
      </c>
      <c r="F1017" s="1">
        <f t="array" ref="F1017">IF(NOT(OR(ISERROR(INDIRECT(_xlfn.CONCAT("$I", $F1016 + 1))), ISBLANK(INDIRECT(_xlfn.CONCAT("$I", $F1016 + 1))))), $F1016 + 1, IF(NOT(ISBLANK(INDIRECT(_xlfn.CONCAT("$I", $F1016 + 2)))), $F1016 + 2, ""))</f>
        <v/>
      </c>
    </row>
    <row r="1018" ht="57.75" customHeight="1" s="6">
      <c r="A1018" s="1">
        <f t="array" ref="A1018">INDIRECT(_xlfn.CONCAT("$I", $F1018))</f>
        <v/>
      </c>
      <c r="B1018" s="1">
        <f t="array" ref="B1018">INDIRECT(_xlfn.CONCAT("$J", $F1018))</f>
        <v/>
      </c>
      <c r="C1018" s="1">
        <f t="array" ref="C1018">INDIRECT(_xlfn.CONCAT("$K", $F1018))</f>
        <v/>
      </c>
      <c r="D1018" s="1" t="n"/>
      <c r="E1018" s="1">
        <f t="array" ref="E1018">INDIRECT(_xlfn.CONCAT("$L", $F1018))</f>
        <v/>
      </c>
      <c r="F1018" s="1">
        <f t="array" ref="F1018">IF(NOT(OR(ISERROR(INDIRECT(_xlfn.CONCAT("$I", $F1017 + 1))), ISBLANK(INDIRECT(_xlfn.CONCAT("$I", $F1017 + 1))))), $F1017 + 1, IF(NOT(ISBLANK(INDIRECT(_xlfn.CONCAT("$I", $F1017 + 2)))), $F1017 + 2, ""))</f>
        <v/>
      </c>
      <c r="I1018" s="8" t="inlineStr">
        <is>
          <t>Amonkhet Tokens TAKH</t>
        </is>
      </c>
      <c r="J1018" s="8" t="n">
        <v>26</v>
      </c>
      <c r="K1018" s="9" t="n">
        <v>42853</v>
      </c>
      <c r="L1018" s="8" t="inlineStr">
        <is>
          <t>en es fr de it pt ja ko ru 汉语 漢語</t>
        </is>
      </c>
    </row>
    <row r="1019" ht="57.75" customHeight="1" s="6">
      <c r="A1019" s="1">
        <f t="array" ref="A1019">INDIRECT(_xlfn.CONCAT("$I", $F1019))</f>
        <v/>
      </c>
      <c r="B1019" s="1">
        <f t="array" ref="B1019">INDIRECT(_xlfn.CONCAT("$J", $F1019))</f>
        <v/>
      </c>
      <c r="C1019" s="1">
        <f t="array" ref="C1019">INDIRECT(_xlfn.CONCAT("$K", $F1019))</f>
        <v/>
      </c>
      <c r="D1019" s="1" t="n"/>
      <c r="E1019" s="1">
        <f t="array" ref="E1019">INDIRECT(_xlfn.CONCAT("$L", $F1019))</f>
        <v/>
      </c>
      <c r="F1019" s="1">
        <f t="array" ref="F1019">IF(NOT(OR(ISERROR(INDIRECT(_xlfn.CONCAT("$I", $F1018 + 1))), ISBLANK(INDIRECT(_xlfn.CONCAT("$I", $F1018 + 1))))), $F1018 + 1, IF(NOT(ISBLANK(INDIRECT(_xlfn.CONCAT("$I", $F1018 + 2)))), $F1018 + 2, ""))</f>
        <v/>
      </c>
    </row>
    <row r="1020" ht="57.75" customHeight="1" s="6">
      <c r="A1020" s="1">
        <f t="array" ref="A1020">INDIRECT(_xlfn.CONCAT("$I", $F1020))</f>
        <v/>
      </c>
      <c r="B1020" s="1">
        <f t="array" ref="B1020">INDIRECT(_xlfn.CONCAT("$J", $F1020))</f>
        <v/>
      </c>
      <c r="C1020" s="1">
        <f t="array" ref="C1020">INDIRECT(_xlfn.CONCAT("$K", $F1020))</f>
        <v/>
      </c>
      <c r="D1020" s="1" t="n"/>
      <c r="E1020" s="1">
        <f t="array" ref="E1020">INDIRECT(_xlfn.CONCAT("$L", $F1020))</f>
        <v/>
      </c>
      <c r="F1020" s="1">
        <f t="array" ref="F1020">IF(NOT(OR(ISERROR(INDIRECT(_xlfn.CONCAT("$I", $F1019 + 1))), ISBLANK(INDIRECT(_xlfn.CONCAT("$I", $F1019 + 1))))), $F1019 + 1, IF(NOT(ISBLANK(INDIRECT(_xlfn.CONCAT("$I", $F1019 + 2)))), $F1019 + 2, ""))</f>
        <v/>
      </c>
      <c r="I1020" s="8" t="inlineStr">
        <is>
          <t>Welcome Deck 2017 W17</t>
        </is>
      </c>
      <c r="J1020" s="8" t="n">
        <v>30</v>
      </c>
      <c r="K1020" s="9" t="n">
        <v>42840</v>
      </c>
      <c r="L1020" t="inlineStr">
        <is>
          <t>en es fr de it pt ja ko ru 汉语 漢語</t>
        </is>
      </c>
    </row>
    <row r="1021" ht="57.75" customHeight="1" s="6">
      <c r="A1021" s="1">
        <f t="array" ref="A1021">INDIRECT(_xlfn.CONCAT("$I", $F1021))</f>
        <v/>
      </c>
      <c r="B1021" s="1">
        <f t="array" ref="B1021">INDIRECT(_xlfn.CONCAT("$J", $F1021))</f>
        <v/>
      </c>
      <c r="C1021" s="1">
        <f t="array" ref="C1021">INDIRECT(_xlfn.CONCAT("$K", $F1021))</f>
        <v/>
      </c>
      <c r="D1021" s="1" t="n"/>
      <c r="E1021" s="1">
        <f t="array" ref="E1021">INDIRECT(_xlfn.CONCAT("$L", $F1021))</f>
        <v/>
      </c>
      <c r="F1021" s="1">
        <f t="array" ref="F1021">IF(NOT(OR(ISERROR(INDIRECT(_xlfn.CONCAT("$I", $F1020 + 1))), ISBLANK(INDIRECT(_xlfn.CONCAT("$I", $F1020 + 1))))), $F1020 + 1, IF(NOT(ISBLANK(INDIRECT(_xlfn.CONCAT("$I", $F1020 + 2)))), $F1020 + 2, ""))</f>
        <v/>
      </c>
    </row>
    <row r="1022" ht="57.75" customHeight="1" s="6">
      <c r="A1022" s="1">
        <f t="array" ref="A1022">INDIRECT(_xlfn.CONCAT("$I", $F1022))</f>
        <v/>
      </c>
      <c r="B1022" s="1">
        <f t="array" ref="B1022">INDIRECT(_xlfn.CONCAT("$J", $F1022))</f>
        <v/>
      </c>
      <c r="C1022" s="1">
        <f t="array" ref="C1022">INDIRECT(_xlfn.CONCAT("$K", $F1022))</f>
        <v/>
      </c>
      <c r="D1022" s="1" t="n"/>
      <c r="E1022" s="1">
        <f t="array" ref="E1022">INDIRECT(_xlfn.CONCAT("$L", $F1022))</f>
        <v/>
      </c>
      <c r="F1022" s="1">
        <f t="array" ref="F1022">IF(NOT(OR(ISERROR(INDIRECT(_xlfn.CONCAT("$I", $F1021 + 1))), ISBLANK(INDIRECT(_xlfn.CONCAT("$I", $F1021 + 1))))), $F1021 + 1, IF(NOT(ISBLANK(INDIRECT(_xlfn.CONCAT("$I", $F1021 + 2)))), $F1021 + 2, ""))</f>
        <v/>
      </c>
      <c r="I1022" s="8" t="inlineStr">
        <is>
          <t>Legacy Cube LEGACY</t>
        </is>
      </c>
      <c r="J1022" s="8" t="n">
        <v>600</v>
      </c>
      <c r="K1022" s="9" t="n">
        <v>42830</v>
      </c>
    </row>
    <row r="1023" ht="41.25" customHeight="1" s="6">
      <c r="A1023" s="1">
        <f t="array" ref="A1023">INDIRECT(_xlfn.CONCAT("$I", $F1023))</f>
        <v/>
      </c>
      <c r="B1023" s="1">
        <f t="array" ref="B1023">INDIRECT(_xlfn.CONCAT("$J", $F1023))</f>
        <v/>
      </c>
      <c r="C1023" s="1">
        <f t="array" ref="C1023">INDIRECT(_xlfn.CONCAT("$K", $F1023))</f>
        <v/>
      </c>
      <c r="D1023" s="1" t="n"/>
      <c r="E1023" s="1">
        <f t="array" ref="E1023">INDIRECT(_xlfn.CONCAT("$L", $F1023))</f>
        <v/>
      </c>
      <c r="F1023" s="1">
        <f t="array" ref="F1023">IF(NOT(OR(ISERROR(INDIRECT(_xlfn.CONCAT("$I", $F1022 + 1))), ISBLANK(INDIRECT(_xlfn.CONCAT("$I", $F1022 + 1))))), $F1022 + 1, IF(NOT(ISBLANK(INDIRECT(_xlfn.CONCAT("$I", $F1022 + 2)))), $F1022 + 2, ""))</f>
        <v/>
      </c>
    </row>
    <row r="1024">
      <c r="A1024" s="1">
        <f t="array" ref="A1024">INDIRECT(_xlfn.CONCAT("$I", $F1024))</f>
        <v/>
      </c>
      <c r="B1024" s="1">
        <f t="array" ref="B1024">INDIRECT(_xlfn.CONCAT("$J", $F1024))</f>
        <v/>
      </c>
      <c r="C1024" s="1">
        <f t="array" ref="C1024">INDIRECT(_xlfn.CONCAT("$K", $F1024))</f>
        <v/>
      </c>
      <c r="D1024" s="1" t="n"/>
      <c r="E1024" s="1">
        <f t="array" ref="E1024">INDIRECT(_xlfn.CONCAT("$L", $F1024))</f>
        <v/>
      </c>
      <c r="F1024" s="1">
        <f t="array" ref="F1024">IF(NOT(OR(ISERROR(INDIRECT(_xlfn.CONCAT("$I", $F1023 + 1))), ISBLANK(INDIRECT(_xlfn.CONCAT("$I", $F1023 + 1))))), $F1023 + 1, IF(NOT(ISBLANK(INDIRECT(_xlfn.CONCAT("$I", $F1023 + 2)))), $F1023 + 2, ""))</f>
        <v/>
      </c>
      <c r="I1024" s="8" t="inlineStr">
        <is>
          <t>Duel Decks: Mind vs. Might DDS</t>
        </is>
      </c>
      <c r="J1024" s="8" t="n">
        <v>65</v>
      </c>
      <c r="K1024" s="9" t="n">
        <v>42825</v>
      </c>
      <c r="L1024" t="inlineStr">
        <is>
          <t>en es fr de it pt ja ko ru 汉语 漢語</t>
        </is>
      </c>
    </row>
    <row r="1025">
      <c r="A1025" s="1">
        <f t="array" ref="A1025">INDIRECT(_xlfn.CONCAT("$I", $F1025))</f>
        <v/>
      </c>
      <c r="B1025" s="1">
        <f t="array" ref="B1025">INDIRECT(_xlfn.CONCAT("$J", $F1025))</f>
        <v/>
      </c>
      <c r="C1025" s="1">
        <f t="array" ref="C1025">INDIRECT(_xlfn.CONCAT("$K", $F1025))</f>
        <v/>
      </c>
      <c r="D1025" s="1" t="n"/>
      <c r="E1025" s="1">
        <f t="array" ref="E1025">INDIRECT(_xlfn.CONCAT("$L", $F1025))</f>
        <v/>
      </c>
      <c r="F1025" s="1" t="n"/>
    </row>
    <row r="1026">
      <c r="A1026" s="1">
        <f t="array" ref="A1026">INDIRECT(_xlfn.CONCAT("$I", $F1026))</f>
        <v/>
      </c>
      <c r="B1026" s="1">
        <f t="array" ref="B1026">INDIRECT(_xlfn.CONCAT("$J", $F1026))</f>
        <v/>
      </c>
      <c r="C1026" s="1">
        <f t="array" ref="C1026">INDIRECT(_xlfn.CONCAT("$K", $F1026))</f>
        <v/>
      </c>
      <c r="D1026" s="1" t="n"/>
      <c r="E1026" s="1">
        <f t="array" ref="E1026">INDIRECT(_xlfn.CONCAT("$L", $F1026))</f>
        <v/>
      </c>
      <c r="F1026" s="1" t="n"/>
      <c r="I1026" s="8" t="inlineStr">
        <is>
          <t>Duel Decks: Mind vs. Might Tokens TDDS</t>
        </is>
      </c>
      <c r="J1026" s="8" t="n">
        <v>7</v>
      </c>
      <c r="K1026" s="9" t="n">
        <v>42825</v>
      </c>
      <c r="L1026" s="8" t="inlineStr">
        <is>
          <t>en es fr de it pt ja ko ru 汉语 漢語</t>
        </is>
      </c>
    </row>
    <row r="1027">
      <c r="A1027" s="1">
        <f t="array" ref="A1027">INDIRECT(_xlfn.CONCAT("$I", $F1027))</f>
        <v/>
      </c>
      <c r="B1027" s="1">
        <f t="array" ref="B1027">INDIRECT(_xlfn.CONCAT("$J", $F1027))</f>
        <v/>
      </c>
      <c r="C1027" s="1">
        <f t="array" ref="C1027">INDIRECT(_xlfn.CONCAT("$K", $F1027))</f>
        <v/>
      </c>
      <c r="D1027" s="1" t="n"/>
      <c r="E1027" s="1">
        <f t="array" ref="E1027">INDIRECT(_xlfn.CONCAT("$L", $F1027))</f>
        <v/>
      </c>
      <c r="F1027" s="1" t="n"/>
    </row>
    <row r="1028">
      <c r="A1028" s="1">
        <f t="array" ref="A1028">INDIRECT(_xlfn.CONCAT("$I", $F1028))</f>
        <v/>
      </c>
      <c r="B1028" s="1">
        <f t="array" ref="B1028">INDIRECT(_xlfn.CONCAT("$J", $F1028))</f>
        <v/>
      </c>
      <c r="C1028" s="1">
        <f t="array" ref="C1028">INDIRECT(_xlfn.CONCAT("$K", $F1028))</f>
        <v/>
      </c>
      <c r="D1028" s="1" t="n"/>
      <c r="E1028" s="1">
        <f t="array" ref="E1028">INDIRECT(_xlfn.CONCAT("$L", $F1028))</f>
        <v/>
      </c>
      <c r="F1028" s="1" t="n"/>
      <c r="I1028" s="8" t="inlineStr">
        <is>
          <t>Modern Masters 2017 MM3</t>
        </is>
      </c>
      <c r="J1028" s="8" t="n">
        <v>249</v>
      </c>
      <c r="K1028" s="9" t="n">
        <v>42811</v>
      </c>
      <c r="L1028" t="inlineStr">
        <is>
          <t>en es fr de it pt ja ko ru 汉语 漢語</t>
        </is>
      </c>
    </row>
    <row r="1029">
      <c r="A1029" s="1">
        <f t="array" ref="A1029">INDIRECT(_xlfn.CONCAT("$I", $F1029))</f>
        <v/>
      </c>
      <c r="B1029" s="1">
        <f t="array" ref="B1029">INDIRECT(_xlfn.CONCAT("$J", $F1029))</f>
        <v/>
      </c>
      <c r="C1029" s="1">
        <f t="array" ref="C1029">INDIRECT(_xlfn.CONCAT("$K", $F1029))</f>
        <v/>
      </c>
      <c r="D1029" s="1" t="n"/>
      <c r="E1029" s="1">
        <f t="array" ref="E1029">INDIRECT(_xlfn.CONCAT("$L", $F1029))</f>
        <v/>
      </c>
      <c r="F1029" s="1" t="n"/>
    </row>
    <row r="1030">
      <c r="A1030" s="1">
        <f t="array" ref="A1030">INDIRECT(_xlfn.CONCAT("$I", $F1030))</f>
        <v/>
      </c>
      <c r="B1030" s="1">
        <f t="array" ref="B1030">INDIRECT(_xlfn.CONCAT("$J", $F1030))</f>
        <v/>
      </c>
      <c r="C1030" s="1">
        <f t="array" ref="C1030">INDIRECT(_xlfn.CONCAT("$K", $F1030))</f>
        <v/>
      </c>
      <c r="D1030" s="1" t="n"/>
      <c r="E1030" s="1">
        <f t="array" ref="E1030">INDIRECT(_xlfn.CONCAT("$L", $F1030))</f>
        <v/>
      </c>
      <c r="F1030" s="1" t="n"/>
      <c r="I1030" s="8" t="inlineStr">
        <is>
          <t>Modern Masters 2017 Tokens TMM3</t>
        </is>
      </c>
      <c r="J1030" s="8" t="n">
        <v>21</v>
      </c>
      <c r="K1030" s="9" t="n">
        <v>42811</v>
      </c>
      <c r="L1030" s="8" t="inlineStr">
        <is>
          <t>en es fr de it pt ja ko ru 汉语 漢語</t>
        </is>
      </c>
    </row>
    <row r="1031">
      <c r="A1031" s="1">
        <f t="array" ref="A1031">INDIRECT(_xlfn.CONCAT("$I", $F1031))</f>
        <v/>
      </c>
      <c r="B1031" s="1">
        <f t="array" ref="B1031">INDIRECT(_xlfn.CONCAT("$J", $F1031))</f>
        <v/>
      </c>
      <c r="C1031" s="1">
        <f t="array" ref="C1031">INDIRECT(_xlfn.CONCAT("$K", $F1031))</f>
        <v/>
      </c>
      <c r="D1031" s="1" t="n"/>
      <c r="E1031" s="1">
        <f t="array" ref="E1031">INDIRECT(_xlfn.CONCAT("$L", $F1031))</f>
        <v/>
      </c>
      <c r="F1031" s="1" t="n"/>
    </row>
    <row r="1032">
      <c r="A1032" s="1">
        <f t="array" ref="A1032">INDIRECT(_xlfn.CONCAT("$I", $F1032))</f>
        <v/>
      </c>
      <c r="B1032" s="1">
        <f t="array" ref="B1032">INDIRECT(_xlfn.CONCAT("$J", $F1032))</f>
        <v/>
      </c>
      <c r="C1032" s="1">
        <f t="array" ref="C1032">INDIRECT(_xlfn.CONCAT("$K", $F1032))</f>
        <v/>
      </c>
      <c r="D1032" s="1" t="n"/>
      <c r="E1032" s="1">
        <f t="array" ref="E1032">INDIRECT(_xlfn.CONCAT("$L", $F1032))</f>
        <v/>
      </c>
      <c r="F1032" s="1" t="n"/>
      <c r="I1032" s="8" t="inlineStr">
        <is>
          <t>Aether Revolt AER</t>
        </is>
      </c>
      <c r="J1032" s="8" t="n">
        <v>197</v>
      </c>
      <c r="K1032" s="9" t="n">
        <v>42755</v>
      </c>
      <c r="L1032" t="inlineStr">
        <is>
          <t>en es fr de it pt ja ko ru 汉语 漢語</t>
        </is>
      </c>
    </row>
    <row r="1033">
      <c r="A1033" s="1">
        <f t="array" ref="A1033">INDIRECT(_xlfn.CONCAT("$I", $F1033))</f>
        <v/>
      </c>
      <c r="B1033" s="1">
        <f t="array" ref="B1033">INDIRECT(_xlfn.CONCAT("$J", $F1033))</f>
        <v/>
      </c>
      <c r="C1033" s="1">
        <f t="array" ref="C1033">INDIRECT(_xlfn.CONCAT("$K", $F1033))</f>
        <v/>
      </c>
      <c r="D1033" s="1" t="n"/>
      <c r="E1033" s="1">
        <f t="array" ref="E1033">INDIRECT(_xlfn.CONCAT("$L", $F1033))</f>
        <v/>
      </c>
      <c r="F1033" s="1" t="n"/>
    </row>
    <row r="1034">
      <c r="A1034" s="1">
        <f t="array" ref="A1034">INDIRECT(_xlfn.CONCAT("$I", $F1034))</f>
        <v/>
      </c>
      <c r="B1034" s="1">
        <f t="array" ref="B1034">INDIRECT(_xlfn.CONCAT("$J", $F1034))</f>
        <v/>
      </c>
      <c r="C1034" s="1">
        <f t="array" ref="C1034">INDIRECT(_xlfn.CONCAT("$K", $F1034))</f>
        <v/>
      </c>
      <c r="D1034" s="1" t="n"/>
      <c r="E1034" s="1">
        <f t="array" ref="E1034">INDIRECT(_xlfn.CONCAT("$L", $F1034))</f>
        <v/>
      </c>
      <c r="F1034" s="1" t="n"/>
      <c r="I1034" s="8" t="inlineStr">
        <is>
          <t>Aether Revolt Promos PAER</t>
        </is>
      </c>
      <c r="J1034" s="8" t="n">
        <v>65</v>
      </c>
      <c r="K1034" s="9" t="n">
        <v>42755</v>
      </c>
      <c r="L1034" s="8" t="inlineStr">
        <is>
          <t>en es fr de it pt ja ko ru 汉语 漢語</t>
        </is>
      </c>
    </row>
    <row r="1035">
      <c r="A1035" s="1">
        <f t="array" ref="A1035">INDIRECT(_xlfn.CONCAT("$I", $F1035))</f>
        <v/>
      </c>
      <c r="B1035" s="1">
        <f t="array" ref="B1035">INDIRECT(_xlfn.CONCAT("$J", $F1035))</f>
        <v/>
      </c>
      <c r="C1035" s="1">
        <f t="array" ref="C1035">INDIRECT(_xlfn.CONCAT("$K", $F1035))</f>
        <v/>
      </c>
      <c r="D1035" s="1" t="n"/>
      <c r="E1035" s="1">
        <f t="array" ref="E1035">INDIRECT(_xlfn.CONCAT("$L", $F1035))</f>
        <v/>
      </c>
      <c r="F1035" s="1" t="n"/>
    </row>
    <row r="1036">
      <c r="A1036" s="1">
        <f t="array" ref="A1036">INDIRECT(_xlfn.CONCAT("$I", $F1036))</f>
        <v/>
      </c>
      <c r="B1036" s="1">
        <f t="array" ref="B1036">INDIRECT(_xlfn.CONCAT("$J", $F1036))</f>
        <v/>
      </c>
      <c r="C1036" s="1">
        <f t="array" ref="C1036">INDIRECT(_xlfn.CONCAT("$K", $F1036))</f>
        <v/>
      </c>
      <c r="D1036" s="1" t="n"/>
      <c r="E1036" s="1">
        <f t="array" ref="E1036">INDIRECT(_xlfn.CONCAT("$L", $F1036))</f>
        <v/>
      </c>
      <c r="F1036" s="1" t="n"/>
      <c r="I1036" s="8" t="inlineStr">
        <is>
          <t>Aether Revolt Tokens TAER</t>
        </is>
      </c>
      <c r="J1036" s="8" t="n">
        <v>4</v>
      </c>
      <c r="K1036" s="9" t="n">
        <v>42755</v>
      </c>
      <c r="L1036" s="8" t="inlineStr">
        <is>
          <t>en es fr de it pt ja ko ru 汉语 漢語</t>
        </is>
      </c>
    </row>
    <row r="1037">
      <c r="A1037" s="1">
        <f t="array" ref="A1037">INDIRECT(_xlfn.CONCAT("$I", $F1037))</f>
        <v/>
      </c>
      <c r="B1037" s="1">
        <f t="array" ref="B1037">INDIRECT(_xlfn.CONCAT("$J", $F1037))</f>
        <v/>
      </c>
      <c r="C1037" s="1">
        <f t="array" ref="C1037">INDIRECT(_xlfn.CONCAT("$K", $F1037))</f>
        <v/>
      </c>
      <c r="D1037" s="1" t="n"/>
      <c r="E1037" s="1">
        <f t="array" ref="E1037">INDIRECT(_xlfn.CONCAT("$L", $F1037))</f>
        <v/>
      </c>
      <c r="F1037" s="1" t="n"/>
    </row>
    <row r="1038">
      <c r="A1038" s="1">
        <f t="array" ref="A1038">INDIRECT(_xlfn.CONCAT("$I", $F1038))</f>
        <v/>
      </c>
      <c r="B1038" s="1">
        <f t="array" ref="B1038">INDIRECT(_xlfn.CONCAT("$J", $F1038))</f>
        <v/>
      </c>
      <c r="C1038" s="1">
        <f t="array" ref="C1038">INDIRECT(_xlfn.CONCAT("$K", $F1038))</f>
        <v/>
      </c>
      <c r="D1038" s="1" t="n"/>
      <c r="E1038" s="1">
        <f t="array" ref="E1038">INDIRECT(_xlfn.CONCAT("$L", $F1038))</f>
        <v/>
      </c>
      <c r="F1038" s="1" t="n"/>
      <c r="I1038" s="8" t="inlineStr">
        <is>
          <t>League Tokens 2017 L17</t>
        </is>
      </c>
      <c r="J1038" s="8" t="n">
        <v>1</v>
      </c>
      <c r="K1038" s="9" t="n">
        <v>42736</v>
      </c>
      <c r="L1038" s="8" t="inlineStr">
        <is>
          <t>en es fr de it pt ja ko ru 汉语 漢語</t>
        </is>
      </c>
    </row>
    <row r="1039">
      <c r="A1039" s="1">
        <f t="array" ref="A1039">INDIRECT(_xlfn.CONCAT("$I", $F1039))</f>
        <v/>
      </c>
      <c r="B1039" s="1">
        <f t="array" ref="B1039">INDIRECT(_xlfn.CONCAT("$J", $F1039))</f>
        <v/>
      </c>
      <c r="C1039" s="1">
        <f t="array" ref="C1039">INDIRECT(_xlfn.CONCAT("$K", $F1039))</f>
        <v/>
      </c>
      <c r="D1039" s="1" t="n"/>
      <c r="E1039" s="1">
        <f t="array" ref="E1039">INDIRECT(_xlfn.CONCAT("$L", $F1039))</f>
        <v/>
      </c>
      <c r="F1039" s="1" t="n"/>
    </row>
    <row r="1040">
      <c r="A1040" s="1">
        <f t="array" ref="A1040">INDIRECT(_xlfn.CONCAT("$I", $F1040))</f>
        <v/>
      </c>
      <c r="B1040" s="1">
        <f t="array" ref="B1040">INDIRECT(_xlfn.CONCAT("$J", $F1040))</f>
        <v/>
      </c>
      <c r="C1040" s="1">
        <f t="array" ref="C1040">INDIRECT(_xlfn.CONCAT("$K", $F1040))</f>
        <v/>
      </c>
      <c r="D1040" s="1" t="n"/>
      <c r="E1040" s="1">
        <f t="array" ref="E1040">INDIRECT(_xlfn.CONCAT("$L", $F1040))</f>
        <v/>
      </c>
      <c r="F1040" s="1" t="n"/>
      <c r="I1040" s="8" t="inlineStr">
        <is>
          <t>Friday Night Magic 2017 F17</t>
        </is>
      </c>
      <c r="J1040" s="8" t="n">
        <v>12</v>
      </c>
      <c r="K1040" s="9" t="n">
        <v>42736</v>
      </c>
      <c r="L1040" s="8" t="inlineStr">
        <is>
          <t>en es fr de it pt ja ko ru 汉语 漢語</t>
        </is>
      </c>
    </row>
    <row r="1041">
      <c r="A1041" s="1">
        <f t="array" ref="A1041">INDIRECT(_xlfn.CONCAT("$I", $F1041))</f>
        <v/>
      </c>
      <c r="B1041" s="1">
        <f t="array" ref="B1041">INDIRECT(_xlfn.CONCAT("$J", $F1041))</f>
        <v/>
      </c>
      <c r="C1041" s="1">
        <f t="array" ref="C1041">INDIRECT(_xlfn.CONCAT("$K", $F1041))</f>
        <v/>
      </c>
      <c r="D1041" s="1" t="n"/>
      <c r="E1041" s="1">
        <f t="array" ref="E1041">INDIRECT(_xlfn.CONCAT("$L", $F1041))</f>
        <v/>
      </c>
      <c r="F1041" s="1" t="n"/>
    </row>
    <row r="1042">
      <c r="A1042" s="1">
        <f t="array" ref="A1042">INDIRECT(_xlfn.CONCAT("$I", $F1042))</f>
        <v/>
      </c>
      <c r="B1042" s="1">
        <f t="array" ref="B1042">INDIRECT(_xlfn.CONCAT("$J", $F1042))</f>
        <v/>
      </c>
      <c r="C1042" s="1">
        <f t="array" ref="C1042">INDIRECT(_xlfn.CONCAT("$K", $F1042))</f>
        <v/>
      </c>
      <c r="D1042" s="1" t="n"/>
      <c r="E1042" s="1">
        <f t="array" ref="E1042">INDIRECT(_xlfn.CONCAT("$L", $F1042))</f>
        <v/>
      </c>
      <c r="F1042" s="1" t="n"/>
      <c r="I1042" s="8" t="inlineStr">
        <is>
          <t>Judge Gift Cards 2017 J17</t>
        </is>
      </c>
      <c r="J1042" s="8" t="n">
        <v>9</v>
      </c>
      <c r="K1042" s="9" t="n">
        <v>42736</v>
      </c>
      <c r="L1042" s="8" t="inlineStr">
        <is>
          <t>en es fr de it pt ja ko ru 汉语 漢語</t>
        </is>
      </c>
    </row>
    <row r="1043">
      <c r="A1043" s="1">
        <f t="array" ref="A1043">INDIRECT(_xlfn.CONCAT("$I", $F1043))</f>
        <v/>
      </c>
      <c r="B1043" s="1">
        <f t="array" ref="B1043">INDIRECT(_xlfn.CONCAT("$J", $F1043))</f>
        <v/>
      </c>
      <c r="C1043" s="1">
        <f t="array" ref="C1043">INDIRECT(_xlfn.CONCAT("$K", $F1043))</f>
        <v/>
      </c>
      <c r="D1043" s="1" t="n"/>
      <c r="E1043" s="1">
        <f t="array" ref="E1043">INDIRECT(_xlfn.CONCAT("$L", $F1043))</f>
        <v/>
      </c>
      <c r="F1043" s="1" t="n"/>
    </row>
    <row r="1044">
      <c r="A1044" s="1">
        <f t="array" ref="A1044">INDIRECT(_xlfn.CONCAT("$I", $F1044))</f>
        <v/>
      </c>
      <c r="B1044" s="1">
        <f t="array" ref="B1044">INDIRECT(_xlfn.CONCAT("$J", $F1044))</f>
        <v/>
      </c>
      <c r="C1044" s="1">
        <f t="array" ref="C1044">INDIRECT(_xlfn.CONCAT("$K", $F1044))</f>
        <v/>
      </c>
      <c r="D1044" s="1" t="n"/>
      <c r="E1044" s="1">
        <f t="array" ref="E1044">INDIRECT(_xlfn.CONCAT("$L", $F1044))</f>
        <v/>
      </c>
      <c r="F1044" s="1" t="n"/>
      <c r="I1044" s="8" t="inlineStr">
        <is>
          <t>Planechase Anthology PCA</t>
        </is>
      </c>
      <c r="J1044" s="8" t="n">
        <v>156</v>
      </c>
      <c r="K1044" s="9" t="n">
        <v>42699</v>
      </c>
      <c r="L1044" s="8" t="inlineStr">
        <is>
          <t>en es fr de it pt ja ko ru 汉语 漢語</t>
        </is>
      </c>
    </row>
    <row r="1045">
      <c r="A1045" s="1">
        <f t="array" ref="A1045">INDIRECT(_xlfn.CONCAT("$I", $F1045))</f>
        <v/>
      </c>
      <c r="B1045" s="1">
        <f t="array" ref="B1045">INDIRECT(_xlfn.CONCAT("$J", $F1045))</f>
        <v/>
      </c>
      <c r="C1045" s="1">
        <f t="array" ref="C1045">INDIRECT(_xlfn.CONCAT("$K", $F1045))</f>
        <v/>
      </c>
      <c r="D1045" s="1" t="n"/>
      <c r="E1045" s="1">
        <f t="array" ref="E1045">INDIRECT(_xlfn.CONCAT("$L", $F1045))</f>
        <v/>
      </c>
      <c r="F1045" s="1" t="n"/>
    </row>
    <row r="1046">
      <c r="A1046" s="1">
        <f t="array" ref="A1046">INDIRECT(_xlfn.CONCAT("$I", $F1046))</f>
        <v/>
      </c>
      <c r="B1046" s="1">
        <f t="array" ref="B1046">INDIRECT(_xlfn.CONCAT("$J", $F1046))</f>
        <v/>
      </c>
      <c r="C1046" s="1">
        <f t="array" ref="C1046">INDIRECT(_xlfn.CONCAT("$K", $F1046))</f>
        <v/>
      </c>
      <c r="D1046" s="1" t="n"/>
      <c r="E1046" s="1">
        <f t="array" ref="E1046">INDIRECT(_xlfn.CONCAT("$L", $F1046))</f>
        <v/>
      </c>
      <c r="F1046" s="1" t="n"/>
      <c r="I1046" s="8" t="inlineStr">
        <is>
          <t>Planechase Anthology Tokens TPCA</t>
        </is>
      </c>
      <c r="J1046" s="8" t="n">
        <v>19</v>
      </c>
      <c r="K1046" s="9" t="n">
        <v>42699</v>
      </c>
      <c r="L1046" s="8" t="inlineStr">
        <is>
          <t>en es fr de it pt ja ko ru 汉语 漢語</t>
        </is>
      </c>
    </row>
    <row r="1047">
      <c r="A1047" s="1">
        <f t="array" ref="A1047">INDIRECT(_xlfn.CONCAT("$I", $F1047))</f>
        <v/>
      </c>
      <c r="B1047" s="1">
        <f t="array" ref="B1047">INDIRECT(_xlfn.CONCAT("$J", $F1047))</f>
        <v/>
      </c>
      <c r="C1047" s="1">
        <f t="array" ref="C1047">INDIRECT(_xlfn.CONCAT("$K", $F1047))</f>
        <v/>
      </c>
      <c r="D1047" s="1" t="n"/>
      <c r="E1047" s="1">
        <f t="array" ref="E1047">INDIRECT(_xlfn.CONCAT("$L", $F1047))</f>
        <v/>
      </c>
      <c r="F1047" s="1" t="n"/>
    </row>
    <row r="1048">
      <c r="A1048" s="1">
        <f t="array" ref="A1048">INDIRECT(_xlfn.CONCAT("$I", $F1048))</f>
        <v/>
      </c>
      <c r="B1048" s="1">
        <f t="array" ref="B1048">INDIRECT(_xlfn.CONCAT("$J", $F1048))</f>
        <v/>
      </c>
      <c r="C1048" s="1">
        <f t="array" ref="C1048">INDIRECT(_xlfn.CONCAT("$K", $F1048))</f>
        <v/>
      </c>
      <c r="D1048" s="1" t="n"/>
      <c r="E1048" s="1">
        <f t="array" ref="E1048">INDIRECT(_xlfn.CONCAT("$L", $F1048))</f>
        <v/>
      </c>
      <c r="F1048" s="1" t="n"/>
      <c r="I1048" s="8" t="inlineStr">
        <is>
          <t>Planechase Anthology Planes OPCA</t>
        </is>
      </c>
      <c r="J1048" s="8" t="n">
        <v>86</v>
      </c>
      <c r="K1048" s="9" t="n">
        <v>42699</v>
      </c>
      <c r="L1048" s="8" t="inlineStr">
        <is>
          <t>en es fr de it pt ja ko ru 汉语 漢語</t>
        </is>
      </c>
    </row>
    <row r="1049">
      <c r="A1049" s="1">
        <f t="array" ref="A1049">INDIRECT(_xlfn.CONCAT("$I", $F1049))</f>
        <v/>
      </c>
      <c r="B1049" s="1">
        <f t="array" ref="B1049">INDIRECT(_xlfn.CONCAT("$J", $F1049))</f>
        <v/>
      </c>
      <c r="C1049" s="1">
        <f t="array" ref="C1049">INDIRECT(_xlfn.CONCAT("$K", $F1049))</f>
        <v/>
      </c>
      <c r="D1049" s="1" t="n"/>
      <c r="E1049" s="1">
        <f t="array" ref="E1049">INDIRECT(_xlfn.CONCAT("$L", $F1049))</f>
        <v/>
      </c>
      <c r="F1049" s="1" t="n"/>
    </row>
    <row r="1050">
      <c r="A1050" s="1">
        <f t="array" ref="A1050">INDIRECT(_xlfn.CONCAT("$I", $F1050))</f>
        <v/>
      </c>
      <c r="B1050" s="1">
        <f t="array" ref="B1050">INDIRECT(_xlfn.CONCAT("$J", $F1050))</f>
        <v/>
      </c>
      <c r="C1050" s="1">
        <f t="array" ref="C1050">INDIRECT(_xlfn.CONCAT("$K", $F1050))</f>
        <v/>
      </c>
      <c r="D1050" s="1" t="n"/>
      <c r="E1050" s="1">
        <f t="array" ref="E1050">INDIRECT(_xlfn.CONCAT("$L", $F1050))</f>
        <v/>
      </c>
      <c r="F1050" s="1" t="n"/>
      <c r="I1050" s="8" t="inlineStr">
        <is>
          <t>Treasure Chest PZ2</t>
        </is>
      </c>
      <c r="J1050" s="8" t="n">
        <v>282</v>
      </c>
      <c r="K1050" s="9" t="n">
        <v>42690</v>
      </c>
      <c r="L1050" s="8" t="inlineStr">
        <is>
          <t>en es fr de it pt ja ko ru 汉语 漢語</t>
        </is>
      </c>
    </row>
    <row r="1051">
      <c r="A1051" s="1">
        <f t="array" ref="A1051">INDIRECT(_xlfn.CONCAT("$I", $F1051))</f>
        <v/>
      </c>
      <c r="B1051" s="1">
        <f t="array" ref="B1051">INDIRECT(_xlfn.CONCAT("$J", $F1051))</f>
        <v/>
      </c>
      <c r="C1051" s="1">
        <f t="array" ref="C1051">INDIRECT(_xlfn.CONCAT("$K", $F1051))</f>
        <v/>
      </c>
      <c r="D1051" s="1" t="n"/>
      <c r="E1051" s="1">
        <f t="array" ref="E1051">INDIRECT(_xlfn.CONCAT("$L", $F1051))</f>
        <v/>
      </c>
      <c r="F1051" s="1" t="n"/>
    </row>
    <row r="1052">
      <c r="A1052" s="1">
        <f t="array" ref="A1052">INDIRECT(_xlfn.CONCAT("$I", $F1052))</f>
        <v/>
      </c>
      <c r="B1052" s="1">
        <f t="array" ref="B1052">INDIRECT(_xlfn.CONCAT("$J", $F1052))</f>
        <v/>
      </c>
      <c r="C1052" s="1">
        <f t="array" ref="C1052">INDIRECT(_xlfn.CONCAT("$K", $F1052))</f>
        <v/>
      </c>
      <c r="D1052" s="1" t="n"/>
      <c r="E1052" s="1">
        <f t="array" ref="E1052">INDIRECT(_xlfn.CONCAT("$L", $F1052))</f>
        <v/>
      </c>
      <c r="F1052" s="1" t="n"/>
      <c r="I1052" s="8" t="inlineStr">
        <is>
          <t>Twisted Color Pie TWISTED</t>
        </is>
      </c>
      <c r="J1052" s="8" t="n">
        <v>538</v>
      </c>
      <c r="K1052" s="9" t="n">
        <v>42690</v>
      </c>
    </row>
    <row r="1053">
      <c r="A1053" s="1">
        <f t="array" ref="A1053">INDIRECT(_xlfn.CONCAT("$I", $F1053))</f>
        <v/>
      </c>
      <c r="B1053" s="1">
        <f t="array" ref="B1053">INDIRECT(_xlfn.CONCAT("$J", $F1053))</f>
        <v/>
      </c>
      <c r="C1053" s="1">
        <f t="array" ref="C1053">INDIRECT(_xlfn.CONCAT("$K", $F1053))</f>
        <v/>
      </c>
      <c r="D1053" s="1" t="n"/>
      <c r="E1053" s="1">
        <f t="array" ref="E1053">INDIRECT(_xlfn.CONCAT("$L", $F1053))</f>
        <v/>
      </c>
      <c r="F1053" s="1" t="n"/>
    </row>
    <row r="1054">
      <c r="A1054" s="1">
        <f t="array" ref="A1054">INDIRECT(_xlfn.CONCAT("$I", $F1054))</f>
        <v/>
      </c>
      <c r="B1054" s="1">
        <f t="array" ref="B1054">INDIRECT(_xlfn.CONCAT("$J", $F1054))</f>
        <v/>
      </c>
      <c r="C1054" s="1">
        <f t="array" ref="C1054">INDIRECT(_xlfn.CONCAT("$K", $F1054))</f>
        <v/>
      </c>
      <c r="D1054" s="1" t="n"/>
      <c r="E1054" s="1">
        <f t="array" ref="E1054">INDIRECT(_xlfn.CONCAT("$L", $F1054))</f>
        <v/>
      </c>
      <c r="F1054" s="1" t="n"/>
      <c r="I1054" s="8" t="inlineStr">
        <is>
          <t>Commander 2016 C16</t>
        </is>
      </c>
      <c r="J1054" s="8" t="n">
        <v>351</v>
      </c>
      <c r="K1054" s="9" t="n">
        <v>42685</v>
      </c>
      <c r="L1054" t="inlineStr">
        <is>
          <t>en es fr de it pt ja ko ru 汉语 漢語</t>
        </is>
      </c>
    </row>
    <row r="1055">
      <c r="A1055" s="1">
        <f t="array" ref="A1055">INDIRECT(_xlfn.CONCAT("$I", $F1055))</f>
        <v/>
      </c>
      <c r="B1055" s="1">
        <f t="array" ref="B1055">INDIRECT(_xlfn.CONCAT("$J", $F1055))</f>
        <v/>
      </c>
      <c r="C1055" s="1">
        <f t="array" ref="C1055">INDIRECT(_xlfn.CONCAT("$K", $F1055))</f>
        <v/>
      </c>
      <c r="D1055" s="1" t="n"/>
      <c r="E1055" s="1">
        <f t="array" ref="E1055">INDIRECT(_xlfn.CONCAT("$L", $F1055))</f>
        <v/>
      </c>
      <c r="F1055" s="1" t="n"/>
    </row>
    <row r="1056">
      <c r="A1056" s="1">
        <f t="array" ref="A1056">INDIRECT(_xlfn.CONCAT("$I", $F1056))</f>
        <v/>
      </c>
      <c r="B1056" s="1">
        <f t="array" ref="B1056">INDIRECT(_xlfn.CONCAT("$J", $F1056))</f>
        <v/>
      </c>
      <c r="C1056" s="1">
        <f t="array" ref="C1056">INDIRECT(_xlfn.CONCAT("$K", $F1056))</f>
        <v/>
      </c>
      <c r="D1056" s="1" t="n"/>
      <c r="E1056" s="1">
        <f t="array" ref="E1056">INDIRECT(_xlfn.CONCAT("$L", $F1056))</f>
        <v/>
      </c>
      <c r="F1056" s="1" t="n"/>
      <c r="I1056" s="8" t="inlineStr">
        <is>
          <t>Commander 2016 Tokens TC16</t>
        </is>
      </c>
      <c r="J1056" s="8" t="n">
        <v>21</v>
      </c>
      <c r="K1056" s="9" t="n">
        <v>42685</v>
      </c>
      <c r="L1056" s="8" t="inlineStr">
        <is>
          <t>en es fr de it pt ja ko ru 汉语 漢語</t>
        </is>
      </c>
    </row>
    <row r="1057">
      <c r="A1057" s="1">
        <f t="array" ref="A1057">INDIRECT(_xlfn.CONCAT("$I", $F1057))</f>
        <v/>
      </c>
      <c r="B1057" s="1">
        <f t="array" ref="B1057">INDIRECT(_xlfn.CONCAT("$J", $F1057))</f>
        <v/>
      </c>
      <c r="C1057" s="1">
        <f t="array" ref="C1057">INDIRECT(_xlfn.CONCAT("$K", $F1057))</f>
        <v/>
      </c>
      <c r="D1057" s="1" t="n"/>
      <c r="E1057" s="1">
        <f t="array" ref="E1057">INDIRECT(_xlfn.CONCAT("$L", $F1057))</f>
        <v/>
      </c>
      <c r="F1057" s="1" t="n"/>
    </row>
    <row r="1058">
      <c r="A1058" s="1">
        <f t="array" ref="A1058">INDIRECT(_xlfn.CONCAT("$I", $F1058))</f>
        <v/>
      </c>
      <c r="B1058" s="1">
        <f t="array" ref="B1058">INDIRECT(_xlfn.CONCAT("$J", $F1058))</f>
        <v/>
      </c>
      <c r="C1058" s="1">
        <f t="array" ref="C1058">INDIRECT(_xlfn.CONCAT("$K", $F1058))</f>
        <v/>
      </c>
      <c r="D1058" s="1" t="n"/>
      <c r="E1058" s="1">
        <f t="array" ref="E1058">INDIRECT(_xlfn.CONCAT("$L", $F1058))</f>
        <v/>
      </c>
      <c r="F1058" s="1" t="n"/>
      <c r="I1058" s="8" t="inlineStr">
        <is>
          <t>Commander 2016 Oversized OC16</t>
        </is>
      </c>
      <c r="J1058" s="8" t="n">
        <v>5</v>
      </c>
      <c r="K1058" s="9" t="n">
        <v>42685</v>
      </c>
      <c r="L1058" s="8" t="inlineStr">
        <is>
          <t>en es fr de it pt ja ko ru 汉语 漢語</t>
        </is>
      </c>
    </row>
    <row r="1059">
      <c r="A1059" s="1">
        <f t="array" ref="A1059">INDIRECT(_xlfn.CONCAT("$I", $F1059))</f>
        <v/>
      </c>
      <c r="B1059" s="1">
        <f t="array" ref="B1059">INDIRECT(_xlfn.CONCAT("$J", $F1059))</f>
        <v/>
      </c>
      <c r="C1059" s="1">
        <f t="array" ref="C1059">INDIRECT(_xlfn.CONCAT("$K", $F1059))</f>
        <v/>
      </c>
      <c r="D1059" s="1" t="n"/>
      <c r="E1059" s="1">
        <f t="array" ref="E1059">INDIRECT(_xlfn.CONCAT("$L", $F1059))</f>
        <v/>
      </c>
      <c r="F1059" s="1" t="n"/>
    </row>
    <row r="1060">
      <c r="A1060" s="1">
        <f t="array" ref="A1060">INDIRECT(_xlfn.CONCAT("$I", $F1060))</f>
        <v/>
      </c>
      <c r="B1060" s="1">
        <f t="array" ref="B1060">INDIRECT(_xlfn.CONCAT("$J", $F1060))</f>
        <v/>
      </c>
      <c r="C1060" s="1">
        <f t="array" ref="C1060">INDIRECT(_xlfn.CONCAT("$K", $F1060))</f>
        <v/>
      </c>
      <c r="D1060" s="1" t="n"/>
      <c r="E1060" s="1">
        <f t="array" ref="E1060">INDIRECT(_xlfn.CONCAT("$L", $F1060))</f>
        <v/>
      </c>
      <c r="F1060" s="1" t="n"/>
      <c r="I1060" s="8" t="inlineStr">
        <is>
          <t>San Diego Comic-Con 2016 PS16</t>
        </is>
      </c>
      <c r="J1060" s="8" t="n">
        <v>5</v>
      </c>
      <c r="K1060" s="9" t="n">
        <v>42644</v>
      </c>
      <c r="L1060" s="8" t="inlineStr">
        <is>
          <t>en es fr de it pt ja ko ru 汉语 漢語</t>
        </is>
      </c>
    </row>
    <row r="1061">
      <c r="A1061" s="1">
        <f t="array" ref="A1061">INDIRECT(_xlfn.CONCAT("$I", $F1061))</f>
        <v/>
      </c>
      <c r="B1061" s="1">
        <f t="array" ref="B1061">INDIRECT(_xlfn.CONCAT("$J", $F1061))</f>
        <v/>
      </c>
      <c r="C1061" s="1">
        <f t="array" ref="C1061">INDIRECT(_xlfn.CONCAT("$K", $F1061))</f>
        <v/>
      </c>
      <c r="D1061" s="1" t="n"/>
      <c r="E1061" s="1">
        <f t="array" ref="E1061">INDIRECT(_xlfn.CONCAT("$L", $F1061))</f>
        <v/>
      </c>
      <c r="F1061" s="1" t="n"/>
    </row>
    <row r="1062">
      <c r="A1062" s="1">
        <f t="array" ref="A1062">INDIRECT(_xlfn.CONCAT("$I", $F1062))</f>
        <v/>
      </c>
      <c r="B1062" s="1">
        <f t="array" ref="B1062">INDIRECT(_xlfn.CONCAT("$J", $F1062))</f>
        <v/>
      </c>
      <c r="C1062" s="1">
        <f t="array" ref="C1062">INDIRECT(_xlfn.CONCAT("$K", $F1062))</f>
        <v/>
      </c>
      <c r="D1062" s="1" t="n"/>
      <c r="E1062" s="1">
        <f t="array" ref="E1062">INDIRECT(_xlfn.CONCAT("$L", $F1062))</f>
        <v/>
      </c>
      <c r="F1062" s="1" t="n"/>
      <c r="I1062" s="8" t="inlineStr">
        <is>
          <t>Kaladesh KLD</t>
        </is>
      </c>
      <c r="J1062" s="8" t="n">
        <v>278</v>
      </c>
      <c r="K1062" s="9" t="n">
        <v>42643</v>
      </c>
      <c r="L1062" t="inlineStr">
        <is>
          <t>en es fr de it pt ja ko ru 汉语 漢語</t>
        </is>
      </c>
    </row>
    <row r="1063">
      <c r="A1063" s="1">
        <f t="array" ref="A1063">INDIRECT(_xlfn.CONCAT("$I", $F1063))</f>
        <v/>
      </c>
      <c r="B1063" s="1">
        <f t="array" ref="B1063">INDIRECT(_xlfn.CONCAT("$J", $F1063))</f>
        <v/>
      </c>
      <c r="C1063" s="1">
        <f t="array" ref="C1063">INDIRECT(_xlfn.CONCAT("$K", $F1063))</f>
        <v/>
      </c>
      <c r="D1063" s="1" t="n"/>
      <c r="E1063" s="1">
        <f t="array" ref="E1063">INDIRECT(_xlfn.CONCAT("$L", $F1063))</f>
        <v/>
      </c>
      <c r="F1063" s="1" t="n"/>
    </row>
    <row r="1064">
      <c r="A1064" s="1">
        <f t="array" ref="A1064">INDIRECT(_xlfn.CONCAT("$I", $F1064))</f>
        <v/>
      </c>
      <c r="B1064" s="1">
        <f t="array" ref="B1064">INDIRECT(_xlfn.CONCAT("$J", $F1064))</f>
        <v/>
      </c>
      <c r="C1064" s="1">
        <f t="array" ref="C1064">INDIRECT(_xlfn.CONCAT("$K", $F1064))</f>
        <v/>
      </c>
      <c r="D1064" s="1" t="n"/>
      <c r="E1064" s="1">
        <f t="array" ref="E1064">INDIRECT(_xlfn.CONCAT("$L", $F1064))</f>
        <v/>
      </c>
      <c r="F1064" s="1" t="n"/>
      <c r="I1064" s="8" t="inlineStr">
        <is>
          <t>Kaladesh Inventions MPS</t>
        </is>
      </c>
      <c r="J1064" s="8" t="n">
        <v>54</v>
      </c>
      <c r="K1064" s="9" t="n">
        <v>42643</v>
      </c>
      <c r="L1064" s="8" t="inlineStr">
        <is>
          <t>en es fr de it pt ja ko ru 汉语 漢語</t>
        </is>
      </c>
    </row>
    <row r="1065">
      <c r="A1065" s="1">
        <f t="array" ref="A1065">INDIRECT(_xlfn.CONCAT("$I", $F1065))</f>
        <v/>
      </c>
      <c r="B1065" s="1">
        <f t="array" ref="B1065">INDIRECT(_xlfn.CONCAT("$J", $F1065))</f>
        <v/>
      </c>
      <c r="C1065" s="1">
        <f t="array" ref="C1065">INDIRECT(_xlfn.CONCAT("$K", $F1065))</f>
        <v/>
      </c>
      <c r="D1065" s="1" t="n"/>
      <c r="E1065" s="1">
        <f t="array" ref="E1065">INDIRECT(_xlfn.CONCAT("$L", $F1065))</f>
        <v/>
      </c>
      <c r="F1065" s="1" t="n"/>
    </row>
    <row r="1066">
      <c r="A1066" s="1">
        <f t="array" ref="A1066">INDIRECT(_xlfn.CONCAT("$I", $F1066))</f>
        <v/>
      </c>
      <c r="B1066" s="1">
        <f t="array" ref="B1066">INDIRECT(_xlfn.CONCAT("$J", $F1066))</f>
        <v/>
      </c>
      <c r="C1066" s="1">
        <f t="array" ref="C1066">INDIRECT(_xlfn.CONCAT("$K", $F1066))</f>
        <v/>
      </c>
      <c r="D1066" s="1" t="n"/>
      <c r="E1066" s="1">
        <f t="array" ref="E1066">INDIRECT(_xlfn.CONCAT("$L", $F1066))</f>
        <v/>
      </c>
      <c r="F1066" s="1" t="n"/>
      <c r="I1066" s="8" t="inlineStr">
        <is>
          <t>Kaladesh Promos PKLD</t>
        </is>
      </c>
      <c r="J1066" s="8" t="n">
        <v>83</v>
      </c>
      <c r="K1066" s="9" t="n">
        <v>42643</v>
      </c>
      <c r="L1066" s="8" t="inlineStr">
        <is>
          <t>en es fr de it pt ja ko ru 汉语 漢語</t>
        </is>
      </c>
    </row>
    <row r="1067">
      <c r="A1067" s="1">
        <f t="array" ref="A1067">INDIRECT(_xlfn.CONCAT("$I", $F1067))</f>
        <v/>
      </c>
      <c r="B1067" s="1">
        <f t="array" ref="B1067">INDIRECT(_xlfn.CONCAT("$J", $F1067))</f>
        <v/>
      </c>
      <c r="C1067" s="1">
        <f t="array" ref="C1067">INDIRECT(_xlfn.CONCAT("$K", $F1067))</f>
        <v/>
      </c>
      <c r="D1067" s="1" t="n"/>
      <c r="E1067" s="1">
        <f t="array" ref="E1067">INDIRECT(_xlfn.CONCAT("$L", $F1067))</f>
        <v/>
      </c>
      <c r="F1067" s="1" t="n"/>
    </row>
    <row r="1068">
      <c r="A1068" s="1">
        <f t="array" ref="A1068">INDIRECT(_xlfn.CONCAT("$I", $F1068))</f>
        <v/>
      </c>
      <c r="B1068" s="1">
        <f t="array" ref="B1068">INDIRECT(_xlfn.CONCAT("$J", $F1068))</f>
        <v/>
      </c>
      <c r="C1068" s="1">
        <f t="array" ref="C1068">INDIRECT(_xlfn.CONCAT("$K", $F1068))</f>
        <v/>
      </c>
      <c r="D1068" s="1" t="n"/>
      <c r="E1068" s="1">
        <f t="array" ref="E1068">INDIRECT(_xlfn.CONCAT("$L", $F1068))</f>
        <v/>
      </c>
      <c r="F1068" s="1" t="n"/>
      <c r="I1068" s="8" t="inlineStr">
        <is>
          <t>Kaladesh Tokens TKLD</t>
        </is>
      </c>
      <c r="J1068" s="8" t="n">
        <v>13</v>
      </c>
      <c r="K1068" s="9" t="n">
        <v>42643</v>
      </c>
      <c r="L1068" s="8" t="inlineStr">
        <is>
          <t>en es fr de it pt ja ko ru 汉语 漢語</t>
        </is>
      </c>
    </row>
    <row r="1069">
      <c r="A1069" s="1">
        <f t="array" ref="A1069">INDIRECT(_xlfn.CONCAT("$I", $F1069))</f>
        <v/>
      </c>
      <c r="B1069" s="1">
        <f t="array" ref="B1069">INDIRECT(_xlfn.CONCAT("$J", $F1069))</f>
        <v/>
      </c>
      <c r="C1069" s="1">
        <f t="array" ref="C1069">INDIRECT(_xlfn.CONCAT("$K", $F1069))</f>
        <v/>
      </c>
      <c r="D1069" s="1" t="n"/>
      <c r="E1069" s="1">
        <f t="array" ref="E1069">INDIRECT(_xlfn.CONCAT("$L", $F1069))</f>
        <v/>
      </c>
      <c r="F1069" s="1" t="n"/>
    </row>
    <row r="1070">
      <c r="A1070" s="1">
        <f t="array" ref="A1070">INDIRECT(_xlfn.CONCAT("$I", $F1070))</f>
        <v/>
      </c>
      <c r="B1070" s="1">
        <f t="array" ref="B1070">INDIRECT(_xlfn.CONCAT("$J", $F1070))</f>
        <v/>
      </c>
      <c r="C1070" s="1">
        <f t="array" ref="C1070">INDIRECT(_xlfn.CONCAT("$K", $F1070))</f>
        <v/>
      </c>
      <c r="D1070" s="1" t="n"/>
      <c r="E1070" s="1">
        <f t="array" ref="E1070">INDIRECT(_xlfn.CONCAT("$L", $F1070))</f>
        <v/>
      </c>
      <c r="F1070" s="1" t="n"/>
      <c r="I1070" s="8" t="inlineStr">
        <is>
          <t>Duel Decks: Nissa vs. Ob Nixilis DDR</t>
        </is>
      </c>
      <c r="J1070" s="8" t="n">
        <v>76</v>
      </c>
      <c r="K1070" s="9" t="n">
        <v>42615</v>
      </c>
      <c r="L1070" t="inlineStr">
        <is>
          <t>en es fr de it pt ja ko ru 汉语 漢語</t>
        </is>
      </c>
    </row>
    <row r="1071">
      <c r="A1071" s="1">
        <f t="array" ref="A1071">INDIRECT(_xlfn.CONCAT("$I", $F1071))</f>
        <v/>
      </c>
      <c r="B1071" s="1">
        <f t="array" ref="B1071">INDIRECT(_xlfn.CONCAT("$J", $F1071))</f>
        <v/>
      </c>
      <c r="C1071" s="1">
        <f t="array" ref="C1071">INDIRECT(_xlfn.CONCAT("$K", $F1071))</f>
        <v/>
      </c>
      <c r="D1071" s="1" t="n"/>
      <c r="E1071" s="1">
        <f t="array" ref="E1071">INDIRECT(_xlfn.CONCAT("$L", $F1071))</f>
        <v/>
      </c>
      <c r="F1071" s="1" t="n"/>
    </row>
    <row r="1072">
      <c r="A1072" s="1">
        <f t="array" ref="A1072">INDIRECT(_xlfn.CONCAT("$I", $F1072))</f>
        <v/>
      </c>
      <c r="B1072" s="1">
        <f t="array" ref="B1072">INDIRECT(_xlfn.CONCAT("$J", $F1072))</f>
        <v/>
      </c>
      <c r="C1072" s="1">
        <f t="array" ref="C1072">INDIRECT(_xlfn.CONCAT("$K", $F1072))</f>
        <v/>
      </c>
      <c r="D1072" s="1" t="n"/>
      <c r="E1072" s="1">
        <f t="array" ref="E1072">INDIRECT(_xlfn.CONCAT("$L", $F1072))</f>
        <v/>
      </c>
      <c r="F1072" s="1" t="n"/>
      <c r="I1072" s="8" t="inlineStr">
        <is>
          <t>Conspiracy: Take the Crown CN2</t>
        </is>
      </c>
      <c r="J1072" s="8" t="n">
        <v>222</v>
      </c>
      <c r="K1072" s="9" t="n">
        <v>42608</v>
      </c>
      <c r="L1072" t="inlineStr">
        <is>
          <t>en es fr de it pt ja ko ru 汉语 漢語</t>
        </is>
      </c>
    </row>
    <row r="1073">
      <c r="A1073" s="1">
        <f t="array" ref="A1073">INDIRECT(_xlfn.CONCAT("$I", $F1073))</f>
        <v/>
      </c>
      <c r="B1073" s="1">
        <f t="array" ref="B1073">INDIRECT(_xlfn.CONCAT("$J", $F1073))</f>
        <v/>
      </c>
      <c r="C1073" s="1">
        <f t="array" ref="C1073">INDIRECT(_xlfn.CONCAT("$K", $F1073))</f>
        <v/>
      </c>
      <c r="D1073" s="1" t="n"/>
      <c r="E1073" s="1">
        <f t="array" ref="E1073">INDIRECT(_xlfn.CONCAT("$L", $F1073))</f>
        <v/>
      </c>
      <c r="F1073" s="1" t="n"/>
    </row>
    <row r="1074">
      <c r="A1074" s="1">
        <f t="array" ref="A1074">INDIRECT(_xlfn.CONCAT("$I", $F1074))</f>
        <v/>
      </c>
      <c r="B1074" s="1">
        <f t="array" ref="B1074">INDIRECT(_xlfn.CONCAT("$J", $F1074))</f>
        <v/>
      </c>
      <c r="C1074" s="1">
        <f t="array" ref="C1074">INDIRECT(_xlfn.CONCAT("$K", $F1074))</f>
        <v/>
      </c>
      <c r="D1074" s="1" t="n"/>
      <c r="E1074" s="1">
        <f t="array" ref="E1074">INDIRECT(_xlfn.CONCAT("$L", $F1074))</f>
        <v/>
      </c>
      <c r="F1074" s="1" t="n"/>
      <c r="I1074" s="8" t="inlineStr">
        <is>
          <t>Conspiracy: Take the Crown Tokens TCN2</t>
        </is>
      </c>
      <c r="J1074" s="8" t="n">
        <v>12</v>
      </c>
      <c r="K1074" s="9" t="n">
        <v>42608</v>
      </c>
      <c r="L1074" s="8" t="inlineStr">
        <is>
          <t>en es fr de it pt ja ko ru 汉语 漢語</t>
        </is>
      </c>
    </row>
    <row r="1075">
      <c r="A1075" s="1">
        <f t="array" ref="A1075">INDIRECT(_xlfn.CONCAT("$I", $F1075))</f>
        <v/>
      </c>
      <c r="B1075" s="1">
        <f t="array" ref="B1075">INDIRECT(_xlfn.CONCAT("$J", $F1075))</f>
        <v/>
      </c>
      <c r="C1075" s="1">
        <f t="array" ref="C1075">INDIRECT(_xlfn.CONCAT("$K", $F1075))</f>
        <v/>
      </c>
      <c r="D1075" s="1" t="n"/>
      <c r="E1075" s="1">
        <f t="array" ref="E1075">INDIRECT(_xlfn.CONCAT("$L", $F1075))</f>
        <v/>
      </c>
      <c r="F1075" s="1" t="n"/>
    </row>
    <row r="1076">
      <c r="A1076" s="1">
        <f t="array" ref="A1076">INDIRECT(_xlfn.CONCAT("$I", $F1076))</f>
        <v/>
      </c>
      <c r="B1076" s="1">
        <f t="array" ref="B1076">INDIRECT(_xlfn.CONCAT("$J", $F1076))</f>
        <v/>
      </c>
      <c r="C1076" s="1">
        <f t="array" ref="C1076">INDIRECT(_xlfn.CONCAT("$K", $F1076))</f>
        <v/>
      </c>
      <c r="D1076" s="1" t="n"/>
      <c r="E1076" s="1">
        <f t="array" ref="E1076">INDIRECT(_xlfn.CONCAT("$L", $F1076))</f>
        <v/>
      </c>
      <c r="F1076" s="1" t="n"/>
      <c r="I1076" s="8" t="inlineStr">
        <is>
          <t>From the Vault: Lore V16</t>
        </is>
      </c>
      <c r="J1076" s="8" t="n">
        <v>16</v>
      </c>
      <c r="K1076" s="9" t="n">
        <v>42601</v>
      </c>
      <c r="L1076" s="8" t="inlineStr">
        <is>
          <t>en es fr de it pt ja ko ru 汉语 漢語</t>
        </is>
      </c>
    </row>
    <row r="1077">
      <c r="A1077" s="1">
        <f t="array" ref="A1077">INDIRECT(_xlfn.CONCAT("$I", $F1077))</f>
        <v/>
      </c>
      <c r="B1077" s="1">
        <f t="array" ref="B1077">INDIRECT(_xlfn.CONCAT("$J", $F1077))</f>
        <v/>
      </c>
      <c r="C1077" s="1">
        <f t="array" ref="C1077">INDIRECT(_xlfn.CONCAT("$K", $F1077))</f>
        <v/>
      </c>
      <c r="D1077" s="1" t="n"/>
      <c r="E1077" s="1">
        <f t="array" ref="E1077">INDIRECT(_xlfn.CONCAT("$L", $F1077))</f>
        <v/>
      </c>
      <c r="F1077" s="1" t="n"/>
    </row>
    <row r="1078">
      <c r="A1078" s="1">
        <f t="array" ref="A1078">INDIRECT(_xlfn.CONCAT("$I", $F1078))</f>
        <v/>
      </c>
      <c r="B1078" s="1">
        <f t="array" ref="B1078">INDIRECT(_xlfn.CONCAT("$J", $F1078))</f>
        <v/>
      </c>
      <c r="C1078" s="1">
        <f t="array" ref="C1078">INDIRECT(_xlfn.CONCAT("$K", $F1078))</f>
        <v/>
      </c>
      <c r="D1078" s="1" t="n"/>
      <c r="E1078" s="1">
        <f t="array" ref="E1078">INDIRECT(_xlfn.CONCAT("$L", $F1078))</f>
        <v/>
      </c>
      <c r="F1078" s="1" t="n"/>
      <c r="I1078" s="8" t="inlineStr">
        <is>
          <t>Eldritch Moon EMN</t>
        </is>
      </c>
      <c r="J1078" s="8" t="n">
        <v>208</v>
      </c>
      <c r="K1078" s="9" t="n">
        <v>42573</v>
      </c>
      <c r="L1078" t="inlineStr">
        <is>
          <t>en es fr de it pt ja ko ru 汉语 漢語</t>
        </is>
      </c>
    </row>
    <row r="1079">
      <c r="A1079" s="1">
        <f t="array" ref="A1079">INDIRECT(_xlfn.CONCAT("$I", $F1079))</f>
        <v/>
      </c>
      <c r="B1079" s="1">
        <f t="array" ref="B1079">INDIRECT(_xlfn.CONCAT("$J", $F1079))</f>
        <v/>
      </c>
      <c r="C1079" s="1">
        <f t="array" ref="C1079">INDIRECT(_xlfn.CONCAT("$K", $F1079))</f>
        <v/>
      </c>
      <c r="D1079" s="1" t="n"/>
      <c r="E1079" s="1">
        <f t="array" ref="E1079">INDIRECT(_xlfn.CONCAT("$L", $F1079))</f>
        <v/>
      </c>
      <c r="F1079" s="1" t="n"/>
    </row>
    <row r="1080">
      <c r="A1080" s="1">
        <f t="array" ref="A1080">INDIRECT(_xlfn.CONCAT("$I", $F1080))</f>
        <v/>
      </c>
      <c r="B1080" s="1">
        <f t="array" ref="B1080">INDIRECT(_xlfn.CONCAT("$J", $F1080))</f>
        <v/>
      </c>
      <c r="C1080" s="1">
        <f t="array" ref="C1080">INDIRECT(_xlfn.CONCAT("$K", $F1080))</f>
        <v/>
      </c>
      <c r="D1080" s="1" t="n"/>
      <c r="E1080" s="1">
        <f t="array" ref="E1080">INDIRECT(_xlfn.CONCAT("$L", $F1080))</f>
        <v/>
      </c>
      <c r="F1080" s="1" t="n"/>
      <c r="I1080" s="8" t="inlineStr">
        <is>
          <t>Eldritch Moon Promos PEMN</t>
        </is>
      </c>
      <c r="J1080" s="8" t="n">
        <v>77</v>
      </c>
      <c r="K1080" s="9" t="n">
        <v>42573</v>
      </c>
      <c r="L1080" s="8" t="inlineStr">
        <is>
          <t>en es fr de it pt ja ko ru 汉语 漢語</t>
        </is>
      </c>
    </row>
    <row r="1081">
      <c r="A1081" s="1">
        <f t="array" ref="A1081">INDIRECT(_xlfn.CONCAT("$I", $F1081))</f>
        <v/>
      </c>
      <c r="B1081" s="1">
        <f t="array" ref="B1081">INDIRECT(_xlfn.CONCAT("$J", $F1081))</f>
        <v/>
      </c>
      <c r="C1081" s="1">
        <f t="array" ref="C1081">INDIRECT(_xlfn.CONCAT("$K", $F1081))</f>
        <v/>
      </c>
      <c r="D1081" s="1" t="n"/>
      <c r="E1081" s="1">
        <f t="array" ref="E1081">INDIRECT(_xlfn.CONCAT("$L", $F1081))</f>
        <v/>
      </c>
      <c r="F1081" s="1" t="n"/>
    </row>
    <row r="1082">
      <c r="A1082" s="1">
        <f t="array" ref="A1082">INDIRECT(_xlfn.CONCAT("$I", $F1082))</f>
        <v/>
      </c>
      <c r="B1082" s="1">
        <f t="array" ref="B1082">INDIRECT(_xlfn.CONCAT("$J", $F1082))</f>
        <v/>
      </c>
      <c r="C1082" s="1">
        <f t="array" ref="C1082">INDIRECT(_xlfn.CONCAT("$K", $F1082))</f>
        <v/>
      </c>
      <c r="D1082" s="1" t="n"/>
      <c r="E1082" s="1">
        <f t="array" ref="E1082">INDIRECT(_xlfn.CONCAT("$L", $F1082))</f>
        <v/>
      </c>
      <c r="F1082" s="1" t="n"/>
      <c r="I1082" s="8" t="inlineStr">
        <is>
          <t>Eldritch Moon Tokens TEMN</t>
        </is>
      </c>
      <c r="J1082" s="8" t="n">
        <v>11</v>
      </c>
      <c r="K1082" s="9" t="n">
        <v>42573</v>
      </c>
      <c r="L1082" s="8" t="inlineStr">
        <is>
          <t>en es fr de it pt ja ko ru 汉语 漢語</t>
        </is>
      </c>
    </row>
    <row r="1083">
      <c r="A1083" s="1">
        <f t="array" ref="A1083">INDIRECT(_xlfn.CONCAT("$I", $F1083))</f>
        <v/>
      </c>
      <c r="B1083" s="1">
        <f t="array" ref="B1083">INDIRECT(_xlfn.CONCAT("$J", $F1083))</f>
        <v/>
      </c>
      <c r="C1083" s="1">
        <f t="array" ref="C1083">INDIRECT(_xlfn.CONCAT("$K", $F1083))</f>
        <v/>
      </c>
      <c r="D1083" s="1" t="n"/>
      <c r="E1083" s="1">
        <f t="array" ref="E1083">INDIRECT(_xlfn.CONCAT("$L", $F1083))</f>
        <v/>
      </c>
      <c r="F1083" s="1" t="n"/>
    </row>
    <row r="1084">
      <c r="A1084" s="1">
        <f t="array" ref="A1084">INDIRECT(_xlfn.CONCAT("$I", $F1084))</f>
        <v/>
      </c>
      <c r="B1084" s="1">
        <f t="array" ref="B1084">INDIRECT(_xlfn.CONCAT("$J", $F1084))</f>
        <v/>
      </c>
      <c r="C1084" s="1">
        <f t="array" ref="C1084">INDIRECT(_xlfn.CONCAT("$K", $F1084))</f>
        <v/>
      </c>
      <c r="D1084" s="1" t="n"/>
      <c r="E1084" s="1">
        <f t="array" ref="E1084">INDIRECT(_xlfn.CONCAT("$L", $F1084))</f>
        <v/>
      </c>
      <c r="F1084" s="1" t="n"/>
      <c r="I1084" s="8" t="inlineStr">
        <is>
          <t>Eternal Masters EMA</t>
        </is>
      </c>
      <c r="J1084" s="8" t="n">
        <v>249</v>
      </c>
      <c r="K1084" s="9" t="n">
        <v>42531</v>
      </c>
      <c r="L1084" t="inlineStr">
        <is>
          <t>en es fr de it pt ja ko ru 汉语 漢語</t>
        </is>
      </c>
    </row>
    <row r="1085">
      <c r="A1085" s="1">
        <f t="array" ref="A1085">INDIRECT(_xlfn.CONCAT("$I", $F1085))</f>
        <v/>
      </c>
      <c r="B1085" s="1">
        <f t="array" ref="B1085">INDIRECT(_xlfn.CONCAT("$J", $F1085))</f>
        <v/>
      </c>
      <c r="C1085" s="1">
        <f t="array" ref="C1085">INDIRECT(_xlfn.CONCAT("$K", $F1085))</f>
        <v/>
      </c>
      <c r="D1085" s="1" t="n"/>
      <c r="E1085" s="1">
        <f t="array" ref="E1085">INDIRECT(_xlfn.CONCAT("$L", $F1085))</f>
        <v/>
      </c>
      <c r="F1085" s="1" t="n"/>
    </row>
    <row r="1086">
      <c r="A1086" s="1">
        <f t="array" ref="A1086">INDIRECT(_xlfn.CONCAT("$I", $F1086))</f>
        <v/>
      </c>
      <c r="B1086" s="1">
        <f t="array" ref="B1086">INDIRECT(_xlfn.CONCAT("$J", $F1086))</f>
        <v/>
      </c>
      <c r="C1086" s="1">
        <f t="array" ref="C1086">INDIRECT(_xlfn.CONCAT("$K", $F1086))</f>
        <v/>
      </c>
      <c r="D1086" s="1" t="n"/>
      <c r="E1086" s="1">
        <f t="array" ref="E1086">INDIRECT(_xlfn.CONCAT("$L", $F1086))</f>
        <v/>
      </c>
      <c r="F1086" s="1" t="n"/>
      <c r="I1086" s="8" t="inlineStr">
        <is>
          <t>Eternal Masters Tokens TEMA</t>
        </is>
      </c>
      <c r="J1086" s="8" t="n">
        <v>16</v>
      </c>
      <c r="K1086" s="9" t="n">
        <v>42531</v>
      </c>
      <c r="L1086" s="8" t="inlineStr">
        <is>
          <t>en es fr de it pt ja ko ru 汉语 漢語</t>
        </is>
      </c>
    </row>
    <row r="1087">
      <c r="A1087" s="1">
        <f t="array" ref="A1087">INDIRECT(_xlfn.CONCAT("$I", $F1087))</f>
        <v/>
      </c>
      <c r="B1087" s="1">
        <f t="array" ref="B1087">INDIRECT(_xlfn.CONCAT("$J", $F1087))</f>
        <v/>
      </c>
      <c r="C1087" s="1">
        <f t="array" ref="C1087">INDIRECT(_xlfn.CONCAT("$K", $F1087))</f>
        <v/>
      </c>
      <c r="D1087" s="1" t="n"/>
      <c r="E1087" s="1">
        <f t="array" ref="E1087">INDIRECT(_xlfn.CONCAT("$L", $F1087))</f>
        <v/>
      </c>
      <c r="F1087" s="1" t="n"/>
    </row>
    <row r="1088">
      <c r="A1088" s="1">
        <f t="array" ref="A1088">INDIRECT(_xlfn.CONCAT("$I", $F1088))</f>
        <v/>
      </c>
      <c r="B1088" s="1">
        <f t="array" ref="B1088">INDIRECT(_xlfn.CONCAT("$J", $F1088))</f>
        <v/>
      </c>
      <c r="C1088" s="1">
        <f t="array" ref="C1088">INDIRECT(_xlfn.CONCAT("$K", $F1088))</f>
        <v/>
      </c>
      <c r="D1088" s="1" t="n"/>
      <c r="E1088" s="1">
        <f t="array" ref="E1088">INDIRECT(_xlfn.CONCAT("$L", $F1088))</f>
        <v/>
      </c>
      <c r="F1088" s="1" t="n"/>
      <c r="I1088" s="8" t="inlineStr">
        <is>
          <t>Shadows over Innistrad SOI</t>
        </is>
      </c>
      <c r="J1088" s="8" t="n">
        <v>302</v>
      </c>
      <c r="K1088" s="9" t="n">
        <v>42468</v>
      </c>
      <c r="L1088" t="inlineStr">
        <is>
          <t>en es fr de it pt ja ko ru 汉语 漢語</t>
        </is>
      </c>
    </row>
    <row r="1089">
      <c r="A1089" s="1">
        <f t="array" ref="A1089">INDIRECT(_xlfn.CONCAT("$I", $F1089))</f>
        <v/>
      </c>
      <c r="B1089" s="1">
        <f t="array" ref="B1089">INDIRECT(_xlfn.CONCAT("$J", $F1089))</f>
        <v/>
      </c>
      <c r="C1089" s="1">
        <f t="array" ref="C1089">INDIRECT(_xlfn.CONCAT("$K", $F1089))</f>
        <v/>
      </c>
      <c r="D1089" s="1" t="n"/>
      <c r="E1089" s="1">
        <f t="array" ref="E1089">INDIRECT(_xlfn.CONCAT("$L", $F1089))</f>
        <v/>
      </c>
      <c r="F1089" s="1" t="n"/>
    </row>
    <row r="1090">
      <c r="A1090" s="1">
        <f t="array" ref="A1090">INDIRECT(_xlfn.CONCAT("$I", $F1090))</f>
        <v/>
      </c>
      <c r="B1090" s="1">
        <f t="array" ref="B1090">INDIRECT(_xlfn.CONCAT("$J", $F1090))</f>
        <v/>
      </c>
      <c r="C1090" s="1">
        <f t="array" ref="C1090">INDIRECT(_xlfn.CONCAT("$K", $F1090))</f>
        <v/>
      </c>
      <c r="D1090" s="1" t="n"/>
      <c r="E1090" s="1">
        <f t="array" ref="E1090">INDIRECT(_xlfn.CONCAT("$L", $F1090))</f>
        <v/>
      </c>
      <c r="F1090" s="1" t="n"/>
      <c r="I1090" s="8" t="inlineStr">
        <is>
          <t>Shadows over Innistrad Promos PSOI</t>
        </is>
      </c>
      <c r="J1090" s="8" t="n">
        <v>90</v>
      </c>
      <c r="K1090" s="9" t="n">
        <v>42468</v>
      </c>
      <c r="L1090" s="8" t="inlineStr">
        <is>
          <t>en es fr de it pt ja ko ru 汉语 漢語</t>
        </is>
      </c>
    </row>
    <row r="1091">
      <c r="A1091" s="1">
        <f t="array" ref="A1091">INDIRECT(_xlfn.CONCAT("$I", $F1091))</f>
        <v/>
      </c>
      <c r="B1091" s="1">
        <f t="array" ref="B1091">INDIRECT(_xlfn.CONCAT("$J", $F1091))</f>
        <v/>
      </c>
      <c r="C1091" s="1">
        <f t="array" ref="C1091">INDIRECT(_xlfn.CONCAT("$K", $F1091))</f>
        <v/>
      </c>
      <c r="D1091" s="1" t="n"/>
      <c r="E1091" s="1">
        <f t="array" ref="E1091">INDIRECT(_xlfn.CONCAT("$L", $F1091))</f>
        <v/>
      </c>
      <c r="F1091" s="1" t="n"/>
    </row>
    <row r="1092">
      <c r="A1092" s="1">
        <f t="array" ref="A1092">INDIRECT(_xlfn.CONCAT("$I", $F1092))</f>
        <v/>
      </c>
      <c r="B1092" s="1">
        <f t="array" ref="B1092">INDIRECT(_xlfn.CONCAT("$J", $F1092))</f>
        <v/>
      </c>
      <c r="C1092" s="1">
        <f t="array" ref="C1092">INDIRECT(_xlfn.CONCAT("$K", $F1092))</f>
        <v/>
      </c>
      <c r="D1092" s="1" t="n"/>
      <c r="E1092" s="1">
        <f t="array" ref="E1092">INDIRECT(_xlfn.CONCAT("$L", $F1092))</f>
        <v/>
      </c>
      <c r="F1092" s="1" t="n"/>
      <c r="I1092" s="8" t="inlineStr">
        <is>
          <t>Shadows over Innistrad Tokens TSOI</t>
        </is>
      </c>
      <c r="J1092" s="8" t="n">
        <v>20</v>
      </c>
      <c r="K1092" s="9" t="n">
        <v>42468</v>
      </c>
      <c r="L1092" s="8" t="inlineStr">
        <is>
          <t>en es fr de it pt ja ko ru 汉语 漢語</t>
        </is>
      </c>
    </row>
    <row r="1093">
      <c r="A1093" s="1">
        <f t="array" ref="A1093">INDIRECT(_xlfn.CONCAT("$I", $F1093))</f>
        <v/>
      </c>
      <c r="B1093" s="1">
        <f t="array" ref="B1093">INDIRECT(_xlfn.CONCAT("$J", $F1093))</f>
        <v/>
      </c>
      <c r="C1093" s="1">
        <f t="array" ref="C1093">INDIRECT(_xlfn.CONCAT("$K", $F1093))</f>
        <v/>
      </c>
      <c r="D1093" s="1" t="n"/>
      <c r="E1093" s="1">
        <f t="array" ref="E1093">INDIRECT(_xlfn.CONCAT("$L", $F1093))</f>
        <v/>
      </c>
      <c r="F1093" s="1" t="n"/>
    </row>
    <row r="1094">
      <c r="A1094" s="1">
        <f t="array" ref="A1094">INDIRECT(_xlfn.CONCAT("$I", $F1094))</f>
        <v/>
      </c>
      <c r="B1094" s="1">
        <f t="array" ref="B1094">INDIRECT(_xlfn.CONCAT("$J", $F1094))</f>
        <v/>
      </c>
      <c r="C1094" s="1">
        <f t="array" ref="C1094">INDIRECT(_xlfn.CONCAT("$K", $F1094))</f>
        <v/>
      </c>
      <c r="D1094" s="1" t="n"/>
      <c r="E1094" s="1">
        <f t="array" ref="E1094">INDIRECT(_xlfn.CONCAT("$L", $F1094))</f>
        <v/>
      </c>
      <c r="F1094" s="1" t="n"/>
      <c r="I1094" s="8" t="inlineStr">
        <is>
          <t>Welcome Deck 2016 W16</t>
        </is>
      </c>
      <c r="J1094" s="8" t="n">
        <v>16</v>
      </c>
      <c r="K1094" s="9" t="n">
        <v>42468</v>
      </c>
      <c r="L1094" t="inlineStr">
        <is>
          <t>en es fr de it pt ja ko ru 汉语 漢語</t>
        </is>
      </c>
    </row>
    <row r="1095">
      <c r="A1095" s="1">
        <f t="array" ref="A1095">INDIRECT(_xlfn.CONCAT("$I", $F1095))</f>
        <v/>
      </c>
      <c r="B1095" s="1">
        <f t="array" ref="B1095">INDIRECT(_xlfn.CONCAT("$J", $F1095))</f>
        <v/>
      </c>
      <c r="C1095" s="1">
        <f t="array" ref="C1095">INDIRECT(_xlfn.CONCAT("$K", $F1095))</f>
        <v/>
      </c>
      <c r="D1095" s="1" t="n"/>
      <c r="E1095" s="1">
        <f t="array" ref="E1095">INDIRECT(_xlfn.CONCAT("$L", $F1095))</f>
        <v/>
      </c>
      <c r="F1095" s="1" t="n"/>
    </row>
    <row r="1096">
      <c r="A1096" s="1">
        <f t="array" ref="A1096">INDIRECT(_xlfn.CONCAT("$I", $F1096))</f>
        <v/>
      </c>
      <c r="B1096" s="1">
        <f t="array" ref="B1096">INDIRECT(_xlfn.CONCAT("$J", $F1096))</f>
        <v/>
      </c>
      <c r="C1096" s="1">
        <f t="array" ref="C1096">INDIRECT(_xlfn.CONCAT("$K", $F1096))</f>
        <v/>
      </c>
      <c r="D1096" s="1" t="n"/>
      <c r="E1096" s="1">
        <f t="array" ref="E1096">INDIRECT(_xlfn.CONCAT("$L", $F1096))</f>
        <v/>
      </c>
      <c r="F1096" s="1" t="n"/>
      <c r="I1096" s="8" t="inlineStr">
        <is>
          <t>Duel Decks: Blessed vs. Cursed DDQ</t>
        </is>
      </c>
      <c r="J1096" s="8" t="n">
        <v>80</v>
      </c>
      <c r="K1096" s="9" t="n">
        <v>42426</v>
      </c>
      <c r="L1096" t="inlineStr">
        <is>
          <t>en es fr de it pt ja ko ru 汉语 漢語</t>
        </is>
      </c>
    </row>
    <row r="1097">
      <c r="A1097" s="1">
        <f t="array" ref="A1097">INDIRECT(_xlfn.CONCAT("$I", $F1097))</f>
        <v/>
      </c>
      <c r="B1097" s="1">
        <f t="array" ref="B1097">INDIRECT(_xlfn.CONCAT("$J", $F1097))</f>
        <v/>
      </c>
      <c r="C1097" s="1">
        <f t="array" ref="C1097">INDIRECT(_xlfn.CONCAT("$K", $F1097))</f>
        <v/>
      </c>
      <c r="D1097" s="1" t="n"/>
      <c r="E1097" s="1">
        <f t="array" ref="E1097">INDIRECT(_xlfn.CONCAT("$L", $F1097))</f>
        <v/>
      </c>
      <c r="F1097" s="1" t="n"/>
    </row>
    <row r="1098">
      <c r="A1098" s="1">
        <f t="array" ref="A1098">INDIRECT(_xlfn.CONCAT("$I", $F1098))</f>
        <v/>
      </c>
      <c r="B1098" s="1">
        <f t="array" ref="B1098">INDIRECT(_xlfn.CONCAT("$J", $F1098))</f>
        <v/>
      </c>
      <c r="C1098" s="1">
        <f t="array" ref="C1098">INDIRECT(_xlfn.CONCAT("$K", $F1098))</f>
        <v/>
      </c>
      <c r="D1098" s="1" t="n"/>
      <c r="E1098" s="1">
        <f t="array" ref="E1098">INDIRECT(_xlfn.CONCAT("$L", $F1098))</f>
        <v/>
      </c>
      <c r="F1098" s="1" t="n"/>
      <c r="I1098" s="8" t="inlineStr">
        <is>
          <t>Oath of the Gatewatch OGW</t>
        </is>
      </c>
      <c r="J1098" s="8" t="n">
        <v>187</v>
      </c>
      <c r="K1098" s="9" t="n">
        <v>42391</v>
      </c>
      <c r="L1098" t="inlineStr">
        <is>
          <t>en es fr de it pt ja ko ru 汉语 漢語</t>
        </is>
      </c>
    </row>
    <row r="1099">
      <c r="A1099" s="1">
        <f t="array" ref="A1099">INDIRECT(_xlfn.CONCAT("$I", $F1099))</f>
        <v/>
      </c>
      <c r="B1099" s="1">
        <f t="array" ref="B1099">INDIRECT(_xlfn.CONCAT("$J", $F1099))</f>
        <v/>
      </c>
      <c r="C1099" s="1">
        <f t="array" ref="C1099">INDIRECT(_xlfn.CONCAT("$K", $F1099))</f>
        <v/>
      </c>
      <c r="D1099" s="1" t="n"/>
      <c r="E1099" s="1">
        <f t="array" ref="E1099">INDIRECT(_xlfn.CONCAT("$L", $F1099))</f>
        <v/>
      </c>
      <c r="F1099" s="1" t="n"/>
    </row>
    <row r="1100">
      <c r="A1100" s="1">
        <f t="array" ref="A1100">INDIRECT(_xlfn.CONCAT("$I", $F1100))</f>
        <v/>
      </c>
      <c r="B1100" s="1">
        <f t="array" ref="B1100">INDIRECT(_xlfn.CONCAT("$J", $F1100))</f>
        <v/>
      </c>
      <c r="C1100" s="1">
        <f t="array" ref="C1100">INDIRECT(_xlfn.CONCAT("$K", $F1100))</f>
        <v/>
      </c>
      <c r="D1100" s="1" t="n"/>
      <c r="E1100" s="1">
        <f t="array" ref="E1100">INDIRECT(_xlfn.CONCAT("$L", $F1100))</f>
        <v/>
      </c>
      <c r="F1100" s="1" t="n"/>
      <c r="I1100" s="8" t="inlineStr">
        <is>
          <t>Oath of the Gatewatch Promos POGW</t>
        </is>
      </c>
      <c r="J1100" s="8" t="n">
        <v>65</v>
      </c>
      <c r="K1100" s="9" t="n">
        <v>42391</v>
      </c>
      <c r="L1100" s="8" t="inlineStr">
        <is>
          <t>en es fr de it pt ja ko ru 汉语 漢語</t>
        </is>
      </c>
    </row>
    <row r="1101">
      <c r="A1101" s="1">
        <f t="array" ref="A1101">INDIRECT(_xlfn.CONCAT("$I", $F1101))</f>
        <v/>
      </c>
      <c r="B1101" s="1">
        <f t="array" ref="B1101">INDIRECT(_xlfn.CONCAT("$J", $F1101))</f>
        <v/>
      </c>
      <c r="C1101" s="1">
        <f t="array" ref="C1101">INDIRECT(_xlfn.CONCAT("$K", $F1101))</f>
        <v/>
      </c>
      <c r="D1101" s="1" t="n"/>
      <c r="E1101" s="1">
        <f t="array" ref="E1101">INDIRECT(_xlfn.CONCAT("$L", $F1101))</f>
        <v/>
      </c>
      <c r="F1101" s="1" t="n"/>
    </row>
    <row r="1102">
      <c r="A1102" s="1">
        <f t="array" ref="A1102">INDIRECT(_xlfn.CONCAT("$I", $F1102))</f>
        <v/>
      </c>
      <c r="B1102" s="1">
        <f t="array" ref="B1102">INDIRECT(_xlfn.CONCAT("$J", $F1102))</f>
        <v/>
      </c>
      <c r="C1102" s="1">
        <f t="array" ref="C1102">INDIRECT(_xlfn.CONCAT("$K", $F1102))</f>
        <v/>
      </c>
      <c r="D1102" s="1" t="n"/>
      <c r="E1102" s="1">
        <f t="array" ref="E1102">INDIRECT(_xlfn.CONCAT("$L", $F1102))</f>
        <v/>
      </c>
      <c r="F1102" s="1" t="n"/>
      <c r="I1102" s="8" t="inlineStr">
        <is>
          <t>Oath of the Gatewatch Tokens TOGW</t>
        </is>
      </c>
      <c r="J1102" s="8" t="n">
        <v>11</v>
      </c>
      <c r="K1102" s="9" t="n">
        <v>42391</v>
      </c>
      <c r="L1102" s="8" t="inlineStr">
        <is>
          <t>en es fr de it pt ja ko ru 汉语 漢語</t>
        </is>
      </c>
    </row>
    <row r="1103">
      <c r="A1103" s="1">
        <f t="array" ref="A1103">INDIRECT(_xlfn.CONCAT("$I", $F1103))</f>
        <v/>
      </c>
      <c r="B1103" s="1">
        <f t="array" ref="B1103">INDIRECT(_xlfn.CONCAT("$J", $F1103))</f>
        <v/>
      </c>
      <c r="C1103" s="1">
        <f t="array" ref="C1103">INDIRECT(_xlfn.CONCAT("$K", $F1103))</f>
        <v/>
      </c>
      <c r="D1103" s="1" t="n"/>
      <c r="E1103" s="1">
        <f t="array" ref="E1103">INDIRECT(_xlfn.CONCAT("$L", $F1103))</f>
        <v/>
      </c>
      <c r="F1103" s="1" t="n"/>
    </row>
    <row r="1104">
      <c r="A1104" s="1">
        <f t="array" ref="A1104">INDIRECT(_xlfn.CONCAT("$I", $F1104))</f>
        <v/>
      </c>
      <c r="B1104" s="1">
        <f t="array" ref="B1104">INDIRECT(_xlfn.CONCAT("$J", $F1104))</f>
        <v/>
      </c>
      <c r="C1104" s="1">
        <f t="array" ref="C1104">INDIRECT(_xlfn.CONCAT("$K", $F1104))</f>
        <v/>
      </c>
      <c r="D1104" s="1" t="n"/>
      <c r="E1104" s="1">
        <f t="array" ref="E1104">INDIRECT(_xlfn.CONCAT("$L", $F1104))</f>
        <v/>
      </c>
      <c r="F1104" s="1" t="n"/>
      <c r="I1104" s="8" t="inlineStr">
        <is>
          <t>League Tokens 2016 L16</t>
        </is>
      </c>
      <c r="J1104" s="8" t="n">
        <v>1</v>
      </c>
      <c r="K1104" s="9" t="n">
        <v>42370</v>
      </c>
      <c r="L1104" s="8" t="inlineStr">
        <is>
          <t>en es fr de it pt ja ko ru 汉语 漢語</t>
        </is>
      </c>
    </row>
    <row r="1105">
      <c r="A1105" s="1">
        <f t="array" ref="A1105">INDIRECT(_xlfn.CONCAT("$I", $F1105))</f>
        <v/>
      </c>
      <c r="B1105" s="1">
        <f t="array" ref="B1105">INDIRECT(_xlfn.CONCAT("$J", $F1105))</f>
        <v/>
      </c>
      <c r="C1105" s="1">
        <f t="array" ref="C1105">INDIRECT(_xlfn.CONCAT("$K", $F1105))</f>
        <v/>
      </c>
      <c r="D1105" s="1" t="n"/>
      <c r="E1105" s="1">
        <f t="array" ref="E1105">INDIRECT(_xlfn.CONCAT("$L", $F1105))</f>
        <v/>
      </c>
      <c r="F1105" s="1" t="n"/>
    </row>
    <row r="1106">
      <c r="A1106" s="1">
        <f t="array" ref="A1106">INDIRECT(_xlfn.CONCAT("$I", $F1106))</f>
        <v/>
      </c>
      <c r="B1106" s="1">
        <f t="array" ref="B1106">INDIRECT(_xlfn.CONCAT("$J", $F1106))</f>
        <v/>
      </c>
      <c r="C1106" s="1">
        <f t="array" ref="C1106">INDIRECT(_xlfn.CONCAT("$K", $F1106))</f>
        <v/>
      </c>
      <c r="D1106" s="1" t="n"/>
      <c r="E1106" s="1">
        <f t="array" ref="E1106">INDIRECT(_xlfn.CONCAT("$L", $F1106))</f>
        <v/>
      </c>
      <c r="F1106" s="1" t="n"/>
      <c r="I1106" s="8" t="inlineStr">
        <is>
          <t>Judge Gift Cards 2016 J16</t>
        </is>
      </c>
      <c r="J1106" s="8" t="n">
        <v>8</v>
      </c>
      <c r="K1106" s="9" t="n">
        <v>42370</v>
      </c>
      <c r="L1106" s="8" t="inlineStr">
        <is>
          <t>en es fr de it pt ja ko ru 汉语 漢語</t>
        </is>
      </c>
    </row>
    <row r="1107">
      <c r="A1107" s="1">
        <f t="array" ref="A1107">INDIRECT(_xlfn.CONCAT("$I", $F1107))</f>
        <v/>
      </c>
      <c r="B1107" s="1">
        <f t="array" ref="B1107">INDIRECT(_xlfn.CONCAT("$J", $F1107))</f>
        <v/>
      </c>
      <c r="C1107" s="1">
        <f t="array" ref="C1107">INDIRECT(_xlfn.CONCAT("$K", $F1107))</f>
        <v/>
      </c>
      <c r="D1107" s="1" t="n"/>
      <c r="E1107" s="1">
        <f t="array" ref="E1107">INDIRECT(_xlfn.CONCAT("$L", $F1107))</f>
        <v/>
      </c>
      <c r="F1107" s="1" t="n"/>
    </row>
    <row r="1108">
      <c r="A1108" s="1">
        <f t="array" ref="A1108">INDIRECT(_xlfn.CONCAT("$I", $F1108))</f>
        <v/>
      </c>
      <c r="B1108" s="1">
        <f t="array" ref="B1108">INDIRECT(_xlfn.CONCAT("$J", $F1108))</f>
        <v/>
      </c>
      <c r="C1108" s="1">
        <f t="array" ref="C1108">INDIRECT(_xlfn.CONCAT("$K", $F1108))</f>
        <v/>
      </c>
      <c r="D1108" s="1" t="n"/>
      <c r="E1108" s="1">
        <f t="array" ref="E1108">INDIRECT(_xlfn.CONCAT("$L", $F1108))</f>
        <v/>
      </c>
      <c r="F1108" s="1" t="n"/>
      <c r="I1108" s="8" t="inlineStr">
        <is>
          <t>Friday Night Magic 2016 F16</t>
        </is>
      </c>
      <c r="J1108" s="8" t="n">
        <v>12</v>
      </c>
      <c r="K1108" s="9" t="n">
        <v>42370</v>
      </c>
      <c r="L1108" s="8" t="inlineStr">
        <is>
          <t>en es fr de it pt ja ko ru 汉语 漢語</t>
        </is>
      </c>
    </row>
    <row r="1109">
      <c r="A1109" s="1">
        <f t="array" ref="A1109">INDIRECT(_xlfn.CONCAT("$I", $F1109))</f>
        <v/>
      </c>
      <c r="B1109" s="1">
        <f t="array" ref="B1109">INDIRECT(_xlfn.CONCAT("$J", $F1109))</f>
        <v/>
      </c>
      <c r="C1109" s="1">
        <f t="array" ref="C1109">INDIRECT(_xlfn.CONCAT("$K", $F1109))</f>
        <v/>
      </c>
      <c r="D1109" s="1" t="n"/>
      <c r="E1109" s="1">
        <f t="array" ref="E1109">INDIRECT(_xlfn.CONCAT("$L", $F1109))</f>
        <v/>
      </c>
      <c r="F1109" s="1" t="n"/>
    </row>
    <row r="1110">
      <c r="A1110" s="1">
        <f t="array" ref="A1110">INDIRECT(_xlfn.CONCAT("$I", $F1110))</f>
        <v/>
      </c>
      <c r="B1110" s="1">
        <f t="array" ref="B1110">INDIRECT(_xlfn.CONCAT("$J", $F1110))</f>
        <v/>
      </c>
      <c r="C1110" s="1">
        <f t="array" ref="C1110">INDIRECT(_xlfn.CONCAT("$K", $F1110))</f>
        <v/>
      </c>
      <c r="D1110" s="1" t="n"/>
      <c r="E1110" s="1">
        <f t="array" ref="E1110">INDIRECT(_xlfn.CONCAT("$L", $F1110))</f>
        <v/>
      </c>
      <c r="F1110" s="1" t="n"/>
      <c r="I1110" s="8" t="inlineStr">
        <is>
          <t>Legendary Cube Prize Pack PZ1</t>
        </is>
      </c>
      <c r="J1110" s="8" t="n">
        <v>149</v>
      </c>
      <c r="K1110" s="9" t="n">
        <v>42326</v>
      </c>
      <c r="L1110" s="8" t="inlineStr">
        <is>
          <t>en es fr de it pt ja ko ru 汉语 漢語</t>
        </is>
      </c>
    </row>
    <row r="1111">
      <c r="A1111" s="1">
        <f t="array" ref="A1111">INDIRECT(_xlfn.CONCAT("$I", $F1111))</f>
        <v/>
      </c>
      <c r="B1111" s="1">
        <f t="array" ref="B1111">INDIRECT(_xlfn.CONCAT("$J", $F1111))</f>
        <v/>
      </c>
      <c r="C1111" s="1">
        <f t="array" ref="C1111">INDIRECT(_xlfn.CONCAT("$K", $F1111))</f>
        <v/>
      </c>
      <c r="D1111" s="1" t="n"/>
      <c r="E1111" s="1">
        <f t="array" ref="E1111">INDIRECT(_xlfn.CONCAT("$L", $F1111))</f>
        <v/>
      </c>
      <c r="F1111" s="1" t="n"/>
    </row>
    <row r="1112">
      <c r="A1112" s="1">
        <f t="array" ref="A1112">INDIRECT(_xlfn.CONCAT("$I", $F1112))</f>
        <v/>
      </c>
      <c r="B1112" s="1">
        <f t="array" ref="B1112">INDIRECT(_xlfn.CONCAT("$J", $F1112))</f>
        <v/>
      </c>
      <c r="C1112" s="1">
        <f t="array" ref="C1112">INDIRECT(_xlfn.CONCAT("$K", $F1112))</f>
        <v/>
      </c>
      <c r="D1112" s="1" t="n"/>
      <c r="E1112" s="1">
        <f t="array" ref="E1112">INDIRECT(_xlfn.CONCAT("$L", $F1112))</f>
        <v/>
      </c>
      <c r="F1112" s="1" t="n"/>
      <c r="I1112" s="8" t="inlineStr">
        <is>
          <t>Commander 2015 C15</t>
        </is>
      </c>
      <c r="J1112" s="8" t="n">
        <v>342</v>
      </c>
      <c r="K1112" s="9" t="n">
        <v>42321</v>
      </c>
      <c r="L1112" t="inlineStr">
        <is>
          <t>en es fr de it pt ja ko ru 汉语 漢語</t>
        </is>
      </c>
    </row>
    <row r="1113">
      <c r="A1113" s="1">
        <f t="array" ref="A1113">INDIRECT(_xlfn.CONCAT("$I", $F1113))</f>
        <v/>
      </c>
      <c r="B1113" s="1">
        <f t="array" ref="B1113">INDIRECT(_xlfn.CONCAT("$J", $F1113))</f>
        <v/>
      </c>
      <c r="C1113" s="1">
        <f t="array" ref="C1113">INDIRECT(_xlfn.CONCAT("$K", $F1113))</f>
        <v/>
      </c>
      <c r="D1113" s="1" t="n"/>
      <c r="E1113" s="1">
        <f t="array" ref="E1113">INDIRECT(_xlfn.CONCAT("$L", $F1113))</f>
        <v/>
      </c>
      <c r="F1113" s="1" t="n"/>
    </row>
    <row r="1114">
      <c r="A1114" s="1">
        <f t="array" ref="A1114">INDIRECT(_xlfn.CONCAT("$I", $F1114))</f>
        <v/>
      </c>
      <c r="B1114" s="1">
        <f t="array" ref="B1114">INDIRECT(_xlfn.CONCAT("$J", $F1114))</f>
        <v/>
      </c>
      <c r="C1114" s="1">
        <f t="array" ref="C1114">INDIRECT(_xlfn.CONCAT("$K", $F1114))</f>
        <v/>
      </c>
      <c r="D1114" s="1" t="n"/>
      <c r="E1114" s="1">
        <f t="array" ref="E1114">INDIRECT(_xlfn.CONCAT("$L", $F1114))</f>
        <v/>
      </c>
      <c r="F1114" s="1" t="n"/>
      <c r="I1114" s="8" t="inlineStr">
        <is>
          <t>Commander 2015 Tokens TC15</t>
        </is>
      </c>
      <c r="J1114" s="8" t="n">
        <v>25</v>
      </c>
      <c r="K1114" s="9" t="n">
        <v>42321</v>
      </c>
      <c r="L1114" s="8" t="inlineStr">
        <is>
          <t>en es fr de it pt ja ko ru 汉语 漢語</t>
        </is>
      </c>
    </row>
    <row r="1115">
      <c r="A1115" s="1">
        <f t="array" ref="A1115">INDIRECT(_xlfn.CONCAT("$I", $F1115))</f>
        <v/>
      </c>
      <c r="B1115" s="1">
        <f t="array" ref="B1115">INDIRECT(_xlfn.CONCAT("$J", $F1115))</f>
        <v/>
      </c>
      <c r="C1115" s="1">
        <f t="array" ref="C1115">INDIRECT(_xlfn.CONCAT("$K", $F1115))</f>
        <v/>
      </c>
      <c r="D1115" s="1" t="n"/>
      <c r="E1115" s="1">
        <f t="array" ref="E1115">INDIRECT(_xlfn.CONCAT("$L", $F1115))</f>
        <v/>
      </c>
      <c r="F1115" s="1" t="n"/>
    </row>
    <row r="1116">
      <c r="A1116" s="1">
        <f t="array" ref="A1116">INDIRECT(_xlfn.CONCAT("$I", $F1116))</f>
        <v/>
      </c>
      <c r="B1116" s="1">
        <f t="array" ref="B1116">INDIRECT(_xlfn.CONCAT("$J", $F1116))</f>
        <v/>
      </c>
      <c r="C1116" s="1">
        <f t="array" ref="C1116">INDIRECT(_xlfn.CONCAT("$K", $F1116))</f>
        <v/>
      </c>
      <c r="D1116" s="1" t="n"/>
      <c r="E1116" s="1">
        <f t="array" ref="E1116">INDIRECT(_xlfn.CONCAT("$L", $F1116))</f>
        <v/>
      </c>
      <c r="F1116" s="1" t="n"/>
      <c r="I1116" s="8" t="inlineStr">
        <is>
          <t>Commander 2015 Oversized OC15</t>
        </is>
      </c>
      <c r="J1116" s="8" t="n">
        <v>5</v>
      </c>
      <c r="K1116" s="9" t="n">
        <v>42321</v>
      </c>
      <c r="L1116" s="8" t="inlineStr">
        <is>
          <t>en es fr de it pt ja ko ru 汉语 漢語</t>
        </is>
      </c>
    </row>
    <row r="1117">
      <c r="A1117" s="1">
        <f t="array" ref="A1117">INDIRECT(_xlfn.CONCAT("$I", $F1117))</f>
        <v/>
      </c>
      <c r="B1117" s="1">
        <f t="array" ref="B1117">INDIRECT(_xlfn.CONCAT("$J", $F1117))</f>
        <v/>
      </c>
      <c r="C1117" s="1">
        <f t="array" ref="C1117">INDIRECT(_xlfn.CONCAT("$K", $F1117))</f>
        <v/>
      </c>
      <c r="D1117" s="1" t="n"/>
      <c r="E1117" s="1">
        <f t="array" ref="E1117">INDIRECT(_xlfn.CONCAT("$L", $F1117))</f>
        <v/>
      </c>
      <c r="F1117" s="1" t="n"/>
    </row>
    <row r="1118">
      <c r="A1118" s="1">
        <f t="array" ref="A1118">INDIRECT(_xlfn.CONCAT("$I", $F1118))</f>
        <v/>
      </c>
      <c r="B1118" s="1">
        <f t="array" ref="B1118">INDIRECT(_xlfn.CONCAT("$J", $F1118))</f>
        <v/>
      </c>
      <c r="C1118" s="1">
        <f t="array" ref="C1118">INDIRECT(_xlfn.CONCAT("$K", $F1118))</f>
        <v/>
      </c>
      <c r="D1118" s="1" t="n"/>
      <c r="E1118" s="1">
        <f t="array" ref="E1118">INDIRECT(_xlfn.CONCAT("$L", $F1118))</f>
        <v/>
      </c>
      <c r="F1118" s="1" t="n"/>
      <c r="I1118" s="8" t="inlineStr">
        <is>
          <t>Battle for Zendikar BFZ</t>
        </is>
      </c>
      <c r="J1118" s="8" t="n">
        <v>299</v>
      </c>
      <c r="K1118" s="9" t="n">
        <v>42279</v>
      </c>
      <c r="L1118" t="inlineStr">
        <is>
          <t>en es fr de it pt ja ko ru 汉语 漢語</t>
        </is>
      </c>
    </row>
    <row r="1119">
      <c r="A1119" s="1">
        <f t="array" ref="A1119">INDIRECT(_xlfn.CONCAT("$I", $F1119))</f>
        <v/>
      </c>
      <c r="B1119" s="1">
        <f t="array" ref="B1119">INDIRECT(_xlfn.CONCAT("$J", $F1119))</f>
        <v/>
      </c>
      <c r="C1119" s="1">
        <f t="array" ref="C1119">INDIRECT(_xlfn.CONCAT("$K", $F1119))</f>
        <v/>
      </c>
      <c r="D1119" s="1" t="n"/>
      <c r="E1119" s="1">
        <f t="array" ref="E1119">INDIRECT(_xlfn.CONCAT("$L", $F1119))</f>
        <v/>
      </c>
      <c r="F1119" s="1" t="n"/>
    </row>
    <row r="1120">
      <c r="A1120" s="1">
        <f t="array" ref="A1120">INDIRECT(_xlfn.CONCAT("$I", $F1120))</f>
        <v/>
      </c>
      <c r="B1120" s="1">
        <f t="array" ref="B1120">INDIRECT(_xlfn.CONCAT("$J", $F1120))</f>
        <v/>
      </c>
      <c r="C1120" s="1">
        <f t="array" ref="C1120">INDIRECT(_xlfn.CONCAT("$K", $F1120))</f>
        <v/>
      </c>
      <c r="D1120" s="1" t="n"/>
      <c r="E1120" s="1">
        <f t="array" ref="E1120">INDIRECT(_xlfn.CONCAT("$L", $F1120))</f>
        <v/>
      </c>
      <c r="F1120" s="1" t="n"/>
      <c r="I1120" s="8" t="inlineStr">
        <is>
          <t>Zendikar Expeditions EXP</t>
        </is>
      </c>
      <c r="J1120" s="8" t="n">
        <v>45</v>
      </c>
      <c r="K1120" s="9" t="n">
        <v>42279</v>
      </c>
      <c r="L1120" s="8" t="inlineStr">
        <is>
          <t>en es fr de it pt ja ko ru 汉语 漢語</t>
        </is>
      </c>
    </row>
    <row r="1121">
      <c r="A1121" s="1">
        <f t="array" ref="A1121">INDIRECT(_xlfn.CONCAT("$I", $F1121))</f>
        <v/>
      </c>
      <c r="B1121" s="1">
        <f t="array" ref="B1121">INDIRECT(_xlfn.CONCAT("$J", $F1121))</f>
        <v/>
      </c>
      <c r="C1121" s="1">
        <f t="array" ref="C1121">INDIRECT(_xlfn.CONCAT("$K", $F1121))</f>
        <v/>
      </c>
      <c r="D1121" s="1" t="n"/>
      <c r="E1121" s="1">
        <f t="array" ref="E1121">INDIRECT(_xlfn.CONCAT("$L", $F1121))</f>
        <v/>
      </c>
      <c r="F1121" s="1" t="n"/>
    </row>
    <row r="1122">
      <c r="A1122" s="1">
        <f t="array" ref="A1122">INDIRECT(_xlfn.CONCAT("$I", $F1122))</f>
        <v/>
      </c>
      <c r="B1122" s="1">
        <f t="array" ref="B1122">INDIRECT(_xlfn.CONCAT("$J", $F1122))</f>
        <v/>
      </c>
      <c r="C1122" s="1">
        <f t="array" ref="C1122">INDIRECT(_xlfn.CONCAT("$K", $F1122))</f>
        <v/>
      </c>
      <c r="D1122" s="1" t="n"/>
      <c r="E1122" s="1">
        <f t="array" ref="E1122">INDIRECT(_xlfn.CONCAT("$L", $F1122))</f>
        <v/>
      </c>
      <c r="F1122" s="1" t="n"/>
      <c r="I1122" s="8" t="inlineStr">
        <is>
          <t>Battle for Zendikar Promos PBFZ</t>
        </is>
      </c>
      <c r="J1122" s="8" t="n">
        <v>90</v>
      </c>
      <c r="K1122" s="9" t="n">
        <v>42279</v>
      </c>
      <c r="L1122" s="8" t="inlineStr">
        <is>
          <t>en es fr de it pt ja ko ru 汉语 漢語</t>
        </is>
      </c>
    </row>
    <row r="1123">
      <c r="A1123" s="1">
        <f t="array" ref="A1123">INDIRECT(_xlfn.CONCAT("$I", $F1123))</f>
        <v/>
      </c>
      <c r="B1123" s="1">
        <f t="array" ref="B1123">INDIRECT(_xlfn.CONCAT("$J", $F1123))</f>
        <v/>
      </c>
      <c r="C1123" s="1">
        <f t="array" ref="C1123">INDIRECT(_xlfn.CONCAT("$K", $F1123))</f>
        <v/>
      </c>
      <c r="D1123" s="1" t="n"/>
      <c r="E1123" s="1">
        <f t="array" ref="E1123">INDIRECT(_xlfn.CONCAT("$L", $F1123))</f>
        <v/>
      </c>
      <c r="F1123" s="1" t="n"/>
    </row>
    <row r="1124">
      <c r="A1124" s="1">
        <f t="array" ref="A1124">INDIRECT(_xlfn.CONCAT("$I", $F1124))</f>
        <v/>
      </c>
      <c r="B1124" s="1">
        <f t="array" ref="B1124">INDIRECT(_xlfn.CONCAT("$J", $F1124))</f>
        <v/>
      </c>
      <c r="C1124" s="1">
        <f t="array" ref="C1124">INDIRECT(_xlfn.CONCAT("$K", $F1124))</f>
        <v/>
      </c>
      <c r="D1124" s="1" t="n"/>
      <c r="E1124" s="1">
        <f t="array" ref="E1124">INDIRECT(_xlfn.CONCAT("$L", $F1124))</f>
        <v/>
      </c>
      <c r="F1124" s="1" t="n"/>
      <c r="I1124" s="8" t="inlineStr">
        <is>
          <t>Battle for Zendikar Tokens TBFZ</t>
        </is>
      </c>
      <c r="J1124" s="8" t="n">
        <v>14</v>
      </c>
      <c r="K1124" s="9" t="n">
        <v>42279</v>
      </c>
      <c r="L1124" s="8" t="inlineStr">
        <is>
          <t>en es fr de it pt ja ko ru 汉语 漢語</t>
        </is>
      </c>
    </row>
    <row r="1125">
      <c r="A1125" s="1">
        <f t="array" ref="A1125">INDIRECT(_xlfn.CONCAT("$I", $F1125))</f>
        <v/>
      </c>
      <c r="B1125" s="1">
        <f t="array" ref="B1125">INDIRECT(_xlfn.CONCAT("$J", $F1125))</f>
        <v/>
      </c>
      <c r="C1125" s="1">
        <f t="array" ref="C1125">INDIRECT(_xlfn.CONCAT("$K", $F1125))</f>
        <v/>
      </c>
      <c r="D1125" s="1" t="n"/>
      <c r="E1125" s="1">
        <f t="array" ref="E1125">INDIRECT(_xlfn.CONCAT("$L", $F1125))</f>
        <v/>
      </c>
      <c r="F1125" s="1" t="n"/>
    </row>
    <row r="1126">
      <c r="A1126" s="1">
        <f t="array" ref="A1126">INDIRECT(_xlfn.CONCAT("$I", $F1126))</f>
        <v/>
      </c>
      <c r="B1126" s="1">
        <f t="array" ref="B1126">INDIRECT(_xlfn.CONCAT("$J", $F1126))</f>
        <v/>
      </c>
      <c r="C1126" s="1">
        <f t="array" ref="C1126">INDIRECT(_xlfn.CONCAT("$K", $F1126))</f>
        <v/>
      </c>
      <c r="D1126" s="1" t="n"/>
      <c r="E1126" s="1">
        <f t="array" ref="E1126">INDIRECT(_xlfn.CONCAT("$L", $F1126))</f>
        <v/>
      </c>
      <c r="F1126" s="1" t="n"/>
      <c r="I1126" s="8" t="inlineStr">
        <is>
          <t>BFZ Standard Series PSS1</t>
        </is>
      </c>
      <c r="J1126" s="8" t="n">
        <v>5</v>
      </c>
      <c r="K1126" s="9" t="n">
        <v>42279</v>
      </c>
      <c r="L1126" s="8" t="inlineStr">
        <is>
          <t>en es fr de it pt ja ko ru 汉语 漢語</t>
        </is>
      </c>
    </row>
    <row r="1127">
      <c r="A1127" s="1">
        <f t="array" ref="A1127">INDIRECT(_xlfn.CONCAT("$I", $F1127))</f>
        <v/>
      </c>
      <c r="B1127" s="1">
        <f t="array" ref="B1127">INDIRECT(_xlfn.CONCAT("$J", $F1127))</f>
        <v/>
      </c>
      <c r="C1127" s="1">
        <f t="array" ref="C1127">INDIRECT(_xlfn.CONCAT("$K", $F1127))</f>
        <v/>
      </c>
      <c r="D1127" s="1" t="n"/>
      <c r="E1127" s="1">
        <f t="array" ref="E1127">INDIRECT(_xlfn.CONCAT("$L", $F1127))</f>
        <v/>
      </c>
      <c r="F1127" s="1" t="n"/>
    </row>
    <row r="1128">
      <c r="A1128" s="1">
        <f t="array" ref="A1128">INDIRECT(_xlfn.CONCAT("$I", $F1128))</f>
        <v/>
      </c>
      <c r="B1128" s="1">
        <f t="array" ref="B1128">INDIRECT(_xlfn.CONCAT("$J", $F1128))</f>
        <v/>
      </c>
      <c r="C1128" s="1">
        <f t="array" ref="C1128">INDIRECT(_xlfn.CONCAT("$K", $F1128))</f>
        <v/>
      </c>
      <c r="D1128" s="1" t="n"/>
      <c r="E1128" s="1">
        <f t="array" ref="E1128">INDIRECT(_xlfn.CONCAT("$L", $F1128))</f>
        <v/>
      </c>
      <c r="F1128" s="1" t="n"/>
      <c r="I1128" s="8" t="inlineStr">
        <is>
          <t>Duel Decks: Zendikar vs. Eldrazi DDP</t>
        </is>
      </c>
      <c r="J1128" s="8" t="n">
        <v>80</v>
      </c>
      <c r="K1128" s="9" t="n">
        <v>42244</v>
      </c>
      <c r="L1128" t="inlineStr">
        <is>
          <t>en es fr de it pt ja ko ru 汉语 漢語</t>
        </is>
      </c>
    </row>
    <row r="1129">
      <c r="A1129" s="1">
        <f t="array" ref="A1129">INDIRECT(_xlfn.CONCAT("$I", $F1129))</f>
        <v/>
      </c>
      <c r="B1129" s="1">
        <f t="array" ref="B1129">INDIRECT(_xlfn.CONCAT("$J", $F1129))</f>
        <v/>
      </c>
      <c r="C1129" s="1">
        <f t="array" ref="C1129">INDIRECT(_xlfn.CONCAT("$K", $F1129))</f>
        <v/>
      </c>
      <c r="D1129" s="1" t="n"/>
      <c r="E1129" s="1">
        <f t="array" ref="E1129">INDIRECT(_xlfn.CONCAT("$L", $F1129))</f>
        <v/>
      </c>
      <c r="F1129" s="1" t="n"/>
    </row>
    <row r="1130">
      <c r="A1130" s="1">
        <f t="array" ref="A1130">INDIRECT(_xlfn.CONCAT("$I", $F1130))</f>
        <v/>
      </c>
      <c r="B1130" s="1">
        <f t="array" ref="B1130">INDIRECT(_xlfn.CONCAT("$J", $F1130))</f>
        <v/>
      </c>
      <c r="C1130" s="1">
        <f t="array" ref="C1130">INDIRECT(_xlfn.CONCAT("$K", $F1130))</f>
        <v/>
      </c>
      <c r="D1130" s="1" t="n"/>
      <c r="E1130" s="1">
        <f t="array" ref="E1130">INDIRECT(_xlfn.CONCAT("$L", $F1130))</f>
        <v/>
      </c>
      <c r="F1130" s="1" t="n"/>
      <c r="I1130" s="8" t="inlineStr">
        <is>
          <t>From the Vault: Angels V15</t>
        </is>
      </c>
      <c r="J1130" s="8" t="n">
        <v>15</v>
      </c>
      <c r="K1130" s="9" t="n">
        <v>42237</v>
      </c>
      <c r="L1130" s="8" t="inlineStr">
        <is>
          <t>en es fr de it pt ja ko ru 汉语 漢語</t>
        </is>
      </c>
    </row>
    <row r="1131">
      <c r="A1131" s="1">
        <f t="array" ref="A1131">INDIRECT(_xlfn.CONCAT("$I", $F1131))</f>
        <v/>
      </c>
      <c r="B1131" s="1">
        <f t="array" ref="B1131">INDIRECT(_xlfn.CONCAT("$J", $F1131))</f>
        <v/>
      </c>
      <c r="C1131" s="1">
        <f t="array" ref="C1131">INDIRECT(_xlfn.CONCAT("$K", $F1131))</f>
        <v/>
      </c>
      <c r="D1131" s="1" t="n"/>
      <c r="E1131" s="1">
        <f t="array" ref="E1131">INDIRECT(_xlfn.CONCAT("$L", $F1131))</f>
        <v/>
      </c>
      <c r="F1131" s="1" t="n"/>
    </row>
    <row r="1132">
      <c r="A1132" s="1">
        <f t="array" ref="A1132">INDIRECT(_xlfn.CONCAT("$I", $F1132))</f>
        <v/>
      </c>
      <c r="B1132" s="1">
        <f t="array" ref="B1132">INDIRECT(_xlfn.CONCAT("$J", $F1132))</f>
        <v/>
      </c>
      <c r="C1132" s="1">
        <f t="array" ref="C1132">INDIRECT(_xlfn.CONCAT("$K", $F1132))</f>
        <v/>
      </c>
      <c r="D1132" s="1" t="n"/>
      <c r="E1132" s="1">
        <f t="array" ref="E1132">INDIRECT(_xlfn.CONCAT("$L", $F1132))</f>
        <v/>
      </c>
      <c r="F1132" s="1" t="n"/>
      <c r="I1132" s="8" t="inlineStr">
        <is>
          <t>Magic Origins ORI</t>
        </is>
      </c>
      <c r="J1132" s="8" t="n">
        <v>288</v>
      </c>
      <c r="K1132" s="9" t="n">
        <v>42202</v>
      </c>
      <c r="L1132" t="inlineStr">
        <is>
          <t>en es fr de it pt ja ko ru 汉语 漢語</t>
        </is>
      </c>
    </row>
    <row r="1133">
      <c r="A1133" s="1">
        <f t="array" ref="A1133">INDIRECT(_xlfn.CONCAT("$I", $F1133))</f>
        <v/>
      </c>
      <c r="B1133" s="1">
        <f t="array" ref="B1133">INDIRECT(_xlfn.CONCAT("$J", $F1133))</f>
        <v/>
      </c>
      <c r="C1133" s="1">
        <f t="array" ref="C1133">INDIRECT(_xlfn.CONCAT("$K", $F1133))</f>
        <v/>
      </c>
      <c r="D1133" s="1" t="n"/>
      <c r="E1133" s="1">
        <f t="array" ref="E1133">INDIRECT(_xlfn.CONCAT("$L", $F1133))</f>
        <v/>
      </c>
      <c r="F1133" s="1" t="n"/>
    </row>
    <row r="1134">
      <c r="A1134" s="1">
        <f t="array" ref="A1134">INDIRECT(_xlfn.CONCAT("$I", $F1134))</f>
        <v/>
      </c>
      <c r="B1134" s="1">
        <f t="array" ref="B1134">INDIRECT(_xlfn.CONCAT("$J", $F1134))</f>
        <v/>
      </c>
      <c r="C1134" s="1">
        <f t="array" ref="C1134">INDIRECT(_xlfn.CONCAT("$K", $F1134))</f>
        <v/>
      </c>
      <c r="D1134" s="1" t="n"/>
      <c r="E1134" s="1">
        <f t="array" ref="E1134">INDIRECT(_xlfn.CONCAT("$L", $F1134))</f>
        <v/>
      </c>
      <c r="F1134" s="1" t="n"/>
      <c r="I1134" s="8" t="inlineStr">
        <is>
          <t>Magic Origins Promos PORI</t>
        </is>
      </c>
      <c r="J1134" s="8" t="n">
        <v>54</v>
      </c>
      <c r="K1134" s="9" t="n">
        <v>42202</v>
      </c>
      <c r="L1134" s="8" t="inlineStr">
        <is>
          <t>en es fr de it pt ja ko ru 汉语 漢語</t>
        </is>
      </c>
    </row>
    <row r="1135">
      <c r="A1135" s="1">
        <f t="array" ref="A1135">INDIRECT(_xlfn.CONCAT("$I", $F1135))</f>
        <v/>
      </c>
      <c r="B1135" s="1">
        <f t="array" ref="B1135">INDIRECT(_xlfn.CONCAT("$J", $F1135))</f>
        <v/>
      </c>
      <c r="C1135" s="1">
        <f t="array" ref="C1135">INDIRECT(_xlfn.CONCAT("$K", $F1135))</f>
        <v/>
      </c>
      <c r="D1135" s="1" t="n"/>
      <c r="E1135" s="1">
        <f t="array" ref="E1135">INDIRECT(_xlfn.CONCAT("$L", $F1135))</f>
        <v/>
      </c>
      <c r="F1135" s="1" t="n"/>
    </row>
    <row r="1136">
      <c r="A1136" s="1">
        <f t="array" ref="A1136">INDIRECT(_xlfn.CONCAT("$I", $F1136))</f>
        <v/>
      </c>
      <c r="B1136" s="1">
        <f t="array" ref="B1136">INDIRECT(_xlfn.CONCAT("$J", $F1136))</f>
        <v/>
      </c>
      <c r="C1136" s="1">
        <f t="array" ref="C1136">INDIRECT(_xlfn.CONCAT("$K", $F1136))</f>
        <v/>
      </c>
      <c r="D1136" s="1" t="n"/>
      <c r="E1136" s="1">
        <f t="array" ref="E1136">INDIRECT(_xlfn.CONCAT("$L", $F1136))</f>
        <v/>
      </c>
      <c r="F1136" s="1" t="n"/>
      <c r="I1136" s="8" t="inlineStr">
        <is>
          <t>Magic Origins Tokens TORI</t>
        </is>
      </c>
      <c r="J1136" s="8" t="n">
        <v>15</v>
      </c>
      <c r="K1136" s="9" t="n">
        <v>42202</v>
      </c>
      <c r="L1136" s="8" t="inlineStr">
        <is>
          <t>en es fr de it pt ja ko ru 汉语 漢語</t>
        </is>
      </c>
    </row>
    <row r="1137">
      <c r="A1137" s="1">
        <f t="array" ref="A1137">INDIRECT(_xlfn.CONCAT("$I", $F1137))</f>
        <v/>
      </c>
      <c r="B1137" s="1">
        <f t="array" ref="B1137">INDIRECT(_xlfn.CONCAT("$J", $F1137))</f>
        <v/>
      </c>
      <c r="C1137" s="1">
        <f t="array" ref="C1137">INDIRECT(_xlfn.CONCAT("$K", $F1137))</f>
        <v/>
      </c>
      <c r="D1137" s="1" t="n"/>
      <c r="E1137" s="1">
        <f t="array" ref="E1137">INDIRECT(_xlfn.CONCAT("$L", $F1137))</f>
        <v/>
      </c>
      <c r="F1137" s="1" t="n"/>
    </row>
    <row r="1138">
      <c r="A1138" s="1">
        <f t="array" ref="A1138">INDIRECT(_xlfn.CONCAT("$I", $F1138))</f>
        <v/>
      </c>
      <c r="B1138" s="1">
        <f t="array" ref="B1138">INDIRECT(_xlfn.CONCAT("$J", $F1138))</f>
        <v/>
      </c>
      <c r="C1138" s="1">
        <f t="array" ref="C1138">INDIRECT(_xlfn.CONCAT("$K", $F1138))</f>
        <v/>
      </c>
      <c r="D1138" s="1" t="n"/>
      <c r="E1138" s="1">
        <f t="array" ref="E1138">INDIRECT(_xlfn.CONCAT("$L", $F1138))</f>
        <v/>
      </c>
      <c r="F1138" s="1" t="n"/>
      <c r="I1138" s="8" t="inlineStr">
        <is>
          <t>Magic Origins Clash Pack CP3</t>
        </is>
      </c>
      <c r="J1138" s="8" t="n">
        <v>6</v>
      </c>
      <c r="K1138" s="9" t="n">
        <v>42202</v>
      </c>
      <c r="L1138" s="8" t="inlineStr">
        <is>
          <t>en es fr de it pt ja ko ru 汉语 漢語</t>
        </is>
      </c>
    </row>
    <row r="1139">
      <c r="A1139" s="1">
        <f t="array" ref="A1139">INDIRECT(_xlfn.CONCAT("$I", $F1139))</f>
        <v/>
      </c>
      <c r="B1139" s="1">
        <f t="array" ref="B1139">INDIRECT(_xlfn.CONCAT("$J", $F1139))</f>
        <v/>
      </c>
      <c r="C1139" s="1">
        <f t="array" ref="C1139">INDIRECT(_xlfn.CONCAT("$K", $F1139))</f>
        <v/>
      </c>
      <c r="D1139" s="1" t="n"/>
      <c r="E1139" s="1">
        <f t="array" ref="E1139">INDIRECT(_xlfn.CONCAT("$L", $F1139))</f>
        <v/>
      </c>
      <c r="F1139" s="1" t="n"/>
    </row>
    <row r="1140">
      <c r="A1140" s="1">
        <f t="array" ref="A1140">INDIRECT(_xlfn.CONCAT("$I", $F1140))</f>
        <v/>
      </c>
      <c r="B1140" s="1">
        <f t="array" ref="B1140">INDIRECT(_xlfn.CONCAT("$J", $F1140))</f>
        <v/>
      </c>
      <c r="C1140" s="1">
        <f t="array" ref="C1140">INDIRECT(_xlfn.CONCAT("$K", $F1140))</f>
        <v/>
      </c>
      <c r="D1140" s="1" t="n"/>
      <c r="E1140" s="1">
        <f t="array" ref="E1140">INDIRECT(_xlfn.CONCAT("$L", $F1140))</f>
        <v/>
      </c>
      <c r="F1140" s="1" t="n"/>
      <c r="I1140" s="8" t="inlineStr">
        <is>
          <t>San Diego Comic-Con 2015 PS15</t>
        </is>
      </c>
      <c r="J1140" s="8" t="n">
        <v>5</v>
      </c>
      <c r="K1140" s="9" t="n">
        <v>42194</v>
      </c>
      <c r="L1140" s="8" t="inlineStr">
        <is>
          <t>en es fr de it pt ja ko ru 汉语 漢語</t>
        </is>
      </c>
    </row>
    <row r="1141">
      <c r="A1141" s="1">
        <f t="array" ref="A1141">INDIRECT(_xlfn.CONCAT("$I", $F1141))</f>
        <v/>
      </c>
      <c r="B1141" s="1">
        <f t="array" ref="B1141">INDIRECT(_xlfn.CONCAT("$J", $F1141))</f>
        <v/>
      </c>
      <c r="C1141" s="1">
        <f t="array" ref="C1141">INDIRECT(_xlfn.CONCAT("$K", $F1141))</f>
        <v/>
      </c>
      <c r="D1141" s="1" t="n"/>
      <c r="E1141" s="1">
        <f t="array" ref="E1141">INDIRECT(_xlfn.CONCAT("$L", $F1141))</f>
        <v/>
      </c>
      <c r="F1141" s="1" t="n"/>
    </row>
    <row r="1142">
      <c r="A1142" s="1">
        <f t="array" ref="A1142">INDIRECT(_xlfn.CONCAT("$I", $F1142))</f>
        <v/>
      </c>
      <c r="B1142" s="1">
        <f t="array" ref="B1142">INDIRECT(_xlfn.CONCAT("$J", $F1142))</f>
        <v/>
      </c>
      <c r="C1142" s="1">
        <f t="array" ref="C1142">INDIRECT(_xlfn.CONCAT("$K", $F1142))</f>
        <v/>
      </c>
      <c r="D1142" s="1" t="n"/>
      <c r="E1142" s="1">
        <f t="array" ref="E1142">INDIRECT(_xlfn.CONCAT("$L", $F1142))</f>
        <v/>
      </c>
      <c r="F1142" s="1" t="n"/>
      <c r="I1142" s="8" t="inlineStr">
        <is>
          <t>Modern Masters 2015 MM2</t>
        </is>
      </c>
      <c r="J1142" s="8" t="n">
        <v>249</v>
      </c>
      <c r="K1142" s="9" t="n">
        <v>42146</v>
      </c>
      <c r="L1142" t="inlineStr">
        <is>
          <t>en es fr de it pt ja ko ru 汉语 漢語</t>
        </is>
      </c>
    </row>
    <row r="1143">
      <c r="A1143" s="1">
        <f t="array" ref="A1143">INDIRECT(_xlfn.CONCAT("$I", $F1143))</f>
        <v/>
      </c>
      <c r="B1143" s="1">
        <f t="array" ref="B1143">INDIRECT(_xlfn.CONCAT("$J", $F1143))</f>
        <v/>
      </c>
      <c r="C1143" s="1">
        <f t="array" ref="C1143">INDIRECT(_xlfn.CONCAT("$K", $F1143))</f>
        <v/>
      </c>
      <c r="D1143" s="1" t="n"/>
      <c r="E1143" s="1">
        <f t="array" ref="E1143">INDIRECT(_xlfn.CONCAT("$L", $F1143))</f>
        <v/>
      </c>
      <c r="F1143" s="1" t="n"/>
    </row>
    <row r="1144">
      <c r="A1144" s="1">
        <f t="array" ref="A1144">INDIRECT(_xlfn.CONCAT("$I", $F1144))</f>
        <v/>
      </c>
      <c r="B1144" s="1">
        <f t="array" ref="B1144">INDIRECT(_xlfn.CONCAT("$J", $F1144))</f>
        <v/>
      </c>
      <c r="C1144" s="1">
        <f t="array" ref="C1144">INDIRECT(_xlfn.CONCAT("$K", $F1144))</f>
        <v/>
      </c>
      <c r="D1144" s="1" t="n"/>
      <c r="E1144" s="1">
        <f t="array" ref="E1144">INDIRECT(_xlfn.CONCAT("$L", $F1144))</f>
        <v/>
      </c>
      <c r="F1144" s="1" t="n"/>
      <c r="I1144" s="8" t="inlineStr">
        <is>
          <t>Modern Masters 2015 Tokens TMM2</t>
        </is>
      </c>
      <c r="J1144" s="8" t="n">
        <v>16</v>
      </c>
      <c r="K1144" s="9" t="n">
        <v>42146</v>
      </c>
      <c r="L1144" s="8" t="inlineStr">
        <is>
          <t>en es fr de it pt ja ko ru 汉语 漢語</t>
        </is>
      </c>
    </row>
    <row r="1145">
      <c r="A1145" s="1">
        <f t="array" ref="A1145">INDIRECT(_xlfn.CONCAT("$I", $F1145))</f>
        <v/>
      </c>
      <c r="B1145" s="1">
        <f t="array" ref="B1145">INDIRECT(_xlfn.CONCAT("$J", $F1145))</f>
        <v/>
      </c>
      <c r="C1145" s="1">
        <f t="array" ref="C1145">INDIRECT(_xlfn.CONCAT("$K", $F1145))</f>
        <v/>
      </c>
      <c r="D1145" s="1" t="n"/>
      <c r="E1145" s="1">
        <f t="array" ref="E1145">INDIRECT(_xlfn.CONCAT("$L", $F1145))</f>
        <v/>
      </c>
      <c r="F1145" s="1" t="n"/>
    </row>
    <row r="1146">
      <c r="A1146" s="1">
        <f t="array" ref="A1146">INDIRECT(_xlfn.CONCAT("$I", $F1146))</f>
        <v/>
      </c>
      <c r="B1146" s="1">
        <f t="array" ref="B1146">INDIRECT(_xlfn.CONCAT("$J", $F1146))</f>
        <v/>
      </c>
      <c r="C1146" s="1">
        <f t="array" ref="C1146">INDIRECT(_xlfn.CONCAT("$K", $F1146))</f>
        <v/>
      </c>
      <c r="D1146" s="1" t="n"/>
      <c r="E1146" s="1">
        <f t="array" ref="E1146">INDIRECT(_xlfn.CONCAT("$L", $F1146))</f>
        <v/>
      </c>
      <c r="F1146" s="1" t="n"/>
      <c r="I1146" s="8" t="inlineStr">
        <is>
          <t>Tempest Remastered TPR</t>
        </is>
      </c>
      <c r="J1146" s="8" t="n">
        <v>269</v>
      </c>
      <c r="K1146" s="9" t="n">
        <v>42130</v>
      </c>
      <c r="L1146" s="8" t="inlineStr">
        <is>
          <t>en es fr de it pt ja ko ru 汉语 漢語</t>
        </is>
      </c>
    </row>
    <row r="1147">
      <c r="A1147" s="1">
        <f t="array" ref="A1147">INDIRECT(_xlfn.CONCAT("$I", $F1147))</f>
        <v/>
      </c>
      <c r="B1147" s="1">
        <f t="array" ref="B1147">INDIRECT(_xlfn.CONCAT("$J", $F1147))</f>
        <v/>
      </c>
      <c r="C1147" s="1">
        <f t="array" ref="C1147">INDIRECT(_xlfn.CONCAT("$K", $F1147))</f>
        <v/>
      </c>
      <c r="D1147" s="1" t="n"/>
      <c r="E1147" s="1">
        <f t="array" ref="E1147">INDIRECT(_xlfn.CONCAT("$L", $F1147))</f>
        <v/>
      </c>
      <c r="F1147" s="1" t="n"/>
    </row>
    <row r="1148">
      <c r="A1148" s="1">
        <f t="array" ref="A1148">INDIRECT(_xlfn.CONCAT("$I", $F1148))</f>
        <v/>
      </c>
      <c r="B1148" s="1">
        <f t="array" ref="B1148">INDIRECT(_xlfn.CONCAT("$J", $F1148))</f>
        <v/>
      </c>
      <c r="C1148" s="1">
        <f t="array" ref="C1148">INDIRECT(_xlfn.CONCAT("$K", $F1148))</f>
        <v/>
      </c>
      <c r="D1148" s="1" t="n"/>
      <c r="E1148" s="1">
        <f t="array" ref="E1148">INDIRECT(_xlfn.CONCAT("$L", $F1148))</f>
        <v/>
      </c>
      <c r="F1148" s="1" t="n"/>
      <c r="I1148" s="8" t="inlineStr">
        <is>
          <t>Dragons of Tarkir DTK</t>
        </is>
      </c>
      <c r="J1148" s="8" t="n">
        <v>264</v>
      </c>
      <c r="K1148" s="9" t="n">
        <v>42090</v>
      </c>
      <c r="L1148" t="inlineStr">
        <is>
          <t>en es fr de it pt ja ko ru 汉语 漢語</t>
        </is>
      </c>
    </row>
    <row r="1149">
      <c r="A1149" s="1">
        <f t="array" ref="A1149">INDIRECT(_xlfn.CONCAT("$I", $F1149))</f>
        <v/>
      </c>
      <c r="B1149" s="1">
        <f t="array" ref="B1149">INDIRECT(_xlfn.CONCAT("$J", $F1149))</f>
        <v/>
      </c>
      <c r="C1149" s="1">
        <f t="array" ref="C1149">INDIRECT(_xlfn.CONCAT("$K", $F1149))</f>
        <v/>
      </c>
      <c r="D1149" s="1" t="n"/>
      <c r="E1149" s="1">
        <f t="array" ref="E1149">INDIRECT(_xlfn.CONCAT("$L", $F1149))</f>
        <v/>
      </c>
      <c r="F1149" s="1" t="n"/>
    </row>
    <row r="1150">
      <c r="A1150" s="1">
        <f t="array" ref="A1150">INDIRECT(_xlfn.CONCAT("$I", $F1150))</f>
        <v/>
      </c>
      <c r="B1150" s="1">
        <f t="array" ref="B1150">INDIRECT(_xlfn.CONCAT("$J", $F1150))</f>
        <v/>
      </c>
      <c r="C1150" s="1">
        <f t="array" ref="C1150">INDIRECT(_xlfn.CONCAT("$K", $F1150))</f>
        <v/>
      </c>
      <c r="D1150" s="1" t="n"/>
      <c r="E1150" s="1">
        <f t="array" ref="E1150">INDIRECT(_xlfn.CONCAT("$L", $F1150))</f>
        <v/>
      </c>
      <c r="F1150" s="1" t="n"/>
      <c r="I1150" s="8" t="inlineStr">
        <is>
          <t>Dragons of Tarkir Promos PDTK</t>
        </is>
      </c>
      <c r="J1150" s="8" t="n">
        <v>51</v>
      </c>
      <c r="K1150" s="9" t="n">
        <v>42090</v>
      </c>
      <c r="L1150" s="8" t="inlineStr">
        <is>
          <t>en es fr de it pt ja ko ru 汉语 漢語</t>
        </is>
      </c>
    </row>
    <row r="1151">
      <c r="A1151" s="1">
        <f t="array" ref="A1151">INDIRECT(_xlfn.CONCAT("$I", $F1151))</f>
        <v/>
      </c>
      <c r="B1151" s="1">
        <f t="array" ref="B1151">INDIRECT(_xlfn.CONCAT("$J", $F1151))</f>
        <v/>
      </c>
      <c r="C1151" s="1">
        <f t="array" ref="C1151">INDIRECT(_xlfn.CONCAT("$K", $F1151))</f>
        <v/>
      </c>
      <c r="D1151" s="1" t="n"/>
      <c r="E1151" s="1">
        <f t="array" ref="E1151">INDIRECT(_xlfn.CONCAT("$L", $F1151))</f>
        <v/>
      </c>
      <c r="F1151" s="1" t="n"/>
    </row>
    <row r="1152">
      <c r="A1152" s="1">
        <f t="array" ref="A1152">INDIRECT(_xlfn.CONCAT("$I", $F1152))</f>
        <v/>
      </c>
      <c r="B1152" s="1">
        <f t="array" ref="B1152">INDIRECT(_xlfn.CONCAT("$J", $F1152))</f>
        <v/>
      </c>
      <c r="C1152" s="1">
        <f t="array" ref="C1152">INDIRECT(_xlfn.CONCAT("$K", $F1152))</f>
        <v/>
      </c>
      <c r="D1152" s="1" t="n"/>
      <c r="E1152" s="1">
        <f t="array" ref="E1152">INDIRECT(_xlfn.CONCAT("$L", $F1152))</f>
        <v/>
      </c>
      <c r="F1152" s="1" t="n"/>
      <c r="I1152" s="8" t="inlineStr">
        <is>
          <t>Dragons of Tarkir Tokens TDTK</t>
        </is>
      </c>
      <c r="J1152" s="8" t="n">
        <v>8</v>
      </c>
      <c r="K1152" s="9" t="n">
        <v>42090</v>
      </c>
      <c r="L1152" s="8" t="inlineStr">
        <is>
          <t>en es fr de it pt ja ko ru 汉语 漢語</t>
        </is>
      </c>
    </row>
    <row r="1153">
      <c r="A1153" s="1">
        <f t="array" ref="A1153">INDIRECT(_xlfn.CONCAT("$I", $F1153))</f>
        <v/>
      </c>
      <c r="B1153" s="1">
        <f t="array" ref="B1153">INDIRECT(_xlfn.CONCAT("$J", $F1153))</f>
        <v/>
      </c>
      <c r="C1153" s="1">
        <f t="array" ref="C1153">INDIRECT(_xlfn.CONCAT("$K", $F1153))</f>
        <v/>
      </c>
      <c r="D1153" s="1" t="n"/>
      <c r="E1153" s="1">
        <f t="array" ref="E1153">INDIRECT(_xlfn.CONCAT("$L", $F1153))</f>
        <v/>
      </c>
      <c r="F1153" s="1" t="n"/>
    </row>
    <row r="1154">
      <c r="A1154" s="1">
        <f t="array" ref="A1154">INDIRECT(_xlfn.CONCAT("$I", $F1154))</f>
        <v/>
      </c>
      <c r="B1154" s="1">
        <f t="array" ref="B1154">INDIRECT(_xlfn.CONCAT("$J", $F1154))</f>
        <v/>
      </c>
      <c r="C1154" s="1">
        <f t="array" ref="C1154">INDIRECT(_xlfn.CONCAT("$K", $F1154))</f>
        <v/>
      </c>
      <c r="D1154" s="1" t="n"/>
      <c r="E1154" s="1">
        <f t="array" ref="E1154">INDIRECT(_xlfn.CONCAT("$L", $F1154))</f>
        <v/>
      </c>
      <c r="F1154" s="1" t="n"/>
      <c r="I1154" s="8" t="inlineStr">
        <is>
          <t>Tarkir Dragonfury PTKDF</t>
        </is>
      </c>
      <c r="J1154" s="8" t="n">
        <v>4</v>
      </c>
      <c r="K1154" s="9" t="n">
        <v>42097</v>
      </c>
      <c r="L1154" s="8" t="inlineStr">
        <is>
          <t>en es fr de it pt ja ko ru 汉语 漢語</t>
        </is>
      </c>
    </row>
    <row r="1155">
      <c r="A1155" s="1">
        <f t="array" ref="A1155">INDIRECT(_xlfn.CONCAT("$I", $F1155))</f>
        <v/>
      </c>
      <c r="B1155" s="1">
        <f t="array" ref="B1155">INDIRECT(_xlfn.CONCAT("$J", $F1155))</f>
        <v/>
      </c>
      <c r="C1155" s="1">
        <f t="array" ref="C1155">INDIRECT(_xlfn.CONCAT("$K", $F1155))</f>
        <v/>
      </c>
      <c r="D1155" s="1" t="n"/>
      <c r="E1155" s="1">
        <f t="array" ref="E1155">INDIRECT(_xlfn.CONCAT("$L", $F1155))</f>
        <v/>
      </c>
      <c r="F1155" s="1" t="n"/>
    </row>
    <row r="1156">
      <c r="A1156" s="1">
        <f t="array" ref="A1156">INDIRECT(_xlfn.CONCAT("$I", $F1156))</f>
        <v/>
      </c>
      <c r="B1156" s="1">
        <f t="array" ref="B1156">INDIRECT(_xlfn.CONCAT("$J", $F1156))</f>
        <v/>
      </c>
      <c r="C1156" s="1">
        <f t="array" ref="C1156">INDIRECT(_xlfn.CONCAT("$K", $F1156))</f>
        <v/>
      </c>
      <c r="D1156" s="1" t="n"/>
      <c r="E1156" s="1">
        <f t="array" ref="E1156">INDIRECT(_xlfn.CONCAT("$L", $F1156))</f>
        <v/>
      </c>
      <c r="F1156" s="1" t="n"/>
      <c r="I1156" s="8" t="inlineStr">
        <is>
          <t>Duel Decks: Elspeth vs. Kiora DDO</t>
        </is>
      </c>
      <c r="J1156" s="8" t="n">
        <v>67</v>
      </c>
      <c r="K1156" s="9" t="n">
        <v>42062</v>
      </c>
      <c r="L1156" t="inlineStr">
        <is>
          <t>en es fr de it pt ja ko ru 汉语 漢語</t>
        </is>
      </c>
    </row>
    <row r="1157">
      <c r="A1157" s="1">
        <f t="array" ref="A1157">INDIRECT(_xlfn.CONCAT("$I", $F1157))</f>
        <v/>
      </c>
      <c r="B1157" s="1">
        <f t="array" ref="B1157">INDIRECT(_xlfn.CONCAT("$J", $F1157))</f>
        <v/>
      </c>
      <c r="C1157" s="1">
        <f t="array" ref="C1157">INDIRECT(_xlfn.CONCAT("$K", $F1157))</f>
        <v/>
      </c>
      <c r="D1157" s="1" t="n"/>
      <c r="E1157" s="1">
        <f t="array" ref="E1157">INDIRECT(_xlfn.CONCAT("$L", $F1157))</f>
        <v/>
      </c>
      <c r="F1157" s="1" t="n"/>
    </row>
    <row r="1158">
      <c r="A1158" s="1">
        <f t="array" ref="A1158">INDIRECT(_xlfn.CONCAT("$I", $F1158))</f>
        <v/>
      </c>
      <c r="B1158" s="1">
        <f t="array" ref="B1158">INDIRECT(_xlfn.CONCAT("$J", $F1158))</f>
        <v/>
      </c>
      <c r="C1158" s="1">
        <f t="array" ref="C1158">INDIRECT(_xlfn.CONCAT("$K", $F1158))</f>
        <v/>
      </c>
      <c r="D1158" s="1" t="n"/>
      <c r="E1158" s="1">
        <f t="array" ref="E1158">INDIRECT(_xlfn.CONCAT("$L", $F1158))</f>
        <v/>
      </c>
      <c r="F1158" s="1" t="n"/>
      <c r="I1158" s="8" t="inlineStr">
        <is>
          <t>Fate Reforged FRF</t>
        </is>
      </c>
      <c r="J1158" s="8" t="n">
        <v>191</v>
      </c>
      <c r="K1158" s="9" t="n">
        <v>42027</v>
      </c>
      <c r="L1158" t="inlineStr">
        <is>
          <t>en es fr de it pt ja ko ru 汉语 漢語</t>
        </is>
      </c>
    </row>
    <row r="1159">
      <c r="A1159" s="1">
        <f t="array" ref="A1159">INDIRECT(_xlfn.CONCAT("$I", $F1159))</f>
        <v/>
      </c>
      <c r="B1159" s="1">
        <f t="array" ref="B1159">INDIRECT(_xlfn.CONCAT("$J", $F1159))</f>
        <v/>
      </c>
      <c r="C1159" s="1">
        <f t="array" ref="C1159">INDIRECT(_xlfn.CONCAT("$K", $F1159))</f>
        <v/>
      </c>
      <c r="D1159" s="1" t="n"/>
      <c r="E1159" s="1">
        <f t="array" ref="E1159">INDIRECT(_xlfn.CONCAT("$L", $F1159))</f>
        <v/>
      </c>
      <c r="F1159" s="1" t="n"/>
    </row>
    <row r="1160">
      <c r="A1160" s="1">
        <f t="array" ref="A1160">INDIRECT(_xlfn.CONCAT("$I", $F1160))</f>
        <v/>
      </c>
      <c r="B1160" s="1">
        <f t="array" ref="B1160">INDIRECT(_xlfn.CONCAT("$J", $F1160))</f>
        <v/>
      </c>
      <c r="C1160" s="1">
        <f t="array" ref="C1160">INDIRECT(_xlfn.CONCAT("$K", $F1160))</f>
        <v/>
      </c>
      <c r="D1160" s="1" t="n"/>
      <c r="E1160" s="1">
        <f t="array" ref="E1160">INDIRECT(_xlfn.CONCAT("$L", $F1160))</f>
        <v/>
      </c>
      <c r="F1160" s="1" t="n"/>
      <c r="I1160" s="8" t="inlineStr">
        <is>
          <t>Fate Reforged Promos PFRF</t>
        </is>
      </c>
      <c r="J1160" s="8" t="n">
        <v>43</v>
      </c>
      <c r="K1160" s="9" t="n">
        <v>42027</v>
      </c>
      <c r="L1160" s="8" t="inlineStr">
        <is>
          <t>en es fr de it pt ja ko ru 汉语 漢語</t>
        </is>
      </c>
    </row>
    <row r="1161">
      <c r="A1161" s="1">
        <f t="array" ref="A1161">INDIRECT(_xlfn.CONCAT("$I", $F1161))</f>
        <v/>
      </c>
      <c r="B1161" s="1">
        <f t="array" ref="B1161">INDIRECT(_xlfn.CONCAT("$J", $F1161))</f>
        <v/>
      </c>
      <c r="C1161" s="1">
        <f t="array" ref="C1161">INDIRECT(_xlfn.CONCAT("$K", $F1161))</f>
        <v/>
      </c>
      <c r="D1161" s="1" t="n"/>
      <c r="E1161" s="1">
        <f t="array" ref="E1161">INDIRECT(_xlfn.CONCAT("$L", $F1161))</f>
        <v/>
      </c>
      <c r="F1161" s="1" t="n"/>
    </row>
    <row r="1162">
      <c r="A1162" s="1">
        <f t="array" ref="A1162">INDIRECT(_xlfn.CONCAT("$I", $F1162))</f>
        <v/>
      </c>
      <c r="B1162" s="1">
        <f t="array" ref="B1162">INDIRECT(_xlfn.CONCAT("$J", $F1162))</f>
        <v/>
      </c>
      <c r="C1162" s="1">
        <f t="array" ref="C1162">INDIRECT(_xlfn.CONCAT("$K", $F1162))</f>
        <v/>
      </c>
      <c r="D1162" s="1" t="n"/>
      <c r="E1162" s="1">
        <f t="array" ref="E1162">INDIRECT(_xlfn.CONCAT("$L", $F1162))</f>
        <v/>
      </c>
      <c r="F1162" s="1" t="n"/>
      <c r="I1162" s="8" t="inlineStr">
        <is>
          <t>Fate Reforged Tokens TFRF</t>
        </is>
      </c>
      <c r="J1162" s="8" t="n">
        <v>4</v>
      </c>
      <c r="K1162" s="9" t="n">
        <v>42027</v>
      </c>
      <c r="L1162" s="8" t="inlineStr">
        <is>
          <t>en es fr de it pt ja ko ru 汉语 漢語</t>
        </is>
      </c>
    </row>
    <row r="1163">
      <c r="A1163" s="1">
        <f t="array" ref="A1163">INDIRECT(_xlfn.CONCAT("$I", $F1163))</f>
        <v/>
      </c>
      <c r="B1163" s="1">
        <f t="array" ref="B1163">INDIRECT(_xlfn.CONCAT("$J", $F1163))</f>
        <v/>
      </c>
      <c r="C1163" s="1">
        <f t="array" ref="C1163">INDIRECT(_xlfn.CONCAT("$K", $F1163))</f>
        <v/>
      </c>
      <c r="D1163" s="1" t="n"/>
      <c r="E1163" s="1">
        <f t="array" ref="E1163">INDIRECT(_xlfn.CONCAT("$L", $F1163))</f>
        <v/>
      </c>
      <c r="F1163" s="1" t="n"/>
    </row>
    <row r="1164">
      <c r="A1164" s="1">
        <f t="array" ref="A1164">INDIRECT(_xlfn.CONCAT("$I", $F1164))</f>
        <v/>
      </c>
      <c r="B1164" s="1">
        <f t="array" ref="B1164">INDIRECT(_xlfn.CONCAT("$J", $F1164))</f>
        <v/>
      </c>
      <c r="C1164" s="1">
        <f t="array" ref="C1164">INDIRECT(_xlfn.CONCAT("$K", $F1164))</f>
        <v/>
      </c>
      <c r="D1164" s="1" t="n"/>
      <c r="E1164" s="1">
        <f t="array" ref="E1164">INDIRECT(_xlfn.CONCAT("$L", $F1164))</f>
        <v/>
      </c>
      <c r="F1164" s="1" t="n"/>
      <c r="I1164" s="8" t="inlineStr">
        <is>
          <t>Fate Reforged Clash Pack CP2</t>
        </is>
      </c>
      <c r="J1164" s="8" t="n">
        <v>6</v>
      </c>
      <c r="K1164" s="9" t="n">
        <v>42027</v>
      </c>
      <c r="L1164" s="8" t="inlineStr">
        <is>
          <t>en es fr de it pt ja ko ru 汉语 漢語</t>
        </is>
      </c>
    </row>
    <row r="1165">
      <c r="A1165" s="1">
        <f t="array" ref="A1165">INDIRECT(_xlfn.CONCAT("$I", $F1165))</f>
        <v/>
      </c>
      <c r="B1165" s="1">
        <f t="array" ref="B1165">INDIRECT(_xlfn.CONCAT("$J", $F1165))</f>
        <v/>
      </c>
      <c r="C1165" s="1">
        <f t="array" ref="C1165">INDIRECT(_xlfn.CONCAT("$K", $F1165))</f>
        <v/>
      </c>
      <c r="D1165" s="1" t="n"/>
      <c r="E1165" s="1">
        <f t="array" ref="E1165">INDIRECT(_xlfn.CONCAT("$L", $F1165))</f>
        <v/>
      </c>
      <c r="F1165" s="1" t="n"/>
    </row>
    <row r="1166">
      <c r="A1166" s="1">
        <f t="array" ref="A1166">INDIRECT(_xlfn.CONCAT("$I", $F1166))</f>
        <v/>
      </c>
      <c r="B1166" s="1">
        <f t="array" ref="B1166">INDIRECT(_xlfn.CONCAT("$J", $F1166))</f>
        <v/>
      </c>
      <c r="C1166" s="1">
        <f t="array" ref="C1166">INDIRECT(_xlfn.CONCAT("$K", $F1166))</f>
        <v/>
      </c>
      <c r="D1166" s="1" t="n"/>
      <c r="E1166" s="1">
        <f t="array" ref="E1166">INDIRECT(_xlfn.CONCAT("$L", $F1166))</f>
        <v/>
      </c>
      <c r="F1166" s="1" t="n"/>
      <c r="I1166" s="8" t="inlineStr">
        <is>
          <t>Ugin's Fate UGIN</t>
        </is>
      </c>
      <c r="J1166" s="8" t="n">
        <v>26</v>
      </c>
      <c r="K1166" s="9" t="n">
        <v>42021</v>
      </c>
      <c r="L1166" t="inlineStr">
        <is>
          <t>en es fr de it pt ja ko ru 汉语 漢語</t>
        </is>
      </c>
    </row>
    <row r="1167">
      <c r="A1167" s="1">
        <f t="array" ref="A1167">INDIRECT(_xlfn.CONCAT("$I", $F1167))</f>
        <v/>
      </c>
      <c r="B1167" s="1">
        <f t="array" ref="B1167">INDIRECT(_xlfn.CONCAT("$J", $F1167))</f>
        <v/>
      </c>
      <c r="C1167" s="1">
        <f t="array" ref="C1167">INDIRECT(_xlfn.CONCAT("$K", $F1167))</f>
        <v/>
      </c>
      <c r="D1167" s="1" t="n"/>
      <c r="E1167" s="1">
        <f t="array" ref="E1167">INDIRECT(_xlfn.CONCAT("$L", $F1167))</f>
        <v/>
      </c>
      <c r="F1167" s="1" t="n"/>
    </row>
    <row r="1168">
      <c r="A1168" s="1">
        <f t="array" ref="A1168">INDIRECT(_xlfn.CONCAT("$I", $F1168))</f>
        <v/>
      </c>
      <c r="B1168" s="1">
        <f t="array" ref="B1168">INDIRECT(_xlfn.CONCAT("$J", $F1168))</f>
        <v/>
      </c>
      <c r="C1168" s="1">
        <f t="array" ref="C1168">INDIRECT(_xlfn.CONCAT("$K", $F1168))</f>
        <v/>
      </c>
      <c r="D1168" s="1" t="n"/>
      <c r="E1168" s="1">
        <f t="array" ref="E1168">INDIRECT(_xlfn.CONCAT("$L", $F1168))</f>
        <v/>
      </c>
      <c r="F1168" s="1" t="n"/>
      <c r="I1168" s="8" t="inlineStr">
        <is>
          <t>League Tokens 2015 L15</t>
        </is>
      </c>
      <c r="J1168" s="8" t="n">
        <v>1</v>
      </c>
      <c r="K1168" s="9" t="n">
        <v>42005</v>
      </c>
      <c r="L1168" s="8" t="inlineStr">
        <is>
          <t>en es fr de it pt ja ko ru 汉语 漢語</t>
        </is>
      </c>
    </row>
    <row r="1169">
      <c r="A1169" s="1">
        <f t="array" ref="A1169">INDIRECT(_xlfn.CONCAT("$I", $F1169))</f>
        <v/>
      </c>
      <c r="B1169" s="1">
        <f t="array" ref="B1169">INDIRECT(_xlfn.CONCAT("$J", $F1169))</f>
        <v/>
      </c>
      <c r="C1169" s="1">
        <f t="array" ref="C1169">INDIRECT(_xlfn.CONCAT("$K", $F1169))</f>
        <v/>
      </c>
      <c r="D1169" s="1" t="n"/>
      <c r="E1169" s="1">
        <f t="array" ref="E1169">INDIRECT(_xlfn.CONCAT("$L", $F1169))</f>
        <v/>
      </c>
      <c r="F1169" s="1" t="n"/>
    </row>
    <row r="1170">
      <c r="A1170" s="1">
        <f t="array" ref="A1170">INDIRECT(_xlfn.CONCAT("$I", $F1170))</f>
        <v/>
      </c>
      <c r="B1170" s="1">
        <f t="array" ref="B1170">INDIRECT(_xlfn.CONCAT("$J", $F1170))</f>
        <v/>
      </c>
      <c r="C1170" s="1">
        <f t="array" ref="C1170">INDIRECT(_xlfn.CONCAT("$K", $F1170))</f>
        <v/>
      </c>
      <c r="D1170" s="1" t="n"/>
      <c r="E1170" s="1">
        <f t="array" ref="E1170">INDIRECT(_xlfn.CONCAT("$L", $F1170))</f>
        <v/>
      </c>
      <c r="F1170" s="1" t="n"/>
      <c r="I1170" s="8" t="inlineStr">
        <is>
          <t>Friday Night Magic 2015 F15</t>
        </is>
      </c>
      <c r="J1170" s="8" t="n">
        <v>12</v>
      </c>
      <c r="K1170" s="9" t="n">
        <v>42005</v>
      </c>
      <c r="L1170" s="8" t="inlineStr">
        <is>
          <t>en es fr de it pt ja ko ru 汉语 漢語</t>
        </is>
      </c>
    </row>
    <row r="1171">
      <c r="A1171" s="1">
        <f t="array" ref="A1171">INDIRECT(_xlfn.CONCAT("$I", $F1171))</f>
        <v/>
      </c>
      <c r="B1171" s="1">
        <f t="array" ref="B1171">INDIRECT(_xlfn.CONCAT("$J", $F1171))</f>
        <v/>
      </c>
      <c r="C1171" s="1">
        <f t="array" ref="C1171">INDIRECT(_xlfn.CONCAT("$K", $F1171))</f>
        <v/>
      </c>
      <c r="D1171" s="1" t="n"/>
      <c r="E1171" s="1">
        <f t="array" ref="E1171">INDIRECT(_xlfn.CONCAT("$L", $F1171))</f>
        <v/>
      </c>
      <c r="F1171" s="1" t="n"/>
    </row>
    <row r="1172">
      <c r="F1172" s="1" t="n"/>
      <c r="I1172" s="8" t="inlineStr">
        <is>
          <t>Judge Gift Cards 2015 J15</t>
        </is>
      </c>
      <c r="J1172" s="8" t="n">
        <v>8</v>
      </c>
      <c r="K1172" s="9" t="n">
        <v>42005</v>
      </c>
      <c r="L1172" s="8" t="inlineStr">
        <is>
          <t>en es fr de it pt ja ko ru 汉语 漢語</t>
        </is>
      </c>
    </row>
    <row r="1173">
      <c r="F1173" s="1" t="n"/>
    </row>
    <row r="1174">
      <c r="F1174" s="1" t="n"/>
      <c r="I1174" s="8" t="inlineStr">
        <is>
          <t>Duel Decks Anthology: Elves vs. Goblins EVG</t>
        </is>
      </c>
      <c r="J1174" s="8" t="n">
        <v>62</v>
      </c>
      <c r="K1174" s="9" t="n">
        <v>41978</v>
      </c>
      <c r="L1174" s="8" t="inlineStr">
        <is>
          <t>en es fr de it pt ja ko ru 汉语 漢語</t>
        </is>
      </c>
    </row>
    <row r="1175">
      <c r="F1175" s="1" t="n"/>
    </row>
    <row r="1176">
      <c r="F1176" s="1" t="n"/>
      <c r="I1176" s="8" t="inlineStr">
        <is>
          <t>Duel Decks Anthology: Elves vs. Goblins Tokens TEVG</t>
        </is>
      </c>
      <c r="J1176" s="8" t="n">
        <v>3</v>
      </c>
      <c r="K1176" s="9" t="n">
        <v>41978</v>
      </c>
      <c r="L1176" s="8" t="inlineStr">
        <is>
          <t>en es fr de it pt ja ko ru 汉语 漢語</t>
        </is>
      </c>
    </row>
    <row r="1177">
      <c r="F1177" s="1" t="n"/>
    </row>
    <row r="1178">
      <c r="F1178" s="1" t="n"/>
      <c r="I1178" s="8" t="inlineStr">
        <is>
          <t>Duel Decks Anthology: Garruk vs. Liliana GVL</t>
        </is>
      </c>
      <c r="J1178" s="8" t="n">
        <v>63</v>
      </c>
      <c r="K1178" s="9" t="n">
        <v>41978</v>
      </c>
      <c r="L1178" s="8" t="inlineStr">
        <is>
          <t>en es fr de it pt ja ko ru 汉语 漢語</t>
        </is>
      </c>
    </row>
    <row r="1179">
      <c r="F1179" s="1" t="n"/>
    </row>
    <row r="1180">
      <c r="F1180" s="1" t="n"/>
      <c r="I1180" s="8" t="inlineStr">
        <is>
          <t>Duel Decks Anthology: Garruk vs. Liliana Tokens TGVL</t>
        </is>
      </c>
      <c r="J1180" s="8" t="n">
        <v>4</v>
      </c>
      <c r="K1180" s="9" t="n">
        <v>41978</v>
      </c>
      <c r="L1180" s="8" t="inlineStr">
        <is>
          <t>en es fr de it pt ja ko ru 汉语 漢語</t>
        </is>
      </c>
    </row>
    <row r="1181">
      <c r="F1181" s="1" t="n"/>
    </row>
    <row r="1182">
      <c r="F1182" s="1" t="n"/>
      <c r="I1182" s="8" t="inlineStr">
        <is>
          <t>Duel Decks Anthology: Jace vs. Chandra JVC</t>
        </is>
      </c>
      <c r="J1182" s="8" t="n">
        <v>62</v>
      </c>
      <c r="K1182" s="9" t="n">
        <v>41978</v>
      </c>
      <c r="L1182" s="8" t="inlineStr">
        <is>
          <t>en es fr de it pt ja ko ru 汉语 漢語</t>
        </is>
      </c>
    </row>
    <row r="1183">
      <c r="F1183" s="1" t="n"/>
    </row>
    <row r="1184">
      <c r="F1184" s="1" t="n"/>
      <c r="I1184" s="8" t="inlineStr">
        <is>
          <t>Duel Decks Anthology: Jace vs. Chandra Tokens TJVC</t>
        </is>
      </c>
      <c r="J1184" s="8" t="n">
        <v>1</v>
      </c>
      <c r="K1184" s="9" t="n">
        <v>41978</v>
      </c>
      <c r="L1184" s="8" t="inlineStr">
        <is>
          <t>en es fr de it pt ja ko ru 汉语 漢語</t>
        </is>
      </c>
    </row>
    <row r="1185">
      <c r="F1185" s="1" t="n"/>
    </row>
    <row r="1186">
      <c r="F1186" s="1" t="n"/>
      <c r="I1186" s="8" t="inlineStr">
        <is>
          <t>Duel Decks Anthology: Divine vs. Demonic DVD</t>
        </is>
      </c>
      <c r="J1186" s="8" t="n">
        <v>62</v>
      </c>
      <c r="K1186" s="9" t="n">
        <v>41978</v>
      </c>
      <c r="L1186" s="8" t="inlineStr">
        <is>
          <t>en es fr de it pt ja ko ru 汉语 漢語</t>
        </is>
      </c>
    </row>
    <row r="1187">
      <c r="F1187" s="1" t="n"/>
    </row>
    <row r="1188">
      <c r="F1188" s="1" t="n"/>
      <c r="I1188" s="8" t="inlineStr">
        <is>
          <t>Duel Decks Anthology: Divine vs. Demonic Tokens TDVD</t>
        </is>
      </c>
      <c r="J1188" s="8" t="n">
        <v>3</v>
      </c>
      <c r="K1188" s="9" t="n">
        <v>41978</v>
      </c>
      <c r="L1188" s="8" t="inlineStr">
        <is>
          <t>en es fr de it pt ja ko ru 汉语 漢語</t>
        </is>
      </c>
    </row>
    <row r="1189">
      <c r="F1189" s="1" t="n"/>
    </row>
    <row r="1190">
      <c r="F1190" s="1" t="n"/>
      <c r="I1190" s="8" t="inlineStr">
        <is>
          <t>Commander 2014 C14</t>
        </is>
      </c>
      <c r="J1190" s="8" t="n">
        <v>337</v>
      </c>
      <c r="K1190" s="9" t="n">
        <v>41950</v>
      </c>
      <c r="L1190" t="inlineStr">
        <is>
          <t>en es fr de it pt ja ko ru 汉语 漢語</t>
        </is>
      </c>
    </row>
    <row r="1191">
      <c r="F1191" s="1" t="n"/>
    </row>
    <row r="1192">
      <c r="F1192" s="1" t="n"/>
      <c r="I1192" s="8" t="inlineStr">
        <is>
          <t>Commander 2014 Tokens TC14</t>
        </is>
      </c>
      <c r="J1192" s="8" t="n">
        <v>36</v>
      </c>
      <c r="K1192" s="9" t="n">
        <v>41950</v>
      </c>
      <c r="L1192" s="8" t="inlineStr">
        <is>
          <t>en es fr de it pt ja ko ru 汉语 漢語</t>
        </is>
      </c>
    </row>
    <row r="1193">
      <c r="F1193" s="1" t="n"/>
    </row>
    <row r="1194">
      <c r="F1194" s="1" t="n"/>
      <c r="I1194" s="8" t="inlineStr">
        <is>
          <t>Commander 2014 Oversized OC14</t>
        </is>
      </c>
      <c r="J1194" s="8" t="n">
        <v>5</v>
      </c>
      <c r="K1194" s="9" t="n">
        <v>41950</v>
      </c>
      <c r="L1194" s="8" t="inlineStr">
        <is>
          <t>en es fr de it pt ja ko ru 汉语 漢語</t>
        </is>
      </c>
    </row>
    <row r="1195">
      <c r="F1195" s="1" t="n"/>
    </row>
    <row r="1196">
      <c r="F1196" s="1" t="n"/>
      <c r="I1196" s="8" t="inlineStr">
        <is>
          <t>Khans of Tarkir KTK</t>
        </is>
      </c>
      <c r="J1196" s="8" t="n">
        <v>293</v>
      </c>
      <c r="K1196" s="9" t="n">
        <v>41908</v>
      </c>
      <c r="L1196" t="inlineStr">
        <is>
          <t>en es fr de it pt ja ko ru 汉语 漢語</t>
        </is>
      </c>
    </row>
    <row r="1197">
      <c r="F1197" s="1" t="n"/>
    </row>
    <row r="1198">
      <c r="F1198" s="1" t="n"/>
      <c r="I1198" s="8" t="inlineStr">
        <is>
          <t>Khans of Tarkir Promos PKTK</t>
        </is>
      </c>
      <c r="J1198" s="8" t="n">
        <v>56</v>
      </c>
      <c r="K1198" s="9" t="n">
        <v>41908</v>
      </c>
      <c r="L1198" s="8" t="inlineStr">
        <is>
          <t>en es fr de it pt ja ko ru 汉语 漢語</t>
        </is>
      </c>
    </row>
    <row r="1199">
      <c r="F1199" s="1" t="n"/>
    </row>
    <row r="1200">
      <c r="F1200" s="1" t="n"/>
      <c r="I1200" s="8" t="inlineStr">
        <is>
          <t>Khans of Tarkir Tokens TKTK</t>
        </is>
      </c>
      <c r="J1200" s="8" t="n">
        <v>13</v>
      </c>
      <c r="K1200" s="9" t="n">
        <v>41908</v>
      </c>
      <c r="L1200" s="8" t="inlineStr">
        <is>
          <t>en es fr de it pt ja ko ru 汉语 漢語</t>
        </is>
      </c>
    </row>
    <row r="1201">
      <c r="F1201" s="1" t="n"/>
    </row>
    <row r="1202">
      <c r="F1202" s="1" t="n"/>
      <c r="I1202" s="8" t="inlineStr">
        <is>
          <t>Duel Decks: Speed vs. Cunning DDN</t>
        </is>
      </c>
      <c r="J1202" s="8" t="n">
        <v>82</v>
      </c>
      <c r="K1202" s="9" t="n">
        <v>41887</v>
      </c>
      <c r="L1202" t="inlineStr">
        <is>
          <t>en es fr de it pt ja ko ru 汉语 漢語</t>
        </is>
      </c>
    </row>
    <row r="1203">
      <c r="F1203" s="1" t="n"/>
    </row>
    <row r="1204">
      <c r="F1204" s="1" t="n"/>
      <c r="I1204" s="8" t="inlineStr">
        <is>
          <t>From the Vault: Annihilation V14</t>
        </is>
      </c>
      <c r="J1204" s="8" t="n">
        <v>15</v>
      </c>
      <c r="K1204" s="9" t="n">
        <v>41873</v>
      </c>
      <c r="L1204" s="8" t="inlineStr">
        <is>
          <t>en es fr de it pt ja ko ru 汉语 漢語</t>
        </is>
      </c>
    </row>
    <row r="1205">
      <c r="F1205" s="1" t="n"/>
    </row>
    <row r="1206">
      <c r="F1206" s="1" t="n"/>
      <c r="I1206" s="8" t="inlineStr">
        <is>
          <t>Magic 2015 M15</t>
        </is>
      </c>
      <c r="J1206" s="8" t="n">
        <v>284</v>
      </c>
      <c r="K1206" s="9" t="n">
        <v>41838</v>
      </c>
      <c r="L1206" t="inlineStr">
        <is>
          <t>en es fr de it pt ja ko ru 汉语 漢語</t>
        </is>
      </c>
    </row>
    <row r="1207">
      <c r="F1207" s="1" t="n"/>
    </row>
    <row r="1208">
      <c r="F1208" s="1" t="n"/>
      <c r="I1208" s="8" t="inlineStr">
        <is>
          <t>Magic 2015 Promos PM15</t>
        </is>
      </c>
      <c r="J1208" s="8" t="n">
        <v>14</v>
      </c>
      <c r="K1208" s="9" t="n">
        <v>41837</v>
      </c>
      <c r="L1208" s="8" t="inlineStr">
        <is>
          <t>en es fr de it pt ja ko ru 汉语 漢語</t>
        </is>
      </c>
    </row>
    <row r="1209">
      <c r="F1209" s="1" t="n"/>
    </row>
    <row r="1210">
      <c r="F1210" s="1" t="n"/>
      <c r="I1210" s="8" t="inlineStr">
        <is>
          <t>Magic 2015 Tokens TM15</t>
        </is>
      </c>
      <c r="J1210" s="8" t="n">
        <v>14</v>
      </c>
      <c r="K1210" s="9" t="n">
        <v>41838</v>
      </c>
      <c r="L1210" s="8" t="inlineStr">
        <is>
          <t>en es fr de it pt ja ko ru 汉语 漢語</t>
        </is>
      </c>
    </row>
    <row r="1211">
      <c r="F1211" s="1" t="n"/>
    </row>
    <row r="1212">
      <c r="F1212" s="1" t="n"/>
      <c r="I1212" s="8" t="inlineStr">
        <is>
          <t>Magic 2015 Clash Pack CP1</t>
        </is>
      </c>
      <c r="J1212" s="8" t="n">
        <v>6</v>
      </c>
      <c r="K1212" s="9" t="n">
        <v>41838</v>
      </c>
      <c r="L1212" s="8" t="inlineStr">
        <is>
          <t>en es fr de it pt ja ko ru 汉语 漢語</t>
        </is>
      </c>
    </row>
    <row r="1213">
      <c r="F1213" s="1" t="n"/>
    </row>
    <row r="1214">
      <c r="F1214" s="1" t="n"/>
      <c r="I1214" s="8" t="inlineStr">
        <is>
          <t>M15 Prerelease Challenge PPC1</t>
        </is>
      </c>
      <c r="J1214" s="8" t="n">
        <v>2</v>
      </c>
      <c r="K1214" s="9" t="n">
        <v>41832</v>
      </c>
      <c r="L1214" s="8" t="inlineStr">
        <is>
          <t>en es fr de it pt ja ko ru 汉语 漢語</t>
        </is>
      </c>
    </row>
    <row r="1215">
      <c r="F1215" s="1" t="n"/>
    </row>
    <row r="1216">
      <c r="F1216" s="1" t="n"/>
      <c r="I1216" s="8" t="inlineStr">
        <is>
          <t>Duels of the Planeswalkers 2015 Promos PDP15</t>
        </is>
      </c>
      <c r="J1216" s="8" t="n">
        <v>2</v>
      </c>
      <c r="K1216" s="9" t="n">
        <v>41829</v>
      </c>
      <c r="L1216" s="8" t="inlineStr">
        <is>
          <t>en es fr de it pt ja ko ru 汉语 漢語</t>
        </is>
      </c>
    </row>
    <row r="1217">
      <c r="F1217" s="1" t="n"/>
    </row>
    <row r="1218">
      <c r="F1218" s="1" t="n"/>
      <c r="I1218" s="8" t="inlineStr">
        <is>
          <t>San Diego Comic-Con 2014 PS14</t>
        </is>
      </c>
      <c r="J1218" s="8" t="n">
        <v>6</v>
      </c>
      <c r="K1218" s="9" t="n">
        <v>41828</v>
      </c>
      <c r="L1218" s="8" t="inlineStr">
        <is>
          <t>en es fr de it pt ja ko ru 汉语 漢語</t>
        </is>
      </c>
    </row>
    <row r="1219">
      <c r="F1219" s="1" t="n"/>
    </row>
    <row r="1220">
      <c r="F1220" s="1" t="n"/>
      <c r="I1220" s="8" t="inlineStr">
        <is>
          <t>Vintage Masters VMA</t>
        </is>
      </c>
      <c r="J1220" s="8" t="n">
        <v>325</v>
      </c>
      <c r="K1220" s="9" t="n">
        <v>41806</v>
      </c>
      <c r="L1220" s="8" t="inlineStr">
        <is>
          <t>en es fr de it pt ja ko ru 汉语 漢語</t>
        </is>
      </c>
    </row>
    <row r="1221">
      <c r="F1221" s="1" t="n"/>
    </row>
    <row r="1222">
      <c r="F1222" s="1" t="n"/>
      <c r="I1222" s="8" t="inlineStr">
        <is>
          <t>Conspiracy CNS</t>
        </is>
      </c>
      <c r="J1222" s="8" t="n">
        <v>210</v>
      </c>
      <c r="K1222" s="9" t="n">
        <v>41796</v>
      </c>
      <c r="L1222" t="inlineStr">
        <is>
          <t>en es fr de it pt ja ko ru 汉语 漢語</t>
        </is>
      </c>
    </row>
    <row r="1223">
      <c r="F1223" s="1" t="n"/>
    </row>
    <row r="1224">
      <c r="F1224" s="1" t="n"/>
      <c r="I1224" s="8" t="inlineStr">
        <is>
          <t>Conspiracy Promos PCNS</t>
        </is>
      </c>
      <c r="J1224" s="8" t="n">
        <v>1</v>
      </c>
      <c r="K1224" s="9" t="n">
        <v>41796</v>
      </c>
      <c r="L1224" s="8" t="inlineStr">
        <is>
          <t>en es fr de it pt ja ko ru 汉语 漢語</t>
        </is>
      </c>
    </row>
    <row r="1225">
      <c r="F1225" s="1" t="n"/>
    </row>
    <row r="1226">
      <c r="F1226" s="1" t="n"/>
      <c r="I1226" s="8" t="inlineStr">
        <is>
          <t>Conspiracy Tokens TCNS</t>
        </is>
      </c>
      <c r="J1226" s="8" t="n">
        <v>9</v>
      </c>
      <c r="K1226" s="9" t="n">
        <v>41796</v>
      </c>
      <c r="L1226" s="8" t="inlineStr">
        <is>
          <t>en es fr de it pt ja ko ru 汉语 漢語</t>
        </is>
      </c>
    </row>
    <row r="1227">
      <c r="F1227" s="1" t="n"/>
    </row>
    <row r="1228">
      <c r="F1228" s="1" t="n"/>
      <c r="I1228" s="8" t="inlineStr">
        <is>
          <t>Modern Event Deck 2014 MD1</t>
        </is>
      </c>
      <c r="J1228" s="8" t="n">
        <v>26</v>
      </c>
      <c r="K1228" s="9" t="n">
        <v>41789</v>
      </c>
      <c r="L1228" s="8" t="inlineStr">
        <is>
          <t>en es fr de it pt ja ko ru 汉语 漢語</t>
        </is>
      </c>
    </row>
    <row r="1229">
      <c r="F1229" s="1" t="n"/>
    </row>
    <row r="1230">
      <c r="F1230" s="1" t="n"/>
      <c r="I1230" s="8" t="inlineStr">
        <is>
          <t>Modern Event Deck 2014 Tokens TMD1</t>
        </is>
      </c>
      <c r="J1230" s="8" t="n">
        <v>4</v>
      </c>
      <c r="K1230" s="9" t="n">
        <v>41789</v>
      </c>
      <c r="L1230" s="8" t="inlineStr">
        <is>
          <t>en es fr de it pt ja ko ru 汉语 漢語</t>
        </is>
      </c>
    </row>
    <row r="1231">
      <c r="F1231" s="1" t="n"/>
    </row>
    <row r="1232">
      <c r="F1232" s="1" t="n"/>
      <c r="I1232" s="8" t="inlineStr">
        <is>
          <t>Journey into Nyx JOU</t>
        </is>
      </c>
      <c r="J1232" s="8" t="n">
        <v>165</v>
      </c>
      <c r="K1232" s="9" t="n">
        <v>41761</v>
      </c>
      <c r="L1232" t="inlineStr">
        <is>
          <t>en es fr de it pt ja ko ru 汉语 漢語</t>
        </is>
      </c>
    </row>
    <row r="1233">
      <c r="F1233" s="1" t="n"/>
    </row>
    <row r="1234">
      <c r="F1234" s="1" t="n"/>
      <c r="I1234" s="8" t="inlineStr">
        <is>
          <t>Journey into Nyx Promos PJOU</t>
        </is>
      </c>
      <c r="J1234" s="8" t="n">
        <v>10</v>
      </c>
      <c r="K1234" s="9" t="n">
        <v>41755</v>
      </c>
      <c r="L1234" s="8" t="inlineStr">
        <is>
          <t>en es fr de it pt ja ko ru 汉语 漢語</t>
        </is>
      </c>
    </row>
    <row r="1235">
      <c r="F1235" s="1" t="n"/>
    </row>
    <row r="1236">
      <c r="F1236" s="1" t="n"/>
      <c r="I1236" s="8" t="inlineStr">
        <is>
          <t>Journey into Nyx Tokens TJOU</t>
        </is>
      </c>
      <c r="J1236" s="8" t="n">
        <v>6</v>
      </c>
      <c r="K1236" s="9" t="n">
        <v>41761</v>
      </c>
      <c r="L1236" s="8" t="inlineStr">
        <is>
          <t>en es fr de it pt ja ko ru 汉语 漢語</t>
        </is>
      </c>
    </row>
    <row r="1237">
      <c r="F1237" s="1" t="n"/>
    </row>
    <row r="1238">
      <c r="F1238" s="1" t="n"/>
      <c r="I1238" s="8" t="inlineStr">
        <is>
          <t>Defeat a God TDAG</t>
        </is>
      </c>
      <c r="J1238" s="8" t="n">
        <v>15</v>
      </c>
      <c r="K1238" s="9" t="n">
        <v>41784</v>
      </c>
      <c r="L1238" s="8" t="inlineStr">
        <is>
          <t>en es fr de it pt ja ko ru 汉语 漢語</t>
        </is>
      </c>
    </row>
    <row r="1239">
      <c r="F1239" s="1" t="n"/>
    </row>
    <row r="1240">
      <c r="F1240" s="1" t="n"/>
      <c r="I1240" s="8" t="inlineStr">
        <is>
          <t>Journey into Nyx Hero's Path THP3</t>
        </is>
      </c>
      <c r="J1240" s="8" t="n">
        <v>8</v>
      </c>
      <c r="K1240" s="9" t="n">
        <v>41761</v>
      </c>
      <c r="L1240" s="8" t="inlineStr">
        <is>
          <t>en es fr de it pt ja ko ru 汉语 漢語</t>
        </is>
      </c>
    </row>
    <row r="1241">
      <c r="F1241" s="1" t="n"/>
    </row>
    <row r="1242">
      <c r="F1242" s="1" t="n"/>
      <c r="I1242" s="8" t="inlineStr">
        <is>
          <t>Duel Decks: Jace vs. Vraska DDM</t>
        </is>
      </c>
      <c r="J1242" s="8" t="n">
        <v>88</v>
      </c>
      <c r="K1242" s="9" t="n">
        <v>41712</v>
      </c>
      <c r="L1242" t="inlineStr">
        <is>
          <t>en es fr de it pt ja ko ru 汉语 漢語</t>
        </is>
      </c>
    </row>
    <row r="1243">
      <c r="F1243" s="1" t="n"/>
    </row>
    <row r="1244">
      <c r="F1244" s="1" t="n"/>
      <c r="I1244" s="8" t="inlineStr">
        <is>
          <t>Duel Decks: Jace vs. Vraska Tokens TDDM</t>
        </is>
      </c>
      <c r="J1244" s="8" t="n">
        <v>1</v>
      </c>
      <c r="K1244" s="9" t="n">
        <v>41712</v>
      </c>
      <c r="L1244" s="8" t="inlineStr">
        <is>
          <t>en es fr de it pt ja ko ru 汉语 漢語</t>
        </is>
      </c>
    </row>
    <row r="1245">
      <c r="F1245" s="1" t="n"/>
    </row>
    <row r="1246">
      <c r="F1246" s="1" t="n"/>
      <c r="I1246" s="8" t="inlineStr">
        <is>
          <t>Born of the Gods BNG</t>
        </is>
      </c>
      <c r="J1246" s="8" t="n">
        <v>165</v>
      </c>
      <c r="K1246" s="9" t="n">
        <v>41677</v>
      </c>
      <c r="L1246" t="inlineStr">
        <is>
          <t>en es fr de it pt ja ko ru 汉语 漢語</t>
        </is>
      </c>
    </row>
    <row r="1247">
      <c r="F1247" s="1" t="n"/>
    </row>
    <row r="1248">
      <c r="F1248" s="1" t="n"/>
      <c r="I1248" s="8" t="inlineStr">
        <is>
          <t>Born of the Gods Promos PBNG</t>
        </is>
      </c>
      <c r="J1248" s="8" t="n">
        <v>9</v>
      </c>
      <c r="K1248" s="9" t="n">
        <v>41671</v>
      </c>
      <c r="L1248" s="8" t="inlineStr">
        <is>
          <t>en es fr de it pt ja ko ru 汉语 漢語</t>
        </is>
      </c>
    </row>
    <row r="1249">
      <c r="F1249" s="1" t="n"/>
    </row>
    <row r="1250">
      <c r="F1250" s="1" t="n"/>
      <c r="I1250" s="8" t="inlineStr">
        <is>
          <t>Born of the Gods Tokens TBNG</t>
        </is>
      </c>
      <c r="J1250" s="8" t="n">
        <v>11</v>
      </c>
      <c r="K1250" s="9" t="n">
        <v>41677</v>
      </c>
      <c r="L1250" s="8" t="inlineStr">
        <is>
          <t>en es fr de it pt ja ko ru 汉语 漢語</t>
        </is>
      </c>
    </row>
    <row r="1251">
      <c r="F1251" s="1" t="n"/>
    </row>
    <row r="1252">
      <c r="F1252" s="1" t="n"/>
      <c r="I1252" s="8" t="inlineStr">
        <is>
          <t>Battle the Horde TBTH</t>
        </is>
      </c>
      <c r="J1252" s="8" t="n">
        <v>15</v>
      </c>
      <c r="K1252" s="9" t="n">
        <v>41699</v>
      </c>
      <c r="L1252" s="8" t="inlineStr">
        <is>
          <t>en es fr de it pt ja ko ru 汉语 漢語</t>
        </is>
      </c>
    </row>
    <row r="1253">
      <c r="F1253" s="1" t="n"/>
    </row>
    <row r="1254">
      <c r="F1254" s="1" t="n"/>
      <c r="I1254" s="8" t="inlineStr">
        <is>
          <t>Born of the Gods Hero's Path THP2</t>
        </is>
      </c>
      <c r="J1254" s="8" t="n">
        <v>7</v>
      </c>
      <c r="K1254" s="9" t="n">
        <v>41677</v>
      </c>
      <c r="L1254" s="8" t="inlineStr">
        <is>
          <t>en es fr de it pt ja ko ru 汉语 漢語</t>
        </is>
      </c>
    </row>
    <row r="1255">
      <c r="F1255" s="1" t="n"/>
    </row>
    <row r="1256">
      <c r="F1256" s="1" t="n"/>
      <c r="I1256" s="8" t="inlineStr">
        <is>
          <t>League Tokens 2014 L14</t>
        </is>
      </c>
      <c r="J1256" s="8" t="n">
        <v>4</v>
      </c>
      <c r="K1256" s="9" t="n">
        <v>41640</v>
      </c>
      <c r="L1256" s="8" t="inlineStr">
        <is>
          <t>en es fr de it pt ja ko ru 汉语 漢語</t>
        </is>
      </c>
    </row>
    <row r="1257">
      <c r="F1257" s="1" t="n"/>
    </row>
    <row r="1258">
      <c r="F1258" s="1" t="n"/>
      <c r="I1258" s="8" t="inlineStr">
        <is>
          <t>Judge Gift Cards 2014 J14</t>
        </is>
      </c>
      <c r="J1258" s="8" t="n">
        <v>14</v>
      </c>
      <c r="K1258" s="9" t="n">
        <v>41640</v>
      </c>
      <c r="L1258" s="8" t="inlineStr">
        <is>
          <t>en es fr de it pt ja ko ru 汉语 漢語</t>
        </is>
      </c>
    </row>
    <row r="1259">
      <c r="F1259" s="1" t="n"/>
    </row>
    <row r="1260">
      <c r="F1260" s="1" t="n"/>
      <c r="I1260" s="8" t="inlineStr">
        <is>
          <t>Friday Night Magic 2014 F14</t>
        </is>
      </c>
      <c r="J1260" s="8" t="n">
        <v>12</v>
      </c>
      <c r="K1260" s="9" t="n">
        <v>41640</v>
      </c>
      <c r="L1260" s="8" t="inlineStr">
        <is>
          <t>en es fr de it pt ja ko ru 汉语 漢語</t>
        </is>
      </c>
    </row>
    <row r="1261">
      <c r="F1261" s="1" t="n"/>
    </row>
    <row r="1262">
      <c r="F1262" s="1" t="n"/>
      <c r="I1262" s="8" t="inlineStr">
        <is>
          <t>Commander 2013 C13</t>
        </is>
      </c>
      <c r="J1262" s="8" t="n">
        <v>356</v>
      </c>
      <c r="K1262" s="9" t="n">
        <v>41579</v>
      </c>
      <c r="L1262" t="inlineStr">
        <is>
          <t>en es fr de it pt ja ko ru 汉语 漢語</t>
        </is>
      </c>
    </row>
    <row r="1263">
      <c r="F1263" s="1" t="n"/>
    </row>
    <row r="1264">
      <c r="F1264" s="1" t="n"/>
      <c r="I1264" s="8" t="inlineStr">
        <is>
          <t>Commander 2013 Oversized OC13</t>
        </is>
      </c>
      <c r="J1264" s="8" t="n">
        <v>15</v>
      </c>
      <c r="K1264" s="9" t="n">
        <v>41579</v>
      </c>
      <c r="L1264" s="8" t="inlineStr">
        <is>
          <t>en es fr de it pt ja ko ru 汉语 漢語</t>
        </is>
      </c>
    </row>
    <row r="1265">
      <c r="F1265" s="1" t="n"/>
    </row>
    <row r="1266">
      <c r="F1266" s="1" t="n"/>
      <c r="I1266" s="8" t="inlineStr">
        <is>
          <t>Theros THS</t>
        </is>
      </c>
      <c r="J1266" s="8" t="n">
        <v>249</v>
      </c>
      <c r="K1266" s="9" t="n">
        <v>41544</v>
      </c>
      <c r="L1266" t="inlineStr">
        <is>
          <t>en es fr de it pt ja ko ru 汉语 漢語</t>
        </is>
      </c>
    </row>
    <row r="1267">
      <c r="F1267" s="1" t="n"/>
    </row>
    <row r="1268">
      <c r="F1268" s="1" t="n"/>
      <c r="I1268" s="8" t="inlineStr">
        <is>
          <t>Theros Promos PTHS</t>
        </is>
      </c>
      <c r="J1268" s="8" t="n">
        <v>10</v>
      </c>
      <c r="K1268" s="9" t="n">
        <v>41538</v>
      </c>
      <c r="L1268" s="8" t="inlineStr">
        <is>
          <t>en es fr de it pt ja ko ru 汉语 漢語</t>
        </is>
      </c>
    </row>
    <row r="1269">
      <c r="F1269" s="1" t="n"/>
    </row>
    <row r="1270">
      <c r="F1270" s="1" t="n"/>
      <c r="I1270" s="8" t="inlineStr">
        <is>
          <t>Theros Tokens TTHS</t>
        </is>
      </c>
      <c r="J1270" s="8" t="n">
        <v>11</v>
      </c>
      <c r="K1270" s="9" t="n">
        <v>41544</v>
      </c>
      <c r="L1270" s="8" t="inlineStr">
        <is>
          <t>en es fr de it pt ja ko ru 汉语 漢語</t>
        </is>
      </c>
    </row>
    <row r="1271">
      <c r="F1271" s="1" t="n"/>
    </row>
    <row r="1272">
      <c r="F1272" s="1" t="n"/>
      <c r="I1272" s="8" t="inlineStr">
        <is>
          <t>Face the Hydra TFTH</t>
        </is>
      </c>
      <c r="J1272" s="8" t="n">
        <v>15</v>
      </c>
      <c r="K1272" s="9" t="n">
        <v>41566</v>
      </c>
      <c r="L1272" s="8" t="inlineStr">
        <is>
          <t>en es fr de it pt ja ko ru 汉语 漢語</t>
        </is>
      </c>
    </row>
    <row r="1273">
      <c r="F1273" s="1" t="n"/>
    </row>
    <row r="1274">
      <c r="F1274" s="1" t="n"/>
      <c r="I1274" s="8" t="inlineStr">
        <is>
          <t>Theros Hero's Path THP1</t>
        </is>
      </c>
      <c r="J1274" s="8" t="n">
        <v>7</v>
      </c>
      <c r="K1274" s="9" t="n">
        <v>41544</v>
      </c>
      <c r="L1274" s="8" t="inlineStr">
        <is>
          <t>en es fr de it pt ja ko ru 汉语 漢語</t>
        </is>
      </c>
    </row>
    <row r="1275">
      <c r="F1275" s="1" t="n"/>
    </row>
    <row r="1276">
      <c r="F1276" s="1" t="n"/>
      <c r="I1276" s="8" t="inlineStr">
        <is>
          <t>Duel Decks: Heroes vs. Monsters DDL</t>
        </is>
      </c>
      <c r="J1276" s="8" t="n">
        <v>81</v>
      </c>
      <c r="K1276" s="9" t="n">
        <v>41523</v>
      </c>
      <c r="L1276" t="inlineStr">
        <is>
          <t>en es fr de it pt ja ko ru 汉语 漢語</t>
        </is>
      </c>
    </row>
    <row r="1277">
      <c r="F1277" s="1" t="n"/>
    </row>
    <row r="1278">
      <c r="F1278" s="1" t="n"/>
      <c r="I1278" s="8" t="inlineStr">
        <is>
          <t>Duel Decks: Heroes vs. Monsters Tokens TDDL</t>
        </is>
      </c>
      <c r="J1278" s="8" t="n">
        <v>2</v>
      </c>
      <c r="K1278" s="9" t="n">
        <v>41523</v>
      </c>
      <c r="L1278" s="8" t="inlineStr">
        <is>
          <t>en es fr de it pt ja ko ru 汉语 漢語</t>
        </is>
      </c>
    </row>
    <row r="1279">
      <c r="F1279" s="1" t="n"/>
    </row>
    <row r="1280">
      <c r="F1280" s="1" t="n"/>
      <c r="I1280" s="8" t="inlineStr">
        <is>
          <t>From the Vault: Twenty V13</t>
        </is>
      </c>
      <c r="J1280" s="8" t="n">
        <v>20</v>
      </c>
      <c r="K1280" s="9" t="n">
        <v>41509</v>
      </c>
      <c r="L1280" s="8" t="inlineStr">
        <is>
          <t>en es fr de it pt ja ko ru 汉语 漢語</t>
        </is>
      </c>
    </row>
    <row r="1281">
      <c r="F1281" s="1" t="n"/>
    </row>
    <row r="1282">
      <c r="F1282" s="1" t="n"/>
      <c r="I1282" s="8" t="inlineStr">
        <is>
          <t>Magic 2014 M14</t>
        </is>
      </c>
      <c r="J1282" s="8" t="n">
        <v>249</v>
      </c>
      <c r="K1282" s="9" t="n">
        <v>41474</v>
      </c>
      <c r="L1282" t="inlineStr">
        <is>
          <t>en es fr de it pt ja ko ru 汉语 漢語</t>
        </is>
      </c>
    </row>
    <row r="1283">
      <c r="F1283" s="1" t="n"/>
    </row>
    <row r="1284">
      <c r="F1284" s="1" t="n"/>
      <c r="I1284" s="8" t="inlineStr">
        <is>
          <t>Magic 2014 Promos PM14</t>
        </is>
      </c>
      <c r="J1284" s="8" t="n">
        <v>6</v>
      </c>
      <c r="K1284" s="9" t="n">
        <v>41473</v>
      </c>
      <c r="L1284" s="8" t="inlineStr">
        <is>
          <t>en es fr de it pt ja ko ru 汉语 漢語</t>
        </is>
      </c>
    </row>
    <row r="1285">
      <c r="F1285" s="1" t="n"/>
    </row>
    <row r="1286">
      <c r="F1286" s="1" t="n"/>
      <c r="I1286" s="8" t="inlineStr">
        <is>
          <t>Magic 2014 Tokens TM14</t>
        </is>
      </c>
      <c r="J1286" s="8" t="n">
        <v>13</v>
      </c>
      <c r="K1286" s="9" t="n">
        <v>41474</v>
      </c>
      <c r="L1286" s="8" t="inlineStr">
        <is>
          <t>en es fr de it pt ja ko ru 汉语 漢語</t>
        </is>
      </c>
    </row>
    <row r="1287">
      <c r="F1287" s="1" t="n"/>
    </row>
    <row r="1288">
      <c r="F1288" s="1" t="n"/>
      <c r="I1288" s="8" t="inlineStr">
        <is>
          <t>San Diego Comic-Con 2013 PSDC</t>
        </is>
      </c>
      <c r="J1288" s="8" t="n">
        <v>5</v>
      </c>
      <c r="K1288" s="9" t="n">
        <v>41473</v>
      </c>
      <c r="L1288" s="8" t="inlineStr">
        <is>
          <t>en es fr de it pt ja ko ru 汉语 漢語</t>
        </is>
      </c>
    </row>
    <row r="1289">
      <c r="F1289" s="1" t="n"/>
    </row>
    <row r="1290">
      <c r="F1290" s="1" t="n"/>
      <c r="I1290" s="8" t="inlineStr">
        <is>
          <t>Modern Masters MMA</t>
        </is>
      </c>
      <c r="J1290" s="8" t="n">
        <v>229</v>
      </c>
      <c r="K1290" s="9" t="n">
        <v>41432</v>
      </c>
      <c r="L1290" s="8" t="inlineStr">
        <is>
          <t>en es fr de it pt ja ko ru 汉语 漢語</t>
        </is>
      </c>
    </row>
    <row r="1291">
      <c r="F1291" s="1" t="n"/>
    </row>
    <row r="1292">
      <c r="F1292" s="1" t="n"/>
      <c r="I1292" s="8" t="inlineStr">
        <is>
          <t>Modern Masters Tokens TMMA</t>
        </is>
      </c>
      <c r="J1292" s="8" t="n">
        <v>16</v>
      </c>
      <c r="K1292" s="9" t="n">
        <v>41432</v>
      </c>
      <c r="L1292" s="8" t="inlineStr">
        <is>
          <t>en es fr de it pt ja ko ru 汉语 漢語</t>
        </is>
      </c>
    </row>
    <row r="1293">
      <c r="F1293" s="1" t="n"/>
    </row>
    <row r="1294">
      <c r="F1294" s="1" t="n"/>
      <c r="I1294" s="8" t="inlineStr">
        <is>
          <t>Dragon's Maze DGM</t>
        </is>
      </c>
      <c r="J1294" s="8" t="n">
        <v>156</v>
      </c>
      <c r="K1294" s="9" t="n">
        <v>41397</v>
      </c>
      <c r="L1294" t="inlineStr">
        <is>
          <t>en es fr de it pt ja ko ru 汉语 漢語</t>
        </is>
      </c>
    </row>
    <row r="1295">
      <c r="F1295" s="1" t="n"/>
    </row>
    <row r="1296">
      <c r="F1296" s="1" t="n"/>
      <c r="I1296" s="8" t="inlineStr">
        <is>
          <t>Dragon's Maze Promos PDGM</t>
        </is>
      </c>
      <c r="J1296" s="8" t="n">
        <v>6</v>
      </c>
      <c r="K1296" s="9" t="n">
        <v>41391</v>
      </c>
      <c r="L1296" s="8" t="inlineStr">
        <is>
          <t>en es fr de it pt ja ko ru 汉语 漢語</t>
        </is>
      </c>
    </row>
    <row r="1297">
      <c r="F1297" s="1" t="n"/>
    </row>
    <row r="1298">
      <c r="F1298" s="1" t="n"/>
      <c r="I1298" s="8" t="inlineStr">
        <is>
          <t>Dragon's Maze Tokens TDGM</t>
        </is>
      </c>
      <c r="J1298" s="8" t="n">
        <v>1</v>
      </c>
      <c r="K1298" s="9" t="n">
        <v>41397</v>
      </c>
      <c r="L1298" s="8" t="inlineStr">
        <is>
          <t>en es fr de it pt ja ko ru 汉语 漢語</t>
        </is>
      </c>
    </row>
    <row r="1299">
      <c r="F1299" s="1" t="n"/>
    </row>
    <row r="1300">
      <c r="F1300" s="1" t="n"/>
      <c r="I1300" s="8" t="inlineStr">
        <is>
          <t>World Magic Cup Qualifiers WMC</t>
        </is>
      </c>
      <c r="J1300" s="8" t="n">
        <v>5</v>
      </c>
      <c r="K1300" s="9" t="n">
        <v>41370</v>
      </c>
      <c r="L1300" s="8" t="inlineStr">
        <is>
          <t>en es fr de it pt ja ko ru 汉语 漢語</t>
        </is>
      </c>
    </row>
    <row r="1301">
      <c r="F1301" s="1" t="n"/>
    </row>
    <row r="1302">
      <c r="F1302" s="1" t="n"/>
      <c r="I1302" s="8" t="inlineStr">
        <is>
          <t>Duel Decks: Sorin vs. Tibalt DDK</t>
        </is>
      </c>
      <c r="J1302" s="8" t="n">
        <v>80</v>
      </c>
      <c r="K1302" s="9" t="n">
        <v>41348</v>
      </c>
      <c r="L1302" t="inlineStr">
        <is>
          <t>en es fr de it pt ja ko ru 汉语 漢語</t>
        </is>
      </c>
    </row>
    <row r="1303">
      <c r="F1303" s="1" t="n"/>
    </row>
    <row r="1304">
      <c r="F1304" s="1" t="n"/>
      <c r="I1304" s="8" t="inlineStr">
        <is>
          <t>Duel Decks: Sorin vs. Tibalt Tokens TDDK</t>
        </is>
      </c>
      <c r="J1304" s="8" t="n">
        <v>1</v>
      </c>
      <c r="K1304" s="9" t="n">
        <v>41348</v>
      </c>
      <c r="L1304" s="8" t="inlineStr">
        <is>
          <t>en es fr de it pt ja ko ru 汉语 漢語</t>
        </is>
      </c>
    </row>
    <row r="1305">
      <c r="F1305" s="1" t="n"/>
    </row>
    <row r="1306">
      <c r="F1306" s="1" t="n"/>
      <c r="I1306" s="8" t="inlineStr">
        <is>
          <t>Gatecrash GTC</t>
        </is>
      </c>
      <c r="J1306" s="8" t="n">
        <v>249</v>
      </c>
      <c r="K1306" s="9" t="n">
        <v>41306</v>
      </c>
      <c r="L1306" t="inlineStr">
        <is>
          <t>en es fr de it pt ja ko ru 汉语 漢語</t>
        </is>
      </c>
    </row>
    <row r="1307">
      <c r="F1307" s="1" t="n"/>
    </row>
    <row r="1308">
      <c r="F1308" s="1" t="n"/>
      <c r="I1308" s="8" t="inlineStr">
        <is>
          <t>Gatecrash Promos PGTC</t>
        </is>
      </c>
      <c r="J1308" s="8" t="n">
        <v>10</v>
      </c>
      <c r="K1308" s="9" t="n">
        <v>41300</v>
      </c>
      <c r="L1308" s="8" t="inlineStr">
        <is>
          <t>en es fr de it pt ja ko ru 汉语 漢語</t>
        </is>
      </c>
    </row>
    <row r="1309">
      <c r="F1309" s="1" t="n"/>
    </row>
    <row r="1310">
      <c r="F1310" s="1" t="n"/>
      <c r="I1310" s="8" t="inlineStr">
        <is>
          <t>Gatecrash Tokens TGTC</t>
        </is>
      </c>
      <c r="J1310" s="8" t="n">
        <v>8</v>
      </c>
      <c r="K1310" s="9" t="n">
        <v>41306</v>
      </c>
      <c r="L1310" s="8" t="inlineStr">
        <is>
          <t>en es fr de it pt ja ko ru 汉语 漢語</t>
        </is>
      </c>
    </row>
    <row r="1311">
      <c r="F1311" s="1" t="n"/>
    </row>
    <row r="1312">
      <c r="F1312" s="1" t="n"/>
      <c r="I1312" s="8" t="inlineStr">
        <is>
          <t>Duels of the Planeswalkers 2014 Promos PDP14</t>
        </is>
      </c>
      <c r="J1312" s="8" t="n">
        <v>3</v>
      </c>
      <c r="K1312" s="9" t="n">
        <v>41275</v>
      </c>
      <c r="L1312" s="8" t="inlineStr">
        <is>
          <t>en es fr de it pt ja ko ru 汉语 漢語</t>
        </is>
      </c>
    </row>
    <row r="1313">
      <c r="F1313" s="1" t="n"/>
    </row>
    <row r="1314">
      <c r="F1314" s="1" t="n"/>
      <c r="I1314" s="8" t="inlineStr">
        <is>
          <t>League Tokens 2013 L13</t>
        </is>
      </c>
      <c r="J1314" s="8" t="n">
        <v>4</v>
      </c>
      <c r="K1314" s="9" t="n">
        <v>41275</v>
      </c>
      <c r="L1314" s="8" t="inlineStr">
        <is>
          <t>en es fr de it pt ja ko ru 汉语 漢語</t>
        </is>
      </c>
    </row>
    <row r="1315">
      <c r="F1315" s="1" t="n"/>
    </row>
    <row r="1316">
      <c r="F1316" s="1" t="n"/>
      <c r="I1316" s="8" t="inlineStr">
        <is>
          <t>Judge Gift Cards 2013 J13</t>
        </is>
      </c>
      <c r="J1316" s="8" t="n">
        <v>9</v>
      </c>
      <c r="K1316" s="9" t="n">
        <v>41275</v>
      </c>
      <c r="L1316" s="8" t="inlineStr">
        <is>
          <t>en es fr de it pt ja ko ru 汉语 漢語</t>
        </is>
      </c>
    </row>
    <row r="1317">
      <c r="F1317" s="1" t="n"/>
    </row>
    <row r="1318">
      <c r="F1318" s="1" t="n"/>
      <c r="I1318" s="8" t="inlineStr">
        <is>
          <t>Friday Night Magic 2013 F13</t>
        </is>
      </c>
      <c r="J1318" s="8" t="n">
        <v>12</v>
      </c>
      <c r="K1318" s="9" t="n">
        <v>41275</v>
      </c>
      <c r="L1318" s="8" t="inlineStr">
        <is>
          <t>en es fr de it pt ja ko ru 汉语 漢語</t>
        </is>
      </c>
    </row>
    <row r="1319">
      <c r="F1319" s="1" t="n"/>
    </row>
    <row r="1320">
      <c r="F1320" s="1" t="n"/>
      <c r="I1320" s="8" t="inlineStr">
        <is>
          <t>Commander's Arsenal CM1</t>
        </is>
      </c>
      <c r="J1320" s="8" t="n">
        <v>18</v>
      </c>
      <c r="K1320" s="9" t="n">
        <v>41215</v>
      </c>
      <c r="L1320" s="8" t="inlineStr">
        <is>
          <t>en es fr de it pt ja ko ru 汉语 漢語</t>
        </is>
      </c>
    </row>
    <row r="1321">
      <c r="F1321" s="1" t="n"/>
    </row>
    <row r="1322">
      <c r="F1322" s="1" t="n"/>
      <c r="I1322" s="8" t="inlineStr">
        <is>
          <t>Commander's Arsenal Oversized OCM1</t>
        </is>
      </c>
      <c r="J1322" s="8" t="n">
        <v>10</v>
      </c>
      <c r="K1322" s="9" t="n">
        <v>41215</v>
      </c>
      <c r="L1322" s="8" t="inlineStr">
        <is>
          <t>en es fr de it pt ja ko ru 汉语 漢語</t>
        </is>
      </c>
    </row>
    <row r="1323">
      <c r="F1323" s="1" t="n"/>
    </row>
    <row r="1324">
      <c r="F1324" s="1" t="n"/>
      <c r="I1324" s="8" t="inlineStr">
        <is>
          <t>Return to Ravnica RTR</t>
        </is>
      </c>
      <c r="J1324" s="8" t="n">
        <v>274</v>
      </c>
      <c r="K1324" s="9" t="n">
        <v>41187</v>
      </c>
      <c r="L1324" t="inlineStr">
        <is>
          <t>en es fr de it pt ja ko ru 汉语 漢語</t>
        </is>
      </c>
    </row>
    <row r="1325">
      <c r="F1325" s="1" t="n"/>
    </row>
    <row r="1326">
      <c r="F1326" s="1" t="n"/>
      <c r="I1326" s="8" t="inlineStr">
        <is>
          <t>Return to Ravnica Promos PRTR</t>
        </is>
      </c>
      <c r="J1326" s="8" t="n">
        <v>10</v>
      </c>
      <c r="K1326" s="9" t="n">
        <v>41187</v>
      </c>
      <c r="L1326" s="8" t="inlineStr">
        <is>
          <t>en es fr de it pt ja ko ru 汉语 漢語</t>
        </is>
      </c>
    </row>
    <row r="1327">
      <c r="F1327" s="1" t="n"/>
    </row>
    <row r="1328">
      <c r="F1328" s="1" t="n"/>
      <c r="I1328" s="8" t="inlineStr">
        <is>
          <t>Return to Ravnica Tokens TRTR</t>
        </is>
      </c>
      <c r="J1328" s="8" t="n">
        <v>12</v>
      </c>
      <c r="K1328" s="9" t="n">
        <v>41187</v>
      </c>
      <c r="L1328" s="8" t="inlineStr">
        <is>
          <t>en es fr de it pt ja ko ru 汉语 漢語</t>
        </is>
      </c>
    </row>
    <row r="1329">
      <c r="F1329" s="1" t="n"/>
    </row>
    <row r="1330">
      <c r="F1330" s="1" t="n"/>
      <c r="I1330" s="8" t="inlineStr">
        <is>
          <t>Duel Decks: Izzet vs. Golgari DDJ</t>
        </is>
      </c>
      <c r="J1330" s="8" t="n">
        <v>90</v>
      </c>
      <c r="K1330" s="9" t="n">
        <v>41159</v>
      </c>
      <c r="L1330" t="inlineStr">
        <is>
          <t>en es fr de it pt ja ko ru 汉语 漢語</t>
        </is>
      </c>
    </row>
    <row r="1331">
      <c r="F1331" s="1" t="n"/>
    </row>
    <row r="1332">
      <c r="F1332" s="1" t="n"/>
      <c r="I1332" s="8" t="inlineStr">
        <is>
          <t>Duel Decks: Izzet vs. Golgari Tokens TDDJ</t>
        </is>
      </c>
      <c r="J1332" s="8" t="n">
        <v>1</v>
      </c>
      <c r="K1332" s="9" t="n">
        <v>41159</v>
      </c>
      <c r="L1332" s="8" t="inlineStr">
        <is>
          <t>en es fr de it pt ja ko ru 汉语 漢語</t>
        </is>
      </c>
    </row>
    <row r="1333">
      <c r="F1333" s="1" t="n"/>
    </row>
    <row r="1334">
      <c r="F1334" s="1" t="n"/>
      <c r="I1334" s="8" t="inlineStr">
        <is>
          <t>From the Vault: Realms V12</t>
        </is>
      </c>
      <c r="J1334" s="8" t="n">
        <v>15</v>
      </c>
      <c r="K1334" s="9" t="n">
        <v>41152</v>
      </c>
      <c r="L1334" s="8" t="inlineStr">
        <is>
          <t>en es fr de it pt ja ko ru 汉语 漢語</t>
        </is>
      </c>
    </row>
    <row r="1335">
      <c r="F1335" s="1" t="n"/>
    </row>
    <row r="1336">
      <c r="F1336" s="1" t="n"/>
      <c r="I1336" s="8" t="inlineStr">
        <is>
          <t>Magic 2013 M13</t>
        </is>
      </c>
      <c r="J1336" s="8" t="n">
        <v>249</v>
      </c>
      <c r="K1336" s="9" t="n">
        <v>41103</v>
      </c>
      <c r="L1336" t="inlineStr">
        <is>
          <t>en es fr de it pt ja ko ru 汉语 漢語</t>
        </is>
      </c>
    </row>
    <row r="1337">
      <c r="F1337" s="1" t="n"/>
    </row>
    <row r="1338">
      <c r="F1338" s="1" t="n"/>
      <c r="I1338" s="8" t="inlineStr">
        <is>
          <t>Magic 2013 Promos PM13</t>
        </is>
      </c>
      <c r="J1338" s="8" t="n">
        <v>6</v>
      </c>
      <c r="K1338" s="9" t="n">
        <v>41102</v>
      </c>
      <c r="L1338" s="8" t="inlineStr">
        <is>
          <t>en es fr de it pt ja ko ru 汉语 漢語</t>
        </is>
      </c>
    </row>
    <row r="1339">
      <c r="F1339" s="1" t="n"/>
    </row>
    <row r="1340">
      <c r="F1340" s="1" t="n"/>
      <c r="I1340" s="8" t="inlineStr">
        <is>
          <t>Magic 2013 Tokens TM13</t>
        </is>
      </c>
      <c r="J1340" s="8" t="n">
        <v>11</v>
      </c>
      <c r="K1340" s="9" t="n">
        <v>41103</v>
      </c>
      <c r="L1340" s="8" t="inlineStr">
        <is>
          <t>en es fr de it pt ja ko ru 汉语 漢語</t>
        </is>
      </c>
    </row>
    <row r="1341">
      <c r="F1341" s="1" t="n"/>
    </row>
    <row r="1342">
      <c r="F1342" s="1" t="n"/>
      <c r="I1342" s="8" t="inlineStr">
        <is>
          <t>Planechase 2012 PC2</t>
        </is>
      </c>
      <c r="J1342" s="8" t="n">
        <v>156</v>
      </c>
      <c r="K1342" s="9" t="n">
        <v>41061</v>
      </c>
      <c r="L1342" t="inlineStr">
        <is>
          <t>en es fr de it pt ja ko ru 汉语 漢語</t>
        </is>
      </c>
    </row>
    <row r="1343">
      <c r="F1343" s="1" t="n"/>
    </row>
    <row r="1344">
      <c r="F1344" s="1" t="n"/>
      <c r="I1344" s="8" t="inlineStr">
        <is>
          <t>Planechase 2012 Planes OPC2</t>
        </is>
      </c>
      <c r="J1344" s="8" t="n">
        <v>40</v>
      </c>
      <c r="K1344" s="9" t="n">
        <v>41061</v>
      </c>
      <c r="L1344" t="inlineStr">
        <is>
          <t>en es fr de it pt ja ko ru 汉语 漢語</t>
        </is>
      </c>
    </row>
    <row r="1345">
      <c r="F1345" s="1" t="n"/>
    </row>
    <row r="1346">
      <c r="F1346" s="1" t="n"/>
      <c r="I1346" s="8" t="inlineStr">
        <is>
          <t>Avacyn Restored AVR</t>
        </is>
      </c>
      <c r="J1346" s="8" t="n">
        <v>244</v>
      </c>
      <c r="K1346" s="9" t="n">
        <v>41033</v>
      </c>
      <c r="L1346" t="inlineStr">
        <is>
          <t>en es fr de it pt ja ko ru 汉语 漢語</t>
        </is>
      </c>
    </row>
    <row r="1347">
      <c r="F1347" s="1" t="n"/>
    </row>
    <row r="1348">
      <c r="F1348" s="1" t="n"/>
      <c r="I1348" s="8" t="inlineStr">
        <is>
          <t>Avacyn Restored Promos PAVR</t>
        </is>
      </c>
      <c r="J1348" s="8" t="n">
        <v>6</v>
      </c>
      <c r="K1348" s="9" t="n">
        <v>41027</v>
      </c>
      <c r="L1348" s="8" t="inlineStr">
        <is>
          <t>en es fr de it pt ja ko ru 汉语 漢語</t>
        </is>
      </c>
    </row>
    <row r="1349">
      <c r="F1349" s="1" t="n"/>
    </row>
    <row r="1350">
      <c r="F1350" s="1" t="n"/>
      <c r="I1350" s="8" t="inlineStr">
        <is>
          <t>Avacyn Restored Tokens TAVR</t>
        </is>
      </c>
      <c r="J1350" s="8" t="n">
        <v>8</v>
      </c>
      <c r="K1350" s="9" t="n">
        <v>41033</v>
      </c>
      <c r="L1350" s="8" t="inlineStr">
        <is>
          <t>en es fr de it pt ja ko ru 汉语 漢語</t>
        </is>
      </c>
    </row>
    <row r="1351">
      <c r="F1351" s="1" t="n"/>
    </row>
    <row r="1352">
      <c r="F1352" s="1" t="n"/>
      <c r="I1352" s="8" t="inlineStr">
        <is>
          <t>Open the Helvault PHEL</t>
        </is>
      </c>
      <c r="J1352" s="8" t="n">
        <v>6</v>
      </c>
      <c r="K1352" s="9" t="n">
        <v>41027</v>
      </c>
      <c r="L1352" s="8" t="inlineStr">
        <is>
          <t>en es fr de it pt ja ko ru 汉语 漢語</t>
        </is>
      </c>
    </row>
    <row r="1353">
      <c r="F1353" s="1" t="n"/>
    </row>
    <row r="1354">
      <c r="F1354" s="1" t="n"/>
      <c r="I1354" s="8" t="inlineStr">
        <is>
          <t>Duel Decks: Venser vs. Koth DDI</t>
        </is>
      </c>
      <c r="J1354" s="8" t="n">
        <v>77</v>
      </c>
      <c r="K1354" s="9" t="n">
        <v>40998</v>
      </c>
      <c r="L1354" t="inlineStr">
        <is>
          <t>en es fr de it pt ja ko ru 汉语 漢語</t>
        </is>
      </c>
    </row>
    <row r="1355">
      <c r="F1355" s="1" t="n"/>
    </row>
    <row r="1356">
      <c r="F1356" s="1" t="n"/>
      <c r="I1356" s="8" t="inlineStr">
        <is>
          <t>Duel Decks: Venser vs. Koth Tokens TDDI</t>
        </is>
      </c>
      <c r="J1356" s="8" t="n">
        <v>2</v>
      </c>
      <c r="K1356" s="9" t="n">
        <v>40998</v>
      </c>
      <c r="L1356" s="8" t="inlineStr">
        <is>
          <t>en es fr de it pt ja ko ru 汉语 漢語</t>
        </is>
      </c>
    </row>
    <row r="1357">
      <c r="F1357" s="1" t="n"/>
    </row>
    <row r="1358">
      <c r="F1358" s="1" t="n"/>
      <c r="I1358" s="8" t="inlineStr">
        <is>
          <t>Dark Ascension DKA</t>
        </is>
      </c>
      <c r="J1358" s="8" t="n">
        <v>158</v>
      </c>
      <c r="K1358" s="9" t="n">
        <v>40942</v>
      </c>
      <c r="L1358" t="inlineStr">
        <is>
          <t>en es fr de it pt ja ko ru 汉语 漢語</t>
        </is>
      </c>
    </row>
    <row r="1359">
      <c r="F1359" s="1" t="n"/>
    </row>
    <row r="1360">
      <c r="F1360" s="1" t="n"/>
      <c r="I1360" s="8" t="inlineStr">
        <is>
          <t>Dark Ascension Promos PDKA</t>
        </is>
      </c>
      <c r="J1360" s="8" t="n">
        <v>5</v>
      </c>
      <c r="K1360" s="9" t="n">
        <v>40936</v>
      </c>
      <c r="L1360" s="8" t="inlineStr">
        <is>
          <t>en es fr de it pt ja ko ru 汉语 漢語</t>
        </is>
      </c>
    </row>
    <row r="1361">
      <c r="F1361" s="1" t="n"/>
    </row>
    <row r="1362">
      <c r="F1362" s="1" t="n"/>
      <c r="I1362" s="8" t="inlineStr">
        <is>
          <t>Dark Ascension Tokens TDKA</t>
        </is>
      </c>
      <c r="J1362" s="8" t="n">
        <v>4</v>
      </c>
      <c r="K1362" s="9" t="n">
        <v>40942</v>
      </c>
      <c r="L1362" s="8" t="inlineStr">
        <is>
          <t>en es fr de it pt ja ko ru 汉语 漢語</t>
        </is>
      </c>
    </row>
    <row r="1363">
      <c r="F1363" s="1" t="n"/>
    </row>
    <row r="1364">
      <c r="F1364" s="1" t="n"/>
      <c r="I1364" s="8" t="inlineStr">
        <is>
          <t>Wizards Play Network 2012 PW12</t>
        </is>
      </c>
      <c r="J1364" s="8" t="n">
        <v>3</v>
      </c>
      <c r="K1364" s="9" t="n">
        <v>40909</v>
      </c>
      <c r="L1364" s="8" t="inlineStr">
        <is>
          <t>en es fr de it pt ja ko ru 汉语 漢語</t>
        </is>
      </c>
    </row>
    <row r="1365">
      <c r="F1365" s="1" t="n"/>
    </row>
    <row r="1366">
      <c r="F1366" s="1" t="n"/>
      <c r="I1366" s="8" t="inlineStr">
        <is>
          <t>Duels of the Planeswalkers 2013 Promos PDP13</t>
        </is>
      </c>
      <c r="J1366" s="8" t="n">
        <v>3</v>
      </c>
      <c r="K1366" s="9" t="n">
        <v>40909</v>
      </c>
      <c r="L1366" s="8" t="inlineStr">
        <is>
          <t>en es fr de it pt ja ko ru 汉语 漢語</t>
        </is>
      </c>
    </row>
    <row r="1367">
      <c r="F1367" s="1" t="n"/>
    </row>
    <row r="1368">
      <c r="F1368" s="1" t="n"/>
      <c r="I1368" s="8" t="inlineStr">
        <is>
          <t>IDW Comics Inserts PIDW</t>
        </is>
      </c>
      <c r="J1368" s="8" t="n">
        <v>17</v>
      </c>
      <c r="K1368" s="9" t="n">
        <v>40909</v>
      </c>
      <c r="L1368" s="8" t="inlineStr">
        <is>
          <t>en es fr de it pt ja ko ru 汉语 漢語</t>
        </is>
      </c>
    </row>
    <row r="1369">
      <c r="F1369" s="1" t="n"/>
    </row>
    <row r="1370">
      <c r="F1370" s="1" t="n"/>
      <c r="I1370" s="8" t="inlineStr">
        <is>
          <t>League Tokens 2012 L12</t>
        </is>
      </c>
      <c r="J1370" s="8" t="n">
        <v>2</v>
      </c>
      <c r="K1370" s="9" t="n">
        <v>40909</v>
      </c>
      <c r="L1370" s="8" t="inlineStr">
        <is>
          <t>en es fr de it pt ja ko ru 汉语 漢語</t>
        </is>
      </c>
    </row>
    <row r="1371">
      <c r="F1371" s="1" t="n"/>
    </row>
    <row r="1372">
      <c r="F1372" s="1" t="n"/>
      <c r="I1372" s="8" t="inlineStr">
        <is>
          <t>Judge Gift Cards 2012 J12</t>
        </is>
      </c>
      <c r="J1372" s="8" t="n">
        <v>9</v>
      </c>
      <c r="K1372" s="9" t="n">
        <v>40909</v>
      </c>
      <c r="L1372" s="8" t="inlineStr">
        <is>
          <t>en es fr de it pt ja ko ru 汉语 漢語</t>
        </is>
      </c>
    </row>
    <row r="1373">
      <c r="F1373" s="1" t="n"/>
    </row>
    <row r="1374">
      <c r="F1374" s="1" t="n"/>
      <c r="I1374" s="8" t="inlineStr">
        <is>
          <t>Friday Night Magic 2012 F12</t>
        </is>
      </c>
      <c r="J1374" s="8" t="n">
        <v>13</v>
      </c>
      <c r="K1374" s="9" t="n">
        <v>40909</v>
      </c>
      <c r="L1374" s="8" t="inlineStr">
        <is>
          <t>en es fr de it pt ja ko ru 汉语 漢語</t>
        </is>
      </c>
    </row>
    <row r="1375">
      <c r="F1375" s="1" t="n"/>
    </row>
    <row r="1376">
      <c r="F1376" s="1" t="n"/>
      <c r="I1376" s="8" t="inlineStr">
        <is>
          <t>Premium Deck Series: Graveborn PD3</t>
        </is>
      </c>
      <c r="J1376" s="8" t="n">
        <v>30</v>
      </c>
      <c r="K1376" s="9" t="n">
        <v>40865</v>
      </c>
      <c r="L1376" s="8" t="inlineStr">
        <is>
          <t>en es fr de it pt ja ko ru 汉语 漢語</t>
        </is>
      </c>
    </row>
    <row r="1377">
      <c r="F1377" s="1" t="n"/>
    </row>
    <row r="1378">
      <c r="F1378" s="1" t="n"/>
      <c r="I1378" s="8" t="inlineStr">
        <is>
          <t>Innistrad ISD</t>
        </is>
      </c>
      <c r="J1378" s="8" t="n">
        <v>264</v>
      </c>
      <c r="K1378" s="9" t="n">
        <v>40816</v>
      </c>
      <c r="L1378" t="inlineStr">
        <is>
          <t>en es fr de it pt ja ko ru 汉语 漢語</t>
        </is>
      </c>
    </row>
    <row r="1379">
      <c r="F1379" s="1" t="n"/>
    </row>
    <row r="1380">
      <c r="F1380" s="1" t="n"/>
      <c r="I1380" s="8" t="inlineStr">
        <is>
          <t>Innistrad Promos PISD</t>
        </is>
      </c>
      <c r="J1380" s="8" t="n">
        <v>5</v>
      </c>
      <c r="K1380" s="9" t="n">
        <v>40810</v>
      </c>
      <c r="L1380" s="8" t="inlineStr">
        <is>
          <t>en es fr de it pt ja ko ru 汉语 漢語</t>
        </is>
      </c>
    </row>
    <row r="1381">
      <c r="F1381" s="1" t="n"/>
    </row>
    <row r="1382">
      <c r="F1382" s="1" t="n"/>
      <c r="I1382" s="8" t="inlineStr">
        <is>
          <t>Innistrad Tokens TISD</t>
        </is>
      </c>
      <c r="J1382" s="8" t="n">
        <v>13</v>
      </c>
      <c r="K1382" s="9" t="n">
        <v>40816</v>
      </c>
      <c r="L1382" s="8" t="inlineStr">
        <is>
          <t>en es fr de it pt ja ko ru 汉语 漢語</t>
        </is>
      </c>
    </row>
    <row r="1383">
      <c r="F1383" s="1" t="n"/>
    </row>
    <row r="1384">
      <c r="F1384" s="1" t="n"/>
      <c r="I1384" s="8" t="inlineStr">
        <is>
          <t>Duel Decks: Ajani vs. Nicol Bolas DDH</t>
        </is>
      </c>
      <c r="J1384" s="8" t="n">
        <v>80</v>
      </c>
      <c r="K1384" s="9" t="n">
        <v>40788</v>
      </c>
      <c r="L1384" t="inlineStr">
        <is>
          <t>en es fr de it pt ja ko ru 汉语 漢語</t>
        </is>
      </c>
    </row>
    <row r="1385">
      <c r="F1385" s="1" t="n"/>
    </row>
    <row r="1386">
      <c r="F1386" s="1" t="n"/>
      <c r="I1386" s="8" t="inlineStr">
        <is>
          <t>Duel Decks: Ajani vs. Nicol Bolas Tokens TDDH</t>
        </is>
      </c>
      <c r="J1386" s="8" t="n">
        <v>2</v>
      </c>
      <c r="K1386" s="9" t="n">
        <v>40788</v>
      </c>
      <c r="L1386" s="8" t="inlineStr">
        <is>
          <t>en es fr de it pt ja ko ru 汉语 漢語</t>
        </is>
      </c>
    </row>
    <row r="1387">
      <c r="F1387" s="1" t="n"/>
    </row>
    <row r="1388">
      <c r="F1388" s="1" t="n"/>
      <c r="I1388" s="8" t="inlineStr">
        <is>
          <t>From the Vault: Legends V11</t>
        </is>
      </c>
      <c r="J1388" s="8" t="n">
        <v>15</v>
      </c>
      <c r="K1388" s="9" t="n">
        <v>40781</v>
      </c>
      <c r="L1388" s="8" t="inlineStr">
        <is>
          <t>en es fr de it pt ja ko ru 汉语 漢語</t>
        </is>
      </c>
    </row>
    <row r="1389">
      <c r="F1389" s="1" t="n"/>
    </row>
    <row r="1390">
      <c r="F1390" s="1" t="n"/>
      <c r="I1390" s="8" t="inlineStr">
        <is>
          <t>Magic 2012 M12</t>
        </is>
      </c>
      <c r="J1390" s="8" t="n">
        <v>249</v>
      </c>
      <c r="K1390" s="9" t="n">
        <v>40739</v>
      </c>
      <c r="L1390" t="inlineStr">
        <is>
          <t>en es fr de it pt ja ko ru 汉语 漢語</t>
        </is>
      </c>
    </row>
    <row r="1391">
      <c r="F1391" s="1" t="n"/>
    </row>
    <row r="1392">
      <c r="F1392" s="1" t="n"/>
      <c r="I1392" s="8" t="inlineStr">
        <is>
          <t>Magic 2012 Promos PM12</t>
        </is>
      </c>
      <c r="J1392" s="8" t="n">
        <v>3</v>
      </c>
      <c r="K1392" s="9" t="n">
        <v>40738</v>
      </c>
      <c r="L1392" s="8" t="inlineStr">
        <is>
          <t>en es fr de it pt ja ko ru 汉语 漢語</t>
        </is>
      </c>
    </row>
    <row r="1393">
      <c r="F1393" s="1" t="n"/>
    </row>
    <row r="1394">
      <c r="F1394" s="1" t="n"/>
      <c r="I1394" s="8" t="inlineStr">
        <is>
          <t>Magic 2012 Tokens TM12</t>
        </is>
      </c>
      <c r="J1394" s="8" t="n">
        <v>7</v>
      </c>
      <c r="K1394" s="9" t="n">
        <v>40739</v>
      </c>
      <c r="L1394" s="8" t="inlineStr">
        <is>
          <t>en es fr de it pt ja ko ru 汉语 漢語</t>
        </is>
      </c>
    </row>
    <row r="1395">
      <c r="F1395" s="1" t="n"/>
    </row>
    <row r="1396">
      <c r="F1396" s="1" t="n"/>
      <c r="I1396" s="8" t="inlineStr">
        <is>
          <t>Commander 2011 CMD</t>
        </is>
      </c>
      <c r="J1396" s="8" t="n">
        <v>318</v>
      </c>
      <c r="K1396" s="9" t="n">
        <v>40711</v>
      </c>
      <c r="L1396" t="inlineStr">
        <is>
          <t>en es fr de it pt ja ko ru 汉语 漢語</t>
        </is>
      </c>
    </row>
    <row r="1397">
      <c r="F1397" s="1" t="n"/>
    </row>
    <row r="1398">
      <c r="F1398" s="1" t="n"/>
      <c r="I1398" s="8" t="inlineStr">
        <is>
          <t>Commander 2011 Launch Party PCMD</t>
        </is>
      </c>
      <c r="J1398" s="8" t="n">
        <v>5</v>
      </c>
      <c r="K1398" s="9" t="n">
        <v>40711</v>
      </c>
      <c r="L1398" s="8" t="inlineStr">
        <is>
          <t>en es fr de it pt ja ko ru 汉语 漢語</t>
        </is>
      </c>
    </row>
    <row r="1399">
      <c r="F1399" s="1" t="n"/>
    </row>
    <row r="1400">
      <c r="F1400" s="1" t="n"/>
      <c r="I1400" s="8" t="inlineStr">
        <is>
          <t>Commander 2011 Oversized OCMD</t>
        </is>
      </c>
      <c r="J1400" s="8" t="n">
        <v>15</v>
      </c>
      <c r="K1400" s="9" t="n">
        <v>40711</v>
      </c>
      <c r="L1400" s="8" t="inlineStr">
        <is>
          <t>en es fr de it pt ja ko ru 汉语 漢語</t>
        </is>
      </c>
    </row>
    <row r="1401">
      <c r="F1401" s="1" t="n"/>
    </row>
    <row r="1402">
      <c r="F1402" s="1" t="n"/>
      <c r="I1402" s="8" t="inlineStr">
        <is>
          <t>Duel Decks: Mirrodin Pure vs. New Phyrexia TD2</t>
        </is>
      </c>
      <c r="J1402" s="8" t="n">
        <v>88</v>
      </c>
      <c r="K1402" s="9" t="n">
        <v>40677</v>
      </c>
      <c r="L1402" s="8" t="inlineStr">
        <is>
          <t>en es fr de it pt ja ko ru 汉语 漢語</t>
        </is>
      </c>
    </row>
    <row r="1403">
      <c r="F1403" s="1" t="n"/>
    </row>
    <row r="1404">
      <c r="F1404" s="1" t="n"/>
      <c r="I1404" s="8" t="inlineStr">
        <is>
          <t>New Phyrexia NPH</t>
        </is>
      </c>
      <c r="J1404" s="8" t="n">
        <v>175</v>
      </c>
      <c r="K1404" s="9" t="n">
        <v>40676</v>
      </c>
      <c r="L1404" t="inlineStr">
        <is>
          <t>en es fr de it pt ja ko ru 汉语 漢語</t>
        </is>
      </c>
    </row>
    <row r="1405">
      <c r="F1405" s="1" t="n"/>
    </row>
    <row r="1406">
      <c r="F1406" s="1" t="n"/>
      <c r="I1406" s="8" t="inlineStr">
        <is>
          <t>New Phyrexia Promos PNPH</t>
        </is>
      </c>
      <c r="J1406" s="8" t="n">
        <v>4</v>
      </c>
      <c r="K1406" s="9" t="n">
        <v>40675</v>
      </c>
      <c r="L1406" s="8" t="inlineStr">
        <is>
          <t>en es fr de it pt ja ko ru 汉语 漢語</t>
        </is>
      </c>
    </row>
    <row r="1407">
      <c r="F1407" s="1" t="n"/>
    </row>
    <row r="1408">
      <c r="F1408" s="1" t="n"/>
      <c r="I1408" s="8" t="inlineStr">
        <is>
          <t>New Phyrexia Tokens TNPH</t>
        </is>
      </c>
      <c r="J1408" s="8" t="n">
        <v>5</v>
      </c>
      <c r="K1408" s="9" t="n">
        <v>40676</v>
      </c>
      <c r="L1408" s="8" t="inlineStr">
        <is>
          <t>en es fr de it pt ja ko ru 汉语 漢語</t>
        </is>
      </c>
    </row>
    <row r="1409">
      <c r="F1409" s="1" t="n"/>
    </row>
    <row r="1410">
      <c r="F1410" s="1" t="n"/>
      <c r="I1410" s="8" t="inlineStr">
        <is>
          <t>Duel Decks: Knights vs. Dragons DDG</t>
        </is>
      </c>
      <c r="J1410" s="8" t="n">
        <v>81</v>
      </c>
      <c r="K1410" s="9" t="n">
        <v>40634</v>
      </c>
      <c r="L1410" t="inlineStr">
        <is>
          <t>en es fr de it pt ja ko ru 汉语 漢語</t>
        </is>
      </c>
    </row>
    <row r="1411">
      <c r="F1411" s="1" t="n"/>
    </row>
    <row r="1412">
      <c r="F1412" s="1" t="n"/>
      <c r="I1412" s="8" t="inlineStr">
        <is>
          <t>Duel Decks: Knights vs. Dragons Tokens TDDG</t>
        </is>
      </c>
      <c r="J1412" s="8" t="n">
        <v>1</v>
      </c>
      <c r="K1412" s="9" t="n">
        <v>40634</v>
      </c>
      <c r="L1412" s="8" t="inlineStr">
        <is>
          <t>en es fr de it pt ja ko ru 汉语 漢語</t>
        </is>
      </c>
    </row>
    <row r="1413">
      <c r="F1413" s="1" t="n"/>
    </row>
    <row r="1414">
      <c r="F1414" s="1" t="n"/>
      <c r="I1414" s="8" t="inlineStr">
        <is>
          <t>Mirrodin Besieged MBS</t>
        </is>
      </c>
      <c r="J1414" s="8" t="n">
        <v>155</v>
      </c>
      <c r="K1414" s="9" t="n">
        <v>40578</v>
      </c>
      <c r="L1414" t="inlineStr">
        <is>
          <t>en es fr de it pt ja ko ru 汉语 漢語</t>
        </is>
      </c>
    </row>
    <row r="1415">
      <c r="F1415" s="1" t="n"/>
    </row>
    <row r="1416">
      <c r="F1416" s="1" t="n"/>
      <c r="I1416" s="8" t="inlineStr">
        <is>
          <t>Mirrodin Besieged Promos PMBS</t>
        </is>
      </c>
      <c r="J1416" s="8" t="n">
        <v>4</v>
      </c>
      <c r="K1416" s="9" t="n">
        <v>40577</v>
      </c>
      <c r="L1416" s="8" t="inlineStr">
        <is>
          <t>en es fr de it pt ja ko ru 汉语 漢語</t>
        </is>
      </c>
    </row>
    <row r="1417">
      <c r="F1417" s="1" t="n"/>
    </row>
    <row r="1418">
      <c r="F1418" s="1" t="n"/>
      <c r="I1418" s="8" t="inlineStr">
        <is>
          <t>Mirrodin Besieged Tokens TMBS</t>
        </is>
      </c>
      <c r="J1418" s="8" t="n">
        <v>6</v>
      </c>
      <c r="K1418" s="9" t="n">
        <v>40578</v>
      </c>
      <c r="L1418" s="8" t="inlineStr">
        <is>
          <t>en es fr de it pt ja ko ru 汉语 漢語</t>
        </is>
      </c>
    </row>
    <row r="1419">
      <c r="F1419" s="1" t="n"/>
    </row>
    <row r="1420">
      <c r="F1420" s="1" t="n"/>
      <c r="I1420" s="8" t="inlineStr">
        <is>
          <t>Masters Edition IV ME4</t>
        </is>
      </c>
      <c r="J1420" s="8" t="n">
        <v>269</v>
      </c>
      <c r="K1420" s="9" t="n">
        <v>40553</v>
      </c>
      <c r="L1420" s="8" t="inlineStr">
        <is>
          <t>en es fr de it pt ja ko ru 汉语 漢語</t>
        </is>
      </c>
    </row>
    <row r="1421">
      <c r="F1421" s="1" t="n"/>
    </row>
    <row r="1422">
      <c r="F1422" s="1" t="n"/>
      <c r="I1422" s="8" t="inlineStr">
        <is>
          <t>Magic Premiere Shop 2011 PMPS11</t>
        </is>
      </c>
      <c r="J1422" s="8" t="n">
        <v>5</v>
      </c>
      <c r="K1422" s="9" t="n">
        <v>40544</v>
      </c>
      <c r="L1422" s="8" t="inlineStr">
        <is>
          <t>en es fr de it pt ja ko ru 汉语 漢語</t>
        </is>
      </c>
    </row>
    <row r="1423">
      <c r="F1423" s="1" t="n"/>
    </row>
    <row r="1424">
      <c r="F1424" s="1" t="n"/>
      <c r="I1424" s="8" t="inlineStr">
        <is>
          <t>Wizards Play Network 2011 PW11</t>
        </is>
      </c>
      <c r="J1424" s="8" t="n">
        <v>3</v>
      </c>
      <c r="K1424" s="9" t="n">
        <v>40544</v>
      </c>
      <c r="L1424" s="8" t="inlineStr">
        <is>
          <t>en es fr de it pt ja ko ru 汉语 漢語</t>
        </is>
      </c>
    </row>
    <row r="1425">
      <c r="F1425" s="1" t="n"/>
    </row>
    <row r="1426">
      <c r="F1426" s="1" t="n"/>
      <c r="I1426" s="8" t="inlineStr">
        <is>
          <t>Duels of the Planeswalkers 2012 Promos PDP12</t>
        </is>
      </c>
      <c r="J1426" s="8" t="n">
        <v>3</v>
      </c>
      <c r="K1426" s="9" t="n">
        <v>40544</v>
      </c>
      <c r="L1426" s="8" t="inlineStr">
        <is>
          <t>en es fr de it pt ja ko ru 汉语 漢語</t>
        </is>
      </c>
    </row>
    <row r="1427">
      <c r="F1427" s="1" t="n"/>
    </row>
    <row r="1428">
      <c r="F1428" s="1" t="n"/>
      <c r="I1428" s="8" t="inlineStr">
        <is>
          <t>Salvat 2011 PS11</t>
        </is>
      </c>
      <c r="J1428" s="8" t="n">
        <v>224</v>
      </c>
      <c r="K1428" s="9" t="n">
        <v>40544</v>
      </c>
      <c r="L1428" s="8" t="inlineStr">
        <is>
          <t>en es fr de it pt ja ko ru 汉语 漢語</t>
        </is>
      </c>
    </row>
    <row r="1429">
      <c r="F1429" s="1" t="n"/>
    </row>
    <row r="1430">
      <c r="F1430" s="1" t="n"/>
      <c r="I1430" s="8" t="inlineStr">
        <is>
          <t>Legacy Championship OLGC</t>
        </is>
      </c>
      <c r="J1430" s="8" t="n">
        <v>27</v>
      </c>
      <c r="K1430" s="9" t="n">
        <v>40544</v>
      </c>
      <c r="L1430" s="8" t="inlineStr">
        <is>
          <t>en es fr de it pt ja ko ru 汉语 漢語</t>
        </is>
      </c>
    </row>
    <row r="1431">
      <c r="F1431" s="1" t="n"/>
    </row>
    <row r="1432">
      <c r="F1432" s="1" t="n"/>
      <c r="I1432" s="8" t="inlineStr">
        <is>
          <t>Judge Gift Cards 2011 G11</t>
        </is>
      </c>
      <c r="J1432" s="8" t="n">
        <v>8</v>
      </c>
      <c r="K1432" s="9" t="n">
        <v>40544</v>
      </c>
      <c r="L1432" s="8" t="inlineStr">
        <is>
          <t>en es fr de it pt ja ko ru 汉语 漢語</t>
        </is>
      </c>
    </row>
    <row r="1433">
      <c r="F1433" s="1" t="n"/>
    </row>
    <row r="1434">
      <c r="F1434" s="1" t="n"/>
      <c r="I1434" s="8" t="inlineStr">
        <is>
          <t>Magic Player Rewards 2011 P11</t>
        </is>
      </c>
      <c r="J1434" s="8" t="n">
        <v>7</v>
      </c>
      <c r="K1434" s="9" t="n">
        <v>40544</v>
      </c>
      <c r="L1434" s="8" t="inlineStr">
        <is>
          <t>en es fr de it pt ja ko ru 汉语 漢語</t>
        </is>
      </c>
    </row>
    <row r="1435">
      <c r="F1435" s="1" t="n"/>
    </row>
    <row r="1436">
      <c r="F1436" s="1" t="n"/>
      <c r="I1436" s="8" t="inlineStr">
        <is>
          <t>Friday Night Magic 2011 F11</t>
        </is>
      </c>
      <c r="J1436" s="8" t="n">
        <v>12</v>
      </c>
      <c r="K1436" s="9" t="n">
        <v>40544</v>
      </c>
      <c r="L1436" s="8" t="inlineStr">
        <is>
          <t>en es fr de it pt ja ko ru 汉语 漢語</t>
        </is>
      </c>
    </row>
    <row r="1437">
      <c r="F1437" s="1" t="n"/>
    </row>
    <row r="1438">
      <c r="F1438" s="1" t="n"/>
      <c r="I1438" s="8" t="inlineStr">
        <is>
          <t>Premium Deck Series: Fire and Lightning PD2</t>
        </is>
      </c>
      <c r="J1438" s="8" t="n">
        <v>34</v>
      </c>
      <c r="K1438" s="9" t="n">
        <v>40501</v>
      </c>
      <c r="L1438" s="8" t="inlineStr">
        <is>
          <t>en es fr de it pt ja ko ru 汉语 漢語</t>
        </is>
      </c>
    </row>
    <row r="1439">
      <c r="F1439" s="1" t="n"/>
    </row>
    <row r="1440">
      <c r="F1440" s="1" t="n"/>
      <c r="I1440" s="8" t="inlineStr">
        <is>
          <t>Magic Online Theme Decks TD0</t>
        </is>
      </c>
      <c r="J1440" s="8" t="n">
        <v>197</v>
      </c>
      <c r="K1440" s="9" t="n">
        <v>40490</v>
      </c>
      <c r="L1440" s="8" t="inlineStr">
        <is>
          <t>en es fr de it pt ja ko ru 汉语 漢語</t>
        </is>
      </c>
    </row>
    <row r="1441">
      <c r="F1441" s="1" t="n"/>
    </row>
    <row r="1442">
      <c r="F1442" s="1" t="n"/>
      <c r="I1442" s="8" t="inlineStr">
        <is>
          <t>Scars of Mirrodin SOM</t>
        </is>
      </c>
      <c r="J1442" s="8" t="n">
        <v>249</v>
      </c>
      <c r="K1442" s="9" t="n">
        <v>40452</v>
      </c>
      <c r="L1442" t="inlineStr">
        <is>
          <t>en es fr de it pt ja ko ru 汉语 漢語</t>
        </is>
      </c>
    </row>
    <row r="1443">
      <c r="F1443" s="1" t="n"/>
    </row>
    <row r="1444">
      <c r="F1444" s="1" t="n"/>
      <c r="I1444" s="8" t="inlineStr">
        <is>
          <t>Scars of Mirrodin Promos PSOM</t>
        </is>
      </c>
      <c r="J1444" s="8" t="n">
        <v>4</v>
      </c>
      <c r="K1444" s="9" t="n">
        <v>40451</v>
      </c>
      <c r="L1444" s="8" t="inlineStr">
        <is>
          <t>en es fr de it pt ja ko ru 汉语 漢語</t>
        </is>
      </c>
    </row>
    <row r="1445">
      <c r="F1445" s="1" t="n"/>
    </row>
    <row r="1446">
      <c r="F1446" s="1" t="n"/>
      <c r="I1446" s="8" t="inlineStr">
        <is>
          <t>Scars of Mirrodin Tokens TSOM</t>
        </is>
      </c>
      <c r="J1446" s="8" t="n">
        <v>10</v>
      </c>
      <c r="K1446" s="9" t="n">
        <v>40452</v>
      </c>
      <c r="L1446" s="8" t="inlineStr">
        <is>
          <t>en es fr de it pt ja ko ru 汉语 漢語</t>
        </is>
      </c>
    </row>
    <row r="1447">
      <c r="F1447" s="1" t="n"/>
    </row>
    <row r="1448">
      <c r="F1448" s="1" t="n"/>
      <c r="I1448" s="8" t="inlineStr">
        <is>
          <t>Duel Decks: Elspeth vs. Tezzeret DDF</t>
        </is>
      </c>
      <c r="J1448" s="8" t="n">
        <v>79</v>
      </c>
      <c r="K1448" s="9" t="n">
        <v>40424</v>
      </c>
      <c r="L1448" t="inlineStr">
        <is>
          <t>en es fr de it pt ja ko ru 汉语 漢語</t>
        </is>
      </c>
    </row>
    <row r="1449">
      <c r="F1449" s="1" t="n"/>
    </row>
    <row r="1450">
      <c r="F1450" s="1" t="n"/>
      <c r="I1450" s="8" t="inlineStr">
        <is>
          <t>Duel Decks: Elspeth vs. Tezzeret Tokens TDDF</t>
        </is>
      </c>
      <c r="J1450" s="8" t="n">
        <v>1</v>
      </c>
      <c r="K1450" s="9" t="n">
        <v>40424</v>
      </c>
      <c r="L1450" s="8" t="inlineStr">
        <is>
          <t>en es fr de it pt ja ko ru 汉语 漢語</t>
        </is>
      </c>
    </row>
    <row r="1451">
      <c r="F1451" s="1" t="n"/>
    </row>
    <row r="1452">
      <c r="F1452" s="1" t="n"/>
      <c r="I1452" s="8" t="inlineStr">
        <is>
          <t>From the Vault: Relics V10</t>
        </is>
      </c>
      <c r="J1452" s="8" t="n">
        <v>15</v>
      </c>
      <c r="K1452" s="9" t="n">
        <v>40417</v>
      </c>
      <c r="L1452" s="8" t="inlineStr">
        <is>
          <t>en es fr de it pt ja ko ru 汉语 漢語</t>
        </is>
      </c>
    </row>
    <row r="1453">
      <c r="F1453" s="1" t="n"/>
    </row>
    <row r="1454">
      <c r="F1454" s="1" t="n"/>
      <c r="I1454" s="8" t="inlineStr">
        <is>
          <t>Magic 2011 M11</t>
        </is>
      </c>
      <c r="J1454" s="8" t="n">
        <v>249</v>
      </c>
      <c r="K1454" s="9" t="n">
        <v>40375</v>
      </c>
      <c r="L1454" t="inlineStr">
        <is>
          <t>en es fr de it pt ja ko ru 汉语 漢語</t>
        </is>
      </c>
    </row>
    <row r="1455">
      <c r="F1455" s="1" t="n"/>
    </row>
    <row r="1456">
      <c r="F1456" s="1" t="n"/>
      <c r="I1456" s="8" t="inlineStr">
        <is>
          <t>Magic 2011 Promos PM11</t>
        </is>
      </c>
      <c r="J1456" s="8" t="n">
        <v>6</v>
      </c>
      <c r="K1456" s="9" t="n">
        <v>40374</v>
      </c>
      <c r="L1456" t="inlineStr">
        <is>
          <t>en es fr de it pt ja ko ru 汉语 漢語</t>
        </is>
      </c>
    </row>
    <row r="1457">
      <c r="F1457" s="1" t="n"/>
    </row>
    <row r="1458">
      <c r="F1458" s="1" t="n"/>
      <c r="I1458" s="8" t="inlineStr">
        <is>
          <t>Magic 2011 Tokens TM11</t>
        </is>
      </c>
      <c r="J1458" s="8" t="n">
        <v>6</v>
      </c>
      <c r="K1458" s="9" t="n">
        <v>40375</v>
      </c>
      <c r="L1458" s="8" t="inlineStr">
        <is>
          <t>en es fr de it pt ja ko ru 汉语 漢語</t>
        </is>
      </c>
    </row>
    <row r="1459">
      <c r="F1459" s="1" t="n"/>
    </row>
    <row r="1460">
      <c r="F1460" s="1" t="n"/>
      <c r="I1460" s="8" t="inlineStr">
        <is>
          <t>Archenemy ARC</t>
        </is>
      </c>
      <c r="J1460" s="8" t="n">
        <v>150</v>
      </c>
      <c r="K1460" s="9" t="n">
        <v>40347</v>
      </c>
      <c r="L1460" s="8" t="inlineStr">
        <is>
          <t>en es fr de it pt ja ko ru 汉语 漢語</t>
        </is>
      </c>
    </row>
    <row r="1461">
      <c r="F1461" s="1" t="n"/>
    </row>
    <row r="1462">
      <c r="F1462" s="1" t="n"/>
      <c r="I1462" s="8" t="inlineStr">
        <is>
          <t>Archenemy Schemes OARC</t>
        </is>
      </c>
      <c r="J1462" s="8" t="n">
        <v>45</v>
      </c>
      <c r="K1462" s="9" t="n">
        <v>40347</v>
      </c>
      <c r="L1462" s="8" t="inlineStr">
        <is>
          <t>en es fr de it pt ja ko ru 汉语 漢語</t>
        </is>
      </c>
    </row>
    <row r="1463">
      <c r="F1463" s="1" t="n"/>
    </row>
    <row r="1464">
      <c r="F1464" s="1" t="n"/>
      <c r="I1464" s="8" t="inlineStr">
        <is>
          <t>Duels of the Planeswalkers DPA</t>
        </is>
      </c>
      <c r="J1464" s="8" t="n">
        <v>113</v>
      </c>
      <c r="K1464" s="9" t="n">
        <v>40333</v>
      </c>
      <c r="L1464" s="8" t="inlineStr">
        <is>
          <t>en es fr de it pt ja ko ru 汉语 漢語</t>
        </is>
      </c>
    </row>
    <row r="1465">
      <c r="F1465" s="1" t="n"/>
    </row>
    <row r="1466">
      <c r="F1466" s="1" t="n"/>
      <c r="I1466" s="8" t="inlineStr">
        <is>
          <t>Rise of the Eldrazi ROE</t>
        </is>
      </c>
      <c r="J1466" s="8" t="n">
        <v>248</v>
      </c>
      <c r="K1466" s="9" t="n">
        <v>40291</v>
      </c>
      <c r="L1466" t="inlineStr">
        <is>
          <t>en es fr de it pt ja ko ru 汉语 漢語</t>
        </is>
      </c>
    </row>
    <row r="1467">
      <c r="F1467" s="1" t="n"/>
    </row>
    <row r="1468">
      <c r="F1468" s="1" t="n"/>
      <c r="I1468" s="8" t="inlineStr">
        <is>
          <t>Rise of the Eldrazi Promos PROE</t>
        </is>
      </c>
      <c r="J1468" s="8" t="n">
        <v>4</v>
      </c>
      <c r="K1468" s="9" t="n">
        <v>40291</v>
      </c>
      <c r="L1468" t="inlineStr">
        <is>
          <t>en es fr de it pt ja ko ru 汉语 漢語</t>
        </is>
      </c>
    </row>
    <row r="1469">
      <c r="F1469" s="1" t="n"/>
    </row>
    <row r="1470">
      <c r="F1470" s="1" t="n"/>
      <c r="I1470" s="8" t="inlineStr">
        <is>
          <t>Rise of the Eldrazi Tokens TROE</t>
        </is>
      </c>
      <c r="J1470" s="8" t="n">
        <v>7</v>
      </c>
      <c r="K1470" s="9" t="n">
        <v>40291</v>
      </c>
      <c r="L1470" s="8" t="inlineStr">
        <is>
          <t>en es fr de it pt ja ko ru 汉语 漢語</t>
        </is>
      </c>
    </row>
    <row r="1471">
      <c r="F1471" s="1" t="n"/>
    </row>
    <row r="1472">
      <c r="F1472" s="1" t="n"/>
      <c r="I1472" s="8" t="inlineStr">
        <is>
          <t>Duel Decks: Phyrexia vs. the Coalition DDE</t>
        </is>
      </c>
      <c r="J1472" s="8" t="n">
        <v>71</v>
      </c>
      <c r="K1472" s="9" t="n">
        <v>40256</v>
      </c>
      <c r="L1472" t="inlineStr">
        <is>
          <t>en es fr de it pt ja ko ru 汉语 漢語</t>
        </is>
      </c>
    </row>
    <row r="1473">
      <c r="F1473" s="1" t="n"/>
    </row>
    <row r="1474">
      <c r="F1474" s="1" t="n"/>
      <c r="I1474" s="8" t="inlineStr">
        <is>
          <t>Duel Decks: Phyrexia vs. the Coalition Tokens TDDE</t>
        </is>
      </c>
      <c r="J1474" s="8" t="n">
        <v>3</v>
      </c>
      <c r="K1474" s="9" t="n">
        <v>40256</v>
      </c>
      <c r="L1474" s="8" t="inlineStr">
        <is>
          <t>en es fr de it pt ja ko ru 汉语 漢語</t>
        </is>
      </c>
    </row>
    <row r="1475">
      <c r="F1475" s="1" t="n"/>
    </row>
    <row r="1476">
      <c r="F1476" s="1" t="n"/>
      <c r="I1476" s="8" t="inlineStr">
        <is>
          <t>Worldwake WWK</t>
        </is>
      </c>
      <c r="J1476" s="8" t="n">
        <v>145</v>
      </c>
      <c r="K1476" s="9" t="n">
        <v>40214</v>
      </c>
      <c r="L1476" t="inlineStr">
        <is>
          <t>en es fr de it pt ja ko ru 汉语 漢語</t>
        </is>
      </c>
    </row>
    <row r="1477">
      <c r="F1477" s="1" t="n"/>
    </row>
    <row r="1478">
      <c r="F1478" s="1" t="n"/>
      <c r="I1478" s="8" t="inlineStr">
        <is>
          <t>Worldwake Promos PWWK</t>
        </is>
      </c>
      <c r="J1478" s="8" t="n">
        <v>6</v>
      </c>
      <c r="K1478" s="9" t="n">
        <v>40214</v>
      </c>
      <c r="L1478" t="inlineStr">
        <is>
          <t>en es fr de it pt ja ko ru 汉语 漢語</t>
        </is>
      </c>
    </row>
    <row r="1479">
      <c r="F1479" s="1" t="n"/>
    </row>
    <row r="1480">
      <c r="F1480" s="1" t="n"/>
      <c r="I1480" s="8" t="inlineStr">
        <is>
          <t>Worldwake Tokens TWWK</t>
        </is>
      </c>
      <c r="J1480" s="8" t="n">
        <v>6</v>
      </c>
      <c r="K1480" s="9" t="n">
        <v>40214</v>
      </c>
      <c r="L1480" s="8" t="inlineStr">
        <is>
          <t>en es fr de it pt ja ko ru 汉语 漢語</t>
        </is>
      </c>
    </row>
    <row r="1481">
      <c r="F1481" s="1" t="n"/>
    </row>
    <row r="1482">
      <c r="F1482" s="1" t="n"/>
      <c r="I1482" s="8" t="inlineStr">
        <is>
          <t>Duels of the Planeswalkers 2010 Promos PDP10</t>
        </is>
      </c>
      <c r="J1482" s="8" t="n">
        <v>2</v>
      </c>
      <c r="K1482" s="9" t="n">
        <v>40179</v>
      </c>
      <c r="L1482" s="8" t="inlineStr">
        <is>
          <t>en es fr de it pt ja ko ru 汉语 漢語</t>
        </is>
      </c>
    </row>
    <row r="1483">
      <c r="F1483" s="1" t="n"/>
    </row>
    <row r="1484">
      <c r="F1484" s="1" t="n"/>
      <c r="I1484" s="8" t="inlineStr">
        <is>
          <t>Magic Premiere Shop 2010 PMPS10</t>
        </is>
      </c>
      <c r="J1484" s="8" t="n">
        <v>5</v>
      </c>
      <c r="K1484" s="9" t="n">
        <v>40179</v>
      </c>
      <c r="L1484" s="8" t="inlineStr">
        <is>
          <t>en es fr de it pt ja ko ru 汉语 漢語</t>
        </is>
      </c>
    </row>
    <row r="1485">
      <c r="F1485" s="1" t="n"/>
    </row>
    <row r="1486">
      <c r="F1486" s="1" t="n"/>
      <c r="I1486" s="8" t="inlineStr">
        <is>
          <t>Magic Player Rewards 2010 P10</t>
        </is>
      </c>
      <c r="J1486" s="8" t="n">
        <v>13</v>
      </c>
      <c r="K1486" s="9" t="n">
        <v>40179</v>
      </c>
      <c r="L1486" s="8" t="inlineStr">
        <is>
          <t>en es fr de it pt ja ko ru 汉语 漢語</t>
        </is>
      </c>
    </row>
    <row r="1487">
      <c r="F1487" s="1" t="n"/>
    </row>
    <row r="1488">
      <c r="F1488" s="1" t="n"/>
      <c r="I1488" s="8" t="inlineStr">
        <is>
          <t>Judge Gift Cards 2010 G10</t>
        </is>
      </c>
      <c r="J1488" s="8" t="n">
        <v>8</v>
      </c>
      <c r="K1488" s="9" t="n">
        <v>40179</v>
      </c>
      <c r="L1488" s="8" t="inlineStr">
        <is>
          <t>en es fr de it pt ja ko ru 汉语 漢語</t>
        </is>
      </c>
    </row>
    <row r="1489">
      <c r="F1489" s="1" t="n"/>
    </row>
    <row r="1490">
      <c r="F1490" s="1" t="n"/>
      <c r="I1490" s="8" t="inlineStr">
        <is>
          <t>Friday Night Magic 2010 F10</t>
        </is>
      </c>
      <c r="J1490" s="8" t="n">
        <v>12</v>
      </c>
      <c r="K1490" s="9" t="n">
        <v>40179</v>
      </c>
      <c r="L1490" s="8" t="inlineStr">
        <is>
          <t>en es fr de it pt ja ko ru 汉语 漢語</t>
        </is>
      </c>
    </row>
    <row r="1491">
      <c r="F1491" s="1" t="n"/>
    </row>
    <row r="1492">
      <c r="F1492" s="1" t="n"/>
      <c r="I1492" s="8" t="inlineStr">
        <is>
          <t>Premium Deck Series: Slivers H09</t>
        </is>
      </c>
      <c r="J1492" s="8" t="n">
        <v>41</v>
      </c>
      <c r="K1492" s="9" t="n">
        <v>40137</v>
      </c>
      <c r="L1492" s="8" t="inlineStr">
        <is>
          <t>en es fr de it pt ja ko ru 汉语 漢語</t>
        </is>
      </c>
    </row>
    <row r="1493">
      <c r="F1493" s="1" t="n"/>
    </row>
    <row r="1494">
      <c r="F1494" s="1" t="n"/>
      <c r="I1494" s="8" t="inlineStr">
        <is>
          <t>Duel Decks: Garruk vs. Liliana DDD</t>
        </is>
      </c>
      <c r="J1494" s="8" t="n">
        <v>63</v>
      </c>
      <c r="K1494" s="9" t="n">
        <v>40116</v>
      </c>
      <c r="L1494" s="8" t="inlineStr">
        <is>
          <t>en es fr de it pt ja ko ru 汉语 漢語</t>
        </is>
      </c>
    </row>
    <row r="1495">
      <c r="F1495" s="1" t="n"/>
    </row>
    <row r="1496">
      <c r="F1496" s="1" t="n"/>
      <c r="I1496" s="8" t="inlineStr">
        <is>
          <t>Duel Decks: Garruk vs. Liliana Tokens TDDD</t>
        </is>
      </c>
      <c r="J1496" s="8" t="n">
        <v>3</v>
      </c>
      <c r="K1496" s="9" t="n">
        <v>40116</v>
      </c>
      <c r="L1496" s="8" t="inlineStr">
        <is>
          <t>en es fr de it pt ja ko ru 汉语 漢語</t>
        </is>
      </c>
    </row>
    <row r="1497">
      <c r="F1497" s="1" t="n"/>
    </row>
    <row r="1498">
      <c r="F1498" s="1" t="n"/>
      <c r="I1498" s="8" t="inlineStr">
        <is>
          <t>Zendikar ZEN</t>
        </is>
      </c>
      <c r="J1498" s="8" t="n">
        <v>269</v>
      </c>
      <c r="K1498" s="9" t="n">
        <v>40088</v>
      </c>
      <c r="L1498" t="inlineStr">
        <is>
          <t>en es fr de it pt ja ko ru 汉语 漢語</t>
        </is>
      </c>
    </row>
    <row r="1499">
      <c r="F1499" s="1" t="n"/>
    </row>
    <row r="1500">
      <c r="F1500" s="1" t="n"/>
      <c r="I1500" s="8" t="inlineStr">
        <is>
          <t>Zendikar Promos PZEN</t>
        </is>
      </c>
      <c r="J1500" s="8" t="n">
        <v>5</v>
      </c>
      <c r="K1500" s="9" t="n">
        <v>40088</v>
      </c>
      <c r="L1500" t="inlineStr">
        <is>
          <t>en es fr de it pt ja ko ru 汉语 漢語</t>
        </is>
      </c>
    </row>
    <row r="1501">
      <c r="F1501" s="1" t="n"/>
    </row>
    <row r="1502">
      <c r="F1502" s="1" t="n"/>
      <c r="I1502" s="8" t="inlineStr">
        <is>
          <t>Zendikar Tokens TZEN</t>
        </is>
      </c>
      <c r="J1502" s="8" t="n">
        <v>11</v>
      </c>
      <c r="K1502" s="9" t="n">
        <v>40088</v>
      </c>
      <c r="L1502" s="8" t="inlineStr">
        <is>
          <t>en es fr de it pt ja ko ru 汉语 漢語</t>
        </is>
      </c>
    </row>
    <row r="1503">
      <c r="F1503" s="1" t="n"/>
    </row>
    <row r="1504">
      <c r="F1504" s="1" t="n"/>
      <c r="I1504" s="8" t="inlineStr">
        <is>
          <t>Masters Edition III ME3</t>
        </is>
      </c>
      <c r="J1504" s="8" t="n">
        <v>230</v>
      </c>
      <c r="K1504" s="9" t="n">
        <v>40063</v>
      </c>
      <c r="L1504" s="8" t="inlineStr">
        <is>
          <t>en es fr de it pt ja ko ru 汉语 漢語</t>
        </is>
      </c>
    </row>
    <row r="1505">
      <c r="F1505" s="1" t="n"/>
    </row>
    <row r="1506">
      <c r="F1506" s="1" t="n"/>
      <c r="I1506" s="8" t="inlineStr">
        <is>
          <t>Planechase HOP</t>
        </is>
      </c>
      <c r="J1506" s="8" t="n">
        <v>169</v>
      </c>
      <c r="K1506" s="9" t="n">
        <v>40060</v>
      </c>
      <c r="L1506" s="8" t="inlineStr">
        <is>
          <t>en es fr de it pt ja ko ru 汉语 漢語</t>
        </is>
      </c>
    </row>
    <row r="1507">
      <c r="F1507" s="1" t="n"/>
    </row>
    <row r="1508">
      <c r="F1508" s="1" t="n"/>
      <c r="I1508" s="8" t="inlineStr">
        <is>
          <t>Planechase Promos PHOP</t>
        </is>
      </c>
      <c r="J1508" s="8" t="n">
        <v>1</v>
      </c>
      <c r="K1508" s="9" t="n">
        <v>40060</v>
      </c>
      <c r="L1508" s="8" t="inlineStr">
        <is>
          <t>en es fr de it pt ja ko ru 汉语 漢語</t>
        </is>
      </c>
    </row>
    <row r="1509">
      <c r="F1509" s="1" t="n"/>
    </row>
    <row r="1510">
      <c r="F1510" s="1" t="n"/>
      <c r="I1510" s="8" t="inlineStr">
        <is>
          <t>Planechase Planes OHOP</t>
        </is>
      </c>
      <c r="J1510" s="8" t="n">
        <v>40</v>
      </c>
      <c r="K1510" s="9" t="n">
        <v>40060</v>
      </c>
      <c r="L1510" t="inlineStr">
        <is>
          <t>en es fr de it pt ja ko ru 汉语 漢語</t>
        </is>
      </c>
    </row>
    <row r="1511">
      <c r="F1511" s="1" t="n"/>
    </row>
    <row r="1512">
      <c r="F1512" s="1" t="n"/>
      <c r="I1512" s="8" t="inlineStr">
        <is>
          <t>From the Vault: Exiled V09</t>
        </is>
      </c>
      <c r="J1512" s="8" t="n">
        <v>15</v>
      </c>
      <c r="K1512" s="9" t="n">
        <v>40053</v>
      </c>
      <c r="L1512" s="8" t="inlineStr">
        <is>
          <t>en es fr de it pt ja ko ru 汉语 漢語</t>
        </is>
      </c>
    </row>
    <row r="1513">
      <c r="F1513" s="1" t="n"/>
    </row>
    <row r="1514">
      <c r="F1514" s="1" t="n"/>
      <c r="I1514" s="8" t="inlineStr">
        <is>
          <t>Magic 2010 M10</t>
        </is>
      </c>
      <c r="J1514" s="8" t="n">
        <v>249</v>
      </c>
      <c r="K1514" s="9" t="n">
        <v>40011</v>
      </c>
      <c r="L1514" t="inlineStr">
        <is>
          <t>en es fr de it pt ja ko ru 汉语 漢語</t>
        </is>
      </c>
    </row>
    <row r="1515">
      <c r="F1515" s="1" t="n"/>
    </row>
    <row r="1516">
      <c r="F1516" s="1" t="n"/>
      <c r="I1516" s="8" t="inlineStr">
        <is>
          <t>Magic 2010 Promos PM10</t>
        </is>
      </c>
      <c r="J1516" s="8" t="n">
        <v>3</v>
      </c>
      <c r="K1516" s="9" t="n">
        <v>40010</v>
      </c>
      <c r="L1516" s="8" t="inlineStr">
        <is>
          <t>en es fr de it pt ja ko ru 汉语 漢語</t>
        </is>
      </c>
    </row>
    <row r="1517">
      <c r="F1517" s="1" t="n"/>
    </row>
    <row r="1518">
      <c r="F1518" s="1" t="n"/>
      <c r="I1518" s="8" t="inlineStr">
        <is>
          <t>Magic 2010 Tokens TM10</t>
        </is>
      </c>
      <c r="J1518" s="8" t="n">
        <v>8</v>
      </c>
      <c r="K1518" s="9" t="n">
        <v>40011</v>
      </c>
      <c r="L1518" s="8" t="inlineStr">
        <is>
          <t>en es fr de it pt ja ko ru 汉语 漢語</t>
        </is>
      </c>
    </row>
    <row r="1519">
      <c r="F1519" s="1" t="n"/>
    </row>
    <row r="1520">
      <c r="F1520" s="1" t="n"/>
      <c r="I1520" s="8" t="inlineStr">
        <is>
          <t>Alara Reborn ARB</t>
        </is>
      </c>
      <c r="J1520" s="8" t="n">
        <v>145</v>
      </c>
      <c r="K1520" s="9" t="n">
        <v>39933</v>
      </c>
      <c r="L1520" t="inlineStr">
        <is>
          <t>en es fr de it pt ja ko ru 汉语 漢語</t>
        </is>
      </c>
    </row>
    <row r="1521">
      <c r="F1521" s="1" t="n"/>
    </row>
    <row r="1522">
      <c r="F1522" s="1" t="n"/>
      <c r="I1522" s="8" t="inlineStr">
        <is>
          <t>Alara Reborn Promos PARB</t>
        </is>
      </c>
      <c r="J1522" s="8" t="n">
        <v>3</v>
      </c>
      <c r="K1522" s="9" t="n">
        <v>39933</v>
      </c>
      <c r="L1522" s="8" t="inlineStr">
        <is>
          <t>en es fr de it pt ja ko ru 汉语 漢語</t>
        </is>
      </c>
    </row>
    <row r="1523">
      <c r="F1523" s="1" t="n"/>
    </row>
    <row r="1524">
      <c r="F1524" s="1" t="n"/>
      <c r="I1524" s="8" t="inlineStr">
        <is>
          <t>Alara Reborn Tokens TARB</t>
        </is>
      </c>
      <c r="J1524" s="8" t="n">
        <v>4</v>
      </c>
      <c r="K1524" s="9" t="n">
        <v>39933</v>
      </c>
      <c r="L1524" s="8" t="inlineStr">
        <is>
          <t>en es fr de it pt ja ko ru 汉语 漢語</t>
        </is>
      </c>
    </row>
    <row r="1525">
      <c r="F1525" s="1" t="n"/>
    </row>
    <row r="1526">
      <c r="F1526" s="1" t="n"/>
      <c r="I1526" s="8" t="inlineStr">
        <is>
          <t>Duel Decks: Divine vs. Demonic DDC</t>
        </is>
      </c>
      <c r="J1526" s="8" t="n">
        <v>62</v>
      </c>
      <c r="K1526" s="9" t="n">
        <v>39913</v>
      </c>
      <c r="L1526" s="8" t="inlineStr">
        <is>
          <t>en es fr de it pt ja ko ru 汉语 漢語</t>
        </is>
      </c>
    </row>
    <row r="1527">
      <c r="F1527" s="1" t="n"/>
    </row>
    <row r="1528">
      <c r="F1528" s="1" t="n"/>
      <c r="I1528" s="8" t="inlineStr">
        <is>
          <t>Duel Decks: Divine vs. Demonic Tokens TDDC</t>
        </is>
      </c>
      <c r="J1528" s="8" t="n">
        <v>3</v>
      </c>
      <c r="K1528" s="9" t="n">
        <v>39913</v>
      </c>
      <c r="L1528" s="8" t="inlineStr">
        <is>
          <t>en es fr de it pt ja ko ru 汉语 漢語</t>
        </is>
      </c>
    </row>
    <row r="1529">
      <c r="F1529" s="1" t="n"/>
    </row>
    <row r="1530">
      <c r="F1530" s="1" t="n"/>
      <c r="I1530" s="8" t="inlineStr">
        <is>
          <t>URL/Convention Promos PURL</t>
        </is>
      </c>
      <c r="J1530" s="8" t="n">
        <v>15</v>
      </c>
      <c r="K1530" s="9" t="n">
        <v>39852</v>
      </c>
      <c r="L1530" t="inlineStr">
        <is>
          <t>en es fr de it pt ja ko ru 汉语 漢語</t>
        </is>
      </c>
    </row>
    <row r="1531">
      <c r="F1531" s="1" t="n"/>
    </row>
    <row r="1532">
      <c r="F1532" s="1" t="n"/>
      <c r="I1532" s="8" t="inlineStr">
        <is>
          <t>Conflux CON</t>
        </is>
      </c>
      <c r="J1532" s="8" t="n">
        <v>145</v>
      </c>
      <c r="K1532" s="9" t="n">
        <v>39850</v>
      </c>
      <c r="L1532" t="inlineStr">
        <is>
          <t>en es fr de it pt ja ko ru 汉语 漢語</t>
        </is>
      </c>
    </row>
    <row r="1533">
      <c r="F1533" s="1" t="n"/>
    </row>
    <row r="1534">
      <c r="F1534" s="1" t="n"/>
      <c r="I1534" s="8" t="inlineStr">
        <is>
          <t>Conflux Promos PCON</t>
        </is>
      </c>
      <c r="J1534" s="8" t="n">
        <v>2</v>
      </c>
      <c r="K1534" s="9" t="n">
        <v>39850</v>
      </c>
      <c r="L1534" s="8" t="inlineStr">
        <is>
          <t>en es fr de it pt ja ko ru 汉语 漢語</t>
        </is>
      </c>
    </row>
    <row r="1535">
      <c r="F1535" s="1" t="n"/>
    </row>
    <row r="1536">
      <c r="F1536" s="1" t="n"/>
      <c r="I1536" s="8" t="inlineStr">
        <is>
          <t>Conflux Tokens TCON</t>
        </is>
      </c>
      <c r="J1536" s="8" t="n">
        <v>2</v>
      </c>
      <c r="K1536" s="9" t="n">
        <v>39850</v>
      </c>
      <c r="L1536" s="8" t="inlineStr">
        <is>
          <t>en es fr de it pt ja ko ru 汉语 漢語</t>
        </is>
      </c>
    </row>
    <row r="1537">
      <c r="F1537" s="1" t="n"/>
    </row>
    <row r="1538">
      <c r="F1538" s="1" t="n"/>
      <c r="I1538" s="8" t="inlineStr">
        <is>
          <t>Duels of the Planeswalkers 2009 Promos PDTP</t>
        </is>
      </c>
      <c r="J1538" s="8" t="n">
        <v>1</v>
      </c>
      <c r="K1538" s="9" t="n">
        <v>39814</v>
      </c>
      <c r="L1538" s="8" t="inlineStr">
        <is>
          <t>en es fr de it pt ja ko ru 汉语 漢語</t>
        </is>
      </c>
    </row>
    <row r="1539">
      <c r="F1539" s="1" t="n"/>
    </row>
    <row r="1540">
      <c r="F1540" s="1" t="n"/>
      <c r="I1540" s="8" t="inlineStr">
        <is>
          <t>Magic Premiere Shop 2009 PMPS09</t>
        </is>
      </c>
      <c r="J1540" s="8" t="n">
        <v>5</v>
      </c>
      <c r="K1540" s="9" t="n">
        <v>39814</v>
      </c>
      <c r="L1540" s="8" t="inlineStr">
        <is>
          <t>en es fr de it pt ja ko ru 汉语 漢語</t>
        </is>
      </c>
    </row>
    <row r="1541">
      <c r="F1541" s="1" t="n"/>
    </row>
    <row r="1542">
      <c r="F1542" s="1" t="n"/>
      <c r="I1542" s="8" t="inlineStr">
        <is>
          <t>Friday Night Magic 2009 F09</t>
        </is>
      </c>
      <c r="J1542" s="8" t="n">
        <v>12</v>
      </c>
      <c r="K1542" s="9" t="n">
        <v>39814</v>
      </c>
      <c r="L1542" s="8" t="inlineStr">
        <is>
          <t>en es fr de it pt ja ko ru 汉语 漢語</t>
        </is>
      </c>
    </row>
    <row r="1543">
      <c r="F1543" s="1" t="n"/>
    </row>
    <row r="1544">
      <c r="F1544" s="1" t="n"/>
      <c r="I1544" s="8" t="inlineStr">
        <is>
          <t>Magic Player Rewards 2009 P09</t>
        </is>
      </c>
      <c r="J1544" s="8" t="n">
        <v>13</v>
      </c>
      <c r="K1544" s="9" t="n">
        <v>39814</v>
      </c>
      <c r="L1544" s="8" t="inlineStr">
        <is>
          <t>en es fr de it pt ja ko ru 汉语 漢語</t>
        </is>
      </c>
    </row>
    <row r="1545">
      <c r="F1545" s="1" t="n"/>
    </row>
    <row r="1546">
      <c r="F1546" s="1" t="n"/>
      <c r="I1546" s="8" t="inlineStr">
        <is>
          <t>Judge Gift Cards 2009 G09</t>
        </is>
      </c>
      <c r="J1546" s="8" t="n">
        <v>10</v>
      </c>
      <c r="K1546" s="9" t="n">
        <v>39814</v>
      </c>
      <c r="L1546" s="8" t="inlineStr">
        <is>
          <t>en es fr de it pt ja ko ru 汉语 漢語</t>
        </is>
      </c>
    </row>
    <row r="1547">
      <c r="F1547" s="1" t="n"/>
    </row>
    <row r="1548">
      <c r="F1548" s="1" t="n"/>
      <c r="I1548" s="8" t="inlineStr">
        <is>
          <t>Duel Decks: Jace vs. Chandra DD2</t>
        </is>
      </c>
      <c r="J1548" s="8" t="n">
        <v>64</v>
      </c>
      <c r="K1548" s="9" t="n">
        <v>39759</v>
      </c>
      <c r="L1548" t="inlineStr">
        <is>
          <t>en es fr de it pt ja ko ru 汉语 漢語</t>
        </is>
      </c>
    </row>
    <row r="1549">
      <c r="F1549" s="1" t="n"/>
    </row>
    <row r="1550">
      <c r="F1550" s="1" t="n"/>
      <c r="I1550" s="8" t="inlineStr">
        <is>
          <t>Duel Decks: Jace vs. Chandra Tokens TDD2</t>
        </is>
      </c>
      <c r="J1550" s="8" t="n">
        <v>1</v>
      </c>
      <c r="K1550" s="9" t="n">
        <v>39759</v>
      </c>
      <c r="L1550" s="8" t="inlineStr">
        <is>
          <t>en es fr de it pt ja ko ru 汉语 漢語</t>
        </is>
      </c>
    </row>
    <row r="1551">
      <c r="F1551" s="1" t="n"/>
    </row>
    <row r="1552">
      <c r="F1552" s="1" t="n"/>
      <c r="I1552" s="8" t="inlineStr">
        <is>
          <t>Shards of Alara ALA</t>
        </is>
      </c>
      <c r="J1552" s="8" t="n">
        <v>250</v>
      </c>
      <c r="K1552" s="9" t="n">
        <v>39724</v>
      </c>
      <c r="L1552" t="inlineStr">
        <is>
          <t>en es fr de it pt ja ko ru 汉语 漢語</t>
        </is>
      </c>
    </row>
    <row r="1553">
      <c r="F1553" s="1" t="n"/>
    </row>
    <row r="1554">
      <c r="F1554" s="1" t="n"/>
      <c r="I1554" s="8" t="inlineStr">
        <is>
          <t>Shards of Alara Promos PALA</t>
        </is>
      </c>
      <c r="J1554" s="8" t="n">
        <v>2</v>
      </c>
      <c r="K1554" s="9" t="n">
        <v>39724</v>
      </c>
      <c r="L1554" s="8" t="inlineStr">
        <is>
          <t>en es fr de it pt ja ko ru 汉语 漢語</t>
        </is>
      </c>
    </row>
    <row r="1555">
      <c r="F1555" s="1" t="n"/>
    </row>
    <row r="1556">
      <c r="F1556" s="1" t="n"/>
      <c r="I1556" s="8" t="inlineStr">
        <is>
          <t>Shards of Alara Tokens TALA</t>
        </is>
      </c>
      <c r="J1556" s="8" t="n">
        <v>10</v>
      </c>
      <c r="K1556" s="9" t="n">
        <v>39724</v>
      </c>
      <c r="L1556" s="8" t="inlineStr">
        <is>
          <t>en es fr de it pt ja ko ru 汉语 漢語</t>
        </is>
      </c>
    </row>
    <row r="1557">
      <c r="F1557" s="1" t="n"/>
    </row>
    <row r="1558">
      <c r="F1558" s="1" t="n"/>
      <c r="I1558" s="8" t="inlineStr">
        <is>
          <t>Masters Edition II ME2</t>
        </is>
      </c>
      <c r="J1558" s="8" t="n">
        <v>245</v>
      </c>
      <c r="K1558" s="9" t="n">
        <v>39713</v>
      </c>
      <c r="L1558" s="8" t="inlineStr">
        <is>
          <t>en es fr de it pt ja ko ru 汉语 漢語</t>
        </is>
      </c>
    </row>
    <row r="1559">
      <c r="F1559" s="1" t="n"/>
    </row>
    <row r="1560">
      <c r="F1560" s="1" t="n"/>
      <c r="I1560" s="8" t="inlineStr">
        <is>
          <t>From the Vault: Dragons DRB</t>
        </is>
      </c>
      <c r="J1560" s="8" t="n">
        <v>15</v>
      </c>
      <c r="K1560" s="9" t="n">
        <v>39689</v>
      </c>
      <c r="L1560" s="8" t="inlineStr">
        <is>
          <t>en es fr de it pt ja ko ru 汉语 漢語</t>
        </is>
      </c>
    </row>
    <row r="1561">
      <c r="F1561" s="1" t="n"/>
    </row>
    <row r="1562">
      <c r="F1562" s="1" t="n"/>
      <c r="I1562" s="8" t="inlineStr">
        <is>
          <t>Eventide EVE</t>
        </is>
      </c>
      <c r="J1562" s="8" t="n">
        <v>180</v>
      </c>
      <c r="K1562" s="9" t="n">
        <v>39654</v>
      </c>
      <c r="L1562" t="inlineStr">
        <is>
          <t>en es fr de it pt ja ko ru 汉语 漢語</t>
        </is>
      </c>
    </row>
    <row r="1563">
      <c r="F1563" s="1" t="n"/>
    </row>
    <row r="1564">
      <c r="F1564" s="1" t="n"/>
      <c r="I1564" s="8" t="inlineStr">
        <is>
          <t>Eventide Promos PEVE</t>
        </is>
      </c>
      <c r="J1564" s="8" t="n">
        <v>2</v>
      </c>
      <c r="K1564" s="9" t="n">
        <v>39654</v>
      </c>
      <c r="L1564" s="8" t="inlineStr">
        <is>
          <t>en es fr de it pt ja ko ru 汉语 漢語</t>
        </is>
      </c>
    </row>
    <row r="1565">
      <c r="F1565" s="1" t="n"/>
    </row>
    <row r="1566">
      <c r="F1566" s="1" t="n"/>
      <c r="I1566" s="8" t="inlineStr">
        <is>
          <t>Eventide Tokens TEVE</t>
        </is>
      </c>
      <c r="J1566" s="8" t="n">
        <v>7</v>
      </c>
      <c r="K1566" s="9" t="n">
        <v>39654</v>
      </c>
      <c r="L1566" s="8" t="inlineStr">
        <is>
          <t>en es fr de it pt ja ko ru 汉语 漢語</t>
        </is>
      </c>
    </row>
    <row r="1567">
      <c r="F1567" s="1" t="n"/>
    </row>
    <row r="1568">
      <c r="F1568" s="1" t="n"/>
      <c r="I1568" s="8" t="inlineStr">
        <is>
          <t>Shadowmoor SHM</t>
        </is>
      </c>
      <c r="J1568" s="8" t="n">
        <v>302</v>
      </c>
      <c r="K1568" s="9" t="n">
        <v>39570</v>
      </c>
      <c r="L1568" t="inlineStr">
        <is>
          <t>en es fr de it pt ja ko ru 汉语 漢語</t>
        </is>
      </c>
    </row>
    <row r="1569">
      <c r="F1569" s="1" t="n"/>
    </row>
    <row r="1570">
      <c r="F1570" s="1" t="n"/>
      <c r="I1570" s="8" t="inlineStr">
        <is>
          <t>Shadowmoor Promos PSHM</t>
        </is>
      </c>
      <c r="J1570" s="8" t="n">
        <v>2</v>
      </c>
      <c r="K1570" s="9" t="n">
        <v>39570</v>
      </c>
      <c r="L1570" s="8" t="inlineStr">
        <is>
          <t>en es fr de it pt ja ko ru 汉语 漢語</t>
        </is>
      </c>
    </row>
    <row r="1571">
      <c r="F1571" s="1" t="n"/>
    </row>
    <row r="1572">
      <c r="F1572" s="1" t="n"/>
      <c r="I1572" s="8" t="inlineStr">
        <is>
          <t>Shadowmoor Tokens TSHM</t>
        </is>
      </c>
      <c r="J1572" s="8" t="n">
        <v>12</v>
      </c>
      <c r="K1572" s="9" t="n">
        <v>39570</v>
      </c>
      <c r="L1572" s="8" t="inlineStr">
        <is>
          <t>en es fr de it pt ja ko ru 汉语 漢語</t>
        </is>
      </c>
    </row>
    <row r="1573">
      <c r="F1573" s="1" t="n"/>
    </row>
    <row r="1574">
      <c r="F1574" s="1" t="n"/>
      <c r="I1574" s="8" t="inlineStr">
        <is>
          <t>15th Anniversary Cards P15A</t>
        </is>
      </c>
      <c r="J1574" s="8" t="n">
        <v>2</v>
      </c>
      <c r="K1574" s="9" t="n">
        <v>39539</v>
      </c>
      <c r="L1574" s="8" t="inlineStr">
        <is>
          <t>en es fr de it pt ja ko ru 汉语 漢語</t>
        </is>
      </c>
    </row>
    <row r="1575">
      <c r="F1575" s="1" t="n"/>
    </row>
    <row r="1576">
      <c r="F1576" s="1" t="n"/>
      <c r="I1576" s="8" t="inlineStr">
        <is>
          <t>Morningtide MOR</t>
        </is>
      </c>
      <c r="J1576" s="8" t="n">
        <v>150</v>
      </c>
      <c r="K1576" s="9" t="n">
        <v>39479</v>
      </c>
      <c r="L1576" t="inlineStr">
        <is>
          <t>en es fr de it pt ja ko ru 汉语 漢語</t>
        </is>
      </c>
    </row>
    <row r="1577">
      <c r="F1577" s="1" t="n"/>
    </row>
    <row r="1578">
      <c r="F1578" s="1" t="n"/>
      <c r="I1578" s="8" t="inlineStr">
        <is>
          <t>Morningtide Promos PMOR</t>
        </is>
      </c>
      <c r="J1578" s="8" t="n">
        <v>2</v>
      </c>
      <c r="K1578" s="9" t="n">
        <v>39479</v>
      </c>
      <c r="L1578" s="8" t="inlineStr">
        <is>
          <t>en es fr de it pt ja ko ru 汉语 漢語</t>
        </is>
      </c>
    </row>
    <row r="1579">
      <c r="F1579" s="1" t="n"/>
    </row>
    <row r="1580">
      <c r="F1580" s="1" t="n"/>
      <c r="I1580" s="8" t="inlineStr">
        <is>
          <t>Morningtide Tokens TMOR</t>
        </is>
      </c>
      <c r="J1580" s="8" t="n">
        <v>3</v>
      </c>
      <c r="K1580" s="9" t="n">
        <v>39479</v>
      </c>
      <c r="L1580" s="8" t="inlineStr">
        <is>
          <t>en es fr de it pt ja ko ru 汉语 漢語</t>
        </is>
      </c>
    </row>
    <row r="1581">
      <c r="F1581" s="1" t="n"/>
    </row>
    <row r="1582">
      <c r="F1582" s="1" t="n"/>
      <c r="I1582" s="8" t="inlineStr">
        <is>
          <t>Magic Premiere Shop 2008 PMPS08</t>
        </is>
      </c>
      <c r="J1582" s="8" t="n">
        <v>6</v>
      </c>
      <c r="K1582" s="9" t="n">
        <v>39448</v>
      </c>
      <c r="L1582" s="8" t="inlineStr">
        <is>
          <t>en es fr de it pt ja ko ru 汉语 漢語</t>
        </is>
      </c>
    </row>
    <row r="1583">
      <c r="F1583" s="1" t="n"/>
    </row>
    <row r="1584">
      <c r="F1584" s="1" t="n"/>
      <c r="I1584" s="8" t="inlineStr">
        <is>
          <t>Magic Player Rewards 2008 P08</t>
        </is>
      </c>
      <c r="J1584" s="8" t="n">
        <v>7</v>
      </c>
      <c r="K1584" s="9" t="n">
        <v>39448</v>
      </c>
      <c r="L1584" s="8" t="inlineStr">
        <is>
          <t>en es fr de it pt ja ko ru 汉语 漢語</t>
        </is>
      </c>
    </row>
    <row r="1585">
      <c r="F1585" s="1" t="n"/>
    </row>
    <row r="1586">
      <c r="F1586" s="1" t="n"/>
      <c r="I1586" s="8" t="inlineStr">
        <is>
          <t>Friday Night Magic 2008 F08</t>
        </is>
      </c>
      <c r="J1586" s="8" t="n">
        <v>12</v>
      </c>
      <c r="K1586" s="9" t="n">
        <v>39448</v>
      </c>
      <c r="L1586" s="8" t="inlineStr">
        <is>
          <t>en es fr de it pt ja ko ru 汉语 漢語</t>
        </is>
      </c>
    </row>
    <row r="1587">
      <c r="F1587" s="1" t="n"/>
    </row>
    <row r="1588">
      <c r="F1588" s="1" t="n"/>
      <c r="I1588" s="8" t="inlineStr">
        <is>
          <t>Judge Gift Cards 2008 G08</t>
        </is>
      </c>
      <c r="J1588" s="8" t="n">
        <v>5</v>
      </c>
      <c r="K1588" s="9" t="n">
        <v>39448</v>
      </c>
      <c r="L1588" s="8" t="inlineStr">
        <is>
          <t>en es fr de it pt ja ko ru 汉语 漢語</t>
        </is>
      </c>
    </row>
    <row r="1589">
      <c r="F1589" s="1" t="n"/>
    </row>
    <row r="1590">
      <c r="F1590" s="1" t="n"/>
      <c r="I1590" s="8" t="inlineStr">
        <is>
          <t>Duel Decks: Elves vs. Goblins DD1</t>
        </is>
      </c>
      <c r="J1590" s="8" t="n">
        <v>62</v>
      </c>
      <c r="K1590" s="9" t="n">
        <v>39402</v>
      </c>
      <c r="L1590" s="8" t="inlineStr">
        <is>
          <t>en es fr de it pt ja ko ru 汉语 漢語</t>
        </is>
      </c>
    </row>
    <row r="1591">
      <c r="F1591" s="1" t="n"/>
    </row>
    <row r="1592">
      <c r="F1592" s="1" t="n"/>
      <c r="I1592" s="8" t="inlineStr">
        <is>
          <t>Duel Decks: Elves vs. Goblins Tokens TDD1</t>
        </is>
      </c>
      <c r="J1592" s="8" t="n">
        <v>3</v>
      </c>
      <c r="K1592" s="9" t="n">
        <v>39402</v>
      </c>
      <c r="L1592" s="8" t="inlineStr">
        <is>
          <t>en es fr de it pt ja ko ru 汉语 漢語</t>
        </is>
      </c>
    </row>
    <row r="1593">
      <c r="F1593" s="1" t="n"/>
    </row>
    <row r="1594">
      <c r="F1594" s="1" t="n"/>
      <c r="I1594" s="8" t="inlineStr">
        <is>
          <t>Lorwyn LRW</t>
        </is>
      </c>
      <c r="J1594" s="8" t="n">
        <v>301</v>
      </c>
      <c r="K1594" s="9" t="n">
        <v>39367</v>
      </c>
      <c r="L1594" t="inlineStr">
        <is>
          <t>en es fr de it pt ja ko ru 汉语 漢語</t>
        </is>
      </c>
    </row>
    <row r="1595">
      <c r="F1595" s="1" t="n"/>
    </row>
    <row r="1596">
      <c r="F1596" s="1" t="n"/>
      <c r="I1596" s="8" t="inlineStr">
        <is>
          <t>Lorwyn Promos PLRW</t>
        </is>
      </c>
      <c r="J1596" s="8" t="n">
        <v>3</v>
      </c>
      <c r="K1596" s="9" t="n">
        <v>39367</v>
      </c>
      <c r="L1596" s="8" t="inlineStr">
        <is>
          <t>en es fr de it pt ja ko ru 汉语 漢語</t>
        </is>
      </c>
    </row>
    <row r="1597">
      <c r="F1597" s="1" t="n"/>
    </row>
    <row r="1598">
      <c r="F1598" s="1" t="n"/>
      <c r="I1598" s="8" t="inlineStr">
        <is>
          <t>Lorwyn Tokens TLRW</t>
        </is>
      </c>
      <c r="J1598" s="8" t="n">
        <v>11</v>
      </c>
      <c r="K1598" s="9" t="n">
        <v>39367</v>
      </c>
      <c r="L1598" s="8" t="inlineStr">
        <is>
          <t>en es fr de it pt ja ko ru 汉语 漢語</t>
        </is>
      </c>
    </row>
    <row r="1599">
      <c r="F1599" s="1" t="n"/>
    </row>
    <row r="1600">
      <c r="F1600" s="1" t="n"/>
      <c r="I1600" s="8" t="inlineStr">
        <is>
          <t>Masters Edition ME1</t>
        </is>
      </c>
      <c r="J1600" s="8" t="n">
        <v>195</v>
      </c>
      <c r="K1600" s="9" t="n">
        <v>39335</v>
      </c>
      <c r="L1600" s="8" t="inlineStr">
        <is>
          <t>en es fr de it pt ja ko ru 汉语 漢語</t>
        </is>
      </c>
    </row>
    <row r="1601">
      <c r="F1601" s="1" t="n"/>
    </row>
    <row r="1602">
      <c r="F1602" s="1" t="n"/>
      <c r="I1602" s="8" t="inlineStr">
        <is>
          <t>Tenth Edition 10E</t>
        </is>
      </c>
      <c r="J1602" s="8" t="n">
        <v>510</v>
      </c>
      <c r="K1602" s="9" t="n">
        <v>39276</v>
      </c>
      <c r="L1602" t="inlineStr">
        <is>
          <t>en es fr de it pt ja ko ru 汉语 漢語</t>
        </is>
      </c>
    </row>
    <row r="1603">
      <c r="F1603" s="1" t="n"/>
    </row>
    <row r="1604">
      <c r="F1604" s="1" t="n"/>
      <c r="I1604" s="8" t="inlineStr">
        <is>
          <t>Tenth Edition Promos P10E</t>
        </is>
      </c>
      <c r="J1604" s="8" t="n">
        <v>3</v>
      </c>
      <c r="K1604" s="9" t="n">
        <v>39276</v>
      </c>
      <c r="L1604" s="8" t="inlineStr">
        <is>
          <t>en es fr de it pt ja ko ru 汉语 漢語</t>
        </is>
      </c>
    </row>
    <row r="1605">
      <c r="F1605" s="1" t="n"/>
    </row>
    <row r="1606">
      <c r="F1606" s="1" t="n"/>
      <c r="I1606" s="8" t="inlineStr">
        <is>
          <t>Tenth Edition Tokens T10E</t>
        </is>
      </c>
      <c r="J1606" s="8" t="n">
        <v>6</v>
      </c>
      <c r="K1606" s="9" t="n">
        <v>39276</v>
      </c>
      <c r="L1606" s="8" t="inlineStr">
        <is>
          <t>en es fr de it pt ja ko ru 汉语 漢語</t>
        </is>
      </c>
    </row>
    <row r="1607">
      <c r="F1607" s="1" t="n"/>
    </row>
    <row r="1608">
      <c r="F1608" s="1" t="n"/>
      <c r="I1608" s="8" t="inlineStr">
        <is>
          <t>Future Sight FUT</t>
        </is>
      </c>
      <c r="J1608" s="8" t="n">
        <v>180</v>
      </c>
      <c r="K1608" s="9" t="n">
        <v>39206</v>
      </c>
      <c r="L1608" t="inlineStr">
        <is>
          <t>en es fr de it pt ja ko ru 汉语 漢語</t>
        </is>
      </c>
    </row>
    <row r="1609">
      <c r="F1609" s="1" t="n"/>
    </row>
    <row r="1610">
      <c r="F1610" s="1" t="n"/>
      <c r="I1610" s="8" t="inlineStr">
        <is>
          <t>Future Sight Promos PFUT</t>
        </is>
      </c>
      <c r="J1610" s="8" t="n">
        <v>2</v>
      </c>
      <c r="K1610" s="9" t="n">
        <v>39206</v>
      </c>
      <c r="L1610" s="8" t="inlineStr">
        <is>
          <t>en es fr de it pt ja ko ru 汉语 漢語</t>
        </is>
      </c>
    </row>
    <row r="1611">
      <c r="F1611" s="1" t="n"/>
    </row>
    <row r="1612">
      <c r="F1612" s="1" t="n"/>
      <c r="I1612" s="8" t="inlineStr">
        <is>
          <t>Grand Prix Promos PGPX</t>
        </is>
      </c>
      <c r="J1612" s="8" t="n">
        <v>20</v>
      </c>
      <c r="K1612" s="9" t="n">
        <v>39137</v>
      </c>
      <c r="L1612" s="8" t="inlineStr">
        <is>
          <t>en es fr de it pt ja ko ru 汉语 漢語</t>
        </is>
      </c>
    </row>
    <row r="1613">
      <c r="F1613" s="1" t="n"/>
    </row>
    <row r="1614">
      <c r="F1614" s="1" t="n"/>
      <c r="I1614" s="8" t="inlineStr">
        <is>
          <t>Pro Tour Promos PPRO</t>
        </is>
      </c>
      <c r="J1614" s="8" t="n">
        <v>17</v>
      </c>
      <c r="K1614" s="9" t="n">
        <v>39122</v>
      </c>
      <c r="L1614" s="8" t="inlineStr">
        <is>
          <t>en es fr de it pt ja ko ru 汉语 漢語</t>
        </is>
      </c>
    </row>
    <row r="1615">
      <c r="F1615" s="1" t="n"/>
    </row>
    <row r="1616">
      <c r="F1616" s="1" t="n"/>
      <c r="I1616" s="8" t="inlineStr">
        <is>
          <t>Planar Chaos PLC</t>
        </is>
      </c>
      <c r="J1616" s="8" t="n">
        <v>165</v>
      </c>
      <c r="K1616" s="9" t="n">
        <v>39115</v>
      </c>
      <c r="L1616" t="inlineStr">
        <is>
          <t>en es fr de it pt ja ko ru 汉语 漢語</t>
        </is>
      </c>
    </row>
    <row r="1617">
      <c r="F1617" s="1" t="n"/>
    </row>
    <row r="1618">
      <c r="F1618" s="1" t="n"/>
      <c r="I1618" s="8" t="inlineStr">
        <is>
          <t>Planar Chaos Promos PPLC</t>
        </is>
      </c>
      <c r="J1618" s="8" t="n">
        <v>2</v>
      </c>
      <c r="K1618" s="9" t="n">
        <v>39115</v>
      </c>
      <c r="L1618" s="8" t="inlineStr">
        <is>
          <t>en es fr de it pt ja ko ru 汉语 漢語</t>
        </is>
      </c>
    </row>
    <row r="1619">
      <c r="F1619" s="1" t="n"/>
    </row>
    <row r="1620">
      <c r="F1620" s="1" t="n"/>
      <c r="I1620" s="8" t="inlineStr">
        <is>
          <t>Magic Premiere Shop 2007 PMPS07</t>
        </is>
      </c>
      <c r="J1620" s="8" t="n">
        <v>5</v>
      </c>
      <c r="K1620" s="9" t="n">
        <v>39083</v>
      </c>
      <c r="L1620" s="8" t="inlineStr">
        <is>
          <t>en es fr de it pt ja ko ru 汉语 漢語</t>
        </is>
      </c>
    </row>
    <row r="1621">
      <c r="F1621" s="1" t="n"/>
    </row>
    <row r="1622">
      <c r="F1622" s="1" t="n"/>
      <c r="I1622" s="8" t="inlineStr">
        <is>
          <t>Judge Gift Cards 2007 G07</t>
        </is>
      </c>
      <c r="J1622" s="8" t="n">
        <v>5</v>
      </c>
      <c r="K1622" s="9" t="n">
        <v>39083</v>
      </c>
      <c r="L1622" s="8" t="inlineStr">
        <is>
          <t>en es fr de it pt ja ko ru 汉语 漢語</t>
        </is>
      </c>
    </row>
    <row r="1623">
      <c r="F1623" s="1" t="n"/>
    </row>
    <row r="1624">
      <c r="F1624" s="1" t="n"/>
      <c r="I1624" s="8" t="inlineStr">
        <is>
          <t>Magic Player Rewards 2007 P07</t>
        </is>
      </c>
      <c r="J1624" s="8" t="n">
        <v>7</v>
      </c>
      <c r="K1624" s="9" t="n">
        <v>39083</v>
      </c>
      <c r="L1624" s="8" t="inlineStr">
        <is>
          <t>en es fr de it pt ja ko ru 汉语 漢語</t>
        </is>
      </c>
    </row>
    <row r="1625">
      <c r="F1625" s="1" t="n"/>
    </row>
    <row r="1626">
      <c r="F1626" s="1" t="n"/>
      <c r="I1626" s="8" t="inlineStr">
        <is>
          <t>Friday Night Magic 2007 F07</t>
        </is>
      </c>
      <c r="J1626" s="8" t="n">
        <v>12</v>
      </c>
      <c r="K1626" s="9" t="n">
        <v>39083</v>
      </c>
      <c r="L1626" s="8" t="inlineStr">
        <is>
          <t>en es fr de it pt ja ko ru 汉语 漢語</t>
        </is>
      </c>
    </row>
    <row r="1627">
      <c r="F1627" s="1" t="n"/>
    </row>
    <row r="1628">
      <c r="F1628" s="1" t="n"/>
      <c r="I1628" s="8" t="inlineStr">
        <is>
          <t>Happy Holidays HHO</t>
        </is>
      </c>
      <c r="J1628" s="8" t="n">
        <v>23</v>
      </c>
      <c r="K1628" s="9" t="n">
        <v>39082</v>
      </c>
      <c r="L1628" s="8" t="inlineStr">
        <is>
          <t>en es fr de it pt ja ko ru 汉语 漢語</t>
        </is>
      </c>
    </row>
    <row r="1629">
      <c r="F1629" s="1" t="n"/>
    </row>
    <row r="1630">
      <c r="F1630" s="1" t="n"/>
      <c r="I1630" s="8" t="inlineStr">
        <is>
          <t>Time Spiral TSP</t>
        </is>
      </c>
      <c r="J1630" s="8" t="n">
        <v>301</v>
      </c>
      <c r="K1630" s="9" t="n">
        <v>38996</v>
      </c>
      <c r="L1630" t="inlineStr">
        <is>
          <t>en es fr de it pt ja ko ru 汉语 漢語</t>
        </is>
      </c>
    </row>
    <row r="1631">
      <c r="F1631" s="1" t="n"/>
    </row>
    <row r="1632">
      <c r="F1632" s="1" t="n"/>
      <c r="I1632" s="8" t="inlineStr">
        <is>
          <t>Time Spiral Promos PTSP</t>
        </is>
      </c>
      <c r="J1632" s="8" t="n">
        <v>3</v>
      </c>
      <c r="K1632" s="9" t="n">
        <v>38996</v>
      </c>
      <c r="L1632" s="8" t="inlineStr">
        <is>
          <t>en es fr de it pt ja ko ru 汉语 漢語</t>
        </is>
      </c>
    </row>
    <row r="1633">
      <c r="F1633" s="1" t="n"/>
    </row>
    <row r="1634">
      <c r="F1634" s="1" t="n"/>
      <c r="I1634" s="8" t="inlineStr">
        <is>
          <t>Time Spiral Timeshifted TSB</t>
        </is>
      </c>
      <c r="J1634" s="8" t="n">
        <v>121</v>
      </c>
      <c r="K1634" s="9" t="n">
        <v>38996</v>
      </c>
      <c r="L1634" t="inlineStr">
        <is>
          <t>en es fr de it pt ja ko ru 汉语 漢語</t>
        </is>
      </c>
    </row>
    <row r="1635">
      <c r="F1635" s="1" t="n"/>
    </row>
    <row r="1636">
      <c r="F1636" s="1" t="n"/>
      <c r="I1636" s="8" t="inlineStr">
        <is>
          <t>Coldsnap CSP</t>
        </is>
      </c>
      <c r="J1636" s="8" t="n">
        <v>155</v>
      </c>
      <c r="K1636" s="9" t="n">
        <v>38919</v>
      </c>
      <c r="L1636" t="inlineStr">
        <is>
          <t>en es fr de it pt ja ko ru 汉语 漢語</t>
        </is>
      </c>
    </row>
    <row r="1637">
      <c r="F1637" s="1" t="n"/>
    </row>
    <row r="1638">
      <c r="F1638" s="1" t="n"/>
      <c r="I1638" s="8" t="inlineStr">
        <is>
          <t>Coldsnap Promos PCSP</t>
        </is>
      </c>
      <c r="J1638" s="8" t="n">
        <v>2</v>
      </c>
      <c r="K1638" s="9" t="n">
        <v>38919</v>
      </c>
      <c r="L1638" s="8" t="inlineStr">
        <is>
          <t>en es fr de it pt ja ko ru 汉语 漢語</t>
        </is>
      </c>
    </row>
    <row r="1639">
      <c r="F1639" s="1" t="n"/>
    </row>
    <row r="1640">
      <c r="F1640" s="1" t="n"/>
      <c r="I1640" s="8" t="inlineStr">
        <is>
          <t>Coldsnap Theme Decks CST</t>
        </is>
      </c>
      <c r="J1640" s="8" t="n">
        <v>62</v>
      </c>
      <c r="K1640" s="9" t="n">
        <v>38919</v>
      </c>
      <c r="L1640" t="inlineStr">
        <is>
          <t>en es fr de it pt ja ko ru 汉语 漢語</t>
        </is>
      </c>
    </row>
    <row r="1641">
      <c r="F1641" s="1" t="n"/>
    </row>
    <row r="1642">
      <c r="F1642" s="1" t="n"/>
      <c r="I1642" s="8" t="inlineStr">
        <is>
          <t>Dissension DIS</t>
        </is>
      </c>
      <c r="J1642" s="8" t="n">
        <v>180</v>
      </c>
      <c r="K1642" s="9" t="n">
        <v>38842</v>
      </c>
      <c r="L1642" t="inlineStr">
        <is>
          <t>en es fr de it pt ja ko ru 汉语 漢語</t>
        </is>
      </c>
    </row>
    <row r="1643">
      <c r="F1643" s="1" t="n"/>
    </row>
    <row r="1644">
      <c r="F1644" s="1" t="n"/>
      <c r="I1644" s="8" t="inlineStr">
        <is>
          <t>Dissension Promos PDIS</t>
        </is>
      </c>
      <c r="J1644" s="8" t="n">
        <v>2</v>
      </c>
      <c r="K1644" s="9" t="n">
        <v>38842</v>
      </c>
      <c r="L1644" s="8" t="inlineStr">
        <is>
          <t>en es fr de it pt ja ko ru 汉语 漢語</t>
        </is>
      </c>
    </row>
    <row r="1645">
      <c r="F1645" s="1" t="n"/>
    </row>
    <row r="1646">
      <c r="F1646" s="1" t="n"/>
      <c r="I1646" s="8" t="inlineStr">
        <is>
          <t>Champs and States PCMP</t>
        </is>
      </c>
      <c r="J1646" s="8" t="n">
        <v>12</v>
      </c>
      <c r="K1646" s="9" t="n">
        <v>38794</v>
      </c>
      <c r="L1646" s="8" t="inlineStr">
        <is>
          <t>en es fr de it pt ja ko ru 汉语 漢語</t>
        </is>
      </c>
    </row>
    <row r="1647">
      <c r="F1647" s="1" t="n"/>
    </row>
    <row r="1648">
      <c r="F1648" s="1" t="n"/>
      <c r="I1648" s="8" t="inlineStr">
        <is>
          <t>Guildpact GPT</t>
        </is>
      </c>
      <c r="J1648" s="8" t="n">
        <v>167</v>
      </c>
      <c r="K1648" s="9" t="n">
        <v>38751</v>
      </c>
      <c r="L1648" t="inlineStr">
        <is>
          <t>en es fr de it pt ja ko ru 汉语 漢語</t>
        </is>
      </c>
    </row>
    <row r="1649">
      <c r="F1649" s="1" t="n"/>
    </row>
    <row r="1650">
      <c r="F1650" s="1" t="n"/>
      <c r="I1650" s="8" t="inlineStr">
        <is>
          <t>Guildpact Promos PGPT</t>
        </is>
      </c>
      <c r="J1650" s="8" t="n">
        <v>2</v>
      </c>
      <c r="K1650" s="9" t="n">
        <v>38751</v>
      </c>
      <c r="L1650" s="8" t="inlineStr">
        <is>
          <t>en es fr de it pt ja ko ru 汉语 漢語</t>
        </is>
      </c>
    </row>
    <row r="1651">
      <c r="F1651" s="1" t="n"/>
    </row>
    <row r="1652">
      <c r="F1652" s="1" t="n"/>
      <c r="I1652" s="8" t="inlineStr">
        <is>
          <t>Magic Premiere Shop 2006 PMPS06</t>
        </is>
      </c>
      <c r="J1652" s="8" t="n">
        <v>5</v>
      </c>
      <c r="K1652" s="9" t="n">
        <v>38718</v>
      </c>
      <c r="L1652" s="8" t="inlineStr">
        <is>
          <t>en es fr de it pt ja ko ru 汉语 漢語</t>
        </is>
      </c>
    </row>
    <row r="1653">
      <c r="F1653" s="1" t="n"/>
    </row>
    <row r="1654">
      <c r="F1654" s="1" t="n"/>
      <c r="I1654" s="8" t="inlineStr">
        <is>
          <t>Arena League 2006 PAL06</t>
        </is>
      </c>
      <c r="J1654" s="8" t="n">
        <v>9</v>
      </c>
      <c r="K1654" s="9" t="n">
        <v>38718</v>
      </c>
      <c r="L1654" s="8" t="inlineStr">
        <is>
          <t>en es fr de it pt ja ko ru 汉语 漢語</t>
        </is>
      </c>
    </row>
    <row r="1655">
      <c r="F1655" s="1" t="n"/>
    </row>
    <row r="1656">
      <c r="F1656" s="1" t="n"/>
      <c r="I1656" s="8" t="inlineStr">
        <is>
          <t>Junior APAC Series PJAS</t>
        </is>
      </c>
      <c r="J1656" s="8" t="n">
        <v>6</v>
      </c>
      <c r="K1656" s="9" t="n">
        <v>38718</v>
      </c>
      <c r="L1656" s="8" t="inlineStr">
        <is>
          <t>en es fr de it pt ja ko ru 汉语 漢語</t>
        </is>
      </c>
    </row>
    <row r="1657">
      <c r="F1657" s="1" t="n"/>
    </row>
    <row r="1658">
      <c r="F1658" s="1" t="n"/>
      <c r="I1658" s="8" t="inlineStr">
        <is>
          <t>Friday Night Magic 2006 F06</t>
        </is>
      </c>
      <c r="J1658" s="8" t="n">
        <v>12</v>
      </c>
      <c r="K1658" s="9" t="n">
        <v>38718</v>
      </c>
      <c r="L1658" s="8" t="inlineStr">
        <is>
          <t>en es fr de it pt ja ko ru 汉语 漢語</t>
        </is>
      </c>
    </row>
    <row r="1659">
      <c r="F1659" s="1" t="n"/>
    </row>
    <row r="1660">
      <c r="F1660" s="1" t="n"/>
      <c r="I1660" s="8" t="inlineStr">
        <is>
          <t>Hachette UK PHUK</t>
        </is>
      </c>
      <c r="J1660" s="8" t="n">
        <v>60</v>
      </c>
      <c r="K1660" s="9" t="n">
        <v>38718</v>
      </c>
      <c r="L1660" s="8" t="inlineStr">
        <is>
          <t>en es fr de it pt ja ko ru 汉语 漢語</t>
        </is>
      </c>
    </row>
    <row r="1661">
      <c r="F1661" s="1" t="n"/>
    </row>
    <row r="1662">
      <c r="F1662" s="1" t="n"/>
      <c r="I1662" s="8" t="inlineStr">
        <is>
          <t>Judge Gift Cards 2006 G06</t>
        </is>
      </c>
      <c r="J1662" s="8" t="n">
        <v>4</v>
      </c>
      <c r="K1662" s="9" t="n">
        <v>38718</v>
      </c>
      <c r="L1662" s="8" t="inlineStr">
        <is>
          <t>en es fr de it pt ja ko ru 汉语 漢語</t>
        </is>
      </c>
    </row>
    <row r="1663">
      <c r="F1663" s="1" t="n"/>
    </row>
    <row r="1664">
      <c r="F1664" s="1" t="n"/>
      <c r="I1664" s="8" t="inlineStr">
        <is>
          <t>DCI Promos DCI</t>
        </is>
      </c>
      <c r="J1664" s="8" t="n">
        <v>80</v>
      </c>
      <c r="K1664" s="9" t="n">
        <v>38718</v>
      </c>
      <c r="L1664" t="inlineStr">
        <is>
          <t>en es fr de it pt ja ko ru 汉语 漢語</t>
        </is>
      </c>
    </row>
    <row r="1665">
      <c r="F1665" s="1" t="n"/>
    </row>
    <row r="1666">
      <c r="F1666" s="1" t="n"/>
      <c r="I1666" s="8" t="inlineStr">
        <is>
          <t>Magic Player Rewards 2006 P06</t>
        </is>
      </c>
      <c r="J1666" s="8" t="n">
        <v>7</v>
      </c>
      <c r="K1666" s="9" t="n">
        <v>38718</v>
      </c>
      <c r="L1666" s="8" t="inlineStr">
        <is>
          <t>en es fr de it pt ja ko ru 汉语 漢語</t>
        </is>
      </c>
    </row>
    <row r="1667">
      <c r="F1667" s="1" t="n"/>
    </row>
    <row r="1668">
      <c r="F1668" s="1" t="n"/>
      <c r="I1668" s="8" t="inlineStr">
        <is>
          <t>Two-Headed Giant Tournament P2HG</t>
        </is>
      </c>
      <c r="J1668" s="8" t="n">
        <v>1</v>
      </c>
      <c r="K1668" s="9" t="n">
        <v>38695</v>
      </c>
      <c r="L1668" s="8" t="inlineStr">
        <is>
          <t>en es fr de it pt ja ko ru 汉语 漢語</t>
        </is>
      </c>
    </row>
    <row r="1669">
      <c r="F1669" s="1" t="n"/>
    </row>
    <row r="1670">
      <c r="F1670" s="1" t="n"/>
      <c r="I1670" s="8" t="inlineStr">
        <is>
          <t>Magic Premiere Shop 2005 PMPS</t>
        </is>
      </c>
      <c r="J1670" s="8" t="n">
        <v>20</v>
      </c>
      <c r="K1670" s="9" t="n">
        <v>38632</v>
      </c>
      <c r="L1670" s="8" t="inlineStr">
        <is>
          <t>en es fr de it pt ja ko ru 汉语 漢語</t>
        </is>
      </c>
    </row>
    <row r="1671">
      <c r="F1671" s="1" t="n"/>
    </row>
    <row r="1672">
      <c r="F1672" s="1" t="n"/>
      <c r="I1672" s="8" t="inlineStr">
        <is>
          <t>Ravnica: City of Guilds RAV</t>
        </is>
      </c>
      <c r="J1672" s="8" t="n">
        <v>306</v>
      </c>
      <c r="K1672" s="9" t="n">
        <v>38632</v>
      </c>
      <c r="L1672" t="inlineStr">
        <is>
          <t>en es fr de it pt ja ko ru 汉语 漢語</t>
        </is>
      </c>
    </row>
    <row r="1673">
      <c r="F1673" s="1" t="n"/>
    </row>
    <row r="1674">
      <c r="F1674" s="1" t="n"/>
      <c r="I1674" s="8" t="inlineStr">
        <is>
          <t>Ravnica: City of Guilds Promos PRAV</t>
        </is>
      </c>
      <c r="J1674" s="8" t="n">
        <v>2</v>
      </c>
      <c r="K1674" s="9" t="n">
        <v>38632</v>
      </c>
      <c r="L1674" s="8" t="inlineStr">
        <is>
          <t>en es fr de it pt ja ko ru 汉语 漢語</t>
        </is>
      </c>
    </row>
    <row r="1675">
      <c r="F1675" s="1" t="n"/>
    </row>
    <row r="1676">
      <c r="F1676" s="1" t="n"/>
      <c r="I1676" s="8" t="inlineStr">
        <is>
          <t>Salvat 2005 PSAL</t>
        </is>
      </c>
      <c r="J1676" s="8" t="n">
        <v>720</v>
      </c>
      <c r="K1676" s="9" t="n">
        <v>38586</v>
      </c>
      <c r="L1676" t="inlineStr">
        <is>
          <t>en es fr de it pt ja ko ru 汉语 漢語</t>
        </is>
      </c>
    </row>
    <row r="1677">
      <c r="F1677" s="1" t="n"/>
    </row>
    <row r="1678">
      <c r="F1678" s="1" t="n"/>
      <c r="I1678" s="8" t="inlineStr">
        <is>
          <t>Ninth Edition 9ED</t>
        </is>
      </c>
      <c r="J1678" s="8" t="n">
        <v>710</v>
      </c>
      <c r="K1678" s="9" t="n">
        <v>38562</v>
      </c>
      <c r="L1678" t="inlineStr">
        <is>
          <t>en es fr de it pt ja ko ru 汉语 漢語</t>
        </is>
      </c>
    </row>
    <row r="1679">
      <c r="F1679" s="1" t="n"/>
    </row>
    <row r="1680">
      <c r="F1680" s="1" t="n"/>
      <c r="I1680" s="8" t="inlineStr">
        <is>
          <t>Ninth Edition Promos P9ED</t>
        </is>
      </c>
      <c r="J1680" s="8" t="n">
        <v>2</v>
      </c>
      <c r="K1680" s="9" t="n">
        <v>38562</v>
      </c>
      <c r="L1680" t="inlineStr">
        <is>
          <t>en es fr de it pt ja ko ru 汉语 漢語</t>
        </is>
      </c>
    </row>
    <row r="1681">
      <c r="F1681" s="1" t="n"/>
    </row>
    <row r="1682">
      <c r="F1682" s="1" t="n"/>
      <c r="I1682" s="8" t="inlineStr">
        <is>
          <t>Saviors of Kamigawa SOK</t>
        </is>
      </c>
      <c r="J1682" s="8" t="n">
        <v>165</v>
      </c>
      <c r="K1682" s="9" t="n">
        <v>38506</v>
      </c>
      <c r="L1682" t="inlineStr">
        <is>
          <t>en es fr de it pt ja ko ru 汉语 漢語</t>
        </is>
      </c>
    </row>
    <row r="1683">
      <c r="F1683" s="1" t="n"/>
    </row>
    <row r="1684">
      <c r="F1684" s="1" t="n"/>
      <c r="I1684" s="8" t="inlineStr">
        <is>
          <t>Saviors of Kamigawa Promos PSOK</t>
        </is>
      </c>
      <c r="J1684" s="8" t="n">
        <v>2</v>
      </c>
      <c r="K1684" s="9" t="n">
        <v>38506</v>
      </c>
      <c r="L1684" s="8" t="inlineStr">
        <is>
          <t>en es fr de it pt ja ko ru 汉语 漢語</t>
        </is>
      </c>
    </row>
    <row r="1685">
      <c r="F1685" s="1" t="n"/>
    </row>
    <row r="1686">
      <c r="F1686" s="1" t="n"/>
      <c r="I1686" s="8" t="inlineStr">
        <is>
          <t>Betrayers of Kamigawa BOK</t>
        </is>
      </c>
      <c r="J1686" s="8" t="n">
        <v>165</v>
      </c>
      <c r="K1686" s="9" t="n">
        <v>38387</v>
      </c>
      <c r="L1686" t="inlineStr">
        <is>
          <t>en es fr de it pt ja ko ru 汉语 漢語</t>
        </is>
      </c>
    </row>
    <row r="1687">
      <c r="F1687" s="1" t="n"/>
    </row>
    <row r="1688">
      <c r="F1688" s="1" t="n"/>
      <c r="I1688" s="8" t="inlineStr">
        <is>
          <t>Betrayers of Kamigawa Promos PBOK</t>
        </is>
      </c>
      <c r="J1688" s="8" t="n">
        <v>2</v>
      </c>
      <c r="K1688" s="9" t="n">
        <v>38387</v>
      </c>
      <c r="L1688" s="8" t="inlineStr">
        <is>
          <t>en es fr de it pt ja ko ru 汉语 漢語</t>
        </is>
      </c>
    </row>
    <row r="1689">
      <c r="F1689" s="1" t="n"/>
    </row>
    <row r="1690">
      <c r="F1690" s="1" t="n"/>
      <c r="I1690" s="8" t="inlineStr">
        <is>
          <t>Arena League 2005 PAL05</t>
        </is>
      </c>
      <c r="J1690" s="8" t="n">
        <v>8</v>
      </c>
      <c r="K1690" s="9" t="n">
        <v>38353</v>
      </c>
      <c r="L1690" s="8" t="inlineStr">
        <is>
          <t>en es fr de it pt ja ko ru 汉语 漢語</t>
        </is>
      </c>
    </row>
    <row r="1691">
      <c r="F1691" s="1" t="n"/>
    </row>
    <row r="1692">
      <c r="F1692" s="1" t="n"/>
      <c r="I1692" s="8" t="inlineStr">
        <is>
          <t>Junior Series Europe PJSE</t>
        </is>
      </c>
      <c r="J1692" s="8" t="n">
        <v>8</v>
      </c>
      <c r="K1692" s="9" t="n">
        <v>38353</v>
      </c>
      <c r="L1692" s="8" t="inlineStr">
        <is>
          <t>en es fr de it pt ja ko ru 汉语 漢語</t>
        </is>
      </c>
    </row>
    <row r="1693">
      <c r="F1693" s="1" t="n"/>
    </row>
    <row r="1694">
      <c r="F1694" s="1" t="n"/>
      <c r="I1694" s="8" t="inlineStr">
        <is>
          <t>Friday Night Magic 2005 F05</t>
        </is>
      </c>
      <c r="J1694" s="8" t="n">
        <v>12</v>
      </c>
      <c r="K1694" s="9" t="n">
        <v>38353</v>
      </c>
      <c r="L1694" s="8" t="inlineStr">
        <is>
          <t>en es fr de it pt ja ko ru 汉语 漢語</t>
        </is>
      </c>
    </row>
    <row r="1695">
      <c r="F1695" s="1" t="n"/>
    </row>
    <row r="1696">
      <c r="F1696" s="1" t="n"/>
      <c r="I1696" s="8" t="inlineStr">
        <is>
          <t>Magic Player Rewards 2005 P05</t>
        </is>
      </c>
      <c r="J1696" s="8" t="n">
        <v>6</v>
      </c>
      <c r="K1696" s="9" t="n">
        <v>38353</v>
      </c>
      <c r="L1696" s="8" t="inlineStr">
        <is>
          <t>en es fr de it pt ja ko ru 汉语 漢語</t>
        </is>
      </c>
    </row>
    <row r="1697">
      <c r="F1697" s="1" t="n"/>
    </row>
    <row r="1698">
      <c r="F1698" s="1" t="n"/>
      <c r="I1698" s="8" t="inlineStr">
        <is>
          <t>Judge Gift Cards 2005 G05</t>
        </is>
      </c>
      <c r="J1698" s="8" t="n">
        <v>4</v>
      </c>
      <c r="K1698" s="9" t="n">
        <v>38353</v>
      </c>
      <c r="L1698" s="8" t="inlineStr">
        <is>
          <t>en es fr de it pt ja ko ru 汉语 漢語</t>
        </is>
      </c>
    </row>
    <row r="1699">
      <c r="F1699" s="1" t="n"/>
    </row>
    <row r="1700">
      <c r="F1700" s="1" t="n"/>
      <c r="I1700" s="8" t="inlineStr">
        <is>
          <t>Unhinged UNH</t>
        </is>
      </c>
      <c r="J1700" s="8" t="n">
        <v>168</v>
      </c>
      <c r="K1700" s="9" t="n">
        <v>38310</v>
      </c>
      <c r="L1700" s="8" t="inlineStr">
        <is>
          <t>en es fr de it pt ja ko ru 汉语 漢語</t>
        </is>
      </c>
    </row>
    <row r="1701">
      <c r="F1701" s="1" t="n"/>
    </row>
    <row r="1702">
      <c r="F1702" s="1" t="n"/>
      <c r="I1702" s="8" t="inlineStr">
        <is>
          <t>Unhinged Promos PUNH</t>
        </is>
      </c>
      <c r="J1702" s="8" t="n">
        <v>1</v>
      </c>
      <c r="K1702" s="9" t="n">
        <v>38310</v>
      </c>
      <c r="L1702" s="8" t="inlineStr">
        <is>
          <t>en es fr de it pt ja ko ru 汉语 漢語</t>
        </is>
      </c>
    </row>
    <row r="1703">
      <c r="F1703" s="1" t="n"/>
    </row>
    <row r="1704">
      <c r="F1704" s="1" t="n"/>
      <c r="I1704" s="8" t="inlineStr">
        <is>
          <t>Champions of Kamigawa CHK</t>
        </is>
      </c>
      <c r="J1704" s="8" t="n">
        <v>307</v>
      </c>
      <c r="K1704" s="9" t="n">
        <v>38261</v>
      </c>
      <c r="L1704" t="inlineStr">
        <is>
          <t>en es fr de it pt ja ko ru 汉语 漢語</t>
        </is>
      </c>
    </row>
    <row r="1705">
      <c r="F1705" s="1" t="n"/>
    </row>
    <row r="1706">
      <c r="F1706" s="1" t="n"/>
      <c r="I1706" s="8" t="inlineStr">
        <is>
          <t>Champions of Kamigawa Promos PCHK</t>
        </is>
      </c>
      <c r="J1706" s="8" t="n">
        <v>1</v>
      </c>
      <c r="K1706" s="9" t="n">
        <v>38261</v>
      </c>
      <c r="L1706" s="8" t="inlineStr">
        <is>
          <t>en es fr de it pt ja ko ru 汉语 漢語</t>
        </is>
      </c>
    </row>
    <row r="1707">
      <c r="F1707" s="1" t="n"/>
    </row>
    <row r="1708">
      <c r="F1708" s="1" t="n"/>
      <c r="I1708" s="8" t="inlineStr">
        <is>
          <t>World Championship Decks 2004 WC04</t>
        </is>
      </c>
      <c r="J1708" s="8" t="n">
        <v>103</v>
      </c>
      <c r="K1708" s="9" t="n">
        <v>38231</v>
      </c>
      <c r="L1708" s="8" t="inlineStr">
        <is>
          <t>en es fr de it pt ja ko ru 汉语 漢語</t>
        </is>
      </c>
    </row>
    <row r="1709">
      <c r="F1709" s="1" t="n"/>
    </row>
    <row r="1710">
      <c r="F1710" s="1" t="n"/>
      <c r="I1710" s="8" t="inlineStr">
        <is>
          <t>Fifth Dawn 5DN</t>
        </is>
      </c>
      <c r="J1710" s="8" t="n">
        <v>165</v>
      </c>
      <c r="K1710" s="9" t="n">
        <v>38142</v>
      </c>
      <c r="L1710" t="inlineStr">
        <is>
          <t>en es fr de it pt ja ko ru 汉语 漢語</t>
        </is>
      </c>
    </row>
    <row r="1711">
      <c r="F1711" s="1" t="n"/>
    </row>
    <row r="1712">
      <c r="F1712" s="1" t="n"/>
      <c r="I1712" s="8" t="inlineStr">
        <is>
          <t>Fifth Dawn Promos P5DN</t>
        </is>
      </c>
      <c r="J1712" s="8" t="n">
        <v>1</v>
      </c>
      <c r="K1712" s="9" t="n">
        <v>38142</v>
      </c>
      <c r="L1712" s="8" t="inlineStr">
        <is>
          <t>en es fr de it pt ja ko ru 汉语 漢語</t>
        </is>
      </c>
    </row>
    <row r="1713">
      <c r="F1713" s="1" t="n"/>
    </row>
    <row r="1714">
      <c r="F1714" s="1" t="n"/>
      <c r="I1714" s="8" t="inlineStr">
        <is>
          <t>Darksteel DST</t>
        </is>
      </c>
      <c r="J1714" s="8" t="n">
        <v>165</v>
      </c>
      <c r="K1714" s="9" t="n">
        <v>38023</v>
      </c>
      <c r="L1714" t="inlineStr">
        <is>
          <t>en es fr de it pt ja ko ru 汉语 漢語</t>
        </is>
      </c>
    </row>
    <row r="1715">
      <c r="F1715" s="1" t="n"/>
    </row>
    <row r="1716">
      <c r="F1716" s="1" t="n"/>
      <c r="I1716" s="8" t="inlineStr">
        <is>
          <t>Darksteel Promos PDST</t>
        </is>
      </c>
      <c r="J1716" s="8" t="n">
        <v>1</v>
      </c>
      <c r="K1716" s="9" t="n">
        <v>38023</v>
      </c>
      <c r="L1716" s="8" t="inlineStr">
        <is>
          <t>en es fr de it pt ja ko ru 汉语 漢語</t>
        </is>
      </c>
    </row>
    <row r="1717">
      <c r="F1717" s="1" t="n"/>
    </row>
    <row r="1718">
      <c r="F1718" s="1" t="n"/>
      <c r="I1718" s="8" t="inlineStr">
        <is>
          <t>Arena League 2004 PAL04</t>
        </is>
      </c>
      <c r="J1718" s="8" t="n">
        <v>14</v>
      </c>
      <c r="K1718" s="9" t="n">
        <v>37987</v>
      </c>
      <c r="L1718" s="8" t="inlineStr">
        <is>
          <t>en es fr de it pt ja ko ru 汉语 漢語</t>
        </is>
      </c>
    </row>
    <row r="1719">
      <c r="F1719" s="1" t="n"/>
    </row>
    <row r="1720">
      <c r="F1720" s="1" t="n"/>
      <c r="I1720" s="8" t="inlineStr">
        <is>
          <t>Judge Gift Cards 2004 G04</t>
        </is>
      </c>
      <c r="J1720" s="8" t="n">
        <v>6</v>
      </c>
      <c r="K1720" s="9" t="n">
        <v>37987</v>
      </c>
      <c r="L1720" s="8" t="inlineStr">
        <is>
          <t>en es fr de it pt ja ko ru 汉语 漢語</t>
        </is>
      </c>
    </row>
    <row r="1721">
      <c r="F1721" s="1" t="n"/>
    </row>
    <row r="1722">
      <c r="F1722" s="1" t="n"/>
      <c r="I1722" s="8" t="inlineStr">
        <is>
          <t>Magic Player Rewards 2004 P04</t>
        </is>
      </c>
      <c r="J1722" s="8" t="n">
        <v>6</v>
      </c>
      <c r="K1722" s="9" t="n">
        <v>37987</v>
      </c>
      <c r="L1722" s="8" t="inlineStr">
        <is>
          <t>en es fr de it pt ja ko ru 汉语 漢語</t>
        </is>
      </c>
    </row>
    <row r="1723">
      <c r="F1723" s="1" t="n"/>
    </row>
    <row r="1724">
      <c r="F1724" s="1" t="n"/>
      <c r="I1724" s="8" t="inlineStr">
        <is>
          <t>Friday Night Magic 2004 F04</t>
        </is>
      </c>
      <c r="J1724" s="8" t="n">
        <v>12</v>
      </c>
      <c r="K1724" s="9" t="n">
        <v>37987</v>
      </c>
      <c r="L1724" s="8" t="inlineStr">
        <is>
          <t>en es fr de it pt ja ko ru 汉语 漢語</t>
        </is>
      </c>
    </row>
    <row r="1725">
      <c r="F1725" s="1" t="n"/>
    </row>
    <row r="1726">
      <c r="F1726" s="1" t="n"/>
      <c r="I1726" s="8" t="inlineStr">
        <is>
          <t>Mirrodin MRD</t>
        </is>
      </c>
      <c r="J1726" s="8" t="n">
        <v>306</v>
      </c>
      <c r="K1726" s="9" t="n">
        <v>37896</v>
      </c>
      <c r="L1726" t="inlineStr">
        <is>
          <t>en es fr de it pt ja ko ru 汉语 漢語</t>
        </is>
      </c>
    </row>
    <row r="1727">
      <c r="F1727" s="1" t="n"/>
    </row>
    <row r="1728">
      <c r="F1728" s="1" t="n"/>
      <c r="I1728" s="8" t="inlineStr">
        <is>
          <t>Mirrodin Promos PMRD</t>
        </is>
      </c>
      <c r="J1728" s="8" t="n">
        <v>1</v>
      </c>
      <c r="K1728" s="9" t="n">
        <v>38142</v>
      </c>
      <c r="L1728" s="8" t="inlineStr">
        <is>
          <t>en es fr de it pt ja ko ru 汉语 漢語</t>
        </is>
      </c>
    </row>
    <row r="1729">
      <c r="F1729" s="1" t="n"/>
    </row>
    <row r="1730">
      <c r="F1730" s="1" t="n"/>
      <c r="I1730" s="8" t="inlineStr">
        <is>
          <t>World Championship Decks 2003 WC03</t>
        </is>
      </c>
      <c r="J1730" s="8" t="n">
        <v>142</v>
      </c>
      <c r="K1730" s="9" t="n">
        <v>37839</v>
      </c>
      <c r="L1730" s="8" t="inlineStr">
        <is>
          <t>en es fr de it pt ja ko ru 汉语 漢語</t>
        </is>
      </c>
    </row>
    <row r="1731">
      <c r="F1731" s="1" t="n"/>
    </row>
    <row r="1732">
      <c r="F1732" s="1" t="n"/>
      <c r="I1732" s="8" t="inlineStr">
        <is>
          <t>Eighth Edition 8ED</t>
        </is>
      </c>
      <c r="J1732" s="8" t="n">
        <v>711</v>
      </c>
      <c r="K1732" s="9" t="n">
        <v>37830</v>
      </c>
      <c r="L1732" t="inlineStr">
        <is>
          <t>en es fr de it pt ja ko ru 汉语 漢語</t>
        </is>
      </c>
    </row>
    <row r="1733">
      <c r="F1733" s="1" t="n"/>
    </row>
    <row r="1734">
      <c r="F1734" s="1" t="n"/>
      <c r="I1734" s="8" t="inlineStr">
        <is>
          <t>Eighth Edition Promos P8ED</t>
        </is>
      </c>
      <c r="J1734" s="8" t="n">
        <v>1</v>
      </c>
      <c r="K1734" s="9" t="n">
        <v>37830</v>
      </c>
      <c r="L1734" s="8" t="inlineStr">
        <is>
          <t>en es fr de it pt ja ko ru 汉语 漢語</t>
        </is>
      </c>
    </row>
    <row r="1735">
      <c r="F1735" s="1" t="n"/>
    </row>
    <row r="1736">
      <c r="F1736" s="1" t="n"/>
      <c r="I1736" s="8" t="inlineStr">
        <is>
          <t>Scourge SCG</t>
        </is>
      </c>
      <c r="J1736" s="8" t="n">
        <v>143</v>
      </c>
      <c r="K1736" s="9" t="n">
        <v>37767</v>
      </c>
      <c r="L1736" t="inlineStr">
        <is>
          <t>en es fr de it pt ja ko ru 汉语 漢語</t>
        </is>
      </c>
    </row>
    <row r="1737">
      <c r="F1737" s="1" t="n"/>
    </row>
    <row r="1738">
      <c r="F1738" s="1" t="n"/>
      <c r="I1738" s="8" t="inlineStr">
        <is>
          <t>Scourge Promos PSCG</t>
        </is>
      </c>
      <c r="J1738" s="8" t="n">
        <v>1</v>
      </c>
      <c r="K1738" s="9" t="n">
        <v>37767</v>
      </c>
      <c r="L1738" s="8" t="inlineStr">
        <is>
          <t>en es fr de it pt ja ko ru 汉语 漢語</t>
        </is>
      </c>
    </row>
    <row r="1739">
      <c r="F1739" s="1" t="n"/>
    </row>
    <row r="1740">
      <c r="F1740" s="1" t="n"/>
      <c r="I1740" s="8" t="inlineStr">
        <is>
          <t>Legions LGN</t>
        </is>
      </c>
      <c r="J1740" s="8" t="n">
        <v>145</v>
      </c>
      <c r="K1740" s="9" t="n">
        <v>37655</v>
      </c>
      <c r="L1740" t="inlineStr">
        <is>
          <t>en es fr de it pt ja ko ru 汉语 漢語</t>
        </is>
      </c>
    </row>
    <row r="1741">
      <c r="F1741" s="1" t="n"/>
    </row>
    <row r="1742">
      <c r="F1742" s="1" t="n"/>
      <c r="I1742" s="8" t="inlineStr">
        <is>
          <t>Legions Promos PLGN</t>
        </is>
      </c>
      <c r="J1742" s="8" t="n">
        <v>1</v>
      </c>
      <c r="K1742" s="9" t="n">
        <v>37655</v>
      </c>
      <c r="L1742" s="8" t="inlineStr">
        <is>
          <t>en es fr de it pt ja ko ru 汉语 漢語</t>
        </is>
      </c>
    </row>
    <row r="1743">
      <c r="F1743" s="1" t="n"/>
    </row>
    <row r="1744">
      <c r="F1744" s="1" t="n"/>
      <c r="I1744" s="8" t="inlineStr">
        <is>
          <t>Magic Online Avatars PMOA</t>
        </is>
      </c>
      <c r="J1744" s="8" t="n">
        <v>85</v>
      </c>
      <c r="K1744" s="9" t="n">
        <v>37622</v>
      </c>
      <c r="L1744" s="8" t="inlineStr">
        <is>
          <t>en es fr de it pt ja ko ru 汉语 漢語</t>
        </is>
      </c>
    </row>
    <row r="1745">
      <c r="F1745" s="1" t="n"/>
    </row>
    <row r="1746">
      <c r="F1746" s="1" t="n"/>
      <c r="I1746" s="8" t="inlineStr">
        <is>
          <t>Japan Junior Tournament PJJT</t>
        </is>
      </c>
      <c r="J1746" s="8" t="n">
        <v>12</v>
      </c>
      <c r="K1746" s="9" t="n">
        <v>37622</v>
      </c>
      <c r="L1746" s="8" t="inlineStr">
        <is>
          <t>en es fr de it pt ja ko ru 汉语 漢語</t>
        </is>
      </c>
    </row>
    <row r="1747">
      <c r="F1747" s="1" t="n"/>
    </row>
    <row r="1748">
      <c r="F1748" s="1" t="n"/>
      <c r="I1748" s="8" t="inlineStr">
        <is>
          <t>Arena League 2003 PAL03</t>
        </is>
      </c>
      <c r="J1748" s="8" t="n">
        <v>8</v>
      </c>
      <c r="K1748" s="9" t="n">
        <v>37622</v>
      </c>
      <c r="L1748" s="8" t="inlineStr">
        <is>
          <t>en es fr de it pt ja ko ru 汉语 漢語</t>
        </is>
      </c>
    </row>
    <row r="1749">
      <c r="F1749" s="1" t="n"/>
    </row>
    <row r="1750">
      <c r="F1750" s="1" t="n"/>
      <c r="I1750" s="8" t="inlineStr">
        <is>
          <t>Judge Gift Cards 2003 G03</t>
        </is>
      </c>
      <c r="J1750" s="8" t="n">
        <v>3</v>
      </c>
      <c r="K1750" s="9" t="n">
        <v>37622</v>
      </c>
      <c r="L1750" s="8" t="inlineStr">
        <is>
          <t>en es fr de it pt ja ko ru 汉语 漢語</t>
        </is>
      </c>
    </row>
    <row r="1751">
      <c r="F1751" s="1" t="n"/>
    </row>
    <row r="1752">
      <c r="F1752" s="1" t="n"/>
      <c r="I1752" s="8" t="inlineStr">
        <is>
          <t>Magic Player Rewards 2003 P03</t>
        </is>
      </c>
      <c r="J1752" s="8" t="n">
        <v>7</v>
      </c>
      <c r="K1752" s="9" t="n">
        <v>37622</v>
      </c>
      <c r="L1752" s="8" t="inlineStr">
        <is>
          <t>en es fr de it pt ja ko ru 汉语 漢語</t>
        </is>
      </c>
    </row>
    <row r="1753">
      <c r="F1753" s="1" t="n"/>
    </row>
    <row r="1754">
      <c r="F1754" s="1" t="n"/>
      <c r="I1754" s="8" t="inlineStr">
        <is>
          <t>Friday Night Magic 2003 F03</t>
        </is>
      </c>
      <c r="J1754" s="8" t="n">
        <v>13</v>
      </c>
      <c r="K1754" s="9" t="n">
        <v>37622</v>
      </c>
      <c r="L1754" s="8" t="inlineStr">
        <is>
          <t>en es fr de it pt ja ko ru 汉语 漢語</t>
        </is>
      </c>
    </row>
    <row r="1755">
      <c r="F1755" s="1" t="n"/>
    </row>
    <row r="1756">
      <c r="F1756" s="1" t="n"/>
      <c r="I1756" s="8" t="inlineStr">
        <is>
          <t>Vintage Championship OVNT</t>
        </is>
      </c>
      <c r="J1756" s="8" t="n">
        <v>35</v>
      </c>
      <c r="K1756" s="9" t="n">
        <v>37622</v>
      </c>
      <c r="L1756" s="8" t="inlineStr">
        <is>
          <t>en es fr de it pt ja ko ru 汉语 漢語</t>
        </is>
      </c>
    </row>
    <row r="1757">
      <c r="F1757" s="1" t="n"/>
    </row>
    <row r="1758">
      <c r="F1758" s="1" t="n"/>
      <c r="I1758" s="8" t="inlineStr">
        <is>
          <t>World Championship Decks 2002 WC02</t>
        </is>
      </c>
      <c r="J1758" s="8" t="n">
        <v>153</v>
      </c>
      <c r="K1758" s="9" t="n">
        <v>37591</v>
      </c>
      <c r="L1758" s="8" t="inlineStr">
        <is>
          <t>en es fr de it pt ja ko ru 汉语 漢語</t>
        </is>
      </c>
    </row>
    <row r="1759">
      <c r="F1759" s="1" t="n"/>
    </row>
    <row r="1760">
      <c r="F1760" s="1" t="n"/>
      <c r="I1760" s="8" t="inlineStr">
        <is>
          <t>Onslaught ONS</t>
        </is>
      </c>
      <c r="J1760" s="8" t="n">
        <v>351</v>
      </c>
      <c r="K1760" s="9" t="n">
        <v>37536</v>
      </c>
      <c r="L1760" t="inlineStr">
        <is>
          <t>en es fr de it pt ja ko ru 汉语 漢語</t>
        </is>
      </c>
    </row>
    <row r="1761">
      <c r="F1761" s="1" t="n"/>
    </row>
    <row r="1762">
      <c r="F1762" s="1" t="n"/>
      <c r="I1762" s="8" t="inlineStr">
        <is>
          <t>Onslaught Promos PONS</t>
        </is>
      </c>
      <c r="J1762" s="8" t="n">
        <v>1</v>
      </c>
      <c r="K1762" s="9" t="n">
        <v>37527</v>
      </c>
      <c r="L1762" s="8" t="inlineStr">
        <is>
          <t>en es fr de it pt ja ko ru 汉语 漢語</t>
        </is>
      </c>
    </row>
    <row r="1763">
      <c r="F1763" s="1" t="n"/>
    </row>
    <row r="1764">
      <c r="F1764" s="1" t="n"/>
      <c r="I1764" s="8" t="inlineStr">
        <is>
          <t>Hobby Japan Promos JP1</t>
        </is>
      </c>
      <c r="J1764" s="8" t="n">
        <v>5</v>
      </c>
      <c r="K1764" s="9" t="n">
        <v>37438</v>
      </c>
      <c r="L1764" s="8" t="inlineStr">
        <is>
          <t>en es fr de it pt ja ko ru 汉语 漢語</t>
        </is>
      </c>
    </row>
    <row r="1765">
      <c r="F1765" s="1" t="n"/>
    </row>
    <row r="1766">
      <c r="F1766" s="1" t="n"/>
      <c r="I1766" s="8" t="inlineStr">
        <is>
          <t>Magic Online Promos PRM</t>
        </is>
      </c>
      <c r="J1766" s="8" t="n">
        <v>3110</v>
      </c>
      <c r="K1766" s="9" t="n">
        <v>37431</v>
      </c>
      <c r="L1766" s="8" t="inlineStr">
        <is>
          <t>en es fr de it pt ja ko ru 汉语 漢語</t>
        </is>
      </c>
    </row>
    <row r="1767">
      <c r="F1767" s="1" t="n"/>
    </row>
    <row r="1768">
      <c r="F1768" s="1" t="n"/>
      <c r="I1768" s="8" t="inlineStr">
        <is>
          <t>Judgment JUD</t>
        </is>
      </c>
      <c r="J1768" s="8" t="n">
        <v>143</v>
      </c>
      <c r="K1768" s="9" t="n">
        <v>37403</v>
      </c>
      <c r="L1768" t="inlineStr">
        <is>
          <t>en es fr de it pt ja ko ru 汉语 漢語</t>
        </is>
      </c>
    </row>
    <row r="1769">
      <c r="F1769" s="1" t="n"/>
    </row>
    <row r="1770">
      <c r="F1770" s="1" t="n"/>
      <c r="I1770" s="8" t="inlineStr">
        <is>
          <t>Judgment Promos PJUD</t>
        </is>
      </c>
      <c r="J1770" s="8" t="n">
        <v>1</v>
      </c>
      <c r="K1770" s="9" t="n">
        <v>37403</v>
      </c>
      <c r="L1770" t="inlineStr">
        <is>
          <t>en es fr de it pt ja ko ru 汉语 漢語</t>
        </is>
      </c>
    </row>
    <row r="1771">
      <c r="F1771" s="1" t="n"/>
    </row>
    <row r="1772">
      <c r="F1772" s="1" t="n"/>
      <c r="I1772" s="8" t="inlineStr">
        <is>
          <t>Torment TOR</t>
        </is>
      </c>
      <c r="J1772" s="8" t="n">
        <v>143</v>
      </c>
      <c r="K1772" s="9" t="n">
        <v>37291</v>
      </c>
      <c r="L1772" t="inlineStr">
        <is>
          <t>en es fr de it pt ja ko ru 汉语 漢語</t>
        </is>
      </c>
    </row>
    <row r="1773">
      <c r="F1773" s="1" t="n"/>
    </row>
    <row r="1774">
      <c r="F1774" s="1" t="n"/>
      <c r="I1774" s="8" t="inlineStr">
        <is>
          <t>Torment Promos PTOR</t>
        </is>
      </c>
      <c r="J1774" s="8" t="n">
        <v>3</v>
      </c>
      <c r="K1774" s="9" t="n">
        <v>37291</v>
      </c>
      <c r="L1774" s="8" t="inlineStr">
        <is>
          <t>en es fr de it pt ja ko ru 汉语 漢語</t>
        </is>
      </c>
    </row>
    <row r="1775">
      <c r="F1775" s="1" t="n"/>
    </row>
    <row r="1776">
      <c r="F1776" s="1" t="n"/>
      <c r="I1776" s="8" t="inlineStr">
        <is>
          <t>Arena League 2002 PAL02</t>
        </is>
      </c>
      <c r="J1776" s="8" t="n">
        <v>5</v>
      </c>
      <c r="K1776" s="9" t="n">
        <v>37257</v>
      </c>
      <c r="L1776" s="8" t="inlineStr">
        <is>
          <t>en es fr de it pt ja ko ru 汉语 漢語</t>
        </is>
      </c>
    </row>
    <row r="1777">
      <c r="F1777" s="1" t="n"/>
    </row>
    <row r="1778">
      <c r="F1778" s="1" t="n"/>
      <c r="I1778" s="8" t="inlineStr">
        <is>
          <t>Magic Player Rewards 2002 PR2</t>
        </is>
      </c>
      <c r="J1778" s="8" t="n">
        <v>6</v>
      </c>
      <c r="K1778" s="9" t="n">
        <v>37257</v>
      </c>
      <c r="L1778" s="8" t="inlineStr">
        <is>
          <t>en es fr de it pt ja ko ru 汉语 漢語</t>
        </is>
      </c>
    </row>
    <row r="1779">
      <c r="F1779" s="1" t="n"/>
    </row>
    <row r="1780">
      <c r="F1780" s="1" t="n"/>
      <c r="I1780" s="8" t="inlineStr">
        <is>
          <t>Judge Gift Cards 2002 G02</t>
        </is>
      </c>
      <c r="J1780" s="8" t="n">
        <v>2</v>
      </c>
      <c r="K1780" s="9" t="n">
        <v>37257</v>
      </c>
      <c r="L1780" s="8" t="inlineStr">
        <is>
          <t>en es fr de it pt ja ko ru 汉语 漢語</t>
        </is>
      </c>
    </row>
    <row r="1781">
      <c r="F1781" s="1" t="n"/>
    </row>
    <row r="1782">
      <c r="F1782" s="1" t="n"/>
      <c r="I1782" s="8" t="inlineStr">
        <is>
          <t>Friday Night Magic 2002 F02</t>
        </is>
      </c>
      <c r="J1782" s="8" t="n">
        <v>12</v>
      </c>
      <c r="K1782" s="9" t="n">
        <v>37257</v>
      </c>
      <c r="L1782" s="8" t="inlineStr">
        <is>
          <t>en es fr de it pt ja ko ru 汉语 漢語</t>
        </is>
      </c>
    </row>
    <row r="1783">
      <c r="F1783" s="1" t="n"/>
    </row>
    <row r="1784">
      <c r="F1784" s="1" t="n"/>
      <c r="I1784" s="8" t="inlineStr">
        <is>
          <t>Deckmasters DKM</t>
        </is>
      </c>
      <c r="J1784" s="8" t="n">
        <v>58</v>
      </c>
      <c r="K1784" s="9" t="n">
        <v>37226</v>
      </c>
      <c r="L1784" s="8" t="inlineStr">
        <is>
          <t>en es fr de it pt ja ko ru 汉语 漢語</t>
        </is>
      </c>
    </row>
    <row r="1785">
      <c r="F1785" s="1" t="n"/>
    </row>
    <row r="1786">
      <c r="F1786" s="1" t="n"/>
      <c r="I1786" s="8" t="inlineStr">
        <is>
          <t>Odyssey ODY</t>
        </is>
      </c>
      <c r="J1786" s="8" t="n">
        <v>353</v>
      </c>
      <c r="K1786" s="9" t="n">
        <v>37165</v>
      </c>
      <c r="L1786" t="inlineStr">
        <is>
          <t>en es fr de it pt ja ko ru 汉语 漢語</t>
        </is>
      </c>
    </row>
    <row r="1787">
      <c r="F1787" s="1" t="n"/>
    </row>
    <row r="1788">
      <c r="F1788" s="1" t="n"/>
      <c r="I1788" s="8" t="inlineStr">
        <is>
          <t>Odyssey Promos PODY</t>
        </is>
      </c>
      <c r="J1788" s="8" t="n">
        <v>1</v>
      </c>
      <c r="K1788" s="9" t="n">
        <v>37165</v>
      </c>
      <c r="L1788" t="inlineStr">
        <is>
          <t>en es fr de it pt ja ko ru 汉语 漢語</t>
        </is>
      </c>
    </row>
    <row r="1789">
      <c r="F1789" s="1" t="n"/>
    </row>
    <row r="1790">
      <c r="F1790" s="1" t="n"/>
      <c r="I1790" s="8" t="inlineStr">
        <is>
          <t>World Championship Decks 2001 WC01</t>
        </is>
      </c>
      <c r="J1790" s="8" t="n">
        <v>138</v>
      </c>
      <c r="K1790" s="9" t="n">
        <v>37111</v>
      </c>
      <c r="L1790" s="8" t="inlineStr">
        <is>
          <t>en es fr de it pt ja ko ru 汉语 漢語</t>
        </is>
      </c>
    </row>
    <row r="1791">
      <c r="F1791" s="1" t="n"/>
    </row>
    <row r="1792">
      <c r="F1792" s="1" t="n"/>
      <c r="I1792" s="8" t="inlineStr">
        <is>
          <t>Sega Dreamcast Cards PSDG</t>
        </is>
      </c>
      <c r="J1792" s="8" t="n">
        <v>10</v>
      </c>
      <c r="K1792" s="9" t="n">
        <v>37070</v>
      </c>
      <c r="L1792" s="8" t="inlineStr">
        <is>
          <t>en es fr de it pt ja ko ru 汉语 漢語</t>
        </is>
      </c>
    </row>
    <row r="1793">
      <c r="F1793" s="1" t="n"/>
    </row>
    <row r="1794">
      <c r="F1794" s="1" t="n"/>
      <c r="I1794" s="8" t="inlineStr">
        <is>
          <t>Apocalypse APC</t>
        </is>
      </c>
      <c r="J1794" s="8" t="n">
        <v>143</v>
      </c>
      <c r="K1794" s="9" t="n">
        <v>37046</v>
      </c>
      <c r="L1794" t="inlineStr">
        <is>
          <t>en es fr de it pt ja ko ru 汉语 漢語</t>
        </is>
      </c>
    </row>
    <row r="1795">
      <c r="F1795" s="1" t="n"/>
    </row>
    <row r="1796">
      <c r="F1796" s="1" t="n"/>
      <c r="I1796" s="8" t="inlineStr">
        <is>
          <t>Apocalypse Promos PAPC</t>
        </is>
      </c>
      <c r="J1796" s="8" t="n">
        <v>1</v>
      </c>
      <c r="K1796" s="9" t="n">
        <v>37046</v>
      </c>
      <c r="L1796" t="inlineStr">
        <is>
          <t>en es fr de it pt ja ko ru 汉语 漢語</t>
        </is>
      </c>
    </row>
    <row r="1797">
      <c r="F1797" s="1" t="n"/>
    </row>
    <row r="1798">
      <c r="F1798" s="1" t="n"/>
      <c r="I1798" s="8" t="inlineStr">
        <is>
          <t>Seventh Edition 7ED</t>
        </is>
      </c>
      <c r="J1798" s="8" t="n">
        <v>708</v>
      </c>
      <c r="K1798" s="9" t="n">
        <v>36992</v>
      </c>
      <c r="L1798" t="inlineStr">
        <is>
          <t>en es fr de it pt ja ko ru 汉语 漢語</t>
        </is>
      </c>
    </row>
    <row r="1799">
      <c r="F1799" s="1" t="n"/>
    </row>
    <row r="1800">
      <c r="F1800" s="1" t="n"/>
      <c r="I1800" s="8" t="inlineStr">
        <is>
          <t>Planeshift PLS</t>
        </is>
      </c>
      <c r="J1800" s="8" t="n">
        <v>146</v>
      </c>
      <c r="K1800" s="9" t="n">
        <v>36927</v>
      </c>
      <c r="L1800" t="inlineStr">
        <is>
          <t>en es fr de it pt ja ko ru 汉语 漢語</t>
        </is>
      </c>
    </row>
    <row r="1801">
      <c r="F1801" s="1" t="n"/>
    </row>
    <row r="1802">
      <c r="F1802" s="1" t="n"/>
      <c r="I1802" s="8" t="inlineStr">
        <is>
          <t>Planeshift Promos PPLS</t>
        </is>
      </c>
      <c r="J1802" s="8" t="n">
        <v>1</v>
      </c>
      <c r="K1802" s="9" t="n">
        <v>36927</v>
      </c>
      <c r="L1802" t="inlineStr">
        <is>
          <t>en es fr de it pt ja ko ru 汉语 漢語</t>
        </is>
      </c>
    </row>
    <row r="1803">
      <c r="F1803" s="1" t="n"/>
    </row>
    <row r="1804">
      <c r="F1804" s="1" t="n"/>
      <c r="I1804" s="8" t="inlineStr">
        <is>
          <t>Arena League 2001 PAL01</t>
        </is>
      </c>
      <c r="J1804" s="8" t="n">
        <v>12</v>
      </c>
      <c r="K1804" s="9" t="n">
        <v>36892</v>
      </c>
      <c r="L1804" s="8" t="inlineStr">
        <is>
          <t>en es fr de it pt ja ko ru 汉语 漢語</t>
        </is>
      </c>
    </row>
    <row r="1805">
      <c r="F1805" s="1" t="n"/>
    </row>
    <row r="1806">
      <c r="F1806" s="1" t="n"/>
      <c r="I1806" s="8" t="inlineStr">
        <is>
          <t>Magic Player Rewards 2001 MPR</t>
        </is>
      </c>
      <c r="J1806" s="8" t="n">
        <v>8</v>
      </c>
      <c r="K1806" s="9" t="n">
        <v>36892</v>
      </c>
      <c r="L1806" s="8" t="inlineStr">
        <is>
          <t>en es fr de it pt ja ko ru 汉语 漢語</t>
        </is>
      </c>
    </row>
    <row r="1807">
      <c r="F1807" s="1" t="n"/>
    </row>
    <row r="1808">
      <c r="F1808" s="1" t="n"/>
      <c r="I1808" s="8" t="inlineStr">
        <is>
          <t>Judge Gift Cards 2001 G01</t>
        </is>
      </c>
      <c r="J1808" s="8" t="n">
        <v>2</v>
      </c>
      <c r="K1808" s="9" t="n">
        <v>36892</v>
      </c>
      <c r="L1808" s="8" t="inlineStr">
        <is>
          <t>en es fr de it pt ja ko ru 汉语 漢語</t>
        </is>
      </c>
    </row>
    <row r="1809">
      <c r="F1809" s="1" t="n"/>
    </row>
    <row r="1810">
      <c r="F1810" s="1" t="n"/>
      <c r="I1810" s="8" t="inlineStr">
        <is>
          <t>Friday Night Magic 2001 F01</t>
        </is>
      </c>
      <c r="J1810" s="8" t="n">
        <v>7</v>
      </c>
      <c r="K1810" s="9" t="n">
        <v>36892</v>
      </c>
      <c r="L1810" s="8" t="inlineStr">
        <is>
          <t>en es fr de it pt ja ko ru 汉语 漢語</t>
        </is>
      </c>
    </row>
    <row r="1811">
      <c r="F1811" s="1" t="n"/>
    </row>
    <row r="1812">
      <c r="F1812" s="1" t="n"/>
      <c r="I1812" s="8" t="inlineStr">
        <is>
          <t>Invasion INV</t>
        </is>
      </c>
      <c r="J1812" s="8" t="n">
        <v>354</v>
      </c>
      <c r="K1812" s="9" t="n">
        <v>36801</v>
      </c>
      <c r="L1812" t="inlineStr">
        <is>
          <t>en es fr de it pt ja ko ru 汉语 漢語</t>
        </is>
      </c>
    </row>
    <row r="1813">
      <c r="F1813" s="1" t="n"/>
    </row>
    <row r="1814">
      <c r="F1814" s="1" t="n"/>
      <c r="I1814" s="8" t="inlineStr">
        <is>
          <t>Invasion Promos PINV</t>
        </is>
      </c>
      <c r="J1814" s="8" t="n">
        <v>1</v>
      </c>
      <c r="K1814" s="9" t="n">
        <v>36801</v>
      </c>
      <c r="L1814" t="inlineStr">
        <is>
          <t>en es fr de it pt ja ko ru 汉语 漢語</t>
        </is>
      </c>
    </row>
    <row r="1815">
      <c r="F1815" s="1" t="n"/>
    </row>
    <row r="1816">
      <c r="F1816" s="1" t="n"/>
      <c r="I1816" s="8" t="inlineStr">
        <is>
          <t>Beatdown Box Set BTD</t>
        </is>
      </c>
      <c r="J1816" s="8" t="n">
        <v>90</v>
      </c>
      <c r="K1816" s="9" t="n">
        <v>36800</v>
      </c>
      <c r="L1816" s="8" t="inlineStr">
        <is>
          <t>en es fr de it pt ja ko ru 汉语 漢語</t>
        </is>
      </c>
    </row>
    <row r="1817">
      <c r="F1817" s="1" t="n"/>
    </row>
    <row r="1818">
      <c r="F1818" s="1" t="n"/>
      <c r="I1818" s="8" t="inlineStr">
        <is>
          <t>World Championship Decks 2000 WC00</t>
        </is>
      </c>
      <c r="J1818" s="8" t="n">
        <v>117</v>
      </c>
      <c r="K1818" s="9" t="n">
        <v>36740</v>
      </c>
      <c r="L1818" s="8" t="inlineStr">
        <is>
          <t>en es fr de it pt ja ko ru 汉语 漢語</t>
        </is>
      </c>
    </row>
    <row r="1819">
      <c r="F1819" s="1" t="n"/>
    </row>
    <row r="1820">
      <c r="F1820" s="1" t="n"/>
      <c r="I1820" s="8" t="inlineStr">
        <is>
          <t>Prophecy PCY</t>
        </is>
      </c>
      <c r="J1820" s="8" t="n">
        <v>144</v>
      </c>
      <c r="K1820" s="9" t="n">
        <v>36682</v>
      </c>
      <c r="L1820" t="inlineStr">
        <is>
          <t>en es fr de it pt ja ko ru 汉语 漢語</t>
        </is>
      </c>
    </row>
    <row r="1821">
      <c r="F1821" s="1" t="n"/>
    </row>
    <row r="1822">
      <c r="F1822" s="1" t="n"/>
      <c r="I1822" s="8" t="inlineStr">
        <is>
          <t>Prophecy Promos PPCY</t>
        </is>
      </c>
      <c r="J1822" s="8" t="n">
        <v>1</v>
      </c>
      <c r="K1822" s="9" t="n">
        <v>36682</v>
      </c>
      <c r="L1822" s="8" t="inlineStr">
        <is>
          <t>en es fr de it pt ja ko ru 汉语 漢語</t>
        </is>
      </c>
    </row>
    <row r="1823">
      <c r="F1823" s="1" t="n"/>
    </row>
    <row r="1824">
      <c r="F1824" s="1" t="n"/>
      <c r="I1824" s="8" t="inlineStr">
        <is>
          <t>Starter 2000 S00</t>
        </is>
      </c>
      <c r="J1824" s="8" t="n">
        <v>20</v>
      </c>
      <c r="K1824" s="9" t="n">
        <v>36617</v>
      </c>
      <c r="L1824" t="inlineStr">
        <is>
          <t>en es fr de it pt ja ko ru 汉语 漢語</t>
        </is>
      </c>
    </row>
    <row r="1825">
      <c r="F1825" s="1" t="n"/>
    </row>
    <row r="1826">
      <c r="F1826" s="1" t="n"/>
      <c r="I1826" s="8" t="inlineStr">
        <is>
          <t>Nemesis NEM</t>
        </is>
      </c>
      <c r="J1826" s="8" t="n">
        <v>143</v>
      </c>
      <c r="K1826" s="9" t="n">
        <v>36570</v>
      </c>
      <c r="L1826" t="inlineStr">
        <is>
          <t>en es fr de it pt ja ko ru 汉语 漢語</t>
        </is>
      </c>
    </row>
    <row r="1827">
      <c r="F1827" s="1" t="n"/>
    </row>
    <row r="1828">
      <c r="F1828" s="1" t="n"/>
      <c r="I1828" s="8" t="inlineStr">
        <is>
          <t>Nemesis Promos PNEM</t>
        </is>
      </c>
      <c r="J1828" s="8" t="n">
        <v>1</v>
      </c>
      <c r="K1828" s="9" t="n">
        <v>36570</v>
      </c>
      <c r="L1828" s="8" t="inlineStr">
        <is>
          <t>en es fr de it pt ja ko ru 汉语 漢語</t>
        </is>
      </c>
    </row>
    <row r="1829">
      <c r="F1829" s="1" t="n"/>
    </row>
    <row r="1830">
      <c r="F1830" s="1" t="n"/>
      <c r="I1830" s="8" t="inlineStr">
        <is>
          <t>European Land Program PELP</t>
        </is>
      </c>
      <c r="J1830" s="8" t="n">
        <v>15</v>
      </c>
      <c r="K1830" s="9" t="n">
        <v>36561</v>
      </c>
      <c r="L1830" s="8" t="inlineStr">
        <is>
          <t>en es fr de it pt ja ko ru 汉语 漢語</t>
        </is>
      </c>
    </row>
    <row r="1831">
      <c r="F1831" s="1" t="n"/>
    </row>
    <row r="1832">
      <c r="F1832" s="1" t="n"/>
      <c r="I1832" s="8" t="inlineStr">
        <is>
          <t>Arena League 2000 PAL00</t>
        </is>
      </c>
      <c r="J1832" s="8" t="n">
        <v>11</v>
      </c>
      <c r="K1832" s="9" t="n">
        <v>36526</v>
      </c>
      <c r="L1832" s="8" t="inlineStr">
        <is>
          <t>en es fr de it pt ja ko ru 汉语 漢語</t>
        </is>
      </c>
    </row>
    <row r="1833">
      <c r="F1833" s="1" t="n"/>
    </row>
    <row r="1834">
      <c r="F1834" s="1" t="n"/>
      <c r="I1834" s="8" t="inlineStr">
        <is>
          <t>Judge Gift Cards 2000 G00</t>
        </is>
      </c>
      <c r="J1834" s="8" t="n">
        <v>2</v>
      </c>
      <c r="K1834" s="9" t="n">
        <v>36526</v>
      </c>
      <c r="L1834" s="8" t="inlineStr">
        <is>
          <t>en es fr de it pt ja ko ru 汉语 漢語</t>
        </is>
      </c>
    </row>
    <row r="1835">
      <c r="F1835" s="1" t="n"/>
    </row>
    <row r="1836">
      <c r="F1836" s="1" t="n"/>
      <c r="I1836" s="8" t="inlineStr">
        <is>
          <t>Friday Night Magic 2000 FNM</t>
        </is>
      </c>
      <c r="J1836" s="8" t="n">
        <v>11</v>
      </c>
      <c r="K1836" s="9" t="n">
        <v>36526</v>
      </c>
      <c r="L1836" s="8" t="inlineStr">
        <is>
          <t>en es fr de it pt ja ko ru 汉语 漢語</t>
        </is>
      </c>
    </row>
    <row r="1837">
      <c r="F1837" s="1" t="n"/>
    </row>
    <row r="1838">
      <c r="F1838" s="1" t="n"/>
      <c r="I1838" s="8" t="inlineStr">
        <is>
          <t>Junior Super Series PSUS</t>
        </is>
      </c>
      <c r="J1838" s="8" t="n">
        <v>18</v>
      </c>
      <c r="K1838" s="9" t="n">
        <v>36495</v>
      </c>
      <c r="L1838" s="8" t="inlineStr">
        <is>
          <t>en es fr de it pt ja ko ru 汉语 漢語</t>
        </is>
      </c>
    </row>
    <row r="1839">
      <c r="F1839" s="1" t="n"/>
    </row>
    <row r="1840">
      <c r="F1840" s="1" t="n"/>
      <c r="I1840" s="8" t="inlineStr">
        <is>
          <t>Battle Royale Box Set BRB</t>
        </is>
      </c>
      <c r="J1840" s="8" t="n">
        <v>136</v>
      </c>
      <c r="K1840" s="9" t="n">
        <v>36476</v>
      </c>
      <c r="L1840" s="8" t="inlineStr">
        <is>
          <t>en es fr de it pt ja ko ru 汉语 漢語</t>
        </is>
      </c>
    </row>
    <row r="1841">
      <c r="F1841" s="1" t="n"/>
    </row>
    <row r="1842">
      <c r="F1842" s="1" t="n"/>
      <c r="I1842" s="8" t="inlineStr">
        <is>
          <t>Mercadian Masques MMQ</t>
        </is>
      </c>
      <c r="J1842" s="8" t="n">
        <v>350</v>
      </c>
      <c r="K1842" s="9" t="n">
        <v>36437</v>
      </c>
      <c r="L1842" t="inlineStr">
        <is>
          <t>en es fr de it pt ja ko ru 汉语 漢語</t>
        </is>
      </c>
    </row>
    <row r="1843">
      <c r="F1843" s="1" t="n"/>
    </row>
    <row r="1844">
      <c r="F1844" s="1" t="n"/>
      <c r="I1844" s="8" t="inlineStr">
        <is>
          <t>Mercadian Masques Promos PMMQ</t>
        </is>
      </c>
      <c r="J1844" s="8" t="n">
        <v>1</v>
      </c>
      <c r="K1844" s="9" t="n">
        <v>36437</v>
      </c>
      <c r="L1844" s="8" t="inlineStr">
        <is>
          <t>en es fr de it pt ja ko ru 汉语 漢語</t>
        </is>
      </c>
    </row>
    <row r="1845">
      <c r="F1845" s="1" t="n"/>
    </row>
    <row r="1846">
      <c r="F1846" s="1" t="n"/>
      <c r="I1846" s="8" t="inlineStr">
        <is>
          <t>Wizards of the Coast Online Store PWOS</t>
        </is>
      </c>
      <c r="J1846" s="8" t="n">
        <v>1</v>
      </c>
      <c r="K1846" s="9" t="n">
        <v>36407</v>
      </c>
      <c r="L1846" s="8" t="inlineStr">
        <is>
          <t>en es fr de it pt ja ko ru 汉语 漢語</t>
        </is>
      </c>
    </row>
    <row r="1847">
      <c r="F1847" s="1" t="n"/>
    </row>
    <row r="1848">
      <c r="F1848" s="1" t="n"/>
      <c r="I1848" s="8" t="inlineStr">
        <is>
          <t>World Championship Decks 1999 WC99</t>
        </is>
      </c>
      <c r="J1848" s="8" t="n">
        <v>111</v>
      </c>
      <c r="K1848" s="9" t="n">
        <v>36376</v>
      </c>
      <c r="L1848" s="8" t="inlineStr">
        <is>
          <t>en es fr de it pt ja ko ru 汉语 漢語</t>
        </is>
      </c>
    </row>
    <row r="1849">
      <c r="F1849" s="1" t="n"/>
    </row>
    <row r="1850">
      <c r="F1850" s="1" t="n"/>
      <c r="I1850" s="8" t="inlineStr">
        <is>
          <t>World Championship Promos PWOR</t>
        </is>
      </c>
      <c r="J1850" s="8" t="n">
        <v>2</v>
      </c>
      <c r="K1850" s="9" t="n">
        <v>36376</v>
      </c>
      <c r="L1850" s="8" t="inlineStr">
        <is>
          <t>en es fr de it pt ja ko ru 汉语 漢語</t>
        </is>
      </c>
    </row>
    <row r="1851">
      <c r="F1851" s="1" t="n"/>
    </row>
    <row r="1852">
      <c r="F1852" s="1" t="n"/>
      <c r="I1852" s="8" t="inlineStr">
        <is>
          <t>Guru PGRU</t>
        </is>
      </c>
      <c r="J1852" s="8" t="n">
        <v>5</v>
      </c>
      <c r="K1852" s="9" t="n">
        <v>36353</v>
      </c>
      <c r="L1852" s="8" t="inlineStr">
        <is>
          <t>en es fr de it pt ja ko ru 汉语 漢語</t>
        </is>
      </c>
    </row>
    <row r="1853">
      <c r="F1853" s="1" t="n"/>
    </row>
    <row r="1854">
      <c r="F1854" s="1" t="n"/>
      <c r="I1854" s="8" t="inlineStr">
        <is>
          <t>Starter 1999 S99</t>
        </is>
      </c>
      <c r="J1854" s="8" t="n">
        <v>173</v>
      </c>
      <c r="K1854" s="9" t="n">
        <v>36342</v>
      </c>
      <c r="L1854" s="8" t="inlineStr">
        <is>
          <t>en es fr de it pt ja ko ru 汉语 漢語</t>
        </is>
      </c>
    </row>
    <row r="1855">
      <c r="F1855" s="1" t="n"/>
    </row>
    <row r="1856">
      <c r="F1856" s="1" t="n"/>
      <c r="I1856" s="8" t="inlineStr">
        <is>
          <t>Urza's Destiny UDS</t>
        </is>
      </c>
      <c r="J1856" s="8" t="n">
        <v>143</v>
      </c>
      <c r="K1856" s="9" t="n">
        <v>36318</v>
      </c>
      <c r="L1856" t="inlineStr">
        <is>
          <t>en es fr de it pt ja ko ru 汉语 漢語</t>
        </is>
      </c>
    </row>
    <row r="1857">
      <c r="F1857" s="1" t="n"/>
    </row>
    <row r="1858">
      <c r="F1858" s="1" t="n"/>
      <c r="I1858" s="8" t="inlineStr">
        <is>
          <t>Urza's Destiny Promos PUDS</t>
        </is>
      </c>
      <c r="J1858" s="8" t="n">
        <v>1</v>
      </c>
      <c r="K1858" s="9" t="n">
        <v>36318</v>
      </c>
      <c r="L1858" s="8" t="inlineStr">
        <is>
          <t>en es fr de it pt ja ko ru 汉语 漢語</t>
        </is>
      </c>
    </row>
    <row r="1859">
      <c r="F1859" s="1" t="n"/>
    </row>
    <row r="1860">
      <c r="F1860" s="1" t="n"/>
      <c r="I1860" s="8" t="inlineStr">
        <is>
          <t>Portal Three Kingdoms PTK</t>
        </is>
      </c>
      <c r="J1860" s="8" t="n">
        <v>180</v>
      </c>
      <c r="K1860" s="9" t="n">
        <v>36281</v>
      </c>
      <c r="L1860" t="inlineStr">
        <is>
          <t>en es fr de it pt ja ko ru 汉语 漢語</t>
        </is>
      </c>
    </row>
    <row r="1861">
      <c r="F1861" s="1" t="n"/>
    </row>
    <row r="1862">
      <c r="F1862" s="1" t="n"/>
      <c r="I1862" s="8" t="inlineStr">
        <is>
          <t>Portal: Three Kingdoms Promos PPTK</t>
        </is>
      </c>
      <c r="J1862" s="8" t="n">
        <v>2</v>
      </c>
      <c r="K1862" s="9" t="n">
        <v>36281</v>
      </c>
      <c r="L1862" s="8" t="inlineStr">
        <is>
          <t>en es fr de it pt ja ko ru 汉语 漢語</t>
        </is>
      </c>
    </row>
    <row r="1863">
      <c r="F1863" s="1" t="n"/>
    </row>
    <row r="1864">
      <c r="F1864" s="1" t="n"/>
      <c r="I1864" s="8" t="inlineStr">
        <is>
          <t>Classic Sixth Edition 6ED</t>
        </is>
      </c>
      <c r="J1864" s="8" t="n">
        <v>351</v>
      </c>
      <c r="K1864" s="9" t="n">
        <v>36271</v>
      </c>
      <c r="L1864" t="inlineStr">
        <is>
          <t>en es fr de it pt ja ko ru 汉语 漢語</t>
        </is>
      </c>
    </row>
    <row r="1865">
      <c r="F1865" s="1" t="n"/>
    </row>
    <row r="1866">
      <c r="F1866" s="1" t="n"/>
      <c r="I1866" s="8" t="inlineStr">
        <is>
          <t>Urza's Legacy ULG</t>
        </is>
      </c>
      <c r="J1866" s="8" t="n">
        <v>143</v>
      </c>
      <c r="K1866" s="9" t="n">
        <v>36206</v>
      </c>
      <c r="L1866" t="inlineStr">
        <is>
          <t>en es fr de it pt ja ko ru 汉语 漢語</t>
        </is>
      </c>
    </row>
    <row r="1867">
      <c r="F1867" s="1" t="n"/>
    </row>
    <row r="1868">
      <c r="F1868" s="1" t="n"/>
      <c r="I1868" s="8" t="inlineStr">
        <is>
          <t>Urza's Legacy Promos PULG</t>
        </is>
      </c>
      <c r="J1868" s="8" t="n">
        <v>2</v>
      </c>
      <c r="K1868" s="9" t="n">
        <v>36206</v>
      </c>
      <c r="L1868" s="8" t="inlineStr">
        <is>
          <t>en es fr de it pt ja ko ru 汉语 漢語</t>
        </is>
      </c>
    </row>
    <row r="1869">
      <c r="F1869" s="1" t="n"/>
    </row>
    <row r="1870">
      <c r="F1870" s="1" t="n"/>
      <c r="I1870" s="8" t="inlineStr">
        <is>
          <t>Arena League 1999 PAL99</t>
        </is>
      </c>
      <c r="J1870" s="8" t="n">
        <v>10</v>
      </c>
      <c r="K1870" s="9" t="n">
        <v>36161</v>
      </c>
      <c r="L1870" s="8" t="inlineStr">
        <is>
          <t>en es fr de it pt ja ko ru 汉语 漢語</t>
        </is>
      </c>
    </row>
    <row r="1871">
      <c r="F1871" s="1" t="n"/>
    </row>
    <row r="1872">
      <c r="F1872" s="1" t="n"/>
      <c r="I1872" s="8" t="inlineStr">
        <is>
          <t>Judge Gift Cards 1999 G99</t>
        </is>
      </c>
      <c r="J1872" s="8" t="n">
        <v>1</v>
      </c>
      <c r="K1872" s="9" t="n">
        <v>36161</v>
      </c>
      <c r="L1872" s="8" t="inlineStr">
        <is>
          <t>en es fr de it pt ja ko ru 汉语 漢語</t>
        </is>
      </c>
    </row>
    <row r="1873">
      <c r="F1873" s="1" t="n"/>
    </row>
    <row r="1874">
      <c r="F1874" s="1" t="n"/>
      <c r="I1874" s="8" t="inlineStr">
        <is>
          <t>Anthologies ATH</t>
        </is>
      </c>
      <c r="J1874" s="8" t="n">
        <v>85</v>
      </c>
      <c r="K1874" s="9" t="n">
        <v>36100</v>
      </c>
      <c r="L1874" s="8" t="inlineStr">
        <is>
          <t>en es fr de it pt ja ko ru 汉语 漢語</t>
        </is>
      </c>
    </row>
    <row r="1875">
      <c r="F1875" s="1" t="n"/>
    </row>
    <row r="1876">
      <c r="F1876" s="1" t="n"/>
      <c r="I1876" s="8" t="inlineStr">
        <is>
          <t>Urza's Saga USG</t>
        </is>
      </c>
      <c r="J1876" s="8" t="n">
        <v>357</v>
      </c>
      <c r="K1876" s="9" t="n">
        <v>36080</v>
      </c>
      <c r="L1876" t="inlineStr">
        <is>
          <t>en es fr de it pt ja ko ru 汉语 漢語</t>
        </is>
      </c>
    </row>
    <row r="1877">
      <c r="F1877" s="1" t="n"/>
    </row>
    <row r="1878">
      <c r="F1878" s="1" t="n"/>
      <c r="I1878" s="8" t="inlineStr">
        <is>
          <t>Urza's Saga Promos PUSG</t>
        </is>
      </c>
      <c r="J1878" s="8" t="n">
        <v>1</v>
      </c>
      <c r="K1878" s="9" t="n">
        <v>36080</v>
      </c>
      <c r="L1878" s="8" t="inlineStr">
        <is>
          <t>en es fr de it pt ja ko ru 汉语 漢語</t>
        </is>
      </c>
    </row>
    <row r="1879">
      <c r="F1879" s="1" t="n"/>
    </row>
    <row r="1880">
      <c r="F1880" s="1" t="n"/>
      <c r="I1880" s="8" t="inlineStr">
        <is>
          <t>Asia Pacific Land Program PALP</t>
        </is>
      </c>
      <c r="J1880" s="8" t="n">
        <v>15</v>
      </c>
      <c r="K1880" s="9" t="n">
        <v>36039</v>
      </c>
      <c r="L1880" s="8" t="inlineStr">
        <is>
          <t>en es fr de it pt ja ko ru 汉语 漢語</t>
        </is>
      </c>
    </row>
    <row r="1881">
      <c r="F1881" s="1" t="n"/>
    </row>
    <row r="1882">
      <c r="F1882" s="1" t="n"/>
      <c r="I1882" s="8" t="inlineStr">
        <is>
          <t>World Championship Decks 1998 WC98</t>
        </is>
      </c>
      <c r="J1882" s="8" t="n">
        <v>117</v>
      </c>
      <c r="K1882" s="9" t="n">
        <v>36019</v>
      </c>
      <c r="L1882" s="8" t="inlineStr">
        <is>
          <t>en es fr de it pt ja ko ru 汉语 漢語</t>
        </is>
      </c>
    </row>
    <row r="1883">
      <c r="F1883" s="1" t="n"/>
    </row>
    <row r="1884">
      <c r="F1884" s="1" t="n"/>
      <c r="I1884" s="8" t="inlineStr">
        <is>
          <t>Unglued UGL</t>
        </is>
      </c>
      <c r="J1884" s="8" t="n">
        <v>88</v>
      </c>
      <c r="K1884" s="9" t="n">
        <v>36018</v>
      </c>
      <c r="L1884" s="8" t="inlineStr">
        <is>
          <t>en es fr de it pt ja ko ru 汉语 漢語</t>
        </is>
      </c>
    </row>
    <row r="1885">
      <c r="F1885" s="1" t="n"/>
    </row>
    <row r="1886">
      <c r="F1886" s="1" t="n"/>
      <c r="I1886" s="8" t="inlineStr">
        <is>
          <t>Unglued Tokens TUGL</t>
        </is>
      </c>
      <c r="J1886" s="8" t="n">
        <v>6</v>
      </c>
      <c r="K1886" s="9" t="n">
        <v>36018</v>
      </c>
      <c r="L1886" s="8" t="inlineStr">
        <is>
          <t>en es fr de it pt ja ko ru 汉语 漢語</t>
        </is>
      </c>
    </row>
    <row r="1887">
      <c r="F1887" s="1" t="n"/>
    </row>
    <row r="1888">
      <c r="F1888" s="1" t="n"/>
      <c r="I1888" s="8" t="inlineStr">
        <is>
          <t>Portal Second Age P02</t>
        </is>
      </c>
      <c r="J1888" s="8" t="n">
        <v>165</v>
      </c>
      <c r="K1888" s="9" t="n">
        <v>35970</v>
      </c>
      <c r="L1888" t="inlineStr">
        <is>
          <t>en es fr de it pt ja ko ru 汉语 漢語</t>
        </is>
      </c>
    </row>
    <row r="1889">
      <c r="F1889" s="1" t="n"/>
    </row>
    <row r="1890">
      <c r="F1890" s="1" t="n"/>
      <c r="I1890" s="8" t="inlineStr">
        <is>
          <t>Exodus EXO</t>
        </is>
      </c>
      <c r="J1890" s="8" t="n">
        <v>143</v>
      </c>
      <c r="K1890" s="9" t="n">
        <v>35961</v>
      </c>
      <c r="L1890" t="inlineStr">
        <is>
          <t>en es fr de it pt ja ko ru 汉语 漢語</t>
        </is>
      </c>
    </row>
    <row r="1891">
      <c r="F1891" s="1" t="n"/>
    </row>
    <row r="1892">
      <c r="F1892" s="1" t="n"/>
      <c r="I1892" s="8" t="inlineStr">
        <is>
          <t>Exodus Promos PEXO</t>
        </is>
      </c>
      <c r="J1892" s="8" t="n">
        <v>1</v>
      </c>
      <c r="K1892" s="9" t="n">
        <v>35961</v>
      </c>
      <c r="L1892" s="8" t="inlineStr">
        <is>
          <t>en es fr de it pt ja ko ru 汉语 漢語</t>
        </is>
      </c>
    </row>
    <row r="1893">
      <c r="F1893" s="1" t="n"/>
    </row>
    <row r="1894">
      <c r="F1894" s="1" t="n"/>
      <c r="I1894" s="8" t="inlineStr">
        <is>
          <t>Stronghold STH</t>
        </is>
      </c>
      <c r="J1894" s="8" t="n">
        <v>143</v>
      </c>
      <c r="K1894" s="9" t="n">
        <v>35856</v>
      </c>
      <c r="L1894" t="inlineStr">
        <is>
          <t>en es fr de it pt ja ko ru 汉语 漢語</t>
        </is>
      </c>
    </row>
    <row r="1895">
      <c r="F1895" s="1" t="n"/>
    </row>
    <row r="1896">
      <c r="F1896" s="1" t="n"/>
      <c r="I1896" s="8" t="inlineStr">
        <is>
          <t>Stronghold Promos PSTH</t>
        </is>
      </c>
      <c r="J1896" s="8" t="n">
        <v>1</v>
      </c>
      <c r="K1896" s="9" t="n">
        <v>35856</v>
      </c>
      <c r="L1896" s="8" t="inlineStr">
        <is>
          <t>en es fr de it pt ja ko ru 汉语 漢語</t>
        </is>
      </c>
    </row>
    <row r="1897">
      <c r="F1897" s="1" t="n"/>
    </row>
    <row r="1898">
      <c r="F1898" s="1" t="n"/>
      <c r="I1898" s="8" t="inlineStr">
        <is>
          <t>Judge Gift Cards 1998 JGP</t>
        </is>
      </c>
      <c r="J1898" s="8" t="n">
        <v>3</v>
      </c>
      <c r="K1898" s="9" t="n">
        <v>35796</v>
      </c>
      <c r="L1898" s="8" t="inlineStr">
        <is>
          <t>en es fr de it pt ja ko ru 汉语 漢語</t>
        </is>
      </c>
    </row>
    <row r="1899">
      <c r="F1899" s="1" t="n"/>
    </row>
    <row r="1900">
      <c r="F1900" s="1" t="n"/>
      <c r="I1900" s="8" t="inlineStr">
        <is>
          <t>Tempest TMP</t>
        </is>
      </c>
      <c r="J1900" s="8" t="n">
        <v>350</v>
      </c>
      <c r="K1900" s="9" t="n">
        <v>35717</v>
      </c>
      <c r="L1900" t="inlineStr">
        <is>
          <t>en es fr de it pt ja ko ru 汉语 漢語</t>
        </is>
      </c>
    </row>
    <row r="1901">
      <c r="F1901" s="1" t="n"/>
    </row>
    <row r="1902">
      <c r="F1902" s="1" t="n"/>
      <c r="I1902" s="8" t="inlineStr">
        <is>
          <t>Tempest Promos PTMP</t>
        </is>
      </c>
      <c r="J1902" s="8" t="n">
        <v>1</v>
      </c>
      <c r="K1902" s="9" t="n">
        <v>35717</v>
      </c>
      <c r="L1902" s="8" t="inlineStr">
        <is>
          <t>en es fr de it pt ja ko ru 汉语 漢語</t>
        </is>
      </c>
    </row>
    <row r="1903">
      <c r="F1903" s="1" t="n"/>
    </row>
    <row r="1904">
      <c r="F1904" s="1" t="n"/>
      <c r="I1904" s="8" t="inlineStr">
        <is>
          <t>World Championship Decks 1997 WC97</t>
        </is>
      </c>
      <c r="J1904" s="8" t="n">
        <v>131</v>
      </c>
      <c r="K1904" s="9" t="n">
        <v>35655</v>
      </c>
      <c r="L1904" s="8" t="inlineStr">
        <is>
          <t>en es fr de it pt ja ko ru 汉语 漢語</t>
        </is>
      </c>
    </row>
    <row r="1905">
      <c r="F1905" s="1" t="n"/>
    </row>
    <row r="1906">
      <c r="F1906" s="1" t="n"/>
      <c r="I1906" s="8" t="inlineStr">
        <is>
          <t>Weatherlight WTH</t>
        </is>
      </c>
      <c r="J1906" s="8" t="n">
        <v>167</v>
      </c>
      <c r="K1906" s="9" t="n">
        <v>35590</v>
      </c>
      <c r="L1906" t="inlineStr">
        <is>
          <t>en es fr de it pt ja ko ru 汉语 漢語</t>
        </is>
      </c>
    </row>
    <row r="1907">
      <c r="F1907" s="1" t="n"/>
    </row>
    <row r="1908">
      <c r="F1908" s="1" t="n"/>
      <c r="I1908" s="8" t="inlineStr">
        <is>
          <t>Oversized League Prizes OLEP</t>
        </is>
      </c>
      <c r="J1908" s="8" t="n">
        <v>83</v>
      </c>
      <c r="K1908" s="9" t="n">
        <v>35580</v>
      </c>
      <c r="L1908" s="8" t="inlineStr">
        <is>
          <t>en es fr de it pt ja ko ru 汉语 漢語</t>
        </is>
      </c>
    </row>
    <row r="1909">
      <c r="F1909" s="1" t="n"/>
    </row>
    <row r="1910">
      <c r="F1910" s="1" t="n"/>
      <c r="I1910" s="8" t="inlineStr">
        <is>
          <t>Vanguard Series PVAN</t>
        </is>
      </c>
      <c r="J1910" s="8" t="n">
        <v>32</v>
      </c>
      <c r="K1910" s="9" t="n">
        <v>35551</v>
      </c>
      <c r="L1910" s="8" t="inlineStr">
        <is>
          <t>en es fr de it pt ja ko ru 汉语 漢語</t>
        </is>
      </c>
    </row>
    <row r="1911">
      <c r="F1911" s="1" t="n"/>
    </row>
    <row r="1912">
      <c r="F1912" s="1" t="n"/>
      <c r="I1912" s="8" t="inlineStr">
        <is>
          <t>Portal POR</t>
        </is>
      </c>
      <c r="J1912" s="8" t="n">
        <v>257</v>
      </c>
      <c r="K1912" s="9" t="n">
        <v>35551</v>
      </c>
      <c r="L1912" t="inlineStr">
        <is>
          <t>en es fr de it pt ja ko ru 汉语 漢語</t>
        </is>
      </c>
    </row>
    <row r="1913">
      <c r="F1913" s="1" t="n"/>
    </row>
    <row r="1914">
      <c r="F1914" s="1" t="n"/>
      <c r="I1914" s="8" t="inlineStr">
        <is>
          <t>Astral Cards PAST</t>
        </is>
      </c>
      <c r="J1914" s="8" t="n">
        <v>12</v>
      </c>
      <c r="K1914" s="9" t="n">
        <v>35521</v>
      </c>
      <c r="L1914" s="8" t="inlineStr">
        <is>
          <t>en es fr de it pt ja ko ru 汉语 漢語</t>
        </is>
      </c>
    </row>
    <row r="1915">
      <c r="F1915" s="1" t="n"/>
    </row>
    <row r="1916">
      <c r="F1916" s="1" t="n"/>
      <c r="I1916" s="8" t="inlineStr">
        <is>
          <t>MicroProse Promos PMIC</t>
        </is>
      </c>
      <c r="J1916" s="8" t="n">
        <v>1</v>
      </c>
      <c r="K1916" s="9" t="n">
        <v>35521</v>
      </c>
      <c r="L1916" s="8" t="inlineStr">
        <is>
          <t>en es fr de it pt ja ko ru 汉语 漢語</t>
        </is>
      </c>
    </row>
    <row r="1917">
      <c r="F1917" s="1" t="n"/>
    </row>
    <row r="1918">
      <c r="F1918" s="1" t="n"/>
      <c r="I1918" s="8" t="inlineStr">
        <is>
          <t>Fifth Edition 5ED</t>
        </is>
      </c>
      <c r="J1918" s="8" t="n">
        <v>460</v>
      </c>
      <c r="K1918" s="9" t="n">
        <v>35513</v>
      </c>
      <c r="L1918" t="inlineStr">
        <is>
          <t>en es fr de it pt ja ko ru 汉语 漢語</t>
        </is>
      </c>
    </row>
    <row r="1919">
      <c r="F1919" s="1" t="n"/>
    </row>
    <row r="1920">
      <c r="F1920" s="1" t="n"/>
      <c r="I1920" s="8" t="inlineStr">
        <is>
          <t>Visions VIS</t>
        </is>
      </c>
      <c r="J1920" s="8" t="n">
        <v>167</v>
      </c>
      <c r="K1920" s="9" t="n">
        <v>35464</v>
      </c>
      <c r="L1920" t="inlineStr">
        <is>
          <t>en es fr de it pt ja ko ru 汉语 漢語</t>
        </is>
      </c>
    </row>
    <row r="1921">
      <c r="F1921" s="1" t="n"/>
    </row>
    <row r="1922">
      <c r="F1922" s="1" t="n"/>
      <c r="I1922" s="8" t="inlineStr">
        <is>
          <t>Multiverse Gift Box MGB</t>
        </is>
      </c>
      <c r="J1922" s="8" t="n">
        <v>10</v>
      </c>
      <c r="K1922" s="9" t="n">
        <v>35370</v>
      </c>
      <c r="L1922" s="8" t="inlineStr">
        <is>
          <t>en es fr de it pt ja ko ru 汉语 漢語</t>
        </is>
      </c>
    </row>
    <row r="1923">
      <c r="F1923" s="1" t="n"/>
    </row>
    <row r="1924">
      <c r="F1924" s="1" t="n"/>
      <c r="I1924" s="8" t="inlineStr">
        <is>
          <t>Introductory Two-Player Set ITP</t>
        </is>
      </c>
      <c r="J1924" s="8" t="n">
        <v>67</v>
      </c>
      <c r="K1924" s="9" t="n">
        <v>35430</v>
      </c>
      <c r="L1924" t="inlineStr">
        <is>
          <t>en es fr de it pt ja ko ru 汉语 漢語</t>
        </is>
      </c>
    </row>
    <row r="1925">
      <c r="F1925" s="1" t="n"/>
    </row>
    <row r="1926">
      <c r="F1926" s="1" t="n"/>
      <c r="I1926" s="8" t="inlineStr">
        <is>
          <t>Mirage MIR</t>
        </is>
      </c>
      <c r="J1926" s="8" t="n">
        <v>353</v>
      </c>
      <c r="K1926" s="9" t="n">
        <v>35346</v>
      </c>
      <c r="L1926" t="inlineStr">
        <is>
          <t>en es fr de it pt ja ko ru 汉语 漢語</t>
        </is>
      </c>
    </row>
    <row r="1927">
      <c r="F1927" s="1" t="n"/>
    </row>
    <row r="1928">
      <c r="F1928" s="1" t="n"/>
      <c r="I1928" s="8" t="inlineStr">
        <is>
          <t>Redemption Program PRED</t>
        </is>
      </c>
      <c r="J1928" s="8" t="n">
        <v>1</v>
      </c>
      <c r="K1928" s="9" t="n">
        <v>35339</v>
      </c>
      <c r="L1928" s="8" t="inlineStr">
        <is>
          <t>en es fr de it pt ja ko ru 汉语 漢語</t>
        </is>
      </c>
    </row>
    <row r="1929">
      <c r="F1929" s="1" t="n"/>
    </row>
    <row r="1930">
      <c r="F1930" s="1" t="n"/>
      <c r="I1930" s="8" t="inlineStr">
        <is>
          <t>Celebration Cards PCEL</t>
        </is>
      </c>
      <c r="J1930" s="8" t="n">
        <v>9</v>
      </c>
      <c r="K1930" s="9" t="n">
        <v>35291</v>
      </c>
      <c r="L1930" s="8" t="inlineStr">
        <is>
          <t>en es fr de it pt ja ko ru 汉语 漢語</t>
        </is>
      </c>
    </row>
    <row r="1931">
      <c r="F1931" s="1" t="n"/>
    </row>
    <row r="1932">
      <c r="F1932" s="1" t="n"/>
      <c r="I1932" s="8" t="inlineStr">
        <is>
          <t>Arena League 1996 PARL</t>
        </is>
      </c>
      <c r="J1932" s="8" t="n">
        <v>7</v>
      </c>
      <c r="K1932" s="9" t="n">
        <v>35279</v>
      </c>
      <c r="L1932" s="8" t="inlineStr">
        <is>
          <t>en es fr de it pt ja ko ru 汉语 漢語</t>
        </is>
      </c>
    </row>
    <row r="1933">
      <c r="F1933" s="1" t="n"/>
    </row>
    <row r="1934">
      <c r="F1934" s="1" t="n"/>
      <c r="I1934" s="8" t="inlineStr">
        <is>
          <t>DCI Legend Membership PLGM</t>
        </is>
      </c>
      <c r="J1934" s="8" t="n">
        <v>2</v>
      </c>
      <c r="K1934" s="9" t="n">
        <v>35247</v>
      </c>
      <c r="L1934" s="8" t="inlineStr">
        <is>
          <t>en es fr de it pt ja ko ru 汉语 漢語</t>
        </is>
      </c>
    </row>
    <row r="1935">
      <c r="F1935" s="1" t="n"/>
    </row>
    <row r="1936">
      <c r="F1936" s="1" t="n"/>
      <c r="I1936" s="8" t="inlineStr">
        <is>
          <t>Rivals Quick Start Set RQS</t>
        </is>
      </c>
      <c r="J1936" s="8" t="n">
        <v>65</v>
      </c>
      <c r="K1936" s="9" t="n">
        <v>35247</v>
      </c>
      <c r="L1936" s="8" t="inlineStr">
        <is>
          <t>en es fr de it pt ja ko ru 汉语 漢語</t>
        </is>
      </c>
    </row>
    <row r="1937">
      <c r="F1937" s="1" t="n"/>
    </row>
    <row r="1938">
      <c r="F1938" s="1" t="n"/>
      <c r="I1938" s="8" t="inlineStr">
        <is>
          <t>Alliances ALL</t>
        </is>
      </c>
      <c r="J1938" s="8" t="n">
        <v>199</v>
      </c>
      <c r="K1938" s="9" t="n">
        <v>35226</v>
      </c>
      <c r="L1938" t="inlineStr">
        <is>
          <t>en es fr de it pt ja ko ru 汉语 漢語</t>
        </is>
      </c>
    </row>
    <row r="1939">
      <c r="F1939" s="1" t="n"/>
    </row>
    <row r="1940">
      <c r="F1940" s="1" t="n"/>
      <c r="I1940" s="8" t="inlineStr">
        <is>
          <t>Pro Tour Collector Set PTC</t>
        </is>
      </c>
      <c r="J1940" s="8" t="n">
        <v>308</v>
      </c>
      <c r="K1940" s="9" t="n">
        <v>35186</v>
      </c>
      <c r="L1940" s="8" t="inlineStr">
        <is>
          <t>en es fr de it pt ja ko ru 汉语 漢語</t>
        </is>
      </c>
    </row>
    <row r="1941">
      <c r="F1941" s="1" t="n"/>
    </row>
    <row r="1942">
      <c r="F1942" s="1" t="n"/>
      <c r="I1942" s="8" t="inlineStr">
        <is>
          <t>Oversized 90's Promos O90P</t>
        </is>
      </c>
      <c r="J1942" s="8" t="n">
        <v>10</v>
      </c>
      <c r="K1942" s="9" t="n">
        <v>35156</v>
      </c>
      <c r="L1942" s="8" t="inlineStr">
        <is>
          <t>en es fr de it pt ja ko ru 汉语 漢語</t>
        </is>
      </c>
    </row>
    <row r="1943">
      <c r="F1943" s="1" t="n"/>
    </row>
    <row r="1944">
      <c r="F1944" s="1" t="n"/>
      <c r="I1944" s="8" t="inlineStr">
        <is>
          <t>Homelands HML</t>
        </is>
      </c>
      <c r="J1944" s="8" t="n">
        <v>140</v>
      </c>
      <c r="K1944" s="9" t="n">
        <v>34973</v>
      </c>
      <c r="L1944" t="inlineStr">
        <is>
          <t>en es fr de it pt ja ko ru 汉语 漢語</t>
        </is>
      </c>
    </row>
    <row r="1945">
      <c r="F1945" s="1" t="n"/>
    </row>
    <row r="1946">
      <c r="F1946" s="1" t="n"/>
      <c r="I1946" s="8" t="inlineStr">
        <is>
          <t>Renaissance REN</t>
        </is>
      </c>
      <c r="J1946" s="8" t="n">
        <v>122</v>
      </c>
      <c r="K1946" s="9" t="n">
        <v>34912</v>
      </c>
      <c r="L1946" t="inlineStr">
        <is>
          <t>en es fr de it pt ja ko ru 汉语 漢語</t>
        </is>
      </c>
    </row>
    <row r="1947">
      <c r="F1947" s="1" t="n"/>
    </row>
    <row r="1948">
      <c r="F1948" s="1" t="n"/>
      <c r="I1948" s="8" t="inlineStr">
        <is>
          <t>Rinascimento RIN</t>
        </is>
      </c>
      <c r="J1948" s="8" t="n">
        <v>69</v>
      </c>
      <c r="K1948" s="9" t="n">
        <v>34912</v>
      </c>
      <c r="L1948" s="8" t="inlineStr">
        <is>
          <t>en es fr de it pt ja ko ru 汉语 漢語</t>
        </is>
      </c>
    </row>
    <row r="1949">
      <c r="F1949" s="1" t="n"/>
    </row>
    <row r="1950">
      <c r="F1950" s="1" t="n"/>
      <c r="I1950" s="8" t="inlineStr">
        <is>
          <t>Chronicles CHR</t>
        </is>
      </c>
      <c r="J1950" s="8" t="n">
        <v>125</v>
      </c>
      <c r="K1950" s="9" t="n">
        <v>34881</v>
      </c>
      <c r="L1950" s="8" t="inlineStr">
        <is>
          <t>en es fr de it pt ja ko ru 汉语 漢語</t>
        </is>
      </c>
    </row>
    <row r="1951">
      <c r="F1951" s="1" t="n"/>
    </row>
    <row r="1952">
      <c r="F1952" s="1" t="n"/>
      <c r="I1952" s="8" t="inlineStr">
        <is>
          <t>Chronicles Foreign Black Border BCHR</t>
        </is>
      </c>
      <c r="J1952" s="8" t="n">
        <v>125</v>
      </c>
      <c r="K1952" s="9" t="n">
        <v>34881</v>
      </c>
      <c r="L1952" s="8" t="inlineStr">
        <is>
          <t>en es fr de it pt ja ko ru 汉语 漢語</t>
        </is>
      </c>
    </row>
    <row r="1953">
      <c r="F1953" s="1" t="n"/>
    </row>
    <row r="1954">
      <c r="F1954" s="1" t="n"/>
      <c r="I1954" s="8" t="inlineStr">
        <is>
          <t>Ice Age ICE</t>
        </is>
      </c>
      <c r="J1954" s="8" t="n">
        <v>383</v>
      </c>
      <c r="K1954" s="9" t="n">
        <v>34853</v>
      </c>
      <c r="L1954" t="inlineStr">
        <is>
          <t>en es fr de it pt ja ko ru 汉语 漢語</t>
        </is>
      </c>
    </row>
    <row r="1955">
      <c r="F1955" s="1" t="n"/>
    </row>
    <row r="1956">
      <c r="F1956" s="1" t="n"/>
      <c r="I1956" s="8" t="inlineStr">
        <is>
          <t>Fourth Edition 4ED</t>
        </is>
      </c>
      <c r="J1956" s="8" t="n">
        <v>380</v>
      </c>
      <c r="K1956" s="9" t="n">
        <v>34790</v>
      </c>
      <c r="L1956" t="inlineStr">
        <is>
          <t>en es fr de it pt ja ko ru 汉语 漢語</t>
        </is>
      </c>
    </row>
    <row r="1957">
      <c r="F1957" s="1" t="n"/>
    </row>
    <row r="1958">
      <c r="F1958" s="1" t="n"/>
      <c r="I1958" s="8" t="inlineStr">
        <is>
          <t>Fourth Edition Foreign Black Border 4BB</t>
        </is>
      </c>
      <c r="J1958" s="8" t="n">
        <v>378</v>
      </c>
      <c r="K1958" s="9" t="n">
        <v>34790</v>
      </c>
      <c r="L1958" t="inlineStr">
        <is>
          <t>en es fr de it pt ja ko ru 汉语 漢語</t>
        </is>
      </c>
    </row>
    <row r="1959">
      <c r="F1959" s="1" t="n"/>
    </row>
    <row r="1960">
      <c r="F1960" s="1" t="n"/>
      <c r="I1960" s="8" t="inlineStr">
        <is>
          <t>Media and Collaboration Promos PMEI</t>
        </is>
      </c>
      <c r="J1960" s="8" t="n">
        <v>82</v>
      </c>
      <c r="K1960" s="9" t="n">
        <v>34700</v>
      </c>
      <c r="L1960" t="inlineStr">
        <is>
          <t>en es fr de it pt ja ko ru 汉语 漢語</t>
        </is>
      </c>
    </row>
    <row r="1961">
      <c r="F1961" s="1" t="n"/>
    </row>
    <row r="1962">
      <c r="F1962" s="1" t="n"/>
      <c r="I1962" s="8" t="inlineStr">
        <is>
          <t>Fallen Empires FEM</t>
        </is>
      </c>
      <c r="J1962" s="8" t="n">
        <v>187</v>
      </c>
      <c r="K1962" s="9" t="n">
        <v>34639</v>
      </c>
      <c r="L1962" s="8" t="inlineStr">
        <is>
          <t>en es fr de it pt ja ko ru 汉语 漢語</t>
        </is>
      </c>
    </row>
    <row r="1963">
      <c r="F1963" s="1" t="n"/>
    </row>
    <row r="1964">
      <c r="F1964" s="1" t="n"/>
      <c r="I1964" s="8" t="inlineStr">
        <is>
          <t>HarperPrism Book Promos PHPR</t>
        </is>
      </c>
      <c r="J1964" s="8" t="n">
        <v>5</v>
      </c>
      <c r="K1964" s="9" t="n">
        <v>34578</v>
      </c>
      <c r="L1964" t="inlineStr">
        <is>
          <t>en es fr de it pt ja ko ru 汉语 漢語</t>
        </is>
      </c>
    </row>
    <row r="1965">
      <c r="F1965" s="1" t="n"/>
    </row>
    <row r="1966">
      <c r="F1966" s="1" t="n"/>
      <c r="I1966" s="8" t="inlineStr">
        <is>
          <t>The Dark DRK</t>
        </is>
      </c>
      <c r="J1966" s="8" t="n">
        <v>122</v>
      </c>
      <c r="K1966" s="9" t="n">
        <v>34547</v>
      </c>
      <c r="L1966" t="inlineStr">
        <is>
          <t>en es fr de it pt ja ko ru 汉语 漢語</t>
        </is>
      </c>
    </row>
    <row r="1967">
      <c r="F1967" s="1" t="n"/>
    </row>
    <row r="1968">
      <c r="F1968" s="1" t="n"/>
      <c r="I1968" s="8" t="inlineStr">
        <is>
          <t>Dragon Con PDRC</t>
        </is>
      </c>
      <c r="J1968" s="8" t="n">
        <v>1</v>
      </c>
      <c r="K1968" s="9" t="n">
        <v>34530</v>
      </c>
      <c r="L1968" s="8" t="inlineStr">
        <is>
          <t>en es fr de it pt ja ko ru 汉语 漢語</t>
        </is>
      </c>
    </row>
    <row r="1969">
      <c r="F1969" s="1" t="n"/>
    </row>
    <row r="1970">
      <c r="F1970" s="1" t="n"/>
      <c r="I1970" s="8" t="inlineStr">
        <is>
          <t>Summer Magic / Edgar SUM</t>
        </is>
      </c>
      <c r="J1970" s="8" t="n">
        <v>306</v>
      </c>
      <c r="K1970" s="9" t="n">
        <v>34506</v>
      </c>
      <c r="L1970" s="8" t="inlineStr">
        <is>
          <t>en es fr de it pt ja ko ru 汉语 漢語</t>
        </is>
      </c>
    </row>
    <row r="1971">
      <c r="F1971" s="1" t="n"/>
    </row>
    <row r="1972">
      <c r="F1972" s="1" t="n"/>
      <c r="I1972" s="8" t="inlineStr">
        <is>
          <t>Legends LEG</t>
        </is>
      </c>
      <c r="J1972" s="8" t="n">
        <v>310</v>
      </c>
      <c r="K1972" s="9" t="n">
        <v>34486</v>
      </c>
      <c r="L1972" t="inlineStr">
        <is>
          <t>en es fr de it pt ja ko ru 汉语 漢語</t>
        </is>
      </c>
    </row>
    <row r="1973">
      <c r="F1973" s="1" t="n"/>
    </row>
    <row r="1974">
      <c r="F1974" s="1" t="n"/>
      <c r="I1974" s="8" t="inlineStr">
        <is>
          <t>Revised Edition 3ED</t>
        </is>
      </c>
      <c r="J1974" s="8" t="n">
        <v>306</v>
      </c>
      <c r="K1974" s="9" t="n">
        <v>34435</v>
      </c>
      <c r="L1974" t="inlineStr">
        <is>
          <t>en es fr de it pt ja ko ru 汉语 漢語</t>
        </is>
      </c>
    </row>
    <row r="1975">
      <c r="F1975" s="1" t="n"/>
    </row>
    <row r="1976">
      <c r="F1976" s="1" t="n"/>
      <c r="I1976" s="8" t="inlineStr">
        <is>
          <t>Foreign Black Border FBB</t>
        </is>
      </c>
      <c r="J1976" s="8" t="n">
        <v>307</v>
      </c>
      <c r="K1976" s="9" t="n">
        <v>34435</v>
      </c>
      <c r="L1976" t="inlineStr">
        <is>
          <t>en es fr de it pt ja ko ru 汉语 漢語</t>
        </is>
      </c>
    </row>
    <row r="1977">
      <c r="F1977" s="1" t="n"/>
    </row>
    <row r="1978">
      <c r="F1978" s="1" t="n"/>
      <c r="I1978" s="8" t="inlineStr">
        <is>
          <t>Antiquities ATQ</t>
        </is>
      </c>
      <c r="J1978" s="8" t="n">
        <v>102</v>
      </c>
      <c r="K1978" s="9" t="n">
        <v>34397</v>
      </c>
      <c r="L1978" s="8" t="inlineStr">
        <is>
          <t>en es fr de it pt ja ko ru 汉语 漢語</t>
        </is>
      </c>
    </row>
    <row r="1979">
      <c r="F1979" s="1" t="n"/>
    </row>
    <row r="1980">
      <c r="F1980" s="1" t="n"/>
      <c r="I1980" s="8" t="inlineStr">
        <is>
          <t>Arabian Nights ARN</t>
        </is>
      </c>
      <c r="J1980" s="8" t="n">
        <v>92</v>
      </c>
      <c r="K1980" s="9" t="n">
        <v>34320</v>
      </c>
      <c r="L1980" s="8" t="inlineStr">
        <is>
          <t>en es fr de it pt ja ko ru 汉语 漢語</t>
        </is>
      </c>
    </row>
    <row r="1981">
      <c r="F1981" s="1" t="n"/>
    </row>
    <row r="1982">
      <c r="F1982" s="1" t="n"/>
      <c r="I1982" s="8" t="inlineStr">
        <is>
          <t>Intl. Collectors' Edition CEI</t>
        </is>
      </c>
      <c r="J1982" s="8" t="n">
        <v>302</v>
      </c>
      <c r="K1982" s="9" t="n">
        <v>34313</v>
      </c>
      <c r="L1982" s="8" t="inlineStr">
        <is>
          <t>en es fr de it pt ja ko ru 汉语 漢語</t>
        </is>
      </c>
    </row>
    <row r="1983">
      <c r="F1983" s="1" t="n"/>
    </row>
    <row r="1984">
      <c r="F1984" s="1" t="n"/>
      <c r="I1984" s="8" t="inlineStr">
        <is>
          <t>Collectors' Edition CED</t>
        </is>
      </c>
      <c r="J1984" s="8" t="n">
        <v>302</v>
      </c>
      <c r="K1984" s="9" t="n">
        <v>34313</v>
      </c>
      <c r="L1984" s="8" t="inlineStr">
        <is>
          <t>en es fr de it pt ja ko ru 汉语 漢語</t>
        </is>
      </c>
    </row>
    <row r="1985">
      <c r="F1985" s="1" t="n"/>
    </row>
    <row r="1986">
      <c r="F1986" s="1" t="n"/>
      <c r="I1986" s="8" t="inlineStr">
        <is>
          <t>Unlimited Edition 2ED</t>
        </is>
      </c>
      <c r="J1986" s="8" t="n">
        <v>302</v>
      </c>
      <c r="K1986" s="9" t="n">
        <v>34304</v>
      </c>
      <c r="L1986" s="8" t="inlineStr">
        <is>
          <t>en es fr de it pt ja ko ru 汉语 漢語</t>
        </is>
      </c>
    </row>
    <row r="1987">
      <c r="F1987" s="1" t="n"/>
    </row>
    <row r="1988">
      <c r="F1988" s="1" t="n"/>
      <c r="I1988" s="8" t="inlineStr">
        <is>
          <t>Limited Edition Beta LEB</t>
        </is>
      </c>
      <c r="J1988" s="8" t="n">
        <v>302</v>
      </c>
      <c r="K1988" s="9" t="n">
        <v>34246</v>
      </c>
      <c r="L1988" s="8" t="inlineStr">
        <is>
          <t>en es fr de it pt ja ko ru 汉语 漢語</t>
        </is>
      </c>
    </row>
    <row r="1989">
      <c r="F1989" s="1" t="n"/>
    </row>
    <row r="1990">
      <c r="F1990" s="1" t="n"/>
      <c r="I1990" s="8" t="inlineStr">
        <is>
          <t>Limited Edition Alpha LEA</t>
        </is>
      </c>
      <c r="J1990" s="8" t="n">
        <v>295</v>
      </c>
      <c r="K1990" s="9" t="n">
        <v>34186</v>
      </c>
      <c r="L1990" s="8" t="inlineStr">
        <is>
          <t>en es fr de it pt ja ko ru</t>
        </is>
      </c>
    </row>
    <row r="1991">
      <c r="F1991" s="1" t="n"/>
    </row>
    <row r="1992">
      <c r="F1992" s="1" t="n"/>
    </row>
    <row r="1993">
      <c r="F1993" s="1" t="n"/>
    </row>
    <row r="1994">
      <c r="F1994" s="1" t="n"/>
    </row>
    <row r="1995">
      <c r="F1995" s="1" t="n"/>
    </row>
    <row r="1996">
      <c r="F1996" s="1" t="n"/>
    </row>
    <row r="1997">
      <c r="F1997" s="1" t="n"/>
    </row>
    <row r="1998">
      <c r="F1998" s="1" t="n"/>
    </row>
    <row r="1999">
      <c r="F1999" s="1" t="n"/>
    </row>
    <row r="2000">
      <c r="F2000" s="1" t="n"/>
    </row>
    <row r="2001">
      <c r="F2001" s="1" t="n"/>
    </row>
    <row r="2002">
      <c r="F2002" s="1" t="n"/>
    </row>
    <row r="2003">
      <c r="F2003" s="1" t="n"/>
    </row>
    <row r="2004">
      <c r="F2004" s="1" t="n"/>
    </row>
    <row r="2005">
      <c r="F2005" s="1" t="n"/>
    </row>
    <row r="2006">
      <c r="F2006" s="1" t="n"/>
    </row>
    <row r="2007">
      <c r="F2007" s="1" t="n"/>
    </row>
    <row r="2008">
      <c r="F2008" s="1" t="n"/>
    </row>
    <row r="2009">
      <c r="F2009" s="1" t="n"/>
    </row>
    <row r="2010">
      <c r="F2010" s="1" t="n"/>
    </row>
    <row r="2011">
      <c r="F2011" s="1" t="n"/>
    </row>
    <row r="2012">
      <c r="F2012" s="1" t="n"/>
    </row>
    <row r="2013">
      <c r="F2013" s="1" t="n"/>
    </row>
    <row r="2014">
      <c r="F2014" s="1" t="n"/>
    </row>
    <row r="2015">
      <c r="F2015" s="1" t="n"/>
    </row>
    <row r="2016">
      <c r="F2016" s="1" t="n"/>
    </row>
    <row r="2017">
      <c r="F2017" s="1" t="n"/>
    </row>
    <row r="2018">
      <c r="F2018" s="1" t="n"/>
    </row>
    <row r="2019">
      <c r="F2019" s="1" t="n"/>
    </row>
    <row r="2020">
      <c r="F2020" s="1" t="n"/>
    </row>
    <row r="2021">
      <c r="F2021" s="1" t="n"/>
    </row>
    <row r="2022">
      <c r="F2022" s="1" t="n"/>
    </row>
    <row r="2023">
      <c r="F2023" s="1" t="n"/>
    </row>
    <row r="2024">
      <c r="F2024" s="1" t="n"/>
    </row>
    <row r="2025">
      <c r="F2025" s="1" t="n"/>
    </row>
    <row r="2026">
      <c r="F2026" s="1" t="n"/>
    </row>
    <row r="2027">
      <c r="F2027" s="1" t="n"/>
    </row>
    <row r="2028">
      <c r="F2028" s="1" t="n"/>
    </row>
    <row r="2029">
      <c r="F2029" s="1" t="n"/>
    </row>
    <row r="2030">
      <c r="F2030" s="1" t="n"/>
    </row>
    <row r="2031">
      <c r="F2031" s="1" t="n"/>
    </row>
    <row r="2032">
      <c r="F2032" s="1" t="n"/>
    </row>
    <row r="2033">
      <c r="F2033" s="1" t="n"/>
    </row>
    <row r="2034">
      <c r="F2034" s="1" t="n"/>
    </row>
    <row r="2035">
      <c r="F2035" s="1" t="n"/>
    </row>
    <row r="2036">
      <c r="F2036" s="1" t="n"/>
    </row>
    <row r="2037">
      <c r="F2037" s="1" t="n"/>
    </row>
    <row r="2038">
      <c r="F2038" s="1" t="n"/>
    </row>
    <row r="2039">
      <c r="F2039" s="1" t="n"/>
    </row>
    <row r="2040">
      <c r="F2040" s="1" t="n"/>
    </row>
    <row r="2041">
      <c r="F2041" s="1" t="n"/>
    </row>
    <row r="2042">
      <c r="F2042" s="1" t="n"/>
    </row>
    <row r="2043">
      <c r="F2043" s="1" t="n"/>
    </row>
    <row r="2044">
      <c r="F2044" s="1" t="n"/>
    </row>
    <row r="2045">
      <c r="F2045" s="1" t="n"/>
    </row>
    <row r="2046">
      <c r="F2046" s="1" t="n"/>
    </row>
    <row r="2047">
      <c r="F2047" s="1" t="n"/>
    </row>
    <row r="2048">
      <c r="F2048" s="1" t="n"/>
    </row>
    <row r="2049">
      <c r="F2049" s="1" t="n"/>
    </row>
    <row r="2050">
      <c r="F2050" s="1" t="n"/>
    </row>
    <row r="2051">
      <c r="F2051" s="1" t="n"/>
    </row>
    <row r="2052">
      <c r="F2052" s="1" t="n"/>
    </row>
    <row r="2053">
      <c r="F2053" s="1" t="n"/>
    </row>
    <row r="2054">
      <c r="F2054" s="1" t="n"/>
    </row>
    <row r="2055">
      <c r="F2055" s="1" t="n"/>
    </row>
    <row r="2056">
      <c r="F2056" s="1" t="n"/>
    </row>
    <row r="2057">
      <c r="F2057" s="1" t="n"/>
    </row>
    <row r="2058">
      <c r="F2058" s="1" t="n"/>
    </row>
    <row r="2059">
      <c r="F2059" s="1" t="n"/>
    </row>
    <row r="2060">
      <c r="F2060" s="1" t="n"/>
    </row>
    <row r="2061">
      <c r="F2061" s="1" t="n"/>
    </row>
    <row r="2062">
      <c r="F2062" s="1" t="n"/>
    </row>
    <row r="2063">
      <c r="F2063" s="1" t="n"/>
    </row>
    <row r="2064">
      <c r="F2064" s="1" t="n"/>
    </row>
    <row r="2065">
      <c r="F2065" s="1" t="n"/>
    </row>
    <row r="2066">
      <c r="F2066" s="1" t="n"/>
    </row>
    <row r="2067">
      <c r="F2067" s="1" t="n"/>
    </row>
    <row r="2068">
      <c r="F2068" s="1" t="n"/>
    </row>
    <row r="2069">
      <c r="F2069" s="1" t="n"/>
    </row>
    <row r="2070">
      <c r="F2070" s="1" t="n"/>
    </row>
    <row r="2071">
      <c r="F2071" s="1" t="n"/>
    </row>
    <row r="2072">
      <c r="F2072" s="1" t="n"/>
    </row>
    <row r="2073">
      <c r="F2073" s="1" t="n"/>
    </row>
    <row r="2074">
      <c r="F2074" s="1" t="n"/>
    </row>
    <row r="2075">
      <c r="F2075" s="1" t="n"/>
    </row>
    <row r="2076">
      <c r="F2076" s="1" t="n"/>
    </row>
    <row r="2077">
      <c r="F2077" s="1" t="n"/>
    </row>
    <row r="2078">
      <c r="F2078" s="1" t="n"/>
    </row>
    <row r="2079">
      <c r="F2079" s="1" t="n"/>
    </row>
    <row r="2080">
      <c r="F2080" s="1" t="n"/>
    </row>
    <row r="2081">
      <c r="F2081" s="1" t="n"/>
    </row>
    <row r="2082">
      <c r="F2082" s="1" t="n"/>
    </row>
    <row r="2083">
      <c r="F2083" s="1" t="n"/>
    </row>
    <row r="2084">
      <c r="F2084" s="1" t="n"/>
    </row>
    <row r="2085">
      <c r="F2085" s="1" t="n"/>
    </row>
    <row r="2086">
      <c r="F2086" s="1" t="n"/>
    </row>
    <row r="2087">
      <c r="F2087" s="1" t="n"/>
    </row>
    <row r="2088">
      <c r="F2088" s="1" t="n"/>
    </row>
    <row r="2089">
      <c r="F2089" s="1" t="n"/>
    </row>
    <row r="2090">
      <c r="F2090" s="1" t="n"/>
    </row>
    <row r="2091">
      <c r="F2091" s="1" t="n"/>
    </row>
    <row r="2092">
      <c r="F2092" s="1" t="n"/>
    </row>
    <row r="2093">
      <c r="F2093" s="1" t="n"/>
    </row>
    <row r="2094">
      <c r="F2094" s="1" t="n"/>
    </row>
    <row r="2095">
      <c r="F2095" s="1" t="n"/>
    </row>
    <row r="2096">
      <c r="F2096" s="1" t="n"/>
    </row>
    <row r="2097">
      <c r="F2097" s="1" t="n"/>
    </row>
    <row r="2098">
      <c r="F2098" s="1" t="n"/>
    </row>
    <row r="2099">
      <c r="F2099" s="1" t="n"/>
    </row>
    <row r="2100">
      <c r="F2100" s="1" t="n"/>
    </row>
    <row r="2101">
      <c r="F2101" s="1" t="n"/>
    </row>
    <row r="2102">
      <c r="F2102" s="1" t="n"/>
    </row>
    <row r="2103">
      <c r="F2103" s="1" t="n"/>
    </row>
    <row r="2104">
      <c r="F2104" s="1" t="n"/>
    </row>
    <row r="2105">
      <c r="F2105" s="1" t="n"/>
    </row>
    <row r="2106">
      <c r="F2106" s="1" t="n"/>
    </row>
    <row r="2107">
      <c r="F2107" s="1" t="n"/>
    </row>
    <row r="2108">
      <c r="F2108" s="1" t="n"/>
    </row>
    <row r="2109">
      <c r="F2109" s="1" t="n"/>
    </row>
    <row r="2110">
      <c r="F2110" s="1" t="n"/>
    </row>
    <row r="2111">
      <c r="F2111" s="1" t="n"/>
    </row>
    <row r="2112">
      <c r="F2112" s="1" t="n"/>
    </row>
    <row r="2113">
      <c r="F2113" s="1" t="n"/>
    </row>
    <row r="2114">
      <c r="F2114" s="1" t="n"/>
    </row>
    <row r="2115">
      <c r="F2115" s="1" t="n"/>
    </row>
    <row r="2116">
      <c r="F2116" s="1" t="n"/>
    </row>
    <row r="2117">
      <c r="F2117" s="1" t="n"/>
    </row>
    <row r="2118">
      <c r="F2118" s="1" t="n"/>
    </row>
    <row r="2119">
      <c r="F2119" s="1" t="n"/>
    </row>
    <row r="2120">
      <c r="F2120" s="1" t="n"/>
    </row>
    <row r="2121">
      <c r="F2121" s="1" t="n"/>
    </row>
    <row r="2122">
      <c r="F2122" s="1" t="n"/>
    </row>
    <row r="2123">
      <c r="F2123" s="1" t="n"/>
    </row>
    <row r="2124">
      <c r="F2124" s="1" t="n"/>
    </row>
    <row r="2125">
      <c r="F2125" s="1" t="n"/>
    </row>
    <row r="2126">
      <c r="F2126" s="1" t="n"/>
    </row>
    <row r="2127">
      <c r="F2127" s="1" t="n"/>
    </row>
    <row r="2128">
      <c r="F2128" s="1" t="n"/>
    </row>
    <row r="2129">
      <c r="F2129" s="1" t="n"/>
    </row>
    <row r="2130">
      <c r="F2130" s="1" t="n"/>
    </row>
    <row r="2131">
      <c r="F2131" s="1" t="n"/>
    </row>
    <row r="2132">
      <c r="F2132" s="1" t="n"/>
    </row>
    <row r="2133">
      <c r="F2133" s="1" t="n"/>
    </row>
    <row r="2134">
      <c r="F2134" s="1" t="n"/>
    </row>
    <row r="2135">
      <c r="F2135" s="1" t="n"/>
    </row>
    <row r="2136">
      <c r="F2136" s="1" t="n"/>
    </row>
    <row r="2137">
      <c r="F2137" s="1" t="n"/>
    </row>
    <row r="2138">
      <c r="F2138" s="1" t="n"/>
    </row>
    <row r="2139">
      <c r="F2139" s="1" t="n"/>
    </row>
    <row r="2140">
      <c r="F2140" s="1" t="n"/>
    </row>
    <row r="2141">
      <c r="F2141" s="1" t="n"/>
    </row>
    <row r="2142">
      <c r="F2142" s="1" t="n"/>
    </row>
    <row r="2143">
      <c r="F2143" s="1" t="n"/>
    </row>
    <row r="2144">
      <c r="F2144" s="1" t="n"/>
    </row>
    <row r="2145">
      <c r="F2145" s="1" t="n"/>
    </row>
    <row r="2146">
      <c r="F2146" s="1" t="n"/>
    </row>
    <row r="2147">
      <c r="F2147" s="1" t="n"/>
    </row>
    <row r="2148">
      <c r="F2148" s="1" t="n"/>
    </row>
    <row r="2149">
      <c r="F2149" s="1" t="n"/>
    </row>
    <row r="2150">
      <c r="F2150" s="1" t="n"/>
    </row>
    <row r="2151">
      <c r="F2151" s="1" t="n"/>
    </row>
    <row r="2152">
      <c r="F2152" s="1" t="n"/>
    </row>
    <row r="2153">
      <c r="F2153" s="1" t="n"/>
    </row>
    <row r="2154">
      <c r="F2154" s="1" t="n"/>
    </row>
    <row r="2155">
      <c r="F2155" s="1" t="n"/>
    </row>
    <row r="2156">
      <c r="F2156" s="1" t="n"/>
    </row>
    <row r="2157">
      <c r="F2157" s="1" t="n"/>
    </row>
    <row r="2158">
      <c r="F2158" s="1" t="n"/>
    </row>
    <row r="2159">
      <c r="F2159" s="1" t="n"/>
    </row>
    <row r="2160">
      <c r="F2160" s="1" t="n"/>
    </row>
    <row r="2161">
      <c r="F2161" s="1" t="n"/>
    </row>
    <row r="2162">
      <c r="F2162" s="1" t="n"/>
    </row>
    <row r="2163">
      <c r="F2163" s="1" t="n"/>
    </row>
    <row r="2164">
      <c r="F2164" s="1" t="n"/>
    </row>
    <row r="2165">
      <c r="F2165" s="1" t="n"/>
    </row>
    <row r="2166">
      <c r="F2166" s="1" t="n"/>
    </row>
    <row r="2167">
      <c r="F2167" s="1" t="n"/>
    </row>
    <row r="2168">
      <c r="F2168" s="1" t="n"/>
    </row>
    <row r="2169">
      <c r="F2169" s="1" t="n"/>
    </row>
    <row r="2170">
      <c r="F2170" s="1" t="n"/>
    </row>
    <row r="2171">
      <c r="F2171" s="1" t="n"/>
    </row>
    <row r="2172">
      <c r="F2172" s="1" t="n"/>
    </row>
    <row r="2173">
      <c r="F2173" s="1" t="n"/>
    </row>
    <row r="2174">
      <c r="F2174" s="1" t="n"/>
    </row>
    <row r="2175">
      <c r="F2175" s="1" t="n"/>
    </row>
    <row r="2176">
      <c r="F2176" s="1" t="n"/>
    </row>
    <row r="2177">
      <c r="F2177" s="1" t="n"/>
    </row>
    <row r="2178">
      <c r="F2178" s="1" t="n"/>
    </row>
    <row r="2179">
      <c r="F2179" s="1" t="n"/>
    </row>
    <row r="2180">
      <c r="F2180" s="1" t="n"/>
    </row>
    <row r="2181">
      <c r="F2181" s="1" t="n"/>
    </row>
    <row r="2182">
      <c r="F2182" s="1" t="n"/>
    </row>
    <row r="2183">
      <c r="F2183" s="1" t="n"/>
    </row>
    <row r="2184">
      <c r="F2184" s="1" t="n"/>
    </row>
    <row r="2185">
      <c r="F2185" s="1" t="n"/>
    </row>
    <row r="2186">
      <c r="F2186" s="1" t="n"/>
    </row>
    <row r="2187">
      <c r="F2187" s="1" t="n"/>
    </row>
    <row r="2188">
      <c r="F2188" s="1" t="n"/>
    </row>
    <row r="2189">
      <c r="F2189" s="1" t="n"/>
    </row>
    <row r="2190">
      <c r="F2190" s="1" t="n"/>
    </row>
    <row r="2191">
      <c r="F2191" s="1" t="n"/>
    </row>
    <row r="2192">
      <c r="F2192" s="1" t="n"/>
    </row>
    <row r="2193">
      <c r="F2193" s="1" t="n"/>
    </row>
    <row r="2194">
      <c r="F2194" s="1" t="n"/>
    </row>
    <row r="2195">
      <c r="F2195" s="1" t="n"/>
    </row>
    <row r="2196">
      <c r="F2196" s="1" t="n"/>
    </row>
    <row r="2197">
      <c r="F2197" s="1" t="n"/>
    </row>
    <row r="2198">
      <c r="F2198" s="1" t="n"/>
    </row>
    <row r="2199">
      <c r="F2199" s="1" t="n"/>
    </row>
    <row r="2200">
      <c r="F2200" s="1" t="n"/>
    </row>
    <row r="2201">
      <c r="F2201" s="1" t="n"/>
    </row>
    <row r="2202">
      <c r="F2202" s="1" t="n"/>
    </row>
    <row r="2203">
      <c r="F2203" s="1" t="n"/>
    </row>
    <row r="2204">
      <c r="F2204" s="1" t="n"/>
    </row>
    <row r="2205">
      <c r="F2205" s="1" t="n"/>
    </row>
    <row r="2206">
      <c r="F2206" s="1" t="n"/>
    </row>
    <row r="2207">
      <c r="F2207" s="1" t="n"/>
    </row>
    <row r="2208">
      <c r="F2208" s="1" t="n"/>
    </row>
    <row r="2209">
      <c r="F2209" s="1" t="n"/>
    </row>
    <row r="2210">
      <c r="F2210" s="1" t="n"/>
    </row>
    <row r="2211">
      <c r="F2211" s="1" t="n"/>
    </row>
    <row r="2212">
      <c r="F2212" s="1" t="n"/>
    </row>
    <row r="2213">
      <c r="F2213" s="1" t="n"/>
    </row>
    <row r="2214">
      <c r="F2214" s="1" t="n"/>
    </row>
    <row r="2215">
      <c r="F2215" s="1" t="n"/>
    </row>
    <row r="2216">
      <c r="F2216" s="1" t="n"/>
    </row>
    <row r="2217">
      <c r="F2217" s="1" t="n"/>
    </row>
    <row r="2218">
      <c r="F2218" s="1" t="n"/>
    </row>
    <row r="2219">
      <c r="F2219" s="1" t="n"/>
    </row>
    <row r="2220">
      <c r="F2220" s="1" t="n"/>
    </row>
    <row r="2221">
      <c r="F2221" s="1" t="n"/>
    </row>
    <row r="2222">
      <c r="F2222" s="1" t="n"/>
    </row>
    <row r="2223">
      <c r="F2223" s="1" t="n"/>
    </row>
    <row r="2224">
      <c r="F2224" s="1" t="n"/>
    </row>
    <row r="2225">
      <c r="F2225" s="1" t="n"/>
    </row>
    <row r="2226">
      <c r="F2226" s="1" t="n"/>
    </row>
    <row r="2227">
      <c r="F2227" s="1" t="n"/>
    </row>
    <row r="2228">
      <c r="F2228" s="1" t="n"/>
    </row>
    <row r="2229">
      <c r="F2229" s="1" t="n"/>
    </row>
    <row r="2230">
      <c r="F2230" s="1" t="n"/>
    </row>
    <row r="2231">
      <c r="F2231" s="1" t="n"/>
    </row>
    <row r="2232">
      <c r="F2232" s="1" t="n"/>
    </row>
    <row r="2233">
      <c r="F2233" s="1" t="n"/>
    </row>
    <row r="2234">
      <c r="F2234" s="1" t="n"/>
    </row>
    <row r="2235">
      <c r="F2235" s="1" t="n"/>
    </row>
    <row r="2236">
      <c r="F2236" s="1" t="n"/>
    </row>
    <row r="2237">
      <c r="F2237" s="1" t="n"/>
    </row>
    <row r="2238">
      <c r="F2238" s="1" t="n"/>
    </row>
    <row r="2239">
      <c r="F2239" s="1" t="n"/>
    </row>
    <row r="2240">
      <c r="F2240" s="1" t="n"/>
    </row>
    <row r="2241">
      <c r="F2241" s="1" t="n"/>
    </row>
    <row r="2242">
      <c r="F2242" s="1" t="n"/>
    </row>
    <row r="2243">
      <c r="F2243" s="1" t="n"/>
    </row>
    <row r="2244">
      <c r="F2244" s="1" t="n"/>
    </row>
    <row r="2245">
      <c r="F2245" s="1" t="n"/>
    </row>
    <row r="2246">
      <c r="F2246" s="1" t="n"/>
    </row>
    <row r="2247">
      <c r="F2247" s="1" t="n"/>
    </row>
    <row r="2248">
      <c r="F2248" s="1" t="n"/>
    </row>
    <row r="2249">
      <c r="F2249" s="1" t="n"/>
    </row>
    <row r="2250">
      <c r="F2250" s="1" t="n"/>
    </row>
    <row r="2251">
      <c r="F2251" s="1" t="n"/>
    </row>
    <row r="2252">
      <c r="F2252" s="1" t="n"/>
    </row>
    <row r="2253">
      <c r="F2253" s="1" t="n"/>
    </row>
    <row r="2254">
      <c r="F2254" s="1" t="n"/>
    </row>
    <row r="2255">
      <c r="F2255" s="1" t="n"/>
    </row>
    <row r="2256">
      <c r="F2256" s="1" t="n"/>
    </row>
    <row r="2257">
      <c r="F2257" s="1" t="n"/>
    </row>
    <row r="2258">
      <c r="F2258" s="1" t="n"/>
    </row>
    <row r="2259">
      <c r="F2259" s="1" t="n"/>
    </row>
    <row r="2260">
      <c r="F2260" s="1" t="n"/>
    </row>
    <row r="2261">
      <c r="F2261" s="1" t="n"/>
    </row>
    <row r="2262">
      <c r="F2262" s="1" t="n"/>
    </row>
    <row r="2263">
      <c r="F2263" s="1" t="n"/>
    </row>
    <row r="2264">
      <c r="F2264" s="1" t="n"/>
    </row>
    <row r="2265">
      <c r="F2265" s="1" t="n"/>
    </row>
    <row r="2266">
      <c r="F2266" s="1" t="n"/>
    </row>
    <row r="2267">
      <c r="F2267" s="1" t="n"/>
    </row>
    <row r="2268">
      <c r="F2268" s="1" t="n"/>
    </row>
    <row r="2269">
      <c r="F2269" s="1" t="n"/>
    </row>
    <row r="2270">
      <c r="F2270" s="1" t="n"/>
    </row>
    <row r="2271">
      <c r="F2271" s="1" t="n"/>
    </row>
    <row r="2272">
      <c r="F2272" s="1" t="n"/>
    </row>
    <row r="2273">
      <c r="F2273" s="1" t="n"/>
    </row>
    <row r="2274">
      <c r="F2274" s="1" t="n"/>
    </row>
    <row r="2275">
      <c r="F2275" s="1" t="n"/>
    </row>
    <row r="2276">
      <c r="F2276" s="1" t="n"/>
    </row>
    <row r="2277">
      <c r="F2277" s="1" t="n"/>
    </row>
    <row r="2278">
      <c r="F2278" s="1" t="n"/>
    </row>
    <row r="2279">
      <c r="F2279" s="1" t="n"/>
    </row>
    <row r="2280">
      <c r="F2280" s="1" t="n"/>
    </row>
    <row r="2281">
      <c r="F2281" s="1" t="n"/>
    </row>
    <row r="2282">
      <c r="F2282" s="1" t="n"/>
    </row>
    <row r="2283">
      <c r="F2283" s="1" t="n"/>
    </row>
    <row r="2284">
      <c r="F2284" s="1" t="n"/>
    </row>
    <row r="2285">
      <c r="F2285" s="1" t="n"/>
    </row>
    <row r="2286">
      <c r="F2286" s="1" t="n"/>
    </row>
    <row r="2287">
      <c r="F2287" s="1" t="n"/>
    </row>
    <row r="2288">
      <c r="F2288" s="1" t="n"/>
    </row>
    <row r="2289">
      <c r="F2289" s="1" t="n"/>
    </row>
    <row r="2290">
      <c r="F2290" s="1" t="n"/>
    </row>
    <row r="2291">
      <c r="F2291" s="1" t="n"/>
    </row>
    <row r="2292">
      <c r="F2292" s="1" t="n"/>
    </row>
    <row r="2293">
      <c r="F2293" s="1" t="n"/>
    </row>
    <row r="2294">
      <c r="F2294" s="1" t="n"/>
    </row>
    <row r="2295">
      <c r="F2295" s="1" t="n"/>
    </row>
    <row r="2296">
      <c r="F2296" s="1" t="n"/>
    </row>
    <row r="2297">
      <c r="F2297" s="1" t="n"/>
    </row>
    <row r="2298">
      <c r="F2298" s="1" t="n"/>
    </row>
    <row r="2299">
      <c r="F2299" s="1" t="n"/>
    </row>
    <row r="2300">
      <c r="F2300" s="1" t="n"/>
    </row>
    <row r="2301">
      <c r="F2301" s="1" t="n"/>
    </row>
    <row r="2302">
      <c r="F2302" s="1" t="n"/>
    </row>
    <row r="2303">
      <c r="F2303" s="1" t="n"/>
    </row>
    <row r="2304">
      <c r="F2304" s="1" t="n"/>
    </row>
    <row r="2305">
      <c r="F2305" s="1" t="n"/>
    </row>
    <row r="2306">
      <c r="F2306" s="1" t="n"/>
    </row>
    <row r="2307">
      <c r="F2307" s="1" t="n"/>
    </row>
    <row r="2308">
      <c r="F2308" s="1" t="n"/>
    </row>
    <row r="2309">
      <c r="F2309" s="1" t="n"/>
    </row>
    <row r="2310">
      <c r="F2310" s="1" t="n"/>
    </row>
    <row r="2311">
      <c r="F2311" s="1" t="n"/>
    </row>
    <row r="2312">
      <c r="F2312" s="1" t="n"/>
    </row>
    <row r="2313">
      <c r="F2313" s="1" t="n"/>
    </row>
    <row r="2314">
      <c r="F2314" s="1" t="n"/>
    </row>
    <row r="2315">
      <c r="F2315" s="1" t="n"/>
    </row>
    <row r="2316">
      <c r="F2316" s="1" t="n"/>
    </row>
    <row r="2317">
      <c r="F2317" s="1" t="n"/>
    </row>
    <row r="2318">
      <c r="F2318" s="1" t="n"/>
    </row>
    <row r="2319">
      <c r="F2319" s="1" t="n"/>
    </row>
    <row r="2320">
      <c r="F2320" s="1" t="n"/>
    </row>
    <row r="2321">
      <c r="F2321" s="1" t="n"/>
    </row>
    <row r="2322">
      <c r="F2322" s="1" t="n"/>
    </row>
    <row r="2323">
      <c r="F2323" s="1" t="n"/>
    </row>
    <row r="2324">
      <c r="F2324" s="1" t="n"/>
    </row>
    <row r="2325">
      <c r="F2325" s="1" t="n"/>
    </row>
    <row r="2326">
      <c r="F2326" s="1" t="n"/>
    </row>
    <row r="2327">
      <c r="F2327" s="1" t="n"/>
    </row>
    <row r="2328">
      <c r="F2328" s="1" t="n"/>
    </row>
    <row r="2329">
      <c r="F2329" s="1" t="n"/>
    </row>
    <row r="2330">
      <c r="F2330" s="1" t="n"/>
    </row>
    <row r="2331">
      <c r="F2331" s="1" t="n"/>
    </row>
    <row r="2332">
      <c r="F2332" s="1" t="n"/>
    </row>
    <row r="2333">
      <c r="F2333" s="1" t="n"/>
    </row>
    <row r="2334">
      <c r="F2334" s="1" t="n"/>
    </row>
    <row r="2335">
      <c r="F2335" s="1" t="n"/>
    </row>
    <row r="2336">
      <c r="F2336" s="1" t="n"/>
    </row>
    <row r="2337">
      <c r="F2337" s="1" t="n"/>
    </row>
    <row r="2338">
      <c r="F2338" s="1" t="n"/>
    </row>
    <row r="2339">
      <c r="F2339" s="1" t="n"/>
    </row>
    <row r="2340">
      <c r="F2340" s="1" t="n"/>
    </row>
    <row r="2341">
      <c r="F2341" s="1" t="n"/>
    </row>
    <row r="2342">
      <c r="F2342" s="1" t="n"/>
    </row>
    <row r="2343">
      <c r="F2343" s="1" t="n"/>
    </row>
    <row r="2344">
      <c r="F2344" s="1" t="n"/>
    </row>
    <row r="2345">
      <c r="F2345" s="1" t="n"/>
    </row>
    <row r="2346">
      <c r="F2346" s="1" t="n"/>
    </row>
    <row r="2347">
      <c r="F2347" s="1" t="n"/>
    </row>
    <row r="2348">
      <c r="F2348" s="1" t="n"/>
    </row>
    <row r="2349">
      <c r="F2349" s="1" t="n"/>
    </row>
    <row r="2350">
      <c r="F2350" s="1" t="n"/>
    </row>
    <row r="2351">
      <c r="F2351" s="1" t="n"/>
    </row>
    <row r="2352">
      <c r="F2352" s="1" t="n"/>
    </row>
    <row r="2353">
      <c r="F2353" s="1" t="n"/>
    </row>
    <row r="2354">
      <c r="F2354" s="1" t="n"/>
    </row>
    <row r="2355">
      <c r="F2355" s="1" t="n"/>
    </row>
    <row r="2356">
      <c r="F2356" s="1" t="n"/>
    </row>
    <row r="2357">
      <c r="F2357" s="1" t="n"/>
    </row>
    <row r="2358">
      <c r="F2358" s="1" t="n"/>
    </row>
    <row r="2359">
      <c r="F2359" s="1" t="n"/>
    </row>
    <row r="2360">
      <c r="F2360" s="1" t="n"/>
    </row>
    <row r="2361">
      <c r="F2361" s="1" t="n"/>
    </row>
    <row r="2362">
      <c r="F2362" s="1" t="n"/>
    </row>
    <row r="2363">
      <c r="F2363" s="1" t="n"/>
    </row>
    <row r="2364">
      <c r="F2364" s="1" t="n"/>
    </row>
    <row r="2365">
      <c r="F2365" s="1" t="n"/>
    </row>
    <row r="2366">
      <c r="F2366" s="1" t="n"/>
    </row>
    <row r="2367">
      <c r="F2367" s="1" t="n"/>
    </row>
    <row r="2368">
      <c r="F2368" s="1" t="n"/>
    </row>
    <row r="2369">
      <c r="F2369" s="1" t="n"/>
    </row>
    <row r="2370">
      <c r="F2370" s="1" t="n"/>
    </row>
    <row r="2371">
      <c r="F2371" s="1" t="n"/>
    </row>
    <row r="2372">
      <c r="F2372" s="1" t="n"/>
    </row>
    <row r="2373">
      <c r="F2373" s="1" t="n"/>
    </row>
    <row r="2374">
      <c r="F2374" s="1" t="n"/>
    </row>
    <row r="2375">
      <c r="F2375" s="1" t="n"/>
    </row>
    <row r="2376">
      <c r="F2376" s="1" t="n"/>
    </row>
    <row r="2377">
      <c r="F2377" s="1" t="n"/>
    </row>
    <row r="2378">
      <c r="F2378" s="1" t="n"/>
    </row>
    <row r="2379">
      <c r="F2379" s="1" t="n"/>
    </row>
    <row r="2380">
      <c r="F2380" s="1" t="n"/>
    </row>
    <row r="2381">
      <c r="F2381" s="1" t="n"/>
    </row>
    <row r="2382">
      <c r="F2382" s="1" t="n"/>
    </row>
    <row r="2383">
      <c r="F2383" s="1" t="n"/>
    </row>
    <row r="2384">
      <c r="F2384" s="1" t="n"/>
    </row>
    <row r="2385">
      <c r="F2385" s="1" t="n"/>
    </row>
    <row r="2386">
      <c r="F2386" s="1" t="n"/>
    </row>
    <row r="2387">
      <c r="F2387" s="1" t="n"/>
    </row>
    <row r="2388">
      <c r="F2388" s="1" t="n"/>
    </row>
    <row r="2389">
      <c r="F2389" s="1" t="n"/>
    </row>
    <row r="2390">
      <c r="F2390" s="1" t="n"/>
    </row>
    <row r="2391">
      <c r="F2391" s="1" t="n"/>
    </row>
    <row r="2392">
      <c r="F2392" s="1" t="n"/>
    </row>
    <row r="2393">
      <c r="F2393" s="1" t="n"/>
    </row>
    <row r="2394">
      <c r="F2394" s="1" t="n"/>
    </row>
    <row r="2395">
      <c r="F2395" s="1" t="n"/>
    </row>
    <row r="2396">
      <c r="F2396" s="1" t="n"/>
    </row>
    <row r="2397">
      <c r="F2397" s="1" t="n"/>
    </row>
    <row r="2398">
      <c r="F2398" s="1" t="n"/>
    </row>
    <row r="2399">
      <c r="F2399" s="1" t="n"/>
    </row>
    <row r="2400">
      <c r="F2400" s="1" t="n"/>
    </row>
    <row r="2401">
      <c r="F2401" s="1" t="n"/>
    </row>
    <row r="2402">
      <c r="F2402" s="1" t="n"/>
    </row>
    <row r="2403">
      <c r="F2403" s="1" t="n"/>
    </row>
    <row r="2404">
      <c r="F2404" s="1" t="n"/>
    </row>
    <row r="2405">
      <c r="F2405" s="1" t="n"/>
    </row>
    <row r="2406">
      <c r="F2406" s="1" t="n"/>
    </row>
    <row r="2407">
      <c r="F2407" s="1" t="n"/>
    </row>
    <row r="2408">
      <c r="F2408" s="1" t="n"/>
    </row>
    <row r="2409">
      <c r="F2409" s="1" t="n"/>
    </row>
    <row r="2410">
      <c r="F2410" s="1" t="n"/>
    </row>
    <row r="2411">
      <c r="F2411" s="1" t="n"/>
    </row>
    <row r="2412">
      <c r="F2412" s="1" t="n"/>
    </row>
    <row r="2413">
      <c r="F2413" s="1" t="n"/>
    </row>
    <row r="2414">
      <c r="F2414" s="1" t="n"/>
    </row>
    <row r="2415">
      <c r="F2415" s="1" t="n"/>
    </row>
    <row r="2416">
      <c r="F2416" s="1" t="n"/>
    </row>
    <row r="2417">
      <c r="F2417" s="1" t="n"/>
    </row>
    <row r="2418">
      <c r="F2418" s="1" t="n"/>
    </row>
    <row r="2419">
      <c r="F2419" s="1" t="n"/>
    </row>
    <row r="2420">
      <c r="F2420" s="1" t="n"/>
    </row>
    <row r="2421">
      <c r="F2421" s="1" t="n"/>
    </row>
    <row r="2422">
      <c r="F2422" s="1" t="n"/>
    </row>
    <row r="2423">
      <c r="F2423" s="1" t="n"/>
    </row>
    <row r="2424">
      <c r="F2424" s="1" t="n"/>
    </row>
    <row r="2425">
      <c r="F2425" s="1" t="n"/>
    </row>
    <row r="2426">
      <c r="F2426" s="1" t="n"/>
    </row>
    <row r="2427">
      <c r="F2427" s="1" t="n"/>
    </row>
    <row r="2428">
      <c r="F2428" s="1" t="n"/>
    </row>
    <row r="2429">
      <c r="F2429" s="1" t="n"/>
    </row>
    <row r="2430">
      <c r="F2430" s="1" t="n"/>
    </row>
    <row r="2431">
      <c r="F2431" s="1" t="n"/>
    </row>
    <row r="2432">
      <c r="F2432" s="1" t="n"/>
    </row>
    <row r="2433">
      <c r="F2433" s="1" t="n"/>
    </row>
    <row r="2434">
      <c r="F2434" s="1" t="n"/>
    </row>
    <row r="2435">
      <c r="F2435" s="1" t="n"/>
    </row>
    <row r="2436">
      <c r="F2436" s="1" t="n"/>
    </row>
    <row r="2437">
      <c r="F2437" s="1" t="n"/>
    </row>
    <row r="2438">
      <c r="F2438" s="1" t="n"/>
    </row>
    <row r="2439">
      <c r="F2439" s="1" t="n"/>
    </row>
    <row r="2440">
      <c r="F2440" s="1" t="n"/>
    </row>
    <row r="2441">
      <c r="F2441" s="1" t="n"/>
    </row>
    <row r="2442">
      <c r="F2442" s="1" t="n"/>
    </row>
    <row r="2443">
      <c r="F2443" s="1" t="n"/>
    </row>
    <row r="2444">
      <c r="F2444" s="1" t="n"/>
    </row>
    <row r="2445">
      <c r="F2445" s="1" t="n"/>
    </row>
    <row r="2446">
      <c r="F2446" s="1" t="n"/>
    </row>
    <row r="2447">
      <c r="F2447" s="1" t="n"/>
    </row>
    <row r="2448">
      <c r="F2448" s="1" t="n"/>
    </row>
    <row r="2449">
      <c r="F2449" s="1" t="n"/>
    </row>
    <row r="2450">
      <c r="F2450" s="1" t="n"/>
    </row>
    <row r="2451">
      <c r="F2451" s="1" t="n"/>
    </row>
    <row r="2452">
      <c r="F2452" s="1" t="n"/>
    </row>
    <row r="2453">
      <c r="F2453" s="1" t="n"/>
    </row>
    <row r="2454">
      <c r="F2454" s="1" t="n"/>
    </row>
    <row r="2455">
      <c r="F2455" s="1" t="n"/>
    </row>
    <row r="2456">
      <c r="F2456" s="1" t="n"/>
    </row>
    <row r="2457">
      <c r="F2457" s="1" t="n"/>
    </row>
    <row r="2458">
      <c r="F2458" s="1" t="n"/>
    </row>
    <row r="2459">
      <c r="F2459" s="1" t="n"/>
    </row>
    <row r="2460">
      <c r="F2460" s="1" t="n"/>
    </row>
    <row r="2461">
      <c r="F2461" s="1" t="n"/>
    </row>
    <row r="2462">
      <c r="F2462" s="1" t="n"/>
    </row>
    <row r="2463">
      <c r="F2463" s="1" t="n"/>
    </row>
    <row r="2464">
      <c r="F2464" s="1" t="n"/>
    </row>
    <row r="2465">
      <c r="F2465" s="1" t="n"/>
    </row>
    <row r="2466">
      <c r="F2466" s="1" t="n"/>
    </row>
    <row r="2467">
      <c r="F2467" s="1" t="n"/>
    </row>
    <row r="2468">
      <c r="F2468" s="1" t="n"/>
    </row>
    <row r="2469">
      <c r="F2469" s="1" t="n"/>
    </row>
    <row r="2470">
      <c r="F2470" s="1" t="n"/>
    </row>
    <row r="2471">
      <c r="F2471" s="1" t="n"/>
    </row>
    <row r="2472">
      <c r="F2472" s="1" t="n"/>
    </row>
    <row r="2473">
      <c r="F2473" s="1" t="n"/>
    </row>
    <row r="2474">
      <c r="F2474" s="1" t="n"/>
    </row>
    <row r="2475">
      <c r="F2475" s="1" t="n"/>
    </row>
    <row r="2476">
      <c r="F2476" s="1" t="n"/>
    </row>
    <row r="2477">
      <c r="F2477" s="1" t="n"/>
    </row>
    <row r="2478">
      <c r="F2478" s="1" t="n"/>
    </row>
    <row r="2479">
      <c r="F2479" s="1" t="n"/>
    </row>
    <row r="2480">
      <c r="F2480" s="1" t="n"/>
    </row>
    <row r="2481">
      <c r="F2481" s="1" t="n"/>
    </row>
    <row r="2482">
      <c r="F2482" s="1" t="n"/>
    </row>
    <row r="2483">
      <c r="F2483" s="1" t="n"/>
    </row>
    <row r="2484">
      <c r="F2484" s="1" t="n"/>
    </row>
    <row r="2485">
      <c r="F2485" s="1" t="n"/>
    </row>
    <row r="2486">
      <c r="F2486" s="1" t="n"/>
    </row>
    <row r="2487">
      <c r="F2487" s="1" t="n"/>
    </row>
    <row r="2488">
      <c r="F2488" s="1" t="n"/>
    </row>
    <row r="2489">
      <c r="F2489" s="1" t="n"/>
    </row>
    <row r="2490">
      <c r="F2490" s="1" t="n"/>
    </row>
    <row r="2491">
      <c r="F2491" s="1" t="n"/>
    </row>
    <row r="2492">
      <c r="F2492" s="1" t="n"/>
    </row>
    <row r="2493">
      <c r="F2493" s="1" t="n"/>
    </row>
    <row r="2494">
      <c r="F2494" s="1" t="n"/>
    </row>
    <row r="2495">
      <c r="F2495" s="1" t="n"/>
    </row>
    <row r="2496">
      <c r="F2496" s="1" t="n"/>
    </row>
    <row r="2497">
      <c r="F2497" s="1" t="n"/>
    </row>
    <row r="2498">
      <c r="F2498" s="1" t="n"/>
    </row>
    <row r="2499">
      <c r="F2499" s="1" t="n"/>
    </row>
    <row r="2500">
      <c r="F2500" s="1" t="n"/>
    </row>
    <row r="2501">
      <c r="F2501" s="1" t="n"/>
    </row>
    <row r="2502">
      <c r="F2502" s="1" t="n"/>
    </row>
    <row r="2503">
      <c r="F2503" s="1" t="n"/>
    </row>
    <row r="2504">
      <c r="F2504" s="1" t="n"/>
    </row>
    <row r="2505">
      <c r="F2505" s="1" t="n"/>
    </row>
    <row r="2506">
      <c r="F2506" s="1" t="n"/>
    </row>
    <row r="2507">
      <c r="F2507" s="1" t="n"/>
    </row>
    <row r="2508">
      <c r="F2508" s="1" t="n"/>
    </row>
    <row r="2509">
      <c r="F2509" s="1" t="n"/>
    </row>
    <row r="2510">
      <c r="F2510" s="1" t="n"/>
    </row>
    <row r="2511">
      <c r="F2511" s="1" t="n"/>
    </row>
    <row r="2512">
      <c r="F2512" s="1" t="n"/>
    </row>
    <row r="2513">
      <c r="F2513" s="1" t="n"/>
    </row>
    <row r="2514">
      <c r="F2514" s="1" t="n"/>
    </row>
    <row r="2515">
      <c r="F2515" s="1" t="n"/>
    </row>
    <row r="2516">
      <c r="F2516" s="1" t="n"/>
    </row>
    <row r="2517">
      <c r="F2517" s="1" t="n"/>
    </row>
    <row r="2518">
      <c r="F2518" s="1" t="n"/>
    </row>
    <row r="2519">
      <c r="F2519" s="1" t="n"/>
    </row>
    <row r="2520">
      <c r="F2520" s="1" t="n"/>
    </row>
    <row r="2521">
      <c r="F2521" s="1" t="n"/>
    </row>
    <row r="2522">
      <c r="F2522" s="1" t="n"/>
    </row>
    <row r="2523">
      <c r="F2523" s="1" t="n"/>
    </row>
    <row r="2524">
      <c r="F2524" s="1" t="n"/>
    </row>
    <row r="2525">
      <c r="F2525" s="1" t="n"/>
    </row>
    <row r="2526">
      <c r="F2526" s="1" t="n"/>
    </row>
    <row r="2527">
      <c r="F2527" s="1" t="n"/>
    </row>
    <row r="2528">
      <c r="F2528" s="1" t="n"/>
    </row>
    <row r="2529">
      <c r="F2529" s="1" t="n"/>
    </row>
    <row r="2530">
      <c r="F2530" s="1" t="n"/>
    </row>
    <row r="2531">
      <c r="F2531" s="1" t="n"/>
    </row>
    <row r="2532">
      <c r="F2532" s="1" t="n"/>
    </row>
    <row r="2533">
      <c r="F2533" s="1" t="n"/>
    </row>
    <row r="2534">
      <c r="F2534" s="1" t="n"/>
    </row>
    <row r="2535">
      <c r="F2535" s="1" t="n"/>
    </row>
    <row r="2536">
      <c r="F2536" s="1" t="n"/>
    </row>
    <row r="2537">
      <c r="F2537" s="1" t="n"/>
    </row>
    <row r="2538">
      <c r="F2538" s="1" t="n"/>
    </row>
    <row r="2539">
      <c r="F2539" s="1" t="n"/>
    </row>
    <row r="2540">
      <c r="F2540" s="1" t="n"/>
    </row>
    <row r="2541">
      <c r="F2541" s="1" t="n"/>
    </row>
    <row r="2542">
      <c r="F2542" s="1" t="n"/>
    </row>
    <row r="2543">
      <c r="F2543" s="1" t="n"/>
    </row>
    <row r="2544">
      <c r="F2544" s="1" t="n"/>
    </row>
    <row r="2545">
      <c r="F2545" s="1" t="n"/>
    </row>
    <row r="2546">
      <c r="F2546" s="1" t="n"/>
    </row>
    <row r="2547">
      <c r="F2547" s="1" t="n"/>
    </row>
    <row r="2548">
      <c r="F2548" s="1" t="n"/>
    </row>
    <row r="2549">
      <c r="F2549" s="1" t="n"/>
    </row>
    <row r="2550">
      <c r="F2550" s="1" t="n"/>
    </row>
    <row r="2551">
      <c r="F2551" s="1" t="n"/>
    </row>
    <row r="2552">
      <c r="F2552" s="1" t="n"/>
    </row>
    <row r="2553">
      <c r="F2553" s="1" t="n"/>
    </row>
    <row r="2554">
      <c r="F2554" s="1" t="n"/>
    </row>
    <row r="2555">
      <c r="F2555" s="1" t="n"/>
    </row>
    <row r="2556">
      <c r="F2556" s="1" t="n"/>
    </row>
    <row r="2557">
      <c r="F2557" s="1" t="n"/>
    </row>
    <row r="2558">
      <c r="F2558" s="1" t="n"/>
    </row>
    <row r="2559">
      <c r="F2559" s="1" t="n"/>
    </row>
    <row r="2560">
      <c r="F2560" s="1" t="n"/>
    </row>
    <row r="2561">
      <c r="F2561" s="1" t="n"/>
    </row>
    <row r="2562">
      <c r="F2562" s="1" t="n"/>
    </row>
    <row r="2563">
      <c r="F2563" s="1" t="n"/>
    </row>
    <row r="2564">
      <c r="F2564" s="1" t="n"/>
    </row>
    <row r="2565">
      <c r="F2565" s="1" t="n"/>
    </row>
    <row r="2566">
      <c r="F2566" s="1" t="n"/>
    </row>
    <row r="2567">
      <c r="F2567" s="1" t="n"/>
    </row>
    <row r="2568">
      <c r="F2568" s="1" t="n"/>
    </row>
    <row r="2569">
      <c r="F2569" s="1" t="n"/>
    </row>
    <row r="2570">
      <c r="F2570" s="1" t="n"/>
    </row>
    <row r="2571">
      <c r="F2571" s="1" t="n"/>
    </row>
    <row r="2572">
      <c r="F2572" s="1" t="n"/>
    </row>
    <row r="2573">
      <c r="F2573" s="1" t="n"/>
    </row>
    <row r="2574">
      <c r="F2574" s="1" t="n"/>
    </row>
    <row r="2575">
      <c r="F2575" s="1" t="n"/>
    </row>
    <row r="2576">
      <c r="F2576" s="1" t="n"/>
    </row>
    <row r="2577">
      <c r="F2577" s="1" t="n"/>
    </row>
    <row r="2578">
      <c r="F2578" s="1" t="n"/>
    </row>
    <row r="2579">
      <c r="F2579" s="1" t="n"/>
    </row>
    <row r="2580">
      <c r="F2580" s="1" t="n"/>
    </row>
    <row r="2581">
      <c r="F2581" s="1" t="n"/>
    </row>
    <row r="2582">
      <c r="F2582" s="1" t="n"/>
    </row>
    <row r="2583">
      <c r="F2583" s="1" t="n"/>
    </row>
    <row r="2584">
      <c r="F2584" s="1" t="n"/>
    </row>
    <row r="2585">
      <c r="F2585" s="1" t="n"/>
    </row>
    <row r="2586">
      <c r="F2586" s="1" t="n"/>
    </row>
    <row r="2587">
      <c r="F2587" s="1" t="n"/>
    </row>
    <row r="2588">
      <c r="F2588" s="1" t="n"/>
    </row>
    <row r="2589">
      <c r="F2589" s="1" t="n"/>
    </row>
    <row r="2590">
      <c r="F2590" s="1" t="n"/>
    </row>
    <row r="2591">
      <c r="F2591" s="1" t="n"/>
    </row>
    <row r="2592">
      <c r="F2592" s="1" t="n"/>
    </row>
    <row r="2593">
      <c r="F2593" s="1" t="n"/>
    </row>
    <row r="2594">
      <c r="F2594" s="1" t="n"/>
    </row>
    <row r="2595">
      <c r="F2595" s="1" t="n"/>
    </row>
    <row r="2596">
      <c r="F2596" s="1" t="n"/>
    </row>
    <row r="2597">
      <c r="F2597" s="1" t="n"/>
    </row>
    <row r="2598">
      <c r="F2598" s="1" t="n"/>
    </row>
    <row r="2599">
      <c r="F2599" s="1" t="n"/>
    </row>
    <row r="2600">
      <c r="F2600" s="1" t="n"/>
    </row>
    <row r="2601">
      <c r="F2601" s="1" t="n"/>
    </row>
    <row r="2602">
      <c r="F2602" s="1" t="n"/>
    </row>
    <row r="2603">
      <c r="F2603" s="1" t="n"/>
    </row>
    <row r="2604">
      <c r="F2604" s="1" t="n"/>
    </row>
    <row r="2605">
      <c r="F2605" s="1" t="n"/>
    </row>
    <row r="2606">
      <c r="F2606" s="1" t="n"/>
    </row>
    <row r="2607">
      <c r="F2607" s="1" t="n"/>
    </row>
    <row r="2608">
      <c r="F2608" s="1" t="n"/>
    </row>
    <row r="2609">
      <c r="F2609" s="1" t="n"/>
    </row>
    <row r="2610">
      <c r="F2610" s="1" t="n"/>
    </row>
    <row r="2611">
      <c r="F2611" s="1" t="n"/>
    </row>
    <row r="2612">
      <c r="F2612" s="1" t="n"/>
    </row>
    <row r="2613">
      <c r="F2613" s="1" t="n"/>
    </row>
    <row r="2614">
      <c r="F2614" s="1" t="n"/>
    </row>
    <row r="2615">
      <c r="F2615" s="1" t="n"/>
    </row>
    <row r="2616">
      <c r="F2616" s="1" t="n"/>
    </row>
    <row r="2617">
      <c r="F2617" s="1" t="n"/>
    </row>
    <row r="2618">
      <c r="F2618" s="1" t="n"/>
    </row>
    <row r="2619">
      <c r="F2619" s="1" t="n"/>
    </row>
    <row r="2620">
      <c r="F2620" s="1" t="n"/>
    </row>
    <row r="2621">
      <c r="F2621" s="1" t="n"/>
    </row>
    <row r="2622">
      <c r="F2622" s="1" t="n"/>
    </row>
    <row r="2623">
      <c r="F2623" s="1" t="n"/>
    </row>
    <row r="2624">
      <c r="F2624" s="1" t="n"/>
    </row>
    <row r="2625">
      <c r="F2625" s="1" t="n"/>
    </row>
    <row r="2626">
      <c r="F2626" s="1" t="n"/>
    </row>
    <row r="2627">
      <c r="F2627" s="1" t="n"/>
    </row>
    <row r="2628">
      <c r="F2628" s="1" t="n"/>
    </row>
    <row r="2629">
      <c r="F2629" s="1" t="n"/>
    </row>
    <row r="2630">
      <c r="F2630" s="1" t="n"/>
    </row>
    <row r="2631">
      <c r="F2631" s="1" t="n"/>
    </row>
    <row r="2632">
      <c r="F2632" s="1" t="n"/>
    </row>
    <row r="2633">
      <c r="F2633" s="1" t="n"/>
    </row>
    <row r="2634">
      <c r="F2634" s="1" t="n"/>
    </row>
    <row r="2635">
      <c r="F2635" s="1" t="n"/>
    </row>
    <row r="2636">
      <c r="F2636" s="1" t="n"/>
    </row>
    <row r="2637">
      <c r="F2637" s="1" t="n"/>
    </row>
    <row r="2638">
      <c r="F2638" s="1" t="n"/>
    </row>
    <row r="2639">
      <c r="F2639" s="1" t="n"/>
    </row>
    <row r="2640">
      <c r="F2640" s="1" t="n"/>
    </row>
    <row r="2641">
      <c r="F2641" s="1" t="n"/>
    </row>
    <row r="2642">
      <c r="F2642" s="1" t="n"/>
    </row>
    <row r="2643">
      <c r="F2643" s="1" t="n"/>
    </row>
    <row r="2644">
      <c r="F2644" s="1" t="n"/>
    </row>
    <row r="2645">
      <c r="F2645" s="1" t="n"/>
    </row>
    <row r="2646">
      <c r="F2646" s="1" t="n"/>
    </row>
    <row r="2647">
      <c r="F2647" s="1" t="n"/>
    </row>
    <row r="2648">
      <c r="F2648" s="1" t="n"/>
    </row>
    <row r="2649">
      <c r="F2649" s="1" t="n"/>
    </row>
    <row r="2650">
      <c r="F2650" s="1" t="n"/>
    </row>
    <row r="2651">
      <c r="F2651" s="1" t="n"/>
    </row>
    <row r="2652">
      <c r="F2652" s="1" t="n"/>
    </row>
    <row r="2653">
      <c r="F2653" s="1" t="n"/>
    </row>
    <row r="2654">
      <c r="F2654" s="1" t="n"/>
    </row>
    <row r="2655">
      <c r="F2655" s="1" t="n"/>
    </row>
    <row r="2656">
      <c r="F2656" s="1" t="n"/>
    </row>
    <row r="2657">
      <c r="F2657" s="1" t="n"/>
    </row>
    <row r="2658">
      <c r="F2658" s="1" t="n"/>
    </row>
    <row r="2659">
      <c r="F2659" s="1" t="n"/>
    </row>
    <row r="2660">
      <c r="F2660" s="1" t="n"/>
    </row>
    <row r="2661">
      <c r="F2661" s="1" t="n"/>
    </row>
    <row r="2662">
      <c r="F2662" s="1" t="n"/>
    </row>
    <row r="2663">
      <c r="F2663" s="1" t="n"/>
    </row>
    <row r="2664">
      <c r="F2664" s="1" t="n"/>
    </row>
    <row r="2665">
      <c r="F2665" s="1" t="n"/>
    </row>
    <row r="2666">
      <c r="F2666" s="1" t="n"/>
    </row>
    <row r="2667">
      <c r="F2667" s="1" t="n"/>
    </row>
    <row r="2668">
      <c r="F2668" s="1" t="n"/>
    </row>
    <row r="2669">
      <c r="F2669" s="1" t="n"/>
    </row>
    <row r="2670">
      <c r="F2670" s="1" t="n"/>
    </row>
    <row r="2671">
      <c r="F2671" s="1" t="n"/>
    </row>
    <row r="2672">
      <c r="F2672" s="1" t="n"/>
    </row>
    <row r="2673">
      <c r="F2673" s="1" t="n"/>
    </row>
    <row r="2674">
      <c r="F2674" s="1" t="n"/>
    </row>
    <row r="2675">
      <c r="F2675" s="1" t="n"/>
    </row>
    <row r="2676">
      <c r="F2676" s="1" t="n"/>
    </row>
    <row r="2677">
      <c r="F2677" s="1" t="n"/>
    </row>
    <row r="2678">
      <c r="F2678" s="1" t="n"/>
    </row>
    <row r="2679">
      <c r="F2679" s="1" t="n"/>
    </row>
    <row r="2680">
      <c r="F2680" s="1" t="n"/>
    </row>
    <row r="2681">
      <c r="F2681" s="1" t="n"/>
    </row>
    <row r="2682">
      <c r="F2682" s="1" t="n"/>
    </row>
    <row r="2683">
      <c r="F2683" s="1" t="n"/>
    </row>
    <row r="2684">
      <c r="F2684" s="1" t="n"/>
    </row>
    <row r="2685">
      <c r="F2685" s="1" t="n"/>
    </row>
    <row r="2686">
      <c r="F2686" s="1" t="n"/>
    </row>
    <row r="2687">
      <c r="F2687" s="1" t="n"/>
    </row>
    <row r="2688">
      <c r="F2688" s="1" t="n"/>
    </row>
    <row r="2689">
      <c r="F2689" s="1" t="n"/>
    </row>
    <row r="2690">
      <c r="F2690" s="1" t="n"/>
    </row>
    <row r="2691">
      <c r="F2691" s="1" t="n"/>
    </row>
    <row r="2692">
      <c r="F2692" s="1" t="n"/>
    </row>
    <row r="2693">
      <c r="F2693" s="1" t="n"/>
    </row>
    <row r="2694">
      <c r="F2694" s="1" t="n"/>
    </row>
    <row r="2695">
      <c r="F2695" s="1" t="n"/>
    </row>
    <row r="2696">
      <c r="F2696" s="1" t="n"/>
    </row>
    <row r="2697">
      <c r="F2697" s="1" t="n"/>
    </row>
    <row r="2698">
      <c r="F2698" s="1" t="n"/>
    </row>
    <row r="2699">
      <c r="F2699" s="1" t="n"/>
    </row>
    <row r="2700">
      <c r="F2700" s="1" t="n"/>
    </row>
    <row r="2701">
      <c r="F2701" s="1" t="n"/>
    </row>
    <row r="2702">
      <c r="F2702" s="1" t="n"/>
    </row>
    <row r="2703">
      <c r="F2703" s="1" t="n"/>
    </row>
    <row r="2704">
      <c r="F2704" s="1" t="n"/>
    </row>
    <row r="2705">
      <c r="F2705" s="1" t="n"/>
    </row>
    <row r="2706">
      <c r="F2706" s="1" t="n"/>
    </row>
    <row r="2707">
      <c r="F2707" s="1" t="n"/>
    </row>
    <row r="2708">
      <c r="F2708" s="1" t="n"/>
    </row>
    <row r="2709">
      <c r="F2709" s="1" t="n"/>
    </row>
    <row r="2710">
      <c r="F2710" s="1" t="n"/>
    </row>
    <row r="2711">
      <c r="F2711" s="1" t="n"/>
    </row>
    <row r="2712">
      <c r="F2712" s="1" t="n"/>
    </row>
    <row r="2713">
      <c r="F2713" s="1" t="n"/>
    </row>
    <row r="2714">
      <c r="F2714" s="1" t="n"/>
    </row>
    <row r="2715">
      <c r="F2715" s="1" t="n"/>
    </row>
    <row r="2716">
      <c r="F2716" s="1" t="n"/>
    </row>
    <row r="2717">
      <c r="F2717" s="1" t="n"/>
    </row>
    <row r="2718">
      <c r="F2718" s="1" t="n"/>
    </row>
    <row r="2719">
      <c r="F2719" s="1" t="n"/>
    </row>
    <row r="2720">
      <c r="F2720" s="1" t="n"/>
    </row>
    <row r="2721">
      <c r="F2721" s="1" t="n"/>
    </row>
    <row r="2722">
      <c r="F2722" s="1" t="n"/>
    </row>
    <row r="2723">
      <c r="F2723" s="1" t="n"/>
    </row>
    <row r="2724">
      <c r="F2724" s="1" t="n"/>
    </row>
    <row r="2725">
      <c r="F2725" s="1" t="n"/>
    </row>
    <row r="2726">
      <c r="F2726" s="1" t="n"/>
    </row>
    <row r="2727">
      <c r="F2727" s="1" t="n"/>
    </row>
    <row r="2728">
      <c r="F2728" s="1" t="n"/>
    </row>
    <row r="2729">
      <c r="F2729" s="1" t="n"/>
    </row>
    <row r="2730">
      <c r="F2730" s="1" t="n"/>
    </row>
    <row r="2731">
      <c r="F2731" s="1" t="n"/>
    </row>
    <row r="2732">
      <c r="F2732" s="1" t="n"/>
    </row>
    <row r="2733">
      <c r="F2733" s="1" t="n"/>
    </row>
    <row r="2734">
      <c r="F2734" s="1" t="n"/>
    </row>
    <row r="2735">
      <c r="F2735" s="1" t="n"/>
    </row>
    <row r="2736">
      <c r="F2736" s="1" t="n"/>
    </row>
    <row r="2737">
      <c r="F2737" s="1" t="n"/>
    </row>
    <row r="2738">
      <c r="F2738" s="1" t="n"/>
    </row>
    <row r="2739">
      <c r="F2739" s="1" t="n"/>
    </row>
    <row r="2740">
      <c r="F2740" s="1" t="n"/>
    </row>
    <row r="2741">
      <c r="F2741" s="1" t="n"/>
    </row>
    <row r="2742">
      <c r="F2742" s="1" t="n"/>
    </row>
    <row r="2743">
      <c r="F2743" s="1" t="n"/>
    </row>
    <row r="2744">
      <c r="F2744" s="1" t="n"/>
    </row>
    <row r="2745">
      <c r="F2745" s="1" t="n"/>
    </row>
    <row r="2746">
      <c r="F2746" s="1" t="n"/>
    </row>
    <row r="2747">
      <c r="F2747" s="1" t="n"/>
    </row>
    <row r="2748">
      <c r="F2748" s="1" t="n"/>
    </row>
    <row r="2749">
      <c r="F2749" s="1" t="n"/>
    </row>
    <row r="2750">
      <c r="F2750" s="1" t="n"/>
    </row>
    <row r="2751">
      <c r="F2751" s="1" t="n"/>
    </row>
    <row r="2752">
      <c r="F2752" s="1" t="n"/>
    </row>
    <row r="2753">
      <c r="F2753" s="1" t="n"/>
    </row>
    <row r="2754">
      <c r="F2754" s="1" t="n"/>
    </row>
    <row r="2755">
      <c r="F2755" s="1" t="n"/>
    </row>
    <row r="2756">
      <c r="F2756" s="1" t="n"/>
    </row>
    <row r="2757">
      <c r="F2757" s="1" t="n"/>
    </row>
    <row r="2758">
      <c r="F2758" s="1" t="n"/>
    </row>
    <row r="2759">
      <c r="F2759" s="1" t="n"/>
    </row>
    <row r="2760">
      <c r="F2760" s="1" t="n"/>
    </row>
    <row r="2761">
      <c r="F2761" s="1" t="n"/>
    </row>
    <row r="2762">
      <c r="F2762" s="1" t="n"/>
    </row>
    <row r="2763">
      <c r="F2763" s="1" t="n"/>
    </row>
    <row r="2764">
      <c r="F2764" s="1" t="n"/>
    </row>
    <row r="2765">
      <c r="F2765" s="1" t="n"/>
    </row>
    <row r="2766">
      <c r="F2766" s="1" t="n"/>
    </row>
    <row r="2767">
      <c r="F2767" s="1" t="n"/>
    </row>
    <row r="2768">
      <c r="F2768" s="1" t="n"/>
    </row>
    <row r="2769">
      <c r="F2769" s="1" t="n"/>
    </row>
    <row r="2770">
      <c r="F2770" s="1" t="n"/>
    </row>
    <row r="2771">
      <c r="F2771" s="1" t="n"/>
    </row>
    <row r="2772">
      <c r="F2772" s="1" t="n"/>
    </row>
    <row r="2773">
      <c r="F2773" s="1" t="n"/>
    </row>
    <row r="2774">
      <c r="F2774" s="1" t="n"/>
    </row>
    <row r="2775">
      <c r="F2775" s="1" t="n"/>
    </row>
    <row r="2776">
      <c r="F2776" s="1" t="n"/>
    </row>
    <row r="2777">
      <c r="F2777" s="1" t="n"/>
    </row>
    <row r="2778">
      <c r="F2778" s="1" t="n"/>
    </row>
    <row r="2779">
      <c r="F2779" s="1" t="n"/>
    </row>
    <row r="2780">
      <c r="F2780" s="1" t="n"/>
    </row>
    <row r="2781">
      <c r="F2781" s="1" t="n"/>
    </row>
    <row r="2782">
      <c r="F2782" s="1" t="n"/>
    </row>
    <row r="2783">
      <c r="F2783" s="1" t="n"/>
    </row>
    <row r="2784">
      <c r="F2784" s="1" t="n"/>
    </row>
    <row r="2785">
      <c r="F2785" s="1" t="n"/>
    </row>
    <row r="2786">
      <c r="F2786" s="1" t="n"/>
    </row>
    <row r="2787">
      <c r="F2787" s="1" t="n"/>
    </row>
    <row r="2788">
      <c r="F2788" s="1" t="n"/>
    </row>
    <row r="2789">
      <c r="F2789" s="1" t="n"/>
    </row>
    <row r="2790">
      <c r="F2790" s="1" t="n"/>
    </row>
    <row r="2791">
      <c r="F2791" s="1" t="n"/>
    </row>
    <row r="2792">
      <c r="F2792" s="1" t="n"/>
    </row>
    <row r="2793">
      <c r="F2793" s="1" t="n"/>
    </row>
    <row r="2794">
      <c r="F2794" s="1" t="n"/>
    </row>
    <row r="2795">
      <c r="F2795" s="1" t="n"/>
    </row>
    <row r="2796">
      <c r="F2796" s="1" t="n"/>
    </row>
    <row r="2797">
      <c r="F2797" s="1" t="n"/>
    </row>
    <row r="2798">
      <c r="F2798" s="1" t="n"/>
    </row>
    <row r="2799">
      <c r="F2799" s="1" t="n"/>
    </row>
    <row r="2800">
      <c r="F2800" s="1" t="n"/>
    </row>
    <row r="2801">
      <c r="F2801" s="1" t="n"/>
    </row>
    <row r="2802">
      <c r="F2802" s="1" t="n"/>
    </row>
    <row r="2803">
      <c r="F2803" s="1" t="n"/>
    </row>
    <row r="2804">
      <c r="F2804" s="1" t="n"/>
    </row>
    <row r="2805">
      <c r="F2805" s="1" t="n"/>
    </row>
    <row r="2806">
      <c r="F2806" s="1" t="n"/>
    </row>
    <row r="2807">
      <c r="F2807" s="1" t="n"/>
    </row>
    <row r="2808">
      <c r="F2808" s="1" t="n"/>
    </row>
    <row r="2809">
      <c r="F2809" s="1" t="n"/>
    </row>
    <row r="2810">
      <c r="F2810" s="1" t="n"/>
    </row>
    <row r="2811">
      <c r="F2811" s="1" t="n"/>
    </row>
    <row r="2812">
      <c r="F2812" s="1" t="n"/>
    </row>
    <row r="2813">
      <c r="F2813" s="1" t="n"/>
    </row>
    <row r="2814">
      <c r="F2814" s="1" t="n"/>
    </row>
    <row r="2815">
      <c r="F2815" s="1" t="n"/>
    </row>
    <row r="2816">
      <c r="F2816" s="1" t="n"/>
    </row>
    <row r="2817">
      <c r="F2817" s="1" t="n"/>
    </row>
    <row r="2818">
      <c r="F2818" s="1" t="n"/>
    </row>
    <row r="2819">
      <c r="F2819" s="1" t="n"/>
    </row>
    <row r="2820">
      <c r="F2820" s="1" t="n"/>
    </row>
    <row r="2821">
      <c r="F2821" s="1" t="n"/>
    </row>
    <row r="2822">
      <c r="F2822" s="1" t="n"/>
    </row>
    <row r="2823">
      <c r="F2823" s="1" t="n"/>
    </row>
    <row r="2824">
      <c r="F2824" s="1" t="n"/>
    </row>
    <row r="2825">
      <c r="F2825" s="1" t="n"/>
    </row>
    <row r="2826">
      <c r="F2826" s="1" t="n"/>
    </row>
    <row r="2827">
      <c r="F2827" s="1" t="n"/>
    </row>
    <row r="2828">
      <c r="F2828" s="1" t="n"/>
    </row>
    <row r="2829">
      <c r="F2829" s="1" t="n"/>
    </row>
    <row r="2830">
      <c r="F2830" s="1" t="n"/>
    </row>
    <row r="2831">
      <c r="F2831" s="1" t="n"/>
    </row>
    <row r="2832">
      <c r="F2832" s="1" t="n"/>
    </row>
    <row r="2833">
      <c r="F2833" s="1" t="n"/>
    </row>
    <row r="2834">
      <c r="F2834" s="1" t="n"/>
    </row>
    <row r="2835">
      <c r="F2835" s="1" t="n"/>
    </row>
    <row r="2836">
      <c r="F2836" s="1" t="n"/>
    </row>
    <row r="2837">
      <c r="F2837" s="1" t="n"/>
    </row>
    <row r="2838">
      <c r="F2838" s="1" t="n"/>
    </row>
    <row r="2839">
      <c r="F2839" s="1" t="n"/>
    </row>
    <row r="2840">
      <c r="F2840" s="1" t="n"/>
    </row>
    <row r="2841">
      <c r="F2841" s="1" t="n"/>
    </row>
    <row r="2842">
      <c r="F2842" s="1" t="n"/>
    </row>
    <row r="2843">
      <c r="F2843" s="1" t="n"/>
    </row>
    <row r="2844">
      <c r="F2844" s="1" t="n"/>
    </row>
    <row r="2845">
      <c r="F2845" s="1" t="n"/>
    </row>
    <row r="2846">
      <c r="F2846" s="1" t="n"/>
    </row>
    <row r="2847">
      <c r="F2847" s="1" t="n"/>
    </row>
    <row r="2848">
      <c r="F2848" s="1" t="n"/>
    </row>
    <row r="2849">
      <c r="F2849" s="1" t="n"/>
    </row>
    <row r="2850">
      <c r="F2850" s="1" t="n"/>
    </row>
    <row r="2851">
      <c r="F2851" s="1" t="n"/>
    </row>
    <row r="2852">
      <c r="F2852" s="1" t="n"/>
    </row>
    <row r="2853">
      <c r="F2853" s="1" t="n"/>
    </row>
    <row r="2854">
      <c r="F2854" s="1" t="n"/>
    </row>
    <row r="2855">
      <c r="F2855" s="1" t="n"/>
    </row>
    <row r="2856">
      <c r="F2856" s="1" t="n"/>
    </row>
    <row r="2857">
      <c r="F2857" s="1" t="n"/>
    </row>
    <row r="2858">
      <c r="F2858" s="1" t="n"/>
    </row>
    <row r="2859">
      <c r="F2859" s="1" t="n"/>
    </row>
    <row r="2860">
      <c r="F2860" s="1" t="n"/>
    </row>
    <row r="2861">
      <c r="F2861" s="1" t="n"/>
    </row>
    <row r="2862">
      <c r="F2862" s="1" t="n"/>
    </row>
    <row r="2863">
      <c r="F2863" s="1" t="n"/>
    </row>
    <row r="2864">
      <c r="F2864" s="1" t="n"/>
    </row>
    <row r="2865">
      <c r="F2865" s="1" t="n"/>
    </row>
    <row r="2866">
      <c r="F2866" s="1" t="n"/>
    </row>
    <row r="2867">
      <c r="F2867" s="1" t="n"/>
    </row>
    <row r="2868">
      <c r="F2868" s="1" t="n"/>
    </row>
    <row r="2869">
      <c r="F2869" s="1" t="n"/>
    </row>
    <row r="2870">
      <c r="F2870" s="1" t="n"/>
    </row>
    <row r="2871">
      <c r="F2871" s="1" t="n"/>
    </row>
    <row r="2872">
      <c r="F2872" s="1" t="n"/>
    </row>
    <row r="2873">
      <c r="F2873" s="1" t="n"/>
    </row>
    <row r="2874">
      <c r="F2874" s="1" t="n"/>
    </row>
    <row r="2875">
      <c r="F2875" s="1" t="n"/>
    </row>
    <row r="2876">
      <c r="F2876" s="1" t="n"/>
    </row>
    <row r="2877">
      <c r="F2877" s="1" t="n"/>
    </row>
    <row r="2878">
      <c r="F2878" s="1" t="n"/>
    </row>
    <row r="2879">
      <c r="F2879" s="1" t="n"/>
    </row>
    <row r="2880">
      <c r="F2880" s="1" t="n"/>
    </row>
    <row r="2881">
      <c r="F2881" s="1" t="n"/>
    </row>
    <row r="2882">
      <c r="F2882" s="1" t="n"/>
    </row>
    <row r="2883">
      <c r="F2883" s="1" t="n"/>
    </row>
    <row r="2884">
      <c r="F2884" s="1" t="n"/>
    </row>
    <row r="2885">
      <c r="F2885" s="1" t="n"/>
    </row>
    <row r="2886">
      <c r="F2886" s="1" t="n"/>
    </row>
    <row r="2887">
      <c r="F2887" s="1" t="n"/>
    </row>
    <row r="2888">
      <c r="F2888" s="1" t="n"/>
    </row>
    <row r="2889">
      <c r="F2889" s="1" t="n"/>
    </row>
    <row r="2890">
      <c r="F2890" s="1" t="n"/>
    </row>
    <row r="2891">
      <c r="F2891" s="1" t="n"/>
    </row>
    <row r="2892">
      <c r="F2892" s="1" t="n"/>
    </row>
    <row r="2893">
      <c r="F2893" s="1" t="n"/>
    </row>
    <row r="2894">
      <c r="F2894" s="1" t="n"/>
    </row>
    <row r="2895">
      <c r="F2895" s="1" t="n"/>
    </row>
    <row r="2896">
      <c r="F2896" s="1" t="n"/>
    </row>
    <row r="2897">
      <c r="F2897" s="1" t="n"/>
    </row>
    <row r="2898">
      <c r="F2898" s="1" t="n"/>
    </row>
    <row r="2899">
      <c r="F2899" s="1" t="n"/>
    </row>
    <row r="2900">
      <c r="F2900" s="1" t="n"/>
    </row>
    <row r="2901">
      <c r="F2901" s="1" t="n"/>
    </row>
    <row r="2902">
      <c r="F2902" s="1" t="n"/>
    </row>
    <row r="2903">
      <c r="F2903" s="1" t="n"/>
    </row>
    <row r="2904">
      <c r="F2904" s="1" t="n"/>
    </row>
    <row r="2905">
      <c r="F2905" s="1" t="n"/>
    </row>
    <row r="2906">
      <c r="F2906" s="1" t="n"/>
    </row>
    <row r="2907">
      <c r="F2907" s="1" t="n"/>
    </row>
    <row r="2908">
      <c r="F2908" s="1" t="n"/>
    </row>
    <row r="2909">
      <c r="F2909" s="1" t="n"/>
    </row>
    <row r="2910">
      <c r="F2910" s="1" t="n"/>
    </row>
    <row r="2911">
      <c r="F2911" s="1" t="n"/>
    </row>
    <row r="2912">
      <c r="F2912" s="1" t="n"/>
    </row>
    <row r="2913">
      <c r="F2913" s="1" t="n"/>
    </row>
    <row r="2914">
      <c r="F2914" s="1" t="n"/>
    </row>
    <row r="2915">
      <c r="F2915" s="1" t="n"/>
    </row>
    <row r="2916">
      <c r="F2916" s="1" t="n"/>
    </row>
    <row r="2917">
      <c r="F2917" s="1" t="n"/>
    </row>
    <row r="2918">
      <c r="F2918" s="1" t="n"/>
    </row>
    <row r="2919">
      <c r="F2919" s="1" t="n"/>
    </row>
    <row r="2920">
      <c r="F2920" s="1" t="n"/>
    </row>
    <row r="2921">
      <c r="F2921" s="1" t="n"/>
    </row>
    <row r="2922">
      <c r="F2922" s="1" t="n"/>
    </row>
    <row r="2923">
      <c r="F2923" s="1" t="n"/>
    </row>
    <row r="2924">
      <c r="F2924" s="1" t="n"/>
    </row>
    <row r="2925">
      <c r="F2925" s="1" t="n"/>
    </row>
    <row r="2926">
      <c r="F2926" s="1" t="n"/>
    </row>
    <row r="2927">
      <c r="F2927" s="1" t="n"/>
    </row>
    <row r="2928">
      <c r="F2928" s="1" t="n"/>
    </row>
    <row r="2929">
      <c r="F2929" s="1" t="n"/>
    </row>
    <row r="2930">
      <c r="F2930" s="1" t="n"/>
    </row>
    <row r="2931">
      <c r="F2931" s="1" t="n"/>
    </row>
    <row r="2932">
      <c r="F2932" s="1" t="n"/>
    </row>
    <row r="2933">
      <c r="F2933" s="1" t="n"/>
    </row>
    <row r="2934">
      <c r="F2934" s="1" t="n"/>
    </row>
    <row r="2935">
      <c r="F2935" s="1" t="n"/>
    </row>
    <row r="2936">
      <c r="F2936" s="1" t="n"/>
    </row>
    <row r="2937">
      <c r="F2937" s="1" t="n"/>
    </row>
    <row r="2938">
      <c r="F2938" s="1" t="n"/>
    </row>
    <row r="2939">
      <c r="F2939" s="1" t="n"/>
    </row>
    <row r="2940">
      <c r="F2940" s="1" t="n"/>
    </row>
    <row r="2941">
      <c r="F2941" s="1" t="n"/>
    </row>
    <row r="2942">
      <c r="F2942" s="1" t="n"/>
    </row>
    <row r="2943">
      <c r="F2943" s="1" t="n"/>
    </row>
    <row r="2944">
      <c r="F2944" s="1" t="n"/>
    </row>
    <row r="2945">
      <c r="F2945" s="1" t="n"/>
    </row>
    <row r="2946">
      <c r="F2946" s="1" t="n"/>
    </row>
    <row r="2947">
      <c r="F2947" s="1" t="n"/>
    </row>
    <row r="2948">
      <c r="F2948" s="1" t="n"/>
    </row>
    <row r="2949">
      <c r="F2949" s="1" t="n"/>
    </row>
    <row r="2950">
      <c r="F2950" s="1" t="n"/>
    </row>
    <row r="2951">
      <c r="F2951" s="1" t="n"/>
    </row>
    <row r="2952">
      <c r="F2952" s="1" t="n"/>
    </row>
    <row r="2953">
      <c r="F2953" s="1" t="n"/>
    </row>
    <row r="2954">
      <c r="F2954" s="1" t="n"/>
    </row>
    <row r="2955">
      <c r="F2955" s="1" t="n"/>
    </row>
    <row r="2956">
      <c r="F2956" s="1" t="n"/>
    </row>
    <row r="2957">
      <c r="F2957" s="1" t="n"/>
    </row>
    <row r="2958">
      <c r="F2958" s="1" t="n"/>
    </row>
    <row r="2959">
      <c r="F2959" s="1" t="n"/>
    </row>
    <row r="2960">
      <c r="F2960" s="1" t="n"/>
    </row>
    <row r="2961">
      <c r="F2961" s="1" t="n"/>
    </row>
    <row r="2962">
      <c r="F2962" s="1" t="n"/>
    </row>
    <row r="2963">
      <c r="F2963" s="1" t="n"/>
    </row>
    <row r="2964">
      <c r="F2964" s="1" t="n"/>
    </row>
    <row r="2965">
      <c r="F2965" s="1" t="n"/>
    </row>
    <row r="2966">
      <c r="F2966" s="1" t="n"/>
    </row>
    <row r="2967">
      <c r="F2967" s="1" t="n"/>
    </row>
    <row r="2968">
      <c r="F2968" s="1" t="n"/>
    </row>
    <row r="2969">
      <c r="F2969" s="1" t="n"/>
    </row>
    <row r="2970">
      <c r="F2970" s="1" t="n"/>
    </row>
    <row r="2971">
      <c r="F2971" s="1" t="n"/>
    </row>
    <row r="2972">
      <c r="F2972" s="1" t="n"/>
    </row>
    <row r="2973">
      <c r="F2973" s="1" t="n"/>
    </row>
    <row r="2974">
      <c r="F2974" s="1" t="n"/>
    </row>
    <row r="2975">
      <c r="F2975" s="1" t="n"/>
    </row>
    <row r="2976">
      <c r="F2976" s="1" t="n"/>
    </row>
    <row r="2977">
      <c r="F2977" s="1" t="n"/>
    </row>
    <row r="2978">
      <c r="F2978" s="1" t="n"/>
    </row>
    <row r="2979">
      <c r="F2979" s="1" t="n"/>
    </row>
    <row r="2980">
      <c r="F2980" s="1" t="n"/>
    </row>
    <row r="2981">
      <c r="F2981" s="1" t="n"/>
    </row>
    <row r="2982">
      <c r="F2982" s="1" t="n"/>
    </row>
    <row r="2983">
      <c r="F2983" s="1" t="n"/>
    </row>
    <row r="2984">
      <c r="F2984" s="1" t="n"/>
    </row>
    <row r="2985">
      <c r="F2985" s="1" t="n"/>
    </row>
    <row r="2986">
      <c r="F2986" s="1" t="n"/>
    </row>
    <row r="2987">
      <c r="F2987" s="1" t="n"/>
    </row>
    <row r="2988">
      <c r="F2988" s="1" t="n"/>
    </row>
    <row r="2989">
      <c r="F2989" s="1" t="n"/>
    </row>
    <row r="2990">
      <c r="F2990" s="1" t="n"/>
    </row>
    <row r="2991">
      <c r="F2991" s="1" t="n"/>
    </row>
    <row r="2992">
      <c r="F2992" s="1" t="n"/>
    </row>
    <row r="2993">
      <c r="F2993" s="1" t="n"/>
    </row>
    <row r="2994">
      <c r="F2994" s="1" t="n"/>
    </row>
    <row r="2995">
      <c r="F2995" s="1" t="n"/>
    </row>
    <row r="2996">
      <c r="F2996" s="1" t="n"/>
    </row>
    <row r="2997">
      <c r="F2997" s="1" t="n"/>
    </row>
    <row r="2998">
      <c r="F2998" s="1" t="n"/>
    </row>
    <row r="2999">
      <c r="F2999" s="1" t="n"/>
    </row>
    <row r="3000">
      <c r="F3000" s="1" t="n"/>
    </row>
    <row r="3001">
      <c r="F3001" s="1" t="n"/>
    </row>
    <row r="3002">
      <c r="F3002" s="1" t="n"/>
    </row>
    <row r="3003">
      <c r="F3003" s="1" t="n"/>
    </row>
    <row r="3004">
      <c r="F3004" s="1" t="n"/>
    </row>
    <row r="3005">
      <c r="F3005" s="1" t="n"/>
    </row>
    <row r="3006">
      <c r="F3006" s="1" t="n"/>
    </row>
    <row r="3007">
      <c r="F3007" s="1" t="n"/>
    </row>
    <row r="3008">
      <c r="F3008" s="1" t="n"/>
    </row>
    <row r="3009">
      <c r="F3009" s="1" t="n"/>
    </row>
    <row r="3010">
      <c r="F3010" s="1" t="n"/>
    </row>
    <row r="3011">
      <c r="F3011" s="1" t="n"/>
    </row>
    <row r="3012">
      <c r="F3012" s="1" t="n"/>
    </row>
    <row r="3013">
      <c r="F3013" s="1" t="n"/>
    </row>
    <row r="3014">
      <c r="F3014" s="1" t="n"/>
    </row>
    <row r="3015">
      <c r="F3015" s="1" t="n"/>
    </row>
    <row r="3016">
      <c r="F3016" s="1" t="n"/>
    </row>
    <row r="3017">
      <c r="F3017" s="1" t="n"/>
    </row>
    <row r="3018">
      <c r="F3018" s="1" t="n"/>
    </row>
    <row r="3019">
      <c r="F3019" s="1" t="n"/>
    </row>
    <row r="3020">
      <c r="F3020" s="1" t="n"/>
    </row>
    <row r="3021">
      <c r="F3021" s="1" t="n"/>
    </row>
    <row r="3022">
      <c r="F3022" s="1" t="n"/>
    </row>
    <row r="3023">
      <c r="F3023" s="1" t="n"/>
    </row>
    <row r="3024">
      <c r="F3024" s="1" t="n"/>
    </row>
    <row r="3025">
      <c r="F3025" s="1" t="n"/>
    </row>
    <row r="3026">
      <c r="F3026" s="1" t="n"/>
    </row>
    <row r="3027">
      <c r="F3027" s="1" t="n"/>
    </row>
    <row r="3028">
      <c r="F3028" s="1" t="n"/>
    </row>
    <row r="3029">
      <c r="F3029" s="1" t="n"/>
    </row>
    <row r="3030">
      <c r="F3030" s="1" t="n"/>
    </row>
    <row r="3031">
      <c r="F3031" s="1" t="n"/>
    </row>
    <row r="3032">
      <c r="F3032" s="1" t="n"/>
    </row>
    <row r="3033">
      <c r="F3033" s="1" t="n"/>
    </row>
    <row r="3034">
      <c r="F3034" s="1" t="n"/>
    </row>
    <row r="3035">
      <c r="F3035" s="1" t="n"/>
    </row>
    <row r="3036">
      <c r="F3036" s="1" t="n"/>
    </row>
    <row r="3037">
      <c r="F3037" s="1" t="n"/>
    </row>
    <row r="3038">
      <c r="F3038" s="1" t="n"/>
    </row>
    <row r="3039">
      <c r="F3039" s="1" t="n"/>
    </row>
    <row r="3040">
      <c r="F3040" s="1" t="n"/>
    </row>
    <row r="3041">
      <c r="F3041" s="1" t="n"/>
    </row>
    <row r="3042">
      <c r="F3042" s="1" t="n"/>
    </row>
    <row r="3043">
      <c r="F3043" s="1" t="n"/>
    </row>
    <row r="3044">
      <c r="F3044" s="1" t="n"/>
    </row>
    <row r="3045">
      <c r="F3045" s="1" t="n"/>
    </row>
    <row r="3046">
      <c r="F3046" s="1" t="n"/>
    </row>
    <row r="3047">
      <c r="F3047" s="1" t="n"/>
    </row>
    <row r="3048">
      <c r="F3048" s="1" t="n"/>
    </row>
    <row r="3049">
      <c r="F3049" s="1" t="n"/>
    </row>
    <row r="3050">
      <c r="F3050" s="1" t="n"/>
    </row>
    <row r="3051">
      <c r="F3051" s="1" t="n"/>
    </row>
    <row r="3052">
      <c r="F3052" s="1" t="n"/>
    </row>
    <row r="3053">
      <c r="F3053" s="1" t="n"/>
    </row>
    <row r="3054">
      <c r="F3054" s="1" t="n"/>
    </row>
    <row r="3055">
      <c r="F3055" s="1" t="n"/>
    </row>
    <row r="3056">
      <c r="F3056" s="1" t="n"/>
    </row>
    <row r="3057">
      <c r="F3057" s="1" t="n"/>
    </row>
    <row r="3058">
      <c r="F3058" s="1" t="n"/>
    </row>
    <row r="3059">
      <c r="F3059" s="1" t="n"/>
    </row>
    <row r="3060">
      <c r="F3060" s="1" t="n"/>
    </row>
    <row r="3061">
      <c r="F3061" s="1" t="n"/>
    </row>
    <row r="3062">
      <c r="F3062" s="1" t="n"/>
    </row>
    <row r="3063">
      <c r="F3063" s="1" t="n"/>
    </row>
    <row r="3064">
      <c r="F3064" s="1" t="n"/>
    </row>
    <row r="3065">
      <c r="F3065" s="1" t="n"/>
    </row>
    <row r="3066">
      <c r="F3066" s="1" t="n"/>
    </row>
    <row r="3067">
      <c r="F3067" s="1" t="n"/>
    </row>
    <row r="3068">
      <c r="F3068" s="1" t="n"/>
    </row>
    <row r="3069">
      <c r="F3069" s="1" t="n"/>
    </row>
    <row r="3070">
      <c r="F3070" s="1" t="n"/>
    </row>
    <row r="3071">
      <c r="F3071" s="1" t="n"/>
    </row>
    <row r="3072">
      <c r="F3072" s="1" t="n"/>
    </row>
    <row r="3073">
      <c r="F3073" s="1" t="n"/>
    </row>
    <row r="3074">
      <c r="F3074" s="1" t="n"/>
    </row>
    <row r="3075">
      <c r="F3075" s="1" t="n"/>
    </row>
    <row r="3076">
      <c r="F3076" s="1" t="n"/>
    </row>
    <row r="3077">
      <c r="F3077" s="1" t="n"/>
    </row>
    <row r="3078">
      <c r="F3078" s="1" t="n"/>
    </row>
    <row r="3079">
      <c r="F3079" s="1" t="n"/>
    </row>
    <row r="3080">
      <c r="F3080" s="1" t="n"/>
    </row>
    <row r="3081">
      <c r="F3081" s="1" t="n"/>
    </row>
    <row r="3082">
      <c r="F3082" s="1" t="n"/>
    </row>
    <row r="3083">
      <c r="F3083" s="1" t="n"/>
    </row>
    <row r="3084">
      <c r="F3084" s="1" t="n"/>
    </row>
    <row r="3085">
      <c r="F3085" s="1" t="n"/>
    </row>
    <row r="3086">
      <c r="F3086" s="1" t="n"/>
    </row>
    <row r="3087">
      <c r="F3087" s="1" t="n"/>
    </row>
    <row r="3088">
      <c r="F3088" s="1" t="n"/>
    </row>
    <row r="3089">
      <c r="F3089" s="1" t="n"/>
    </row>
    <row r="3090">
      <c r="F3090" s="1" t="n"/>
    </row>
    <row r="3091">
      <c r="F3091" s="1" t="n"/>
    </row>
    <row r="3092">
      <c r="F3092" s="1" t="n"/>
    </row>
    <row r="3093">
      <c r="F3093" s="1" t="n"/>
    </row>
    <row r="3094">
      <c r="F3094" s="1" t="n"/>
    </row>
    <row r="3095">
      <c r="F3095" s="1" t="n"/>
    </row>
    <row r="3096">
      <c r="F3096" s="1" t="n"/>
    </row>
    <row r="3097">
      <c r="F3097" s="1" t="n"/>
    </row>
    <row r="3098">
      <c r="F3098" s="1" t="n"/>
    </row>
    <row r="3099">
      <c r="F3099" s="1" t="n"/>
    </row>
    <row r="3100">
      <c r="F3100" s="1" t="n"/>
    </row>
    <row r="3101">
      <c r="F3101" s="1" t="n"/>
    </row>
    <row r="3102">
      <c r="F3102" s="1" t="n"/>
    </row>
    <row r="3103">
      <c r="F3103" s="1" t="n"/>
    </row>
    <row r="3104">
      <c r="F3104" s="1" t="n"/>
    </row>
    <row r="3105">
      <c r="F3105" s="1" t="n"/>
    </row>
    <row r="3106">
      <c r="F3106" s="1" t="n"/>
    </row>
    <row r="3107">
      <c r="F3107" s="1" t="n"/>
    </row>
    <row r="3108">
      <c r="F3108" s="1" t="n"/>
    </row>
    <row r="3109">
      <c r="F3109" s="1" t="n"/>
    </row>
    <row r="3110">
      <c r="F3110" s="1" t="n"/>
    </row>
    <row r="3111">
      <c r="F3111" s="1" t="n"/>
    </row>
    <row r="3112">
      <c r="F3112" s="1" t="n"/>
    </row>
    <row r="3113">
      <c r="F3113" s="1" t="n"/>
    </row>
    <row r="3114">
      <c r="F3114" s="1" t="n"/>
    </row>
    <row r="3115">
      <c r="F3115" s="1" t="n"/>
    </row>
    <row r="3116">
      <c r="F3116" s="1" t="n"/>
    </row>
    <row r="3117">
      <c r="F3117" s="1" t="n"/>
    </row>
    <row r="3118">
      <c r="F3118" s="1" t="n"/>
    </row>
    <row r="3119">
      <c r="F3119" s="1" t="n"/>
    </row>
    <row r="3120">
      <c r="F3120" s="1" t="n"/>
    </row>
    <row r="3121">
      <c r="F3121" s="1" t="n"/>
    </row>
    <row r="3122">
      <c r="F3122" s="1" t="n"/>
    </row>
    <row r="3123">
      <c r="F3123" s="1" t="n"/>
    </row>
    <row r="3124">
      <c r="F3124" s="1" t="n"/>
    </row>
    <row r="3125">
      <c r="F3125" s="1" t="n"/>
    </row>
    <row r="3126">
      <c r="F3126" s="1" t="n"/>
    </row>
    <row r="3127">
      <c r="F3127" s="1" t="n"/>
    </row>
    <row r="3128">
      <c r="F3128" s="1" t="n"/>
    </row>
    <row r="3129">
      <c r="F3129" s="1" t="n"/>
    </row>
    <row r="3130">
      <c r="F3130" s="1" t="n"/>
    </row>
    <row r="3131">
      <c r="F3131" s="1" t="n"/>
    </row>
    <row r="3132">
      <c r="F3132" s="1" t="n"/>
    </row>
    <row r="3133">
      <c r="F3133" s="1" t="n"/>
    </row>
    <row r="3134">
      <c r="F3134" s="1" t="n"/>
    </row>
    <row r="3135">
      <c r="F3135" s="1" t="n"/>
    </row>
    <row r="3136">
      <c r="F3136" s="1" t="n"/>
    </row>
    <row r="3137">
      <c r="F3137" s="1" t="n"/>
    </row>
    <row r="3138">
      <c r="F3138" s="1" t="n"/>
    </row>
    <row r="3139">
      <c r="F3139" s="1" t="n"/>
    </row>
    <row r="3140">
      <c r="F3140" s="1" t="n"/>
    </row>
    <row r="3141">
      <c r="F3141" s="1" t="n"/>
    </row>
    <row r="3142">
      <c r="F3142" s="1" t="n"/>
    </row>
    <row r="3143">
      <c r="F3143" s="1" t="n"/>
    </row>
    <row r="3144">
      <c r="F3144" s="1" t="n"/>
    </row>
    <row r="3145">
      <c r="F3145" s="1" t="n"/>
    </row>
    <row r="3146">
      <c r="F3146" s="1" t="n"/>
    </row>
    <row r="3147">
      <c r="F3147" s="1" t="n"/>
    </row>
    <row r="3148">
      <c r="F3148" s="1" t="n"/>
    </row>
    <row r="3149">
      <c r="F3149" s="1" t="n"/>
    </row>
    <row r="3150">
      <c r="F3150" s="1" t="n"/>
    </row>
    <row r="3151">
      <c r="F3151" s="1" t="n"/>
    </row>
    <row r="3152">
      <c r="F3152" s="1" t="n"/>
    </row>
    <row r="3153">
      <c r="F3153" s="1" t="n"/>
    </row>
    <row r="3154">
      <c r="F3154" s="1" t="n"/>
    </row>
    <row r="3155">
      <c r="F3155" s="1" t="n"/>
    </row>
    <row r="3156">
      <c r="F3156" s="1" t="n"/>
    </row>
    <row r="3157">
      <c r="F3157" s="1" t="n"/>
    </row>
    <row r="3158">
      <c r="F3158" s="1" t="n"/>
    </row>
    <row r="3159">
      <c r="F3159" s="1" t="n"/>
    </row>
    <row r="3160">
      <c r="F3160" s="1" t="n"/>
    </row>
    <row r="3161">
      <c r="F3161" s="1" t="n"/>
    </row>
    <row r="3162">
      <c r="F3162" s="1" t="n"/>
    </row>
    <row r="3163">
      <c r="F3163" s="1" t="n"/>
    </row>
    <row r="3164">
      <c r="F3164" s="1" t="n"/>
    </row>
    <row r="3165">
      <c r="F3165" s="1" t="n"/>
    </row>
    <row r="3166">
      <c r="F3166" s="1" t="n"/>
    </row>
    <row r="3167">
      <c r="F3167" s="1" t="n"/>
    </row>
    <row r="3168">
      <c r="F3168" s="1" t="n"/>
    </row>
    <row r="3169">
      <c r="F3169" s="1" t="n"/>
    </row>
    <row r="3170">
      <c r="F3170" s="1" t="n"/>
    </row>
    <row r="3171">
      <c r="F3171" s="1" t="n"/>
    </row>
    <row r="3172">
      <c r="F3172" s="1" t="n"/>
    </row>
    <row r="3173">
      <c r="F3173" s="1" t="n"/>
    </row>
    <row r="3174">
      <c r="F3174" s="1" t="n"/>
    </row>
    <row r="3175">
      <c r="F3175" s="1" t="n"/>
    </row>
    <row r="3176">
      <c r="F3176" s="1" t="n"/>
    </row>
    <row r="3177">
      <c r="F3177" s="1" t="n"/>
    </row>
    <row r="3178">
      <c r="F3178" s="1" t="n"/>
    </row>
    <row r="3179">
      <c r="F3179" s="1" t="n"/>
    </row>
    <row r="3180">
      <c r="F3180" s="1" t="n"/>
    </row>
    <row r="3181">
      <c r="F3181" s="1" t="n"/>
    </row>
    <row r="3182">
      <c r="F3182" s="1" t="n"/>
    </row>
    <row r="3183">
      <c r="F3183" s="1" t="n"/>
    </row>
    <row r="3184">
      <c r="F3184" s="1" t="n"/>
    </row>
    <row r="3185">
      <c r="F3185" s="1" t="n"/>
    </row>
    <row r="3186">
      <c r="F3186" s="1" t="n"/>
    </row>
    <row r="3187">
      <c r="F3187" s="1" t="n"/>
    </row>
    <row r="3188">
      <c r="F3188" s="1" t="n"/>
    </row>
    <row r="3189">
      <c r="F3189" s="1" t="n"/>
    </row>
    <row r="3190">
      <c r="F3190" s="1" t="n"/>
    </row>
    <row r="3191">
      <c r="F3191" s="1" t="n"/>
    </row>
    <row r="3192">
      <c r="F3192" s="1" t="n"/>
    </row>
    <row r="3193">
      <c r="F3193" s="1" t="n"/>
    </row>
    <row r="3194">
      <c r="F3194" s="1" t="n"/>
    </row>
    <row r="3195">
      <c r="F3195" s="1" t="n"/>
    </row>
    <row r="3196">
      <c r="F3196" s="1" t="n"/>
    </row>
    <row r="3197">
      <c r="F3197" s="1" t="n"/>
    </row>
    <row r="3198">
      <c r="F3198" s="1" t="n"/>
    </row>
    <row r="3199">
      <c r="F3199" s="1" t="n"/>
    </row>
    <row r="3200">
      <c r="F3200" s="1" t="n"/>
    </row>
    <row r="3201">
      <c r="F3201" s="1" t="n"/>
    </row>
    <row r="3202">
      <c r="F3202" s="1" t="n"/>
    </row>
    <row r="3203">
      <c r="F3203" s="1" t="n"/>
    </row>
    <row r="3204">
      <c r="F3204" s="1" t="n"/>
    </row>
    <row r="3205">
      <c r="F3205" s="1" t="n"/>
    </row>
    <row r="3206">
      <c r="F3206" s="1" t="n"/>
    </row>
    <row r="3207">
      <c r="F3207" s="1" t="n"/>
    </row>
    <row r="3208">
      <c r="F3208" s="1" t="n"/>
    </row>
    <row r="3209">
      <c r="F3209" s="1" t="n"/>
    </row>
    <row r="3210">
      <c r="F3210" s="1" t="n"/>
    </row>
    <row r="3211">
      <c r="F3211" s="1" t="n"/>
    </row>
    <row r="3212">
      <c r="F3212" s="1" t="n"/>
    </row>
    <row r="3213">
      <c r="F3213" s="1" t="n"/>
    </row>
    <row r="3214">
      <c r="F3214" s="1" t="n"/>
    </row>
    <row r="3215">
      <c r="F3215" s="1" t="n"/>
    </row>
    <row r="3216">
      <c r="F3216" s="1" t="n"/>
    </row>
    <row r="3217">
      <c r="F3217" s="1" t="n"/>
    </row>
    <row r="3218">
      <c r="F3218" s="1" t="n"/>
    </row>
    <row r="3219">
      <c r="F3219" s="1" t="n"/>
    </row>
    <row r="3220">
      <c r="F3220" s="1" t="n"/>
    </row>
    <row r="3221">
      <c r="F3221" s="1" t="n"/>
    </row>
    <row r="3222">
      <c r="F3222" s="1" t="n"/>
    </row>
    <row r="3223">
      <c r="F3223" s="1" t="n"/>
    </row>
    <row r="3224">
      <c r="F3224" s="1" t="n"/>
    </row>
    <row r="3225">
      <c r="F3225" s="1" t="n"/>
    </row>
    <row r="3226">
      <c r="F3226" s="1" t="n"/>
    </row>
    <row r="3227">
      <c r="F3227" s="1" t="n"/>
    </row>
    <row r="3228">
      <c r="F3228" s="1" t="n"/>
    </row>
    <row r="3229">
      <c r="F3229" s="1" t="n"/>
    </row>
    <row r="3230">
      <c r="F3230" s="1" t="n"/>
    </row>
    <row r="3231">
      <c r="F3231" s="1" t="n"/>
    </row>
    <row r="3232">
      <c r="F3232" s="1" t="n"/>
    </row>
    <row r="3233">
      <c r="F3233" s="1" t="n"/>
    </row>
    <row r="3234">
      <c r="F3234" s="1" t="n"/>
    </row>
    <row r="3235">
      <c r="F3235" s="1" t="n"/>
    </row>
    <row r="3236">
      <c r="F3236" s="1" t="n"/>
    </row>
    <row r="3237">
      <c r="F3237" s="1" t="n"/>
    </row>
    <row r="3238">
      <c r="F3238" s="1" t="n"/>
    </row>
    <row r="3239">
      <c r="F3239" s="1" t="n"/>
    </row>
    <row r="3240">
      <c r="F3240" s="1" t="n"/>
    </row>
    <row r="3241">
      <c r="F3241" s="1" t="n"/>
    </row>
    <row r="3242">
      <c r="F3242" s="1" t="n"/>
    </row>
    <row r="3243">
      <c r="F3243" s="1" t="n"/>
    </row>
    <row r="3244">
      <c r="F3244" s="1" t="n"/>
    </row>
    <row r="3245">
      <c r="F3245" s="1" t="n"/>
    </row>
    <row r="3246">
      <c r="F3246" s="1" t="n"/>
    </row>
    <row r="3247">
      <c r="F3247" s="1" t="n"/>
    </row>
    <row r="3248">
      <c r="F3248" s="1" t="n"/>
    </row>
    <row r="3249">
      <c r="F3249" s="1" t="n"/>
    </row>
    <row r="3250">
      <c r="F3250" s="1" t="n"/>
    </row>
    <row r="3251">
      <c r="F3251" s="1" t="n"/>
    </row>
    <row r="3252">
      <c r="F3252" s="1" t="n"/>
    </row>
    <row r="3253">
      <c r="F3253" s="1" t="n"/>
    </row>
    <row r="3254">
      <c r="F3254" s="1" t="n"/>
    </row>
    <row r="3255">
      <c r="F3255" s="1" t="n"/>
    </row>
    <row r="3256">
      <c r="F3256" s="1" t="n"/>
    </row>
    <row r="3257">
      <c r="F3257" s="1" t="n"/>
    </row>
    <row r="3258">
      <c r="F3258" s="1" t="n"/>
    </row>
    <row r="3259">
      <c r="F3259" s="1" t="n"/>
    </row>
    <row r="3260">
      <c r="F3260" s="1" t="n"/>
    </row>
    <row r="3261">
      <c r="F3261" s="1" t="n"/>
    </row>
    <row r="3262">
      <c r="F3262" s="1" t="n"/>
    </row>
    <row r="3263">
      <c r="F3263" s="1" t="n"/>
    </row>
    <row r="3264">
      <c r="F3264" s="1" t="n"/>
    </row>
    <row r="3265">
      <c r="F3265" s="1" t="n"/>
    </row>
    <row r="3266">
      <c r="F3266" s="1" t="n"/>
    </row>
    <row r="3267">
      <c r="F3267" s="1" t="n"/>
    </row>
    <row r="3268">
      <c r="F3268" s="1" t="n"/>
    </row>
    <row r="3269">
      <c r="F3269" s="1" t="n"/>
    </row>
    <row r="3270">
      <c r="F3270" s="1" t="n"/>
    </row>
    <row r="3271">
      <c r="F3271" s="1" t="n"/>
    </row>
    <row r="3272">
      <c r="F3272" s="1" t="n"/>
    </row>
    <row r="3273">
      <c r="F3273" s="1" t="n"/>
    </row>
    <row r="3274">
      <c r="F3274" s="1" t="n"/>
    </row>
    <row r="3275">
      <c r="F3275" s="1" t="n"/>
    </row>
    <row r="3276">
      <c r="F3276" s="1" t="n"/>
    </row>
    <row r="3277">
      <c r="F3277" s="1" t="n"/>
    </row>
    <row r="3278">
      <c r="F3278" s="1" t="n"/>
    </row>
    <row r="3279">
      <c r="F3279" s="1" t="n"/>
    </row>
    <row r="3280">
      <c r="F3280" s="1" t="n"/>
    </row>
    <row r="3281">
      <c r="F3281" s="1" t="n"/>
    </row>
    <row r="3282">
      <c r="F3282" s="1" t="n"/>
    </row>
    <row r="3283">
      <c r="F3283" s="1" t="n"/>
    </row>
    <row r="3284">
      <c r="F3284" s="1" t="n"/>
    </row>
    <row r="3285">
      <c r="F3285" s="1" t="n"/>
    </row>
    <row r="3286">
      <c r="F3286" s="1" t="n"/>
    </row>
    <row r="3287">
      <c r="F3287" s="1" t="n"/>
    </row>
    <row r="3288">
      <c r="F3288" s="1" t="n"/>
    </row>
    <row r="3289">
      <c r="F3289" s="1" t="n"/>
    </row>
    <row r="3290">
      <c r="F3290" s="1" t="n"/>
    </row>
    <row r="3291">
      <c r="F3291" s="1" t="n"/>
    </row>
    <row r="3292">
      <c r="F3292" s="1" t="n"/>
    </row>
    <row r="3293">
      <c r="F3293" s="1" t="n"/>
    </row>
    <row r="3294">
      <c r="F3294" s="1" t="n"/>
    </row>
    <row r="3295">
      <c r="F3295" s="1" t="n"/>
    </row>
    <row r="3296">
      <c r="F3296" s="1" t="n"/>
    </row>
    <row r="3297">
      <c r="F3297" s="1" t="n"/>
    </row>
    <row r="3298">
      <c r="F3298" s="1" t="n"/>
    </row>
    <row r="3299">
      <c r="F3299" s="1" t="n"/>
    </row>
    <row r="3300">
      <c r="F3300" s="1" t="n"/>
    </row>
    <row r="3301">
      <c r="F3301" s="1" t="n"/>
    </row>
    <row r="3302">
      <c r="F3302" s="1" t="n"/>
    </row>
    <row r="3303">
      <c r="F3303" s="1" t="n"/>
    </row>
    <row r="3304">
      <c r="F3304" s="1" t="n"/>
    </row>
    <row r="3305">
      <c r="F3305" s="1" t="n"/>
    </row>
    <row r="3306">
      <c r="F3306" s="1" t="n"/>
    </row>
    <row r="3307">
      <c r="F3307" s="1" t="n"/>
    </row>
    <row r="3308">
      <c r="F3308" s="1" t="n"/>
    </row>
    <row r="3309">
      <c r="F3309" s="1" t="n"/>
    </row>
    <row r="3310">
      <c r="F3310" s="1" t="n"/>
    </row>
    <row r="3311">
      <c r="F3311" s="1" t="n"/>
    </row>
    <row r="3312">
      <c r="F3312" s="1" t="n"/>
    </row>
    <row r="3313">
      <c r="F3313" s="1" t="n"/>
    </row>
    <row r="3314">
      <c r="F3314" s="1" t="n"/>
    </row>
    <row r="3315">
      <c r="F3315" s="1" t="n"/>
    </row>
    <row r="3316">
      <c r="F3316" s="1" t="n"/>
    </row>
    <row r="3317">
      <c r="F3317" s="1" t="n"/>
    </row>
    <row r="3318">
      <c r="F3318" s="1" t="n"/>
    </row>
    <row r="3319">
      <c r="F3319" s="1" t="n"/>
    </row>
    <row r="3320">
      <c r="F3320" s="1" t="n"/>
    </row>
    <row r="3321">
      <c r="F3321" s="1" t="n"/>
    </row>
    <row r="3322">
      <c r="F3322" s="1" t="n"/>
    </row>
    <row r="3323">
      <c r="F3323" s="1" t="n"/>
    </row>
    <row r="3324">
      <c r="F3324" s="1" t="n"/>
    </row>
    <row r="3325">
      <c r="F3325" s="1" t="n"/>
    </row>
    <row r="3326">
      <c r="F3326" s="1" t="n"/>
    </row>
    <row r="3327">
      <c r="F3327" s="1" t="n"/>
    </row>
    <row r="3328">
      <c r="F3328" s="1" t="n"/>
    </row>
    <row r="3329">
      <c r="F3329" s="1" t="n"/>
    </row>
    <row r="3330">
      <c r="F3330" s="1" t="n"/>
    </row>
    <row r="3331">
      <c r="F3331" s="1" t="n"/>
    </row>
    <row r="3332">
      <c r="F3332" s="1" t="n"/>
    </row>
    <row r="3333">
      <c r="F3333" s="1" t="n"/>
    </row>
    <row r="3334">
      <c r="F3334" s="1" t="n"/>
    </row>
    <row r="3335">
      <c r="F3335" s="1" t="n"/>
    </row>
    <row r="3336">
      <c r="F3336" s="1" t="n"/>
    </row>
    <row r="3337">
      <c r="F3337" s="1" t="n"/>
    </row>
    <row r="3338">
      <c r="F3338" s="1" t="n"/>
    </row>
    <row r="3339">
      <c r="F3339" s="1" t="n"/>
    </row>
    <row r="3340">
      <c r="F3340" s="1" t="n"/>
    </row>
    <row r="3341">
      <c r="F3341" s="1" t="n"/>
    </row>
    <row r="3342">
      <c r="F3342" s="1" t="n"/>
    </row>
    <row r="3343">
      <c r="F3343" s="1" t="n"/>
    </row>
    <row r="3344">
      <c r="F3344" s="1" t="n"/>
    </row>
    <row r="3345">
      <c r="F3345" s="1" t="n"/>
    </row>
    <row r="3346">
      <c r="F3346" s="1" t="n"/>
    </row>
    <row r="3347">
      <c r="F3347" s="1" t="n"/>
    </row>
    <row r="3348">
      <c r="F3348" s="1" t="n"/>
    </row>
    <row r="3349">
      <c r="F3349" s="1" t="n"/>
    </row>
    <row r="3350">
      <c r="F3350" s="1" t="n"/>
    </row>
    <row r="3351">
      <c r="F3351" s="1" t="n"/>
    </row>
    <row r="3352">
      <c r="F3352" s="1" t="n"/>
    </row>
    <row r="3353">
      <c r="F3353" s="1" t="n"/>
    </row>
    <row r="3354">
      <c r="F3354" s="1" t="n"/>
    </row>
    <row r="3355">
      <c r="F3355" s="1" t="n"/>
    </row>
    <row r="3356">
      <c r="F3356" s="1" t="n"/>
    </row>
    <row r="3357">
      <c r="F3357" s="1" t="n"/>
    </row>
    <row r="3358">
      <c r="F3358" s="1" t="n"/>
    </row>
    <row r="3359">
      <c r="F3359" s="1" t="n"/>
    </row>
    <row r="3360">
      <c r="F3360" s="1" t="n"/>
    </row>
    <row r="3361">
      <c r="F3361" s="1" t="n"/>
    </row>
    <row r="3362">
      <c r="F3362" s="1" t="n"/>
    </row>
    <row r="3363">
      <c r="F3363" s="1" t="n"/>
    </row>
    <row r="3364">
      <c r="F3364" s="1" t="n"/>
    </row>
    <row r="3365">
      <c r="F3365" s="1" t="n"/>
    </row>
    <row r="3366">
      <c r="F3366" s="1" t="n"/>
    </row>
    <row r="3367">
      <c r="F3367" s="1" t="n"/>
    </row>
    <row r="3368">
      <c r="F3368" s="1" t="n"/>
    </row>
    <row r="3369">
      <c r="F3369" s="1" t="n"/>
    </row>
    <row r="3370">
      <c r="F3370" s="1" t="n"/>
    </row>
    <row r="3371">
      <c r="F3371" s="1" t="n"/>
    </row>
    <row r="3372">
      <c r="F3372" s="1" t="n"/>
    </row>
    <row r="3373">
      <c r="F3373" s="1" t="n"/>
    </row>
    <row r="3374">
      <c r="F3374" s="1" t="n"/>
    </row>
    <row r="3375">
      <c r="F3375" s="1" t="n"/>
    </row>
    <row r="3376">
      <c r="F3376" s="1" t="n"/>
    </row>
    <row r="3377">
      <c r="F3377" s="1" t="n"/>
    </row>
    <row r="3378">
      <c r="F3378" s="1" t="n"/>
    </row>
    <row r="3379">
      <c r="F3379" s="1" t="n"/>
    </row>
    <row r="3380">
      <c r="F3380" s="1" t="n"/>
    </row>
    <row r="3381">
      <c r="F3381" s="1" t="n"/>
    </row>
    <row r="3382">
      <c r="F3382" s="1" t="n"/>
    </row>
    <row r="3383">
      <c r="F3383" s="1" t="n"/>
    </row>
    <row r="3384">
      <c r="F3384" s="1" t="n"/>
    </row>
    <row r="3385">
      <c r="F3385" s="1" t="n"/>
    </row>
    <row r="3386">
      <c r="F3386" s="1" t="n"/>
    </row>
    <row r="3387">
      <c r="F3387" s="1" t="n"/>
    </row>
    <row r="3388">
      <c r="F3388" s="1" t="n"/>
    </row>
    <row r="3389">
      <c r="F3389" s="1" t="n"/>
    </row>
    <row r="3390">
      <c r="F3390" s="1" t="n"/>
    </row>
    <row r="3391">
      <c r="F3391" s="1" t="n"/>
    </row>
    <row r="3392">
      <c r="F3392" s="1" t="n"/>
    </row>
    <row r="3393">
      <c r="F3393" s="1" t="n"/>
    </row>
    <row r="3394">
      <c r="F3394" s="1" t="n"/>
    </row>
    <row r="3395">
      <c r="F3395" s="1" t="n"/>
    </row>
    <row r="3396">
      <c r="F3396" s="1" t="n"/>
    </row>
    <row r="3397">
      <c r="F3397" s="1" t="n"/>
    </row>
    <row r="3398">
      <c r="F3398" s="1" t="n"/>
    </row>
    <row r="3399">
      <c r="F3399" s="1" t="n"/>
    </row>
    <row r="3400">
      <c r="F3400" s="1" t="n"/>
    </row>
    <row r="3401">
      <c r="F3401" s="1" t="n"/>
    </row>
    <row r="3402">
      <c r="F3402" s="1" t="n"/>
    </row>
    <row r="3403">
      <c r="F3403" s="1" t="n"/>
    </row>
    <row r="3404">
      <c r="F3404" s="1" t="n"/>
    </row>
    <row r="3405">
      <c r="F3405" s="1" t="n"/>
    </row>
    <row r="3406">
      <c r="F3406" s="1" t="n"/>
    </row>
    <row r="3407">
      <c r="F3407" s="1" t="n"/>
    </row>
    <row r="3408">
      <c r="F3408" s="1" t="n"/>
    </row>
    <row r="3409">
      <c r="F3409" s="1" t="n"/>
    </row>
    <row r="3410">
      <c r="F3410" s="1" t="n"/>
    </row>
    <row r="3411">
      <c r="F3411" s="1" t="n"/>
    </row>
    <row r="3412">
      <c r="F3412" s="1" t="n"/>
    </row>
    <row r="3413">
      <c r="F3413" s="1" t="n"/>
    </row>
    <row r="3414">
      <c r="F3414" s="1" t="n"/>
    </row>
    <row r="3415">
      <c r="F3415" s="1" t="n"/>
    </row>
    <row r="3416">
      <c r="F3416" s="1" t="n"/>
    </row>
    <row r="3417">
      <c r="F3417" s="1" t="n"/>
    </row>
    <row r="3418">
      <c r="F3418" s="1" t="n"/>
    </row>
    <row r="3419">
      <c r="F3419" s="1" t="n"/>
    </row>
    <row r="3420">
      <c r="F3420" s="1" t="n"/>
    </row>
    <row r="3421">
      <c r="F3421" s="1" t="n"/>
    </row>
    <row r="3422">
      <c r="F3422" s="1" t="n"/>
    </row>
    <row r="3423">
      <c r="F3423" s="1" t="n"/>
    </row>
    <row r="3424">
      <c r="F3424" s="1" t="n"/>
    </row>
    <row r="3425">
      <c r="F3425" s="1" t="n"/>
    </row>
    <row r="3426">
      <c r="F3426" s="1" t="n"/>
    </row>
    <row r="3427">
      <c r="F3427" s="1" t="n"/>
    </row>
    <row r="3428">
      <c r="F3428" s="1" t="n"/>
    </row>
    <row r="3429">
      <c r="F3429" s="1" t="n"/>
    </row>
    <row r="3430">
      <c r="F3430" s="1" t="n"/>
    </row>
    <row r="3431">
      <c r="F3431" s="1" t="n"/>
    </row>
    <row r="3432">
      <c r="F3432" s="1" t="n"/>
    </row>
    <row r="3433">
      <c r="F3433" s="1" t="n"/>
    </row>
    <row r="3434">
      <c r="F3434" s="1" t="n"/>
    </row>
    <row r="3435">
      <c r="F3435" s="1" t="n"/>
    </row>
    <row r="3436">
      <c r="F3436" s="1" t="n"/>
    </row>
    <row r="3437">
      <c r="F3437" s="1" t="n"/>
    </row>
    <row r="3438">
      <c r="F3438" s="1" t="n"/>
    </row>
    <row r="3439">
      <c r="F3439" s="1" t="n"/>
    </row>
    <row r="3440">
      <c r="F3440" s="1" t="n"/>
    </row>
    <row r="3441">
      <c r="F3441" s="1" t="n"/>
    </row>
    <row r="3442">
      <c r="F3442" s="1" t="n"/>
    </row>
    <row r="3443">
      <c r="F3443" s="1" t="n"/>
    </row>
    <row r="3444">
      <c r="F3444" s="1" t="n"/>
    </row>
    <row r="3445">
      <c r="F3445" s="1" t="n"/>
    </row>
    <row r="3446">
      <c r="F3446" s="1" t="n"/>
    </row>
    <row r="3447">
      <c r="F3447" s="1" t="n"/>
    </row>
    <row r="3448">
      <c r="F3448" s="1" t="n"/>
    </row>
    <row r="3449">
      <c r="F3449" s="1" t="n"/>
    </row>
    <row r="3450">
      <c r="F3450" s="1" t="n"/>
    </row>
    <row r="3451">
      <c r="F3451" s="1" t="n"/>
    </row>
    <row r="3452">
      <c r="F3452" s="1" t="n"/>
    </row>
    <row r="3453">
      <c r="F3453" s="1" t="n"/>
    </row>
    <row r="3454">
      <c r="F3454" s="1" t="n"/>
    </row>
    <row r="3455">
      <c r="F3455" s="1" t="n"/>
    </row>
    <row r="3456">
      <c r="F3456" s="1" t="n"/>
    </row>
    <row r="3457">
      <c r="F3457" s="1" t="n"/>
    </row>
    <row r="3458">
      <c r="F3458" s="1" t="n"/>
    </row>
    <row r="3459">
      <c r="F3459" s="1" t="n"/>
    </row>
    <row r="3460">
      <c r="F3460" s="1" t="n"/>
    </row>
    <row r="3461">
      <c r="F3461" s="1" t="n"/>
    </row>
    <row r="3462">
      <c r="F3462" s="1" t="n"/>
    </row>
    <row r="3463">
      <c r="F3463" s="1" t="n"/>
    </row>
    <row r="3464">
      <c r="F3464" s="1" t="n"/>
    </row>
    <row r="3465">
      <c r="F3465" s="1" t="n"/>
    </row>
    <row r="3466">
      <c r="F3466" s="1" t="n"/>
    </row>
    <row r="3467">
      <c r="F3467" s="1" t="n"/>
    </row>
    <row r="3468">
      <c r="F3468" s="1" t="n"/>
    </row>
    <row r="3469">
      <c r="F3469" s="1" t="n"/>
    </row>
    <row r="3470">
      <c r="F3470" s="1" t="n"/>
    </row>
    <row r="3471">
      <c r="F3471" s="1" t="n"/>
    </row>
    <row r="3472">
      <c r="F3472" s="1" t="n"/>
    </row>
    <row r="3473">
      <c r="F3473" s="1" t="n"/>
    </row>
    <row r="3474">
      <c r="F3474" s="1" t="n"/>
    </row>
    <row r="3475">
      <c r="F3475" s="1" t="n"/>
    </row>
    <row r="3476">
      <c r="F3476" s="1" t="n"/>
    </row>
    <row r="3477">
      <c r="F3477" s="1" t="n"/>
    </row>
    <row r="3478">
      <c r="F3478" s="1" t="n"/>
    </row>
    <row r="3479">
      <c r="F3479" s="1" t="n"/>
    </row>
    <row r="3480">
      <c r="F3480" s="1" t="n"/>
    </row>
    <row r="3481">
      <c r="F3481" s="1" t="n"/>
    </row>
    <row r="3482">
      <c r="F3482" s="1" t="n"/>
    </row>
    <row r="3483">
      <c r="F3483" s="1" t="n"/>
    </row>
    <row r="3484">
      <c r="F3484" s="1" t="n"/>
    </row>
    <row r="3485">
      <c r="F3485" s="1" t="n"/>
    </row>
    <row r="3486">
      <c r="F3486" s="1" t="n"/>
    </row>
    <row r="3487">
      <c r="F3487" s="1" t="n"/>
    </row>
    <row r="3488">
      <c r="F3488" s="1" t="n"/>
    </row>
    <row r="3489">
      <c r="F3489" s="1" t="n"/>
    </row>
    <row r="3490">
      <c r="F3490" s="1" t="n"/>
    </row>
    <row r="3491">
      <c r="F3491" s="1" t="n"/>
    </row>
    <row r="3492">
      <c r="F3492" s="1" t="n"/>
    </row>
    <row r="3493">
      <c r="F3493" s="1" t="n"/>
    </row>
    <row r="3494">
      <c r="F3494" s="1" t="n"/>
    </row>
    <row r="3495">
      <c r="F3495" s="1" t="n"/>
    </row>
    <row r="3496">
      <c r="F3496" s="1" t="n"/>
    </row>
    <row r="3497">
      <c r="F3497" s="1" t="n"/>
    </row>
    <row r="3498">
      <c r="F3498" s="1" t="n"/>
    </row>
    <row r="3499">
      <c r="F3499" s="1" t="n"/>
    </row>
    <row r="3500">
      <c r="F3500" s="1" t="n"/>
    </row>
    <row r="3501">
      <c r="F3501" s="1" t="n"/>
    </row>
    <row r="3502">
      <c r="F3502" s="1" t="n"/>
    </row>
    <row r="3503">
      <c r="F3503" s="1" t="n"/>
    </row>
    <row r="3504">
      <c r="F3504" s="1" t="n"/>
    </row>
    <row r="3505">
      <c r="F3505" s="1" t="n"/>
    </row>
    <row r="3506">
      <c r="F3506" s="1" t="n"/>
    </row>
    <row r="3507">
      <c r="F3507" s="1" t="n"/>
    </row>
    <row r="3508">
      <c r="F3508" s="1" t="n"/>
    </row>
    <row r="3509">
      <c r="F3509" s="1" t="n"/>
    </row>
    <row r="3510">
      <c r="F3510" s="1" t="n"/>
    </row>
    <row r="3511">
      <c r="F3511" s="1" t="n"/>
    </row>
    <row r="3512">
      <c r="F3512" s="1" t="n"/>
    </row>
    <row r="3513">
      <c r="F3513" s="1" t="n"/>
    </row>
    <row r="3514">
      <c r="F3514" s="1" t="n"/>
    </row>
    <row r="3515">
      <c r="F3515" s="1" t="n"/>
    </row>
    <row r="3516">
      <c r="F3516" s="1" t="n"/>
    </row>
    <row r="3517">
      <c r="F3517" s="1" t="n"/>
    </row>
    <row r="3518">
      <c r="F3518" s="1" t="n"/>
    </row>
    <row r="3519">
      <c r="F3519" s="1" t="n"/>
    </row>
    <row r="3520">
      <c r="F3520" s="1" t="n"/>
    </row>
    <row r="3521">
      <c r="F3521" s="1" t="n"/>
    </row>
    <row r="3522">
      <c r="F3522" s="1" t="n"/>
    </row>
    <row r="3523">
      <c r="F3523" s="1" t="n"/>
    </row>
    <row r="3524">
      <c r="F3524" s="1" t="n"/>
    </row>
    <row r="3525">
      <c r="F3525" s="1" t="n"/>
    </row>
    <row r="3526">
      <c r="F3526" s="1" t="n"/>
    </row>
    <row r="3527">
      <c r="F3527" s="1" t="n"/>
    </row>
    <row r="3528">
      <c r="F3528" s="1" t="n"/>
    </row>
    <row r="3529">
      <c r="F3529" s="1" t="n"/>
    </row>
    <row r="3530">
      <c r="F3530" s="1" t="n"/>
    </row>
    <row r="3531">
      <c r="F3531" s="1" t="n"/>
    </row>
    <row r="3532">
      <c r="F3532" s="1" t="n"/>
    </row>
    <row r="3533">
      <c r="F3533" s="1" t="n"/>
    </row>
    <row r="3534">
      <c r="F3534" s="1" t="n"/>
    </row>
    <row r="3535">
      <c r="F3535" s="1" t="n"/>
    </row>
    <row r="3536">
      <c r="F3536" s="1" t="n"/>
    </row>
    <row r="3537">
      <c r="F3537" s="1" t="n"/>
    </row>
    <row r="3538">
      <c r="F3538" s="1" t="n"/>
    </row>
    <row r="3539">
      <c r="F3539" s="1" t="n"/>
    </row>
    <row r="3540">
      <c r="F3540" s="1" t="n"/>
    </row>
    <row r="3541">
      <c r="F3541" s="1" t="n"/>
    </row>
    <row r="3542">
      <c r="F3542" s="1" t="n"/>
    </row>
    <row r="3543">
      <c r="F3543" s="1" t="n"/>
    </row>
    <row r="3544">
      <c r="F3544" s="1" t="n"/>
    </row>
    <row r="3545">
      <c r="F3545" s="1" t="n"/>
    </row>
    <row r="3546">
      <c r="F3546" s="1" t="n"/>
    </row>
    <row r="3547">
      <c r="F3547" s="1" t="n"/>
    </row>
    <row r="3548">
      <c r="F3548" s="1" t="n"/>
    </row>
    <row r="3549">
      <c r="F3549" s="1" t="n"/>
    </row>
    <row r="3550">
      <c r="F3550" s="1" t="n"/>
    </row>
    <row r="3551">
      <c r="F3551" s="1" t="n"/>
    </row>
    <row r="3552">
      <c r="F3552" s="1" t="n"/>
    </row>
    <row r="3553">
      <c r="F3553" s="1" t="n"/>
    </row>
    <row r="3554">
      <c r="F3554" s="1" t="n"/>
    </row>
    <row r="3555">
      <c r="F3555" s="1" t="n"/>
    </row>
    <row r="3556">
      <c r="F3556" s="1" t="n"/>
    </row>
    <row r="3557">
      <c r="F3557" s="1" t="n"/>
    </row>
    <row r="3558">
      <c r="F3558" s="1" t="n"/>
    </row>
    <row r="3559">
      <c r="F3559" s="1" t="n"/>
    </row>
    <row r="3560">
      <c r="F3560" s="1" t="n"/>
    </row>
    <row r="3561">
      <c r="F3561" s="1" t="n"/>
    </row>
    <row r="3562">
      <c r="F3562" s="1" t="n"/>
    </row>
    <row r="3563">
      <c r="F3563" s="1" t="n"/>
    </row>
    <row r="3564">
      <c r="F3564" s="1" t="n"/>
    </row>
    <row r="3565">
      <c r="F3565" s="1" t="n"/>
    </row>
    <row r="3566">
      <c r="F3566" s="1" t="n"/>
    </row>
    <row r="3567">
      <c r="F3567" s="1" t="n"/>
    </row>
    <row r="3568">
      <c r="F3568" s="1" t="n"/>
    </row>
    <row r="3569">
      <c r="F3569" s="1" t="n"/>
    </row>
    <row r="3570">
      <c r="F3570" s="1" t="n"/>
    </row>
    <row r="3571">
      <c r="F3571" s="1" t="n"/>
    </row>
    <row r="3572">
      <c r="F3572" s="1" t="n"/>
    </row>
    <row r="3573">
      <c r="F3573" s="1" t="n"/>
    </row>
    <row r="3574">
      <c r="F3574" s="1" t="n"/>
    </row>
    <row r="3575">
      <c r="F3575" s="1" t="n"/>
    </row>
    <row r="3576">
      <c r="F3576" s="1" t="n"/>
    </row>
    <row r="3577">
      <c r="F3577" s="1" t="n"/>
    </row>
    <row r="3578">
      <c r="F3578" s="1" t="n"/>
    </row>
    <row r="3579">
      <c r="F3579" s="1" t="n"/>
    </row>
    <row r="3580">
      <c r="F3580" s="1" t="n"/>
    </row>
    <row r="3581">
      <c r="F3581" s="1" t="n"/>
    </row>
    <row r="3582">
      <c r="F3582" s="1" t="n"/>
    </row>
    <row r="3583">
      <c r="F3583" s="1" t="n"/>
    </row>
    <row r="3584">
      <c r="F3584" s="1" t="n"/>
    </row>
    <row r="3585">
      <c r="F3585" s="1" t="n"/>
    </row>
    <row r="3586">
      <c r="F3586" s="1" t="n"/>
    </row>
    <row r="3587">
      <c r="F3587" s="1" t="n"/>
    </row>
    <row r="3588">
      <c r="F3588" s="1" t="n"/>
    </row>
    <row r="3589">
      <c r="F3589" s="1" t="n"/>
    </row>
    <row r="3590">
      <c r="F3590" s="1" t="n"/>
    </row>
    <row r="3591">
      <c r="F3591" s="1" t="n"/>
    </row>
    <row r="3592">
      <c r="F3592" s="1" t="n"/>
    </row>
    <row r="3593">
      <c r="F3593" s="1" t="n"/>
    </row>
    <row r="3594">
      <c r="F3594" s="1" t="n"/>
    </row>
    <row r="3595">
      <c r="F3595" s="1" t="n"/>
    </row>
    <row r="3596">
      <c r="F3596" s="1" t="n"/>
    </row>
    <row r="3597">
      <c r="F3597" s="1" t="n"/>
    </row>
    <row r="3598">
      <c r="F3598" s="1" t="n"/>
    </row>
    <row r="3599">
      <c r="F3599" s="1" t="n"/>
    </row>
    <row r="3600">
      <c r="F3600" s="1" t="n"/>
    </row>
    <row r="3601">
      <c r="F3601" s="1" t="n"/>
    </row>
    <row r="3602">
      <c r="F3602" s="1" t="n"/>
    </row>
    <row r="3603">
      <c r="F3603" s="1" t="n"/>
    </row>
    <row r="3604">
      <c r="F3604" s="1" t="n"/>
    </row>
    <row r="3605">
      <c r="F3605" s="1" t="n"/>
    </row>
    <row r="3606">
      <c r="F3606" s="1" t="n"/>
    </row>
    <row r="3607">
      <c r="F3607" s="1" t="n"/>
    </row>
    <row r="3608">
      <c r="F3608" s="1" t="n"/>
    </row>
    <row r="3609">
      <c r="F3609" s="1" t="n"/>
    </row>
    <row r="3610">
      <c r="F3610" s="1" t="n"/>
    </row>
    <row r="3611">
      <c r="F3611" s="1" t="n"/>
    </row>
    <row r="3612">
      <c r="F3612" s="1" t="n"/>
    </row>
    <row r="3613">
      <c r="F3613" s="1" t="n"/>
    </row>
    <row r="3614">
      <c r="F3614" s="1" t="n"/>
    </row>
    <row r="3615">
      <c r="F3615" s="1" t="n"/>
    </row>
    <row r="3616">
      <c r="F3616" s="1" t="n"/>
    </row>
    <row r="3617">
      <c r="F3617" s="1" t="n"/>
    </row>
    <row r="3618">
      <c r="F3618" s="1" t="n"/>
    </row>
    <row r="3619">
      <c r="F3619" s="1" t="n"/>
    </row>
    <row r="3620">
      <c r="F3620" s="1" t="n"/>
    </row>
    <row r="3621">
      <c r="F3621" s="1" t="n"/>
    </row>
    <row r="3622">
      <c r="F3622" s="1" t="n"/>
    </row>
    <row r="3623">
      <c r="F3623" s="1" t="n"/>
    </row>
    <row r="3624">
      <c r="F3624" s="1" t="n"/>
    </row>
    <row r="3625">
      <c r="F3625" s="1" t="n"/>
    </row>
    <row r="3626">
      <c r="F3626" s="1" t="n"/>
    </row>
    <row r="3627">
      <c r="F3627" s="1" t="n"/>
    </row>
    <row r="3628">
      <c r="F3628" s="1" t="n"/>
    </row>
    <row r="3629">
      <c r="F3629" s="1" t="n"/>
    </row>
    <row r="3630">
      <c r="F3630" s="1" t="n"/>
    </row>
    <row r="3631">
      <c r="F3631" s="1" t="n"/>
    </row>
    <row r="3632">
      <c r="F3632" s="1" t="n"/>
    </row>
    <row r="3633">
      <c r="F3633" s="1" t="n"/>
    </row>
    <row r="3634">
      <c r="F3634" s="1" t="n"/>
    </row>
    <row r="3635">
      <c r="F3635" s="1" t="n"/>
    </row>
    <row r="3636">
      <c r="F3636" s="1" t="n"/>
    </row>
    <row r="3637">
      <c r="F3637" s="1" t="n"/>
    </row>
    <row r="3638">
      <c r="F3638" s="1" t="n"/>
    </row>
    <row r="3639">
      <c r="F3639" s="1" t="n"/>
    </row>
    <row r="3640">
      <c r="F3640" s="1" t="n"/>
    </row>
    <row r="3641">
      <c r="F3641" s="1" t="n"/>
    </row>
    <row r="3642">
      <c r="F3642" s="1" t="n"/>
    </row>
    <row r="3643">
      <c r="F3643" s="1" t="n"/>
    </row>
    <row r="3644">
      <c r="F3644" s="1" t="n"/>
    </row>
    <row r="3645">
      <c r="F3645" s="1" t="n"/>
    </row>
    <row r="3646">
      <c r="F3646" s="1" t="n"/>
    </row>
    <row r="3647">
      <c r="F3647" s="1" t="n"/>
    </row>
    <row r="3648">
      <c r="F3648" s="1" t="n"/>
    </row>
    <row r="3649">
      <c r="F3649" s="1" t="n"/>
    </row>
    <row r="3650">
      <c r="F3650" s="1" t="n"/>
    </row>
    <row r="3651">
      <c r="F3651" s="1" t="n"/>
    </row>
    <row r="3652">
      <c r="F3652" s="1" t="n"/>
    </row>
    <row r="3653">
      <c r="F3653" s="1" t="n"/>
    </row>
    <row r="3654">
      <c r="F3654" s="1" t="n"/>
    </row>
    <row r="3655">
      <c r="F3655" s="1" t="n"/>
    </row>
    <row r="3656">
      <c r="F3656" s="1" t="n"/>
    </row>
    <row r="3657">
      <c r="F3657" s="1" t="n"/>
    </row>
    <row r="3658">
      <c r="F3658" s="1" t="n"/>
    </row>
    <row r="3659">
      <c r="F3659" s="1" t="n"/>
    </row>
    <row r="3660">
      <c r="F3660" s="1" t="n"/>
    </row>
    <row r="3661">
      <c r="F3661" s="1" t="n"/>
    </row>
    <row r="3662">
      <c r="F3662" s="1" t="n"/>
    </row>
    <row r="3663">
      <c r="F3663" s="1" t="n"/>
    </row>
    <row r="3664">
      <c r="F3664" s="1" t="n"/>
    </row>
    <row r="3665">
      <c r="F3665" s="1" t="n"/>
    </row>
    <row r="3666">
      <c r="F3666" s="1" t="n"/>
    </row>
    <row r="3667">
      <c r="F3667" s="1" t="n"/>
    </row>
    <row r="3668">
      <c r="F3668" s="1" t="n"/>
    </row>
    <row r="3669">
      <c r="F3669" s="1" t="n"/>
    </row>
    <row r="3670">
      <c r="F3670" s="1" t="n"/>
    </row>
    <row r="3671">
      <c r="F3671" s="1" t="n"/>
    </row>
    <row r="3672">
      <c r="F3672" s="1" t="n"/>
    </row>
    <row r="3673">
      <c r="F3673" s="1" t="n"/>
    </row>
    <row r="3674">
      <c r="F3674" s="1" t="n"/>
    </row>
    <row r="3675">
      <c r="F3675" s="1" t="n"/>
    </row>
    <row r="3676">
      <c r="F3676" s="1" t="n"/>
    </row>
    <row r="3677">
      <c r="F3677" s="1" t="n"/>
    </row>
    <row r="3678">
      <c r="F3678" s="1" t="n"/>
    </row>
    <row r="3679">
      <c r="F3679" s="1" t="n"/>
    </row>
    <row r="3680">
      <c r="F3680" s="1" t="n"/>
    </row>
    <row r="3681">
      <c r="F3681" s="1" t="n"/>
    </row>
    <row r="3682">
      <c r="F3682" s="1" t="n"/>
    </row>
    <row r="3683">
      <c r="F3683" s="1" t="n"/>
    </row>
    <row r="3684">
      <c r="F3684" s="1" t="n"/>
    </row>
    <row r="3685">
      <c r="F3685" s="1" t="n"/>
    </row>
    <row r="3686">
      <c r="F3686" s="1" t="n"/>
    </row>
    <row r="3687">
      <c r="F3687" s="1" t="n"/>
    </row>
    <row r="3688">
      <c r="F3688" s="1" t="n"/>
    </row>
    <row r="3689">
      <c r="F3689" s="1" t="n"/>
    </row>
    <row r="3690">
      <c r="F3690" s="1" t="n"/>
    </row>
    <row r="3691">
      <c r="F3691" s="1" t="n"/>
    </row>
    <row r="3692">
      <c r="F3692" s="1" t="n"/>
    </row>
    <row r="3693">
      <c r="F3693" s="1" t="n"/>
    </row>
    <row r="3694">
      <c r="F3694" s="1" t="n"/>
    </row>
    <row r="3695">
      <c r="F3695" s="1" t="n"/>
    </row>
    <row r="3696">
      <c r="F3696" s="1" t="n"/>
    </row>
    <row r="3697">
      <c r="F3697" s="1" t="n"/>
    </row>
    <row r="3698">
      <c r="F3698" s="1" t="n"/>
    </row>
    <row r="3699">
      <c r="F3699" s="1" t="n"/>
    </row>
    <row r="3700">
      <c r="F3700" s="1" t="n"/>
    </row>
    <row r="3701">
      <c r="F3701" s="1" t="n"/>
    </row>
    <row r="3702">
      <c r="F3702" s="1" t="n"/>
    </row>
    <row r="3703">
      <c r="F3703" s="1" t="n"/>
    </row>
    <row r="3704">
      <c r="F3704" s="1" t="n"/>
    </row>
    <row r="3705">
      <c r="F3705" s="1" t="n"/>
    </row>
    <row r="3706">
      <c r="F3706" s="1" t="n"/>
    </row>
    <row r="3707">
      <c r="F3707" s="1" t="n"/>
    </row>
    <row r="3708">
      <c r="F3708" s="1" t="n"/>
    </row>
    <row r="3709">
      <c r="F3709" s="1" t="n"/>
    </row>
    <row r="3710">
      <c r="F3710" s="1" t="n"/>
    </row>
    <row r="3711">
      <c r="F3711" s="1" t="n"/>
    </row>
    <row r="3712">
      <c r="F3712" s="1" t="n"/>
    </row>
    <row r="3713">
      <c r="F3713" s="1" t="n"/>
    </row>
    <row r="3714">
      <c r="F3714" s="1" t="n"/>
    </row>
    <row r="3715">
      <c r="F3715" s="1" t="n"/>
    </row>
    <row r="3716">
      <c r="F3716" s="1" t="n"/>
    </row>
    <row r="3717">
      <c r="F3717" s="1" t="n"/>
    </row>
    <row r="3718">
      <c r="F3718" s="1" t="n"/>
    </row>
    <row r="3719">
      <c r="F3719" s="1" t="n"/>
    </row>
    <row r="3720">
      <c r="F3720" s="1" t="n"/>
    </row>
    <row r="3721">
      <c r="F3721" s="1" t="n"/>
    </row>
    <row r="3722">
      <c r="F3722" s="1" t="n"/>
    </row>
    <row r="3723">
      <c r="F3723" s="1" t="n"/>
    </row>
    <row r="3724">
      <c r="F3724" s="1" t="n"/>
    </row>
    <row r="3725">
      <c r="F3725" s="1" t="n"/>
    </row>
    <row r="3726">
      <c r="F3726" s="1" t="n"/>
    </row>
    <row r="3727">
      <c r="F3727" s="1" t="n"/>
    </row>
    <row r="3728">
      <c r="F3728" s="1" t="n"/>
    </row>
    <row r="3729">
      <c r="F3729" s="1" t="n"/>
    </row>
    <row r="3730">
      <c r="F3730" s="1" t="n"/>
    </row>
    <row r="3731">
      <c r="F3731" s="1" t="n"/>
    </row>
    <row r="3732">
      <c r="F3732" s="1" t="n"/>
    </row>
    <row r="3733">
      <c r="F3733" s="1" t="n"/>
    </row>
    <row r="3734">
      <c r="F3734" s="1" t="n"/>
    </row>
    <row r="3735">
      <c r="F3735" s="1" t="n"/>
    </row>
    <row r="3736">
      <c r="F3736" s="1" t="n"/>
    </row>
    <row r="3737">
      <c r="F3737" s="1" t="n"/>
    </row>
    <row r="3738">
      <c r="F3738" s="1" t="n"/>
    </row>
    <row r="3739">
      <c r="F3739" s="1" t="n"/>
    </row>
    <row r="3740">
      <c r="F3740" s="1" t="n"/>
    </row>
    <row r="3741">
      <c r="F3741" s="1" t="n"/>
    </row>
    <row r="3742">
      <c r="F3742" s="1" t="n"/>
    </row>
    <row r="3743">
      <c r="F3743" s="1" t="n"/>
    </row>
    <row r="3744">
      <c r="F3744" s="1" t="n"/>
    </row>
    <row r="3745">
      <c r="F3745" s="1" t="n"/>
    </row>
    <row r="3746">
      <c r="F3746" s="1" t="n"/>
    </row>
    <row r="3747">
      <c r="F3747" s="1" t="n"/>
    </row>
    <row r="3748">
      <c r="F3748" s="1" t="n"/>
    </row>
    <row r="3749">
      <c r="F3749" s="1" t="n"/>
    </row>
    <row r="3750">
      <c r="F3750" s="1" t="n"/>
    </row>
    <row r="3751">
      <c r="F3751" s="1" t="n"/>
    </row>
    <row r="3752">
      <c r="F3752" s="1" t="n"/>
    </row>
    <row r="3753">
      <c r="F3753" s="1" t="n"/>
    </row>
    <row r="3754">
      <c r="F3754" s="1" t="n"/>
    </row>
    <row r="3755">
      <c r="F3755" s="1" t="n"/>
    </row>
    <row r="3756">
      <c r="F3756" s="1" t="n"/>
    </row>
    <row r="3757">
      <c r="F3757" s="1" t="n"/>
    </row>
    <row r="3758">
      <c r="F3758" s="1" t="n"/>
    </row>
    <row r="3759">
      <c r="F3759" s="1" t="n"/>
    </row>
    <row r="3760">
      <c r="F3760" s="1" t="n"/>
    </row>
    <row r="3761">
      <c r="F3761" s="1" t="n"/>
    </row>
    <row r="3762">
      <c r="F3762" s="1" t="n"/>
    </row>
    <row r="3763">
      <c r="F3763" s="1" t="n"/>
    </row>
    <row r="3764">
      <c r="F3764" s="1" t="n"/>
    </row>
    <row r="3765">
      <c r="F3765" s="1" t="n"/>
    </row>
    <row r="3766">
      <c r="F3766" s="1" t="n"/>
    </row>
    <row r="3767">
      <c r="F3767" s="1" t="n"/>
    </row>
    <row r="3768">
      <c r="F3768" s="1" t="n"/>
    </row>
    <row r="3769">
      <c r="F3769" s="1" t="n"/>
    </row>
    <row r="3770">
      <c r="F3770" s="1" t="n"/>
    </row>
    <row r="3771">
      <c r="F3771" s="1" t="n"/>
    </row>
    <row r="3772">
      <c r="F3772" s="1" t="n"/>
    </row>
    <row r="3773">
      <c r="F3773" s="1" t="n"/>
    </row>
    <row r="3774">
      <c r="F3774" s="1" t="n"/>
    </row>
    <row r="3775">
      <c r="F3775" s="1" t="n"/>
    </row>
    <row r="3776">
      <c r="F3776" s="1" t="n"/>
    </row>
    <row r="3777">
      <c r="F3777" s="1" t="n"/>
    </row>
    <row r="3778">
      <c r="F3778" s="1" t="n"/>
    </row>
    <row r="3779">
      <c r="F3779" s="1" t="n"/>
    </row>
    <row r="3780">
      <c r="F3780" s="1" t="n"/>
    </row>
    <row r="3781">
      <c r="F3781" s="1" t="n"/>
    </row>
    <row r="3782">
      <c r="F3782" s="1" t="n"/>
    </row>
    <row r="3783">
      <c r="F3783" s="1" t="n"/>
    </row>
    <row r="3784">
      <c r="F3784" s="1" t="n"/>
    </row>
    <row r="3785">
      <c r="F3785" s="1" t="n"/>
    </row>
    <row r="3786">
      <c r="F3786" s="1" t="n"/>
    </row>
    <row r="3787">
      <c r="F3787" s="1" t="n"/>
    </row>
    <row r="3788">
      <c r="F3788" s="1" t="n"/>
    </row>
    <row r="3789">
      <c r="F3789" s="1" t="n"/>
    </row>
    <row r="3790">
      <c r="F3790" s="1" t="n"/>
    </row>
    <row r="3791">
      <c r="F3791" s="1" t="n"/>
    </row>
    <row r="3792">
      <c r="F3792" s="1" t="n"/>
    </row>
    <row r="3793">
      <c r="F3793" s="1" t="n"/>
    </row>
    <row r="3794">
      <c r="F3794" s="1" t="n"/>
    </row>
    <row r="3795">
      <c r="F3795" s="1" t="n"/>
    </row>
    <row r="3796">
      <c r="F3796" s="1" t="n"/>
    </row>
    <row r="3797">
      <c r="F3797" s="1" t="n"/>
    </row>
    <row r="3798">
      <c r="F3798" s="1" t="n"/>
    </row>
    <row r="3799">
      <c r="F3799" s="1" t="n"/>
    </row>
    <row r="3800">
      <c r="F3800" s="1" t="n"/>
    </row>
    <row r="3801">
      <c r="F3801" s="1" t="n"/>
    </row>
    <row r="3802">
      <c r="F3802" s="1" t="n"/>
    </row>
    <row r="3803">
      <c r="F3803" s="1" t="n"/>
    </row>
    <row r="3804">
      <c r="F3804" s="1" t="n"/>
    </row>
    <row r="3805">
      <c r="F3805" s="1" t="n"/>
    </row>
    <row r="3806">
      <c r="F3806" s="1" t="n"/>
    </row>
    <row r="3807">
      <c r="F3807" s="1" t="n"/>
    </row>
    <row r="3808">
      <c r="F3808" s="1" t="n"/>
    </row>
    <row r="3809">
      <c r="F3809" s="1" t="n"/>
    </row>
    <row r="3810">
      <c r="F3810" s="1" t="n"/>
    </row>
    <row r="3811">
      <c r="F3811" s="1" t="n"/>
    </row>
    <row r="3812">
      <c r="F3812" s="1" t="n"/>
    </row>
    <row r="3813">
      <c r="F3813" s="1" t="n"/>
    </row>
    <row r="3814">
      <c r="F3814" s="1" t="n"/>
    </row>
    <row r="3815">
      <c r="F3815" s="1" t="n"/>
    </row>
    <row r="3816">
      <c r="F3816" s="1" t="n"/>
    </row>
    <row r="3817">
      <c r="F3817" s="1" t="n"/>
    </row>
    <row r="3818">
      <c r="F3818" s="1" t="n"/>
    </row>
    <row r="3819">
      <c r="F3819" s="1" t="n"/>
    </row>
    <row r="3820">
      <c r="F3820" s="1" t="n"/>
    </row>
    <row r="3821">
      <c r="F3821" s="1" t="n"/>
    </row>
    <row r="3822">
      <c r="F3822" s="1" t="n"/>
    </row>
    <row r="3823">
      <c r="F3823" s="1" t="n"/>
    </row>
    <row r="3824">
      <c r="F3824" s="1" t="n"/>
    </row>
    <row r="3825">
      <c r="F3825" s="1" t="n"/>
    </row>
    <row r="3826">
      <c r="F3826" s="1" t="n"/>
    </row>
    <row r="3827">
      <c r="F3827" s="1" t="n"/>
    </row>
    <row r="3828">
      <c r="F3828" s="1" t="n"/>
    </row>
    <row r="3829">
      <c r="F3829" s="1" t="n"/>
    </row>
    <row r="3830">
      <c r="F3830" s="1" t="n"/>
    </row>
    <row r="3831">
      <c r="F3831" s="1" t="n"/>
    </row>
    <row r="3832">
      <c r="F3832" s="1" t="n"/>
    </row>
    <row r="3833">
      <c r="F3833" s="1" t="n"/>
    </row>
    <row r="3834">
      <c r="F3834" s="1" t="n"/>
    </row>
    <row r="3835">
      <c r="F3835" s="1" t="n"/>
    </row>
    <row r="3836">
      <c r="F3836" s="1" t="n"/>
    </row>
    <row r="3837">
      <c r="F3837" s="1" t="n"/>
    </row>
    <row r="3838">
      <c r="F3838" s="1" t="n"/>
    </row>
    <row r="3839">
      <c r="F3839" s="1" t="n"/>
    </row>
    <row r="3840">
      <c r="F3840" s="1" t="n"/>
    </row>
    <row r="3841">
      <c r="F3841" s="1" t="n"/>
    </row>
    <row r="3842">
      <c r="F3842" s="1" t="n"/>
    </row>
    <row r="3843">
      <c r="F3843" s="1" t="n"/>
    </row>
    <row r="3844">
      <c r="F3844" s="1" t="n"/>
    </row>
    <row r="3845">
      <c r="F3845" s="1" t="n"/>
    </row>
    <row r="3846">
      <c r="F3846" s="1" t="n"/>
    </row>
    <row r="3847">
      <c r="F3847" s="1" t="n"/>
    </row>
    <row r="3848">
      <c r="F3848" s="1" t="n"/>
    </row>
    <row r="3849">
      <c r="F3849" s="1" t="n"/>
    </row>
    <row r="3850">
      <c r="F3850" s="1" t="n"/>
    </row>
    <row r="3851">
      <c r="F3851" s="1" t="n"/>
    </row>
    <row r="3852">
      <c r="F3852" s="1" t="n"/>
    </row>
    <row r="3853">
      <c r="F3853" s="1" t="n"/>
    </row>
    <row r="3854">
      <c r="F3854" s="1" t="n"/>
    </row>
    <row r="3855">
      <c r="F3855" s="1" t="n"/>
    </row>
    <row r="3856">
      <c r="F3856" s="1" t="n"/>
    </row>
    <row r="3857">
      <c r="F3857" s="1" t="n"/>
    </row>
    <row r="3858">
      <c r="F3858" s="1" t="n"/>
    </row>
    <row r="3859">
      <c r="F3859" s="1" t="n"/>
    </row>
    <row r="3860">
      <c r="F3860" s="1" t="n"/>
    </row>
    <row r="3861">
      <c r="F3861" s="1" t="n"/>
    </row>
    <row r="3862">
      <c r="F3862" s="1" t="n"/>
    </row>
    <row r="3863">
      <c r="F3863" s="1" t="n"/>
    </row>
    <row r="3864">
      <c r="F3864" s="1" t="n"/>
    </row>
    <row r="3865">
      <c r="F3865" s="1" t="n"/>
    </row>
    <row r="3866">
      <c r="F3866" s="1" t="n"/>
    </row>
    <row r="3867">
      <c r="F3867" s="1" t="n"/>
    </row>
    <row r="3868">
      <c r="F3868" s="1" t="n"/>
    </row>
    <row r="3869">
      <c r="F3869" s="1" t="n"/>
    </row>
    <row r="3870">
      <c r="F3870" s="1" t="n"/>
    </row>
    <row r="3871">
      <c r="F3871" s="1" t="n"/>
    </row>
    <row r="3872">
      <c r="F3872" s="1" t="n"/>
    </row>
    <row r="3873">
      <c r="F3873" s="1" t="n"/>
    </row>
    <row r="3874">
      <c r="F3874" s="1" t="n"/>
    </row>
    <row r="3875">
      <c r="F3875" s="1" t="n"/>
    </row>
    <row r="3876">
      <c r="F3876" s="1" t="n"/>
    </row>
    <row r="3877">
      <c r="F3877" s="1" t="n"/>
    </row>
    <row r="3878">
      <c r="F3878" s="1" t="n"/>
    </row>
    <row r="3879">
      <c r="F3879" s="1" t="n"/>
    </row>
    <row r="3880">
      <c r="F3880" s="1" t="n"/>
    </row>
    <row r="3881">
      <c r="F3881" s="1" t="n"/>
    </row>
    <row r="3882">
      <c r="F3882" s="1" t="n"/>
    </row>
    <row r="3883">
      <c r="F3883" s="1" t="n"/>
    </row>
    <row r="3884">
      <c r="F3884" s="1" t="n"/>
    </row>
    <row r="3885">
      <c r="F3885" s="1" t="n"/>
    </row>
    <row r="3886">
      <c r="F3886" s="1" t="n"/>
    </row>
    <row r="3887">
      <c r="F3887" s="1" t="n"/>
    </row>
    <row r="3888">
      <c r="F3888" s="1" t="n"/>
    </row>
    <row r="3889">
      <c r="F3889" s="1" t="n"/>
    </row>
    <row r="3890">
      <c r="F3890" s="1" t="n"/>
    </row>
    <row r="3891">
      <c r="F3891" s="1" t="n"/>
    </row>
    <row r="3892">
      <c r="F3892" s="1" t="n"/>
    </row>
    <row r="3893">
      <c r="F3893" s="1" t="n"/>
    </row>
    <row r="3894">
      <c r="F3894" s="1" t="n"/>
    </row>
    <row r="3895">
      <c r="F3895" s="1" t="n"/>
    </row>
    <row r="3896">
      <c r="F3896" s="1" t="n"/>
    </row>
    <row r="3897">
      <c r="F3897" s="1" t="n"/>
    </row>
    <row r="3898">
      <c r="F3898" s="1" t="n"/>
    </row>
    <row r="3899">
      <c r="F3899" s="1" t="n"/>
    </row>
    <row r="3900">
      <c r="F3900" s="1" t="n"/>
    </row>
    <row r="3901">
      <c r="F3901" s="1" t="n"/>
    </row>
    <row r="3902">
      <c r="F3902" s="1" t="n"/>
    </row>
    <row r="3903">
      <c r="F3903" s="1" t="n"/>
    </row>
    <row r="3904">
      <c r="F3904" s="1" t="n"/>
    </row>
    <row r="3905">
      <c r="F3905" s="1" t="n"/>
    </row>
    <row r="3906">
      <c r="F3906" s="1" t="n"/>
    </row>
    <row r="3907">
      <c r="F3907" s="1" t="n"/>
    </row>
    <row r="3908">
      <c r="F3908" s="1" t="n"/>
    </row>
    <row r="3909">
      <c r="F3909" s="1" t="n"/>
    </row>
    <row r="3910">
      <c r="F3910" s="1" t="n"/>
    </row>
    <row r="3911">
      <c r="F3911" s="1" t="n"/>
    </row>
    <row r="3912">
      <c r="F3912" s="1" t="n"/>
    </row>
    <row r="3913">
      <c r="F3913" s="1" t="n"/>
    </row>
    <row r="3914">
      <c r="F3914" s="1" t="n"/>
    </row>
    <row r="3915">
      <c r="F3915" s="1" t="n"/>
    </row>
    <row r="3916">
      <c r="F3916" s="1" t="n"/>
    </row>
    <row r="3917">
      <c r="F3917" s="1" t="n"/>
    </row>
    <row r="3918">
      <c r="F3918" s="1" t="n"/>
    </row>
    <row r="3919">
      <c r="F3919" s="1" t="n"/>
    </row>
    <row r="3920">
      <c r="F3920" s="1" t="n"/>
    </row>
    <row r="3921">
      <c r="F3921" s="1" t="n"/>
    </row>
    <row r="3922">
      <c r="F3922" s="1" t="n"/>
    </row>
    <row r="3923">
      <c r="F3923" s="1" t="n"/>
    </row>
    <row r="3924">
      <c r="F3924" s="1" t="n"/>
    </row>
    <row r="3925">
      <c r="F3925" s="1" t="n"/>
    </row>
    <row r="3926">
      <c r="F3926" s="1" t="n"/>
    </row>
    <row r="3927">
      <c r="F3927" s="1" t="n"/>
    </row>
    <row r="3928">
      <c r="F3928" s="1" t="n"/>
    </row>
    <row r="3929">
      <c r="F3929" s="1" t="n"/>
    </row>
    <row r="3930">
      <c r="F3930" s="1" t="n"/>
    </row>
    <row r="3931">
      <c r="F3931" s="1" t="n"/>
    </row>
    <row r="3932">
      <c r="F3932" s="1" t="n"/>
    </row>
    <row r="3933">
      <c r="F3933" s="1" t="n"/>
    </row>
    <row r="3934">
      <c r="F3934" s="1" t="n"/>
    </row>
    <row r="3935">
      <c r="F3935" s="1" t="n"/>
    </row>
    <row r="3936">
      <c r="F3936" s="1" t="n"/>
    </row>
    <row r="3937">
      <c r="F3937" s="1" t="n"/>
    </row>
    <row r="3938">
      <c r="F3938" s="1" t="n"/>
    </row>
    <row r="3939">
      <c r="F3939" s="1" t="n"/>
    </row>
    <row r="3940">
      <c r="F3940" s="1" t="n"/>
    </row>
    <row r="3941">
      <c r="F3941" s="1" t="n"/>
    </row>
    <row r="3942">
      <c r="F3942" s="1" t="n"/>
    </row>
    <row r="3943">
      <c r="F3943" s="1" t="n"/>
    </row>
    <row r="3944">
      <c r="F3944" s="1" t="n"/>
    </row>
    <row r="3945">
      <c r="F3945" s="1" t="n"/>
    </row>
    <row r="3946">
      <c r="F3946" s="1" t="n"/>
    </row>
    <row r="3947">
      <c r="F3947" s="1" t="n"/>
    </row>
    <row r="3948">
      <c r="F3948" s="1" t="n"/>
    </row>
    <row r="3949">
      <c r="F3949" s="1" t="n"/>
    </row>
    <row r="3950">
      <c r="F3950" s="1" t="n"/>
    </row>
    <row r="3951">
      <c r="F3951" s="1" t="n"/>
    </row>
    <row r="3952">
      <c r="F3952" s="1" t="n"/>
    </row>
    <row r="3953">
      <c r="F3953" s="1" t="n"/>
    </row>
    <row r="3954">
      <c r="F3954" s="1" t="n"/>
    </row>
    <row r="3955">
      <c r="F3955" s="1" t="n"/>
    </row>
    <row r="3956">
      <c r="F3956" s="1" t="n"/>
    </row>
    <row r="3957">
      <c r="F3957" s="1" t="n"/>
    </row>
    <row r="3958">
      <c r="F3958" s="1" t="n"/>
    </row>
    <row r="3959">
      <c r="F3959" s="1" t="n"/>
    </row>
    <row r="3960">
      <c r="F3960" s="1" t="n"/>
    </row>
    <row r="3961">
      <c r="F3961" s="1" t="n"/>
    </row>
    <row r="3962">
      <c r="F3962" s="1" t="n"/>
    </row>
    <row r="3963">
      <c r="F3963" s="1" t="n"/>
    </row>
    <row r="3964">
      <c r="F3964" s="1" t="n"/>
    </row>
    <row r="3965">
      <c r="F3965" s="1" t="n"/>
    </row>
    <row r="3966">
      <c r="F3966" s="1" t="n"/>
    </row>
    <row r="3967">
      <c r="F3967" s="1" t="n"/>
    </row>
    <row r="3968">
      <c r="F3968" s="1" t="n"/>
    </row>
    <row r="3969">
      <c r="F3969" s="1" t="n"/>
    </row>
    <row r="3970">
      <c r="F3970" s="1" t="n"/>
    </row>
    <row r="3971">
      <c r="F3971" s="1" t="n"/>
    </row>
    <row r="3972">
      <c r="F3972" s="1" t="n"/>
    </row>
    <row r="3973">
      <c r="F3973" s="1" t="n"/>
    </row>
    <row r="3974">
      <c r="F3974" s="1" t="n"/>
    </row>
    <row r="3975">
      <c r="F3975" s="1" t="n"/>
    </row>
    <row r="3976">
      <c r="F3976" s="1" t="n"/>
    </row>
    <row r="3977">
      <c r="F3977" s="1" t="n"/>
    </row>
    <row r="3978">
      <c r="F3978" s="1" t="n"/>
    </row>
    <row r="3979">
      <c r="F3979" s="1" t="n"/>
    </row>
    <row r="3980">
      <c r="F3980" s="1" t="n"/>
    </row>
    <row r="3981">
      <c r="F3981" s="1" t="n"/>
    </row>
    <row r="3982">
      <c r="F3982" s="1" t="n"/>
    </row>
    <row r="3983">
      <c r="F3983" s="1" t="n"/>
    </row>
    <row r="3984">
      <c r="F3984" s="1" t="n"/>
    </row>
    <row r="3985">
      <c r="F3985" s="1" t="n"/>
    </row>
    <row r="3986">
      <c r="F3986" s="1" t="n"/>
    </row>
    <row r="3987">
      <c r="F3987" s="1" t="n"/>
    </row>
    <row r="3988">
      <c r="F3988" s="1" t="n"/>
    </row>
    <row r="3989">
      <c r="F3989" s="1" t="n"/>
    </row>
    <row r="3990">
      <c r="F3990" s="1" t="n"/>
    </row>
    <row r="3991">
      <c r="F3991" s="1" t="n"/>
    </row>
    <row r="3992">
      <c r="F3992" s="1" t="n"/>
    </row>
    <row r="3993">
      <c r="F3993" s="1" t="n"/>
    </row>
    <row r="3994">
      <c r="F3994" s="1" t="n"/>
    </row>
    <row r="3995">
      <c r="F3995" s="1" t="n"/>
    </row>
    <row r="3996">
      <c r="F3996" s="1" t="n"/>
    </row>
    <row r="3997">
      <c r="F3997" s="1" t="n"/>
    </row>
    <row r="3998">
      <c r="F3998" s="1" t="n"/>
    </row>
    <row r="3999">
      <c r="F3999" s="1" t="n"/>
    </row>
    <row r="4000">
      <c r="F4000" s="1" t="n"/>
    </row>
    <row r="4001">
      <c r="F4001" s="1" t="n"/>
    </row>
    <row r="4002">
      <c r="F4002" s="1" t="n"/>
    </row>
    <row r="4003">
      <c r="F4003" s="1" t="n"/>
    </row>
    <row r="4004">
      <c r="F4004" s="1" t="n"/>
    </row>
    <row r="4005">
      <c r="F4005" s="1" t="n"/>
    </row>
    <row r="4006">
      <c r="F4006" s="1" t="n"/>
    </row>
    <row r="4007">
      <c r="F4007" s="1" t="n"/>
    </row>
    <row r="4008">
      <c r="F4008" s="1" t="n"/>
    </row>
    <row r="4009">
      <c r="F4009" s="1" t="n"/>
    </row>
    <row r="4010">
      <c r="F4010" s="1" t="n"/>
    </row>
    <row r="4011">
      <c r="F4011" s="1" t="n"/>
    </row>
    <row r="4012">
      <c r="F4012" s="1" t="n"/>
    </row>
    <row r="4013">
      <c r="F4013" s="1" t="n"/>
    </row>
    <row r="4014">
      <c r="F4014" s="1" t="n"/>
    </row>
    <row r="4015">
      <c r="F4015" s="1" t="n"/>
    </row>
    <row r="4016">
      <c r="F4016" s="1" t="n"/>
    </row>
    <row r="4017">
      <c r="F4017" s="1" t="n"/>
    </row>
    <row r="4018">
      <c r="F4018" s="1" t="n"/>
    </row>
    <row r="4019">
      <c r="F4019" s="1" t="n"/>
    </row>
    <row r="4020">
      <c r="F4020" s="1" t="n"/>
    </row>
    <row r="4021">
      <c r="F4021" s="1" t="n"/>
    </row>
    <row r="4022">
      <c r="F4022" s="1" t="n"/>
    </row>
    <row r="4023">
      <c r="F4023" s="1" t="n"/>
    </row>
    <row r="4024">
      <c r="F4024" s="1" t="n"/>
    </row>
    <row r="4025">
      <c r="F4025" s="1" t="n"/>
    </row>
    <row r="4026">
      <c r="F4026" s="1" t="n"/>
    </row>
    <row r="4027">
      <c r="F4027" s="1" t="n"/>
    </row>
    <row r="4028">
      <c r="F4028" s="1" t="n"/>
    </row>
    <row r="4029">
      <c r="F4029" s="1" t="n"/>
    </row>
    <row r="4030">
      <c r="F4030" s="1" t="n"/>
    </row>
    <row r="4031">
      <c r="F4031" s="1" t="n"/>
    </row>
    <row r="4032">
      <c r="F4032" s="1" t="n"/>
    </row>
    <row r="4033">
      <c r="F4033" s="1" t="n"/>
    </row>
    <row r="4034">
      <c r="F4034" s="1" t="n"/>
    </row>
    <row r="4035">
      <c r="F4035" s="1" t="n"/>
    </row>
    <row r="4036">
      <c r="F4036" s="1" t="n"/>
    </row>
    <row r="4037">
      <c r="F4037" s="1" t="n"/>
    </row>
    <row r="4038">
      <c r="F4038" s="1" t="n"/>
    </row>
    <row r="4039">
      <c r="F4039" s="1" t="n"/>
    </row>
    <row r="4040">
      <c r="F4040" s="1" t="n"/>
    </row>
    <row r="4041">
      <c r="F4041" s="1" t="n"/>
    </row>
    <row r="4042">
      <c r="F4042" s="1" t="n"/>
    </row>
    <row r="4043">
      <c r="F4043" s="1" t="n"/>
    </row>
    <row r="4044">
      <c r="F4044" s="1" t="n"/>
    </row>
    <row r="4045">
      <c r="F4045" s="1" t="n"/>
    </row>
    <row r="4046">
      <c r="F4046" s="1" t="n"/>
    </row>
    <row r="4047">
      <c r="F4047" s="1" t="n"/>
    </row>
    <row r="4048">
      <c r="F4048" s="1" t="n"/>
    </row>
    <row r="4049">
      <c r="F4049" s="1" t="n"/>
    </row>
    <row r="4050">
      <c r="F4050" s="1" t="n"/>
    </row>
    <row r="4051">
      <c r="F4051" s="1" t="n"/>
    </row>
    <row r="4052">
      <c r="F4052" s="1" t="n"/>
    </row>
    <row r="4053">
      <c r="F4053" s="1" t="n"/>
    </row>
    <row r="4054">
      <c r="F4054" s="1" t="n"/>
    </row>
    <row r="4055">
      <c r="F4055" s="1" t="n"/>
    </row>
    <row r="4056">
      <c r="F4056" s="1" t="n"/>
    </row>
    <row r="4057">
      <c r="F4057" s="1" t="n"/>
    </row>
    <row r="4058">
      <c r="F4058" s="1" t="n"/>
    </row>
    <row r="4059">
      <c r="F4059" s="1" t="n"/>
    </row>
    <row r="4060">
      <c r="F4060" s="1" t="n"/>
    </row>
    <row r="4061">
      <c r="F4061" s="1" t="n"/>
    </row>
    <row r="4062">
      <c r="F4062" s="1" t="n"/>
    </row>
    <row r="4063">
      <c r="F4063" s="1" t="n"/>
    </row>
    <row r="4064">
      <c r="F4064" s="1" t="n"/>
    </row>
    <row r="4065">
      <c r="F4065" s="1" t="n"/>
    </row>
    <row r="4066">
      <c r="F4066" s="1" t="n"/>
    </row>
    <row r="4067">
      <c r="F4067" s="1" t="n"/>
    </row>
    <row r="4068">
      <c r="F4068" s="1" t="n"/>
    </row>
    <row r="4069">
      <c r="F4069" s="1" t="n"/>
    </row>
    <row r="4070">
      <c r="F4070" s="1" t="n"/>
    </row>
    <row r="4071">
      <c r="F4071" s="1" t="n"/>
    </row>
    <row r="4072">
      <c r="F4072" s="1" t="n"/>
    </row>
    <row r="4073">
      <c r="F4073" s="1" t="n"/>
    </row>
    <row r="4074">
      <c r="F4074" s="1" t="n"/>
    </row>
    <row r="4075">
      <c r="F4075" s="1" t="n"/>
    </row>
    <row r="4076">
      <c r="F4076" s="1" t="n"/>
    </row>
    <row r="4077">
      <c r="F4077" s="1" t="n"/>
    </row>
    <row r="4078">
      <c r="F4078" s="1" t="n"/>
    </row>
    <row r="4079">
      <c r="F4079" s="1" t="n"/>
    </row>
    <row r="4080">
      <c r="F4080" s="1" t="n"/>
    </row>
    <row r="4081">
      <c r="F4081" s="1" t="n"/>
    </row>
    <row r="4082">
      <c r="F4082" s="1" t="n"/>
    </row>
    <row r="4083">
      <c r="F4083" s="1" t="n"/>
    </row>
    <row r="4084">
      <c r="F4084" s="1" t="n"/>
    </row>
    <row r="4085">
      <c r="F4085" s="1" t="n"/>
    </row>
    <row r="4086">
      <c r="F4086" s="1" t="n"/>
    </row>
    <row r="4087">
      <c r="F4087" s="1" t="n"/>
    </row>
    <row r="4088">
      <c r="F4088" s="1" t="n"/>
    </row>
    <row r="4089">
      <c r="F4089" s="1" t="n"/>
    </row>
    <row r="4090">
      <c r="F4090" s="1" t="n"/>
    </row>
    <row r="4091">
      <c r="F4091" s="1" t="n"/>
    </row>
    <row r="4092">
      <c r="F4092" s="1" t="n"/>
    </row>
    <row r="4093">
      <c r="F4093" s="1" t="n"/>
    </row>
    <row r="4094">
      <c r="F4094" s="1" t="n"/>
    </row>
    <row r="4095">
      <c r="F4095" s="1" t="n"/>
    </row>
    <row r="4096">
      <c r="F4096" s="1" t="n"/>
    </row>
    <row r="4097">
      <c r="F4097" s="1" t="n"/>
    </row>
    <row r="4098">
      <c r="F4098" s="1" t="n"/>
    </row>
    <row r="4099">
      <c r="F4099" s="1" t="n"/>
    </row>
    <row r="4100">
      <c r="F4100" s="1" t="n"/>
    </row>
    <row r="4101">
      <c r="F4101" s="1" t="n"/>
    </row>
    <row r="4102">
      <c r="F4102" s="1" t="n"/>
    </row>
    <row r="4103">
      <c r="F4103" s="1" t="n"/>
    </row>
    <row r="4104">
      <c r="F4104" s="1" t="n"/>
    </row>
    <row r="4105">
      <c r="F4105" s="1" t="n"/>
    </row>
    <row r="4106">
      <c r="F4106" s="1" t="n"/>
    </row>
    <row r="4107">
      <c r="F4107" s="1" t="n"/>
    </row>
    <row r="4108">
      <c r="F4108" s="1" t="n"/>
    </row>
    <row r="4109">
      <c r="F4109" s="1" t="n"/>
    </row>
    <row r="4110">
      <c r="F4110" s="1" t="n"/>
    </row>
    <row r="4111">
      <c r="F4111" s="1" t="n"/>
    </row>
    <row r="4112">
      <c r="F4112" s="1" t="n"/>
    </row>
    <row r="4113">
      <c r="F4113" s="1" t="n"/>
    </row>
    <row r="4114">
      <c r="F4114" s="1" t="n"/>
    </row>
    <row r="4115">
      <c r="F4115" s="1" t="n"/>
    </row>
    <row r="4116">
      <c r="F4116" s="1" t="n"/>
    </row>
    <row r="4117">
      <c r="F4117" s="1" t="n"/>
    </row>
    <row r="4118">
      <c r="F4118" s="1" t="n"/>
    </row>
    <row r="4119">
      <c r="F4119" s="1" t="n"/>
    </row>
    <row r="4120">
      <c r="F4120" s="1" t="n"/>
    </row>
    <row r="4121">
      <c r="F4121" s="1" t="n"/>
    </row>
    <row r="4122">
      <c r="F4122" s="1" t="n"/>
    </row>
    <row r="4123">
      <c r="F4123" s="1" t="n"/>
    </row>
    <row r="4124">
      <c r="F4124" s="1" t="n"/>
    </row>
    <row r="4125">
      <c r="F4125" s="1" t="n"/>
    </row>
    <row r="4126">
      <c r="F4126" s="1" t="n"/>
    </row>
    <row r="4127">
      <c r="F4127" s="1" t="n"/>
    </row>
    <row r="4128">
      <c r="F4128" s="1" t="n"/>
    </row>
    <row r="4129">
      <c r="F4129" s="1" t="n"/>
    </row>
    <row r="4130">
      <c r="F4130" s="1" t="n"/>
    </row>
    <row r="4131">
      <c r="F4131" s="1" t="n"/>
    </row>
    <row r="4132">
      <c r="F4132" s="1" t="n"/>
    </row>
    <row r="4133">
      <c r="F4133" s="1" t="n"/>
    </row>
    <row r="4134">
      <c r="F4134" s="1" t="n"/>
    </row>
    <row r="4135">
      <c r="F4135" s="1" t="n"/>
    </row>
    <row r="4136">
      <c r="F4136" s="1" t="n"/>
    </row>
    <row r="4137">
      <c r="F4137" s="1" t="n"/>
    </row>
    <row r="4138">
      <c r="F4138" s="1" t="n"/>
    </row>
    <row r="4139">
      <c r="F4139" s="1" t="n"/>
    </row>
    <row r="4140">
      <c r="F4140" s="1" t="n"/>
    </row>
    <row r="4141">
      <c r="F4141" s="1" t="n"/>
    </row>
    <row r="4142">
      <c r="F4142" s="1" t="n"/>
    </row>
    <row r="4143">
      <c r="F4143" s="1" t="n"/>
    </row>
    <row r="4144">
      <c r="F4144" s="1" t="n"/>
    </row>
    <row r="4145">
      <c r="F4145" s="1" t="n"/>
    </row>
    <row r="4146">
      <c r="F4146" s="1" t="n"/>
    </row>
    <row r="4147">
      <c r="F4147" s="1" t="n"/>
    </row>
    <row r="4148">
      <c r="F4148" s="1" t="n"/>
    </row>
    <row r="4149">
      <c r="F4149" s="1" t="n"/>
    </row>
    <row r="4150">
      <c r="F4150" s="1" t="n"/>
    </row>
    <row r="4151">
      <c r="F4151" s="1" t="n"/>
    </row>
    <row r="4152">
      <c r="F4152" s="1" t="n"/>
    </row>
    <row r="4153">
      <c r="F4153" s="1" t="n"/>
    </row>
    <row r="4154">
      <c r="F4154" s="1" t="n"/>
    </row>
    <row r="4155">
      <c r="F4155" s="1" t="n"/>
    </row>
    <row r="4156">
      <c r="F4156" s="1" t="n"/>
    </row>
    <row r="4157">
      <c r="F4157" s="1" t="n"/>
    </row>
    <row r="4158">
      <c r="F4158" s="1" t="n"/>
    </row>
    <row r="4159">
      <c r="F4159" s="1" t="n"/>
    </row>
    <row r="4160">
      <c r="F4160" s="1" t="n"/>
    </row>
    <row r="4161">
      <c r="F4161" s="1" t="n"/>
    </row>
    <row r="4162">
      <c r="F4162" s="1" t="n"/>
    </row>
    <row r="4163">
      <c r="F4163" s="1" t="n"/>
    </row>
    <row r="4164">
      <c r="F4164" s="1" t="n"/>
    </row>
    <row r="4165">
      <c r="F4165" s="1" t="n"/>
    </row>
    <row r="4166">
      <c r="F4166" s="1" t="n"/>
    </row>
    <row r="4167">
      <c r="F4167" s="1" t="n"/>
    </row>
    <row r="4168">
      <c r="F4168" s="1" t="n"/>
    </row>
    <row r="4169">
      <c r="F4169" s="1" t="n"/>
    </row>
    <row r="4170">
      <c r="F4170" s="1" t="n"/>
    </row>
    <row r="4171">
      <c r="F4171" s="1" t="n"/>
    </row>
    <row r="4172">
      <c r="F4172" s="1" t="n"/>
    </row>
    <row r="4173">
      <c r="F4173" s="1" t="n"/>
    </row>
    <row r="4174">
      <c r="F4174" s="1" t="n"/>
    </row>
    <row r="4175">
      <c r="F4175" s="1" t="n"/>
    </row>
    <row r="4176">
      <c r="F4176" s="1" t="n"/>
    </row>
    <row r="4177">
      <c r="F4177" s="1" t="n"/>
    </row>
    <row r="4178">
      <c r="F4178" s="1" t="n"/>
    </row>
    <row r="4179">
      <c r="F4179" s="1" t="n"/>
    </row>
    <row r="4180">
      <c r="F4180" s="1" t="n"/>
    </row>
    <row r="4181">
      <c r="F4181" s="1" t="n"/>
    </row>
    <row r="4182">
      <c r="F4182" s="1" t="n"/>
    </row>
    <row r="4183">
      <c r="F4183" s="1" t="n"/>
    </row>
    <row r="4184">
      <c r="F4184" s="1" t="n"/>
    </row>
    <row r="4185">
      <c r="F4185" s="1" t="n"/>
    </row>
    <row r="4186">
      <c r="F4186" s="1" t="n"/>
    </row>
    <row r="4187">
      <c r="F4187" s="1" t="n"/>
    </row>
    <row r="4188">
      <c r="F4188" s="1" t="n"/>
    </row>
    <row r="4189">
      <c r="F4189" s="1" t="n"/>
    </row>
    <row r="4190">
      <c r="F4190" s="1" t="n"/>
    </row>
    <row r="4191">
      <c r="F4191" s="1" t="n"/>
    </row>
    <row r="4192">
      <c r="F4192" s="1" t="n"/>
    </row>
    <row r="4193">
      <c r="F4193" s="1" t="n"/>
    </row>
    <row r="4194">
      <c r="F4194" s="1" t="n"/>
    </row>
    <row r="4195">
      <c r="F4195" s="1" t="n"/>
    </row>
    <row r="4196">
      <c r="F4196" s="1" t="n"/>
    </row>
    <row r="4197">
      <c r="F4197" s="1" t="n"/>
    </row>
    <row r="4198">
      <c r="F4198" s="1" t="n"/>
    </row>
    <row r="4199">
      <c r="F4199" s="1" t="n"/>
    </row>
    <row r="4200">
      <c r="F4200" s="1" t="n"/>
    </row>
    <row r="4201">
      <c r="F4201" s="1" t="n"/>
    </row>
    <row r="4202">
      <c r="F4202" s="1" t="n"/>
    </row>
    <row r="4203">
      <c r="F4203" s="1" t="n"/>
    </row>
    <row r="4204">
      <c r="F4204" s="1" t="n"/>
    </row>
    <row r="4205">
      <c r="F4205" s="1" t="n"/>
    </row>
    <row r="4206">
      <c r="F4206" s="1" t="n"/>
    </row>
    <row r="4207">
      <c r="F4207" s="1" t="n"/>
    </row>
    <row r="4208">
      <c r="F4208" s="1" t="n"/>
    </row>
    <row r="4209">
      <c r="F4209" s="1" t="n"/>
    </row>
    <row r="4210">
      <c r="F4210" s="1" t="n"/>
    </row>
    <row r="4211">
      <c r="F4211" s="1" t="n"/>
    </row>
    <row r="4212">
      <c r="F4212" s="1" t="n"/>
    </row>
    <row r="4213">
      <c r="F4213" s="1" t="n"/>
    </row>
    <row r="4214">
      <c r="F4214" s="1" t="n"/>
    </row>
    <row r="4215">
      <c r="F4215" s="1" t="n"/>
    </row>
    <row r="4216">
      <c r="F4216" s="1" t="n"/>
    </row>
    <row r="4217">
      <c r="F4217" s="1" t="n"/>
    </row>
    <row r="4218">
      <c r="F4218" s="1" t="n"/>
    </row>
    <row r="4219">
      <c r="F4219" s="1" t="n"/>
    </row>
    <row r="4220">
      <c r="F4220" s="1" t="n"/>
    </row>
    <row r="4221">
      <c r="F4221" s="1" t="n"/>
    </row>
    <row r="4222">
      <c r="F4222" s="1" t="n"/>
    </row>
    <row r="4223">
      <c r="F4223" s="1" t="n"/>
    </row>
    <row r="4224">
      <c r="F4224" s="1" t="n"/>
    </row>
    <row r="4225">
      <c r="F4225" s="1" t="n"/>
    </row>
    <row r="4226">
      <c r="F4226" s="1" t="n"/>
    </row>
    <row r="4227">
      <c r="F4227" s="1" t="n"/>
    </row>
    <row r="4228">
      <c r="F4228" s="1" t="n"/>
    </row>
    <row r="4229">
      <c r="F4229" s="1" t="n"/>
    </row>
    <row r="4230">
      <c r="F4230" s="1" t="n"/>
    </row>
    <row r="4231">
      <c r="F4231" s="1" t="n"/>
    </row>
    <row r="4232">
      <c r="F4232" s="1" t="n"/>
    </row>
    <row r="4233">
      <c r="F4233" s="1" t="n"/>
    </row>
    <row r="4234">
      <c r="F4234" s="1" t="n"/>
    </row>
    <row r="4235">
      <c r="F4235" s="1" t="n"/>
    </row>
    <row r="4236">
      <c r="F4236" s="1" t="n"/>
    </row>
    <row r="4237">
      <c r="F4237" s="1" t="n"/>
    </row>
    <row r="4238">
      <c r="F4238" s="1" t="n"/>
    </row>
    <row r="4239">
      <c r="F4239" s="1" t="n"/>
    </row>
    <row r="4240">
      <c r="F4240" s="1" t="n"/>
    </row>
    <row r="4241">
      <c r="F4241" s="1" t="n"/>
    </row>
    <row r="4242">
      <c r="F4242" s="1" t="n"/>
    </row>
    <row r="4243">
      <c r="F4243" s="1" t="n"/>
    </row>
    <row r="4244">
      <c r="F4244" s="1" t="n"/>
    </row>
    <row r="4245">
      <c r="F4245" s="1" t="n"/>
    </row>
    <row r="4246">
      <c r="F4246" s="1" t="n"/>
    </row>
    <row r="4247">
      <c r="F4247" s="1" t="n"/>
    </row>
    <row r="4248">
      <c r="F4248" s="1" t="n"/>
    </row>
    <row r="4249">
      <c r="F4249" s="1" t="n"/>
    </row>
    <row r="4250">
      <c r="F4250" s="1" t="n"/>
    </row>
    <row r="4251">
      <c r="F4251" s="1" t="n"/>
    </row>
    <row r="4252">
      <c r="F4252" s="1" t="n"/>
    </row>
    <row r="4253">
      <c r="F4253" s="1" t="n"/>
    </row>
    <row r="4254">
      <c r="F4254" s="1" t="n"/>
    </row>
    <row r="4255">
      <c r="F4255" s="1" t="n"/>
    </row>
    <row r="4256">
      <c r="F4256" s="1" t="n"/>
    </row>
    <row r="4257">
      <c r="F4257" s="1" t="n"/>
    </row>
    <row r="4258">
      <c r="F4258" s="1" t="n"/>
    </row>
    <row r="4259">
      <c r="F4259" s="1" t="n"/>
    </row>
    <row r="4260">
      <c r="F4260" s="1" t="n"/>
    </row>
    <row r="4261">
      <c r="F4261" s="1" t="n"/>
    </row>
    <row r="4262">
      <c r="F4262" s="1" t="n"/>
    </row>
    <row r="4263">
      <c r="F4263" s="1" t="n"/>
    </row>
    <row r="4264">
      <c r="F4264" s="1" t="n"/>
    </row>
    <row r="4265">
      <c r="F4265" s="1" t="n"/>
    </row>
    <row r="4266">
      <c r="F4266" s="1" t="n"/>
    </row>
    <row r="4267">
      <c r="F4267" s="1" t="n"/>
    </row>
    <row r="4268">
      <c r="F4268" s="1" t="n"/>
    </row>
    <row r="4269">
      <c r="F4269" s="1" t="n"/>
    </row>
    <row r="4270">
      <c r="F4270" s="1" t="n"/>
    </row>
    <row r="4271">
      <c r="F4271" s="1" t="n"/>
    </row>
    <row r="4272">
      <c r="F4272" s="1" t="n"/>
    </row>
    <row r="4273">
      <c r="F4273" s="1" t="n"/>
    </row>
    <row r="4274">
      <c r="F4274" s="1" t="n"/>
    </row>
    <row r="4275">
      <c r="F4275" s="1" t="n"/>
    </row>
    <row r="4276">
      <c r="F4276" s="1" t="n"/>
    </row>
    <row r="4277">
      <c r="F4277" s="1" t="n"/>
    </row>
    <row r="4278">
      <c r="F4278" s="1" t="n"/>
    </row>
    <row r="4279">
      <c r="F4279" s="1" t="n"/>
    </row>
    <row r="4280">
      <c r="F4280" s="1" t="n"/>
    </row>
    <row r="4281">
      <c r="F4281" s="1" t="n"/>
    </row>
    <row r="4282">
      <c r="F4282" s="1" t="n"/>
    </row>
    <row r="4283">
      <c r="F4283" s="1" t="n"/>
    </row>
    <row r="4284">
      <c r="F4284" s="1" t="n"/>
    </row>
    <row r="4285">
      <c r="F4285" s="1" t="n"/>
    </row>
    <row r="4286">
      <c r="F4286" s="1" t="n"/>
    </row>
    <row r="4287">
      <c r="F4287" s="1" t="n"/>
    </row>
    <row r="4288">
      <c r="F4288" s="1" t="n"/>
    </row>
    <row r="4289">
      <c r="F4289" s="1" t="n"/>
    </row>
    <row r="4290">
      <c r="F4290" s="1" t="n"/>
    </row>
    <row r="4291">
      <c r="F4291" s="1" t="n"/>
    </row>
    <row r="4292">
      <c r="F4292" s="1" t="n"/>
    </row>
    <row r="4293">
      <c r="F4293" s="1" t="n"/>
    </row>
    <row r="4294">
      <c r="F4294" s="1" t="n"/>
    </row>
    <row r="4295">
      <c r="F4295" s="1" t="n"/>
    </row>
    <row r="4296">
      <c r="F4296" s="1" t="n"/>
    </row>
    <row r="4297">
      <c r="F4297" s="1" t="n"/>
    </row>
    <row r="4298">
      <c r="F4298" s="1" t="n"/>
    </row>
    <row r="4299">
      <c r="F4299" s="1" t="n"/>
    </row>
    <row r="4300">
      <c r="F4300" s="1" t="n"/>
    </row>
    <row r="4301">
      <c r="F4301" s="1" t="n"/>
    </row>
    <row r="4302">
      <c r="F4302" s="1" t="n"/>
    </row>
    <row r="4303">
      <c r="F4303" s="1" t="n"/>
    </row>
    <row r="4304">
      <c r="F4304" s="1" t="n"/>
    </row>
    <row r="4305">
      <c r="F4305" s="1" t="n"/>
    </row>
    <row r="4306">
      <c r="F4306" s="1" t="n"/>
    </row>
    <row r="4307">
      <c r="F4307" s="1" t="n"/>
    </row>
    <row r="4308">
      <c r="F4308" s="1" t="n"/>
    </row>
    <row r="4309">
      <c r="F4309" s="1" t="n"/>
    </row>
    <row r="4310">
      <c r="F4310" s="1" t="n"/>
    </row>
    <row r="4311">
      <c r="F4311" s="1" t="n"/>
    </row>
    <row r="4312">
      <c r="F4312" s="1" t="n"/>
    </row>
    <row r="4313">
      <c r="F4313" s="1" t="n"/>
    </row>
    <row r="4314">
      <c r="F4314" s="1" t="n"/>
    </row>
    <row r="4315">
      <c r="F4315" s="1" t="n"/>
    </row>
    <row r="4316">
      <c r="F4316" s="1" t="n"/>
    </row>
    <row r="4317">
      <c r="F4317" s="1" t="n"/>
    </row>
    <row r="4318">
      <c r="F4318" s="1" t="n"/>
    </row>
    <row r="4319">
      <c r="F4319" s="1" t="n"/>
    </row>
    <row r="4320">
      <c r="F4320" s="1" t="n"/>
    </row>
    <row r="4321">
      <c r="F4321" s="1" t="n"/>
    </row>
    <row r="4322">
      <c r="F4322" s="1" t="n"/>
    </row>
    <row r="4323">
      <c r="F4323" s="1" t="n"/>
    </row>
    <row r="4324">
      <c r="F4324" s="1" t="n"/>
    </row>
    <row r="4325">
      <c r="F4325" s="1" t="n"/>
    </row>
    <row r="4326">
      <c r="F4326" s="1" t="n"/>
    </row>
    <row r="4327">
      <c r="F4327" s="1" t="n"/>
    </row>
    <row r="4328">
      <c r="F4328" s="1" t="n"/>
    </row>
    <row r="4329">
      <c r="F4329" s="1" t="n"/>
    </row>
    <row r="4330">
      <c r="F4330" s="1" t="n"/>
    </row>
    <row r="4331">
      <c r="F4331" s="1" t="n"/>
    </row>
    <row r="4332">
      <c r="F4332" s="1" t="n"/>
    </row>
    <row r="4333">
      <c r="F4333" s="1" t="n"/>
    </row>
    <row r="4334">
      <c r="F4334" s="1" t="n"/>
    </row>
    <row r="4335">
      <c r="F4335" s="1" t="n"/>
    </row>
    <row r="4336">
      <c r="F4336" s="1" t="n"/>
    </row>
    <row r="4337">
      <c r="F4337" s="1" t="n"/>
    </row>
    <row r="4338">
      <c r="F4338" s="1" t="n"/>
    </row>
    <row r="4339">
      <c r="F4339" s="1" t="n"/>
    </row>
    <row r="4340">
      <c r="F4340" s="1" t="n"/>
    </row>
    <row r="4341">
      <c r="F4341" s="1" t="n"/>
    </row>
    <row r="4342">
      <c r="F4342" s="1" t="n"/>
    </row>
    <row r="4343">
      <c r="F4343" s="1" t="n"/>
    </row>
    <row r="4344">
      <c r="F4344" s="1" t="n"/>
    </row>
    <row r="4345">
      <c r="F4345" s="1" t="n"/>
    </row>
    <row r="4346">
      <c r="F4346" s="1" t="n"/>
    </row>
    <row r="4347">
      <c r="F4347" s="1" t="n"/>
    </row>
    <row r="4348">
      <c r="F4348" s="1" t="n"/>
    </row>
    <row r="4349">
      <c r="F4349" s="1" t="n"/>
    </row>
    <row r="4350">
      <c r="F4350" s="1" t="n"/>
    </row>
    <row r="4351">
      <c r="F4351" s="1" t="n"/>
    </row>
    <row r="4352">
      <c r="F4352" s="1" t="n"/>
    </row>
    <row r="4353">
      <c r="F4353" s="1" t="n"/>
    </row>
    <row r="4354">
      <c r="F4354" s="1" t="n"/>
    </row>
    <row r="4355">
      <c r="F4355" s="1" t="n"/>
    </row>
    <row r="4356">
      <c r="F4356" s="1" t="n"/>
    </row>
    <row r="4357">
      <c r="F4357" s="1" t="n"/>
    </row>
    <row r="4358">
      <c r="F4358" s="1" t="n"/>
    </row>
    <row r="4359">
      <c r="F4359" s="1" t="n"/>
    </row>
    <row r="4360">
      <c r="F4360" s="1" t="n"/>
    </row>
    <row r="4361">
      <c r="F4361" s="1" t="n"/>
    </row>
    <row r="4362">
      <c r="F4362" s="1" t="n"/>
    </row>
    <row r="4363">
      <c r="F4363" s="1" t="n"/>
    </row>
    <row r="4364">
      <c r="F4364" s="1" t="n"/>
    </row>
    <row r="4365">
      <c r="F4365" s="1" t="n"/>
    </row>
    <row r="4366">
      <c r="F4366" s="1" t="n"/>
    </row>
    <row r="4367">
      <c r="F4367" s="1" t="n"/>
    </row>
    <row r="4368">
      <c r="F4368" s="1" t="n"/>
    </row>
    <row r="4369">
      <c r="F4369" s="1" t="n"/>
    </row>
    <row r="4370">
      <c r="F4370" s="1" t="n"/>
    </row>
    <row r="4371">
      <c r="F4371" s="1" t="n"/>
    </row>
    <row r="4372">
      <c r="F4372" s="1" t="n"/>
    </row>
    <row r="4373">
      <c r="F4373" s="1" t="n"/>
    </row>
    <row r="4374">
      <c r="F4374" s="1" t="n"/>
    </row>
    <row r="4375">
      <c r="F4375" s="1" t="n"/>
    </row>
    <row r="4376">
      <c r="F4376" s="1" t="n"/>
    </row>
    <row r="4377">
      <c r="F4377" s="1" t="n"/>
    </row>
    <row r="4378">
      <c r="F4378" s="1" t="n"/>
    </row>
    <row r="4379">
      <c r="F4379" s="1" t="n"/>
    </row>
    <row r="4380">
      <c r="F4380" s="1" t="n"/>
    </row>
    <row r="4381">
      <c r="F4381" s="1" t="n"/>
    </row>
    <row r="4382">
      <c r="F4382" s="1" t="n"/>
    </row>
    <row r="4383">
      <c r="F4383" s="1" t="n"/>
    </row>
    <row r="4384">
      <c r="F4384" s="1" t="n"/>
    </row>
    <row r="4385">
      <c r="F4385" s="1" t="n"/>
    </row>
    <row r="4386">
      <c r="F4386" s="1" t="n"/>
    </row>
    <row r="4387">
      <c r="F4387" s="1" t="n"/>
    </row>
    <row r="4388">
      <c r="F4388" s="1" t="n"/>
    </row>
    <row r="4389">
      <c r="F4389" s="1" t="n"/>
    </row>
    <row r="4390">
      <c r="F4390" s="1" t="n"/>
    </row>
    <row r="4391">
      <c r="F4391" s="1" t="n"/>
    </row>
    <row r="4392">
      <c r="F4392" s="1" t="n"/>
    </row>
    <row r="4393">
      <c r="F4393" s="1" t="n"/>
    </row>
    <row r="4394">
      <c r="F4394" s="1" t="n"/>
    </row>
    <row r="4395">
      <c r="F4395" s="1" t="n"/>
    </row>
    <row r="4396">
      <c r="F4396" s="1" t="n"/>
    </row>
    <row r="4397">
      <c r="F4397" s="1" t="n"/>
    </row>
    <row r="4398">
      <c r="F4398" s="1" t="n"/>
    </row>
    <row r="4399">
      <c r="F4399" s="1" t="n"/>
    </row>
    <row r="4400">
      <c r="F4400" s="1" t="n"/>
    </row>
    <row r="4401">
      <c r="F4401" s="1" t="n"/>
    </row>
    <row r="4402">
      <c r="F4402" s="1" t="n"/>
    </row>
    <row r="4403">
      <c r="F4403" s="1" t="n"/>
    </row>
    <row r="4404">
      <c r="F4404" s="1" t="n"/>
    </row>
    <row r="4405">
      <c r="F4405" s="1" t="n"/>
    </row>
    <row r="4406">
      <c r="F4406" s="1" t="n"/>
    </row>
    <row r="4407">
      <c r="F4407" s="1" t="n"/>
    </row>
    <row r="4408">
      <c r="F4408" s="1" t="n"/>
    </row>
    <row r="4409">
      <c r="F4409" s="1" t="n"/>
    </row>
    <row r="4410">
      <c r="F4410" s="1" t="n"/>
    </row>
    <row r="4411">
      <c r="F4411" s="1" t="n"/>
    </row>
    <row r="4412">
      <c r="F4412" s="1" t="n"/>
    </row>
    <row r="4413">
      <c r="F4413" s="1" t="n"/>
    </row>
    <row r="4414">
      <c r="F4414" s="1" t="n"/>
    </row>
    <row r="4415">
      <c r="F4415" s="1" t="n"/>
    </row>
    <row r="4416">
      <c r="F4416" s="1" t="n"/>
    </row>
    <row r="4417">
      <c r="F4417" s="1" t="n"/>
    </row>
    <row r="4418">
      <c r="F4418" s="1" t="n"/>
    </row>
    <row r="4419">
      <c r="F4419" s="1" t="n"/>
    </row>
    <row r="4420">
      <c r="F4420" s="1" t="n"/>
    </row>
    <row r="4421">
      <c r="F4421" s="1" t="n"/>
    </row>
    <row r="4422">
      <c r="F4422" s="1" t="n"/>
    </row>
    <row r="4423">
      <c r="F4423" s="1" t="n"/>
    </row>
    <row r="4424">
      <c r="F4424" s="1" t="n"/>
    </row>
    <row r="4425">
      <c r="F4425" s="1" t="n"/>
    </row>
    <row r="4426">
      <c r="F4426" s="1" t="n"/>
    </row>
    <row r="4427">
      <c r="F4427" s="1" t="n"/>
    </row>
    <row r="4428">
      <c r="F4428" s="1" t="n"/>
    </row>
    <row r="4429">
      <c r="F4429" s="1" t="n"/>
    </row>
    <row r="4430">
      <c r="F4430" s="1" t="n"/>
    </row>
    <row r="4431">
      <c r="F4431" s="1" t="n"/>
    </row>
    <row r="4432">
      <c r="F4432" s="1" t="n"/>
    </row>
    <row r="4433">
      <c r="F4433" s="1" t="n"/>
    </row>
    <row r="4434">
      <c r="F4434" s="1" t="n"/>
    </row>
    <row r="4435">
      <c r="F4435" s="1" t="n"/>
    </row>
    <row r="4436">
      <c r="F4436" s="1" t="n"/>
    </row>
    <row r="4437">
      <c r="F4437" s="1" t="n"/>
    </row>
    <row r="4438">
      <c r="F4438" s="1" t="n"/>
    </row>
    <row r="4439">
      <c r="F4439" s="1" t="n"/>
    </row>
    <row r="4440">
      <c r="F4440" s="1" t="n"/>
    </row>
    <row r="4441">
      <c r="F4441" s="1" t="n"/>
    </row>
    <row r="4442">
      <c r="F4442" s="1" t="n"/>
    </row>
    <row r="4443">
      <c r="F4443" s="1" t="n"/>
    </row>
    <row r="4444">
      <c r="F4444" s="1" t="n"/>
    </row>
    <row r="4445">
      <c r="F4445" s="1" t="n"/>
    </row>
    <row r="4446">
      <c r="F4446" s="1" t="n"/>
    </row>
    <row r="4447">
      <c r="F4447" s="1" t="n"/>
    </row>
    <row r="4448">
      <c r="F4448" s="1" t="n"/>
    </row>
    <row r="4449">
      <c r="F4449" s="1" t="n"/>
    </row>
    <row r="4450">
      <c r="F4450" s="1" t="n"/>
    </row>
    <row r="4451">
      <c r="F4451" s="1" t="n"/>
    </row>
    <row r="4452">
      <c r="F4452" s="1" t="n"/>
    </row>
    <row r="4453">
      <c r="F4453" s="1" t="n"/>
    </row>
    <row r="4454">
      <c r="F4454" s="1" t="n"/>
    </row>
    <row r="4455">
      <c r="F4455" s="1" t="n"/>
    </row>
    <row r="4456">
      <c r="F4456" s="1" t="n"/>
    </row>
    <row r="4457">
      <c r="F4457" s="1" t="n"/>
    </row>
    <row r="4458">
      <c r="F4458" s="1" t="n"/>
    </row>
    <row r="4459">
      <c r="F4459" s="1" t="n"/>
    </row>
    <row r="4460">
      <c r="F4460" s="1" t="n"/>
    </row>
    <row r="4461">
      <c r="F4461" s="1" t="n"/>
    </row>
    <row r="4462">
      <c r="F4462" s="1" t="n"/>
    </row>
    <row r="4463">
      <c r="F4463" s="1" t="n"/>
    </row>
    <row r="4464">
      <c r="F4464" s="1" t="n"/>
    </row>
    <row r="4465">
      <c r="F4465" s="1" t="n"/>
    </row>
    <row r="4466">
      <c r="F4466" s="1" t="n"/>
    </row>
    <row r="4467">
      <c r="F4467" s="1" t="n"/>
    </row>
    <row r="4468">
      <c r="F4468" s="1" t="n"/>
    </row>
    <row r="4469">
      <c r="F4469" s="1" t="n"/>
    </row>
    <row r="4470">
      <c r="F4470" s="1" t="n"/>
    </row>
    <row r="4471">
      <c r="F4471" s="1" t="n"/>
    </row>
    <row r="4472">
      <c r="F4472" s="1" t="n"/>
    </row>
    <row r="4473">
      <c r="F4473" s="1" t="n"/>
    </row>
    <row r="4474">
      <c r="F4474" s="1" t="n"/>
    </row>
    <row r="4475">
      <c r="F4475" s="1" t="n"/>
    </row>
    <row r="4476">
      <c r="F4476" s="1" t="n"/>
    </row>
    <row r="4477">
      <c r="F4477" s="1" t="n"/>
    </row>
    <row r="4478">
      <c r="F4478" s="1" t="n"/>
    </row>
    <row r="4479">
      <c r="F4479" s="1" t="n"/>
    </row>
    <row r="4480">
      <c r="F4480" s="1" t="n"/>
    </row>
    <row r="4481">
      <c r="F4481" s="1" t="n"/>
    </row>
    <row r="4482">
      <c r="F4482" s="1" t="n"/>
    </row>
    <row r="4483">
      <c r="F4483" s="1" t="n"/>
    </row>
    <row r="4484">
      <c r="F4484" s="1" t="n"/>
    </row>
    <row r="4485">
      <c r="F4485" s="1" t="n"/>
    </row>
    <row r="4486">
      <c r="F4486" s="1" t="n"/>
    </row>
    <row r="4487">
      <c r="F4487" s="1" t="n"/>
    </row>
    <row r="4488">
      <c r="F4488" s="1" t="n"/>
    </row>
    <row r="4489">
      <c r="F4489" s="1" t="n"/>
    </row>
    <row r="4490">
      <c r="F4490" s="1" t="n"/>
    </row>
    <row r="4491">
      <c r="F4491" s="1" t="n"/>
    </row>
    <row r="4492">
      <c r="F4492" s="1" t="n"/>
    </row>
    <row r="4493">
      <c r="F4493" s="1" t="n"/>
    </row>
    <row r="4494">
      <c r="F4494" s="1" t="n"/>
    </row>
    <row r="4495">
      <c r="F4495" s="1" t="n"/>
    </row>
    <row r="4496">
      <c r="F4496" s="1" t="n"/>
    </row>
    <row r="4497">
      <c r="F4497" s="1" t="n"/>
    </row>
    <row r="4498">
      <c r="F4498" s="1" t="n"/>
    </row>
    <row r="4499">
      <c r="F4499" s="1" t="n"/>
    </row>
    <row r="4500">
      <c r="F4500" s="1" t="n"/>
    </row>
    <row r="4501">
      <c r="F4501" s="1" t="n"/>
    </row>
    <row r="4502">
      <c r="F4502" s="1" t="n"/>
    </row>
    <row r="4503">
      <c r="F4503" s="1" t="n"/>
    </row>
    <row r="4504">
      <c r="F4504" s="1" t="n"/>
    </row>
    <row r="4505">
      <c r="F4505" s="1" t="n"/>
    </row>
    <row r="4506">
      <c r="F4506" s="1" t="n"/>
    </row>
    <row r="4507">
      <c r="F4507" s="1" t="n"/>
    </row>
    <row r="4508">
      <c r="F4508" s="1" t="n"/>
    </row>
    <row r="4509">
      <c r="F4509" s="1" t="n"/>
    </row>
    <row r="4510">
      <c r="F4510" s="1" t="n"/>
    </row>
    <row r="4511">
      <c r="F4511" s="1" t="n"/>
    </row>
    <row r="4512">
      <c r="F4512" s="1" t="n"/>
    </row>
    <row r="4513">
      <c r="F4513" s="1" t="n"/>
    </row>
    <row r="4514">
      <c r="F4514" s="1" t="n"/>
    </row>
    <row r="4515">
      <c r="F4515" s="1" t="n"/>
    </row>
    <row r="4516">
      <c r="F4516" s="1" t="n"/>
    </row>
    <row r="4517">
      <c r="F4517" s="1" t="n"/>
    </row>
    <row r="4518">
      <c r="F4518" s="1" t="n"/>
    </row>
    <row r="4519">
      <c r="F4519" s="1" t="n"/>
    </row>
    <row r="4520">
      <c r="F4520" s="1" t="n"/>
    </row>
    <row r="4521">
      <c r="F4521" s="1" t="n"/>
    </row>
    <row r="4522">
      <c r="F4522" s="1" t="n"/>
    </row>
    <row r="4523">
      <c r="F4523" s="1" t="n"/>
    </row>
    <row r="4524">
      <c r="F4524" s="1" t="n"/>
    </row>
    <row r="4525">
      <c r="F4525" s="1" t="n"/>
    </row>
    <row r="4526">
      <c r="F4526" s="1" t="n"/>
    </row>
    <row r="4527">
      <c r="F4527" s="1" t="n"/>
    </row>
    <row r="4528">
      <c r="F4528" s="1" t="n"/>
    </row>
    <row r="4529">
      <c r="F4529" s="1" t="n"/>
    </row>
    <row r="4530">
      <c r="F4530" s="1" t="n"/>
    </row>
    <row r="4531">
      <c r="F4531" s="1" t="n"/>
    </row>
    <row r="4532">
      <c r="F4532" s="1" t="n"/>
    </row>
    <row r="4533">
      <c r="F4533" s="1" t="n"/>
    </row>
    <row r="4534">
      <c r="F4534" s="1" t="n"/>
    </row>
    <row r="4535">
      <c r="F4535" s="1" t="n"/>
    </row>
    <row r="4536">
      <c r="F4536" s="1" t="n"/>
    </row>
    <row r="4537">
      <c r="F4537" s="1" t="n"/>
    </row>
    <row r="4538">
      <c r="F4538" s="1" t="n"/>
    </row>
    <row r="4539">
      <c r="F4539" s="1" t="n"/>
    </row>
    <row r="4540">
      <c r="F4540" s="1" t="n"/>
    </row>
    <row r="4541">
      <c r="F4541" s="1" t="n"/>
    </row>
    <row r="4542">
      <c r="F4542" s="1" t="n"/>
    </row>
    <row r="4543">
      <c r="F4543" s="1" t="n"/>
    </row>
    <row r="4544">
      <c r="F4544" s="1" t="n"/>
    </row>
    <row r="4545">
      <c r="F4545" s="1" t="n"/>
    </row>
    <row r="4546">
      <c r="F4546" s="1" t="n"/>
    </row>
    <row r="4547">
      <c r="F4547" s="1" t="n"/>
    </row>
    <row r="4548">
      <c r="F4548" s="1" t="n"/>
    </row>
    <row r="4549">
      <c r="F4549" s="1" t="n"/>
    </row>
    <row r="4550">
      <c r="F4550" s="1" t="n"/>
    </row>
    <row r="4551">
      <c r="F4551" s="1" t="n"/>
    </row>
    <row r="4552">
      <c r="F4552" s="1" t="n"/>
    </row>
    <row r="4553">
      <c r="F4553" s="1" t="n"/>
    </row>
    <row r="4554">
      <c r="F4554" s="1" t="n"/>
    </row>
    <row r="4555">
      <c r="F4555" s="1" t="n"/>
    </row>
    <row r="4556">
      <c r="F4556" s="1" t="n"/>
    </row>
    <row r="4557">
      <c r="F4557" s="1" t="n"/>
    </row>
    <row r="4558">
      <c r="F4558" s="1" t="n"/>
    </row>
    <row r="4559">
      <c r="F4559" s="1" t="n"/>
    </row>
    <row r="4560">
      <c r="F4560" s="1" t="n"/>
    </row>
    <row r="4561">
      <c r="F4561" s="1" t="n"/>
    </row>
    <row r="4562">
      <c r="F4562" s="1" t="n"/>
    </row>
    <row r="4563">
      <c r="F4563" s="1" t="n"/>
    </row>
    <row r="4564">
      <c r="F4564" s="1" t="n"/>
    </row>
    <row r="4565">
      <c r="F4565" s="1" t="n"/>
    </row>
    <row r="4566">
      <c r="F4566" s="1" t="n"/>
    </row>
    <row r="4567">
      <c r="F4567" s="1" t="n"/>
    </row>
    <row r="4568">
      <c r="F4568" s="1" t="n"/>
    </row>
    <row r="4569">
      <c r="F4569" s="1" t="n"/>
    </row>
    <row r="4570">
      <c r="F4570" s="1" t="n"/>
    </row>
    <row r="4571">
      <c r="F4571" s="1" t="n"/>
    </row>
    <row r="4572">
      <c r="F4572" s="1" t="n"/>
    </row>
    <row r="4573">
      <c r="F4573" s="1" t="n"/>
    </row>
    <row r="4574">
      <c r="F4574" s="1" t="n"/>
    </row>
    <row r="4575">
      <c r="F4575" s="1" t="n"/>
    </row>
    <row r="4576">
      <c r="F4576" s="1" t="n"/>
    </row>
    <row r="4577">
      <c r="F4577" s="1" t="n"/>
    </row>
    <row r="4578">
      <c r="F4578" s="1" t="n"/>
    </row>
    <row r="4579">
      <c r="F4579" s="1" t="n"/>
    </row>
    <row r="4580">
      <c r="F4580" s="1" t="n"/>
    </row>
    <row r="4581">
      <c r="F4581" s="1" t="n"/>
    </row>
    <row r="4582">
      <c r="F4582" s="1" t="n"/>
    </row>
    <row r="4583">
      <c r="F4583" s="1" t="n"/>
    </row>
    <row r="4584">
      <c r="F4584" s="1" t="n"/>
    </row>
    <row r="4585">
      <c r="F4585" s="1" t="n"/>
    </row>
    <row r="4586">
      <c r="F4586" s="1" t="n"/>
    </row>
    <row r="4587">
      <c r="F4587" s="1" t="n"/>
    </row>
    <row r="4588">
      <c r="F4588" s="1" t="n"/>
    </row>
    <row r="4589">
      <c r="F4589" s="1" t="n"/>
    </row>
    <row r="4590">
      <c r="F4590" s="1" t="n"/>
    </row>
    <row r="4591">
      <c r="F4591" s="1" t="n"/>
    </row>
    <row r="4592">
      <c r="F4592" s="1" t="n"/>
    </row>
    <row r="4593">
      <c r="F4593" s="1" t="n"/>
    </row>
    <row r="4594">
      <c r="F4594" s="1" t="n"/>
    </row>
    <row r="4595">
      <c r="F4595" s="1" t="n"/>
    </row>
    <row r="4596">
      <c r="F4596" s="1" t="n"/>
    </row>
    <row r="4597">
      <c r="F4597" s="1" t="n"/>
    </row>
    <row r="4598">
      <c r="F4598" s="1" t="n"/>
    </row>
    <row r="4599">
      <c r="F4599" s="1" t="n"/>
    </row>
    <row r="4600">
      <c r="F4600" s="1" t="n"/>
    </row>
    <row r="4601">
      <c r="F4601" s="1" t="n"/>
    </row>
    <row r="4602">
      <c r="F4602" s="1" t="n"/>
    </row>
    <row r="4603">
      <c r="F4603" s="1" t="n"/>
    </row>
    <row r="4604">
      <c r="F4604" s="1" t="n"/>
    </row>
    <row r="4605">
      <c r="F4605" s="1" t="n"/>
    </row>
    <row r="4606">
      <c r="F4606" s="1" t="n"/>
    </row>
    <row r="4607">
      <c r="F4607" s="1" t="n"/>
    </row>
    <row r="4608">
      <c r="F4608" s="1" t="n"/>
    </row>
    <row r="4609">
      <c r="F4609" s="1" t="n"/>
    </row>
    <row r="4610">
      <c r="F4610" s="1" t="n"/>
    </row>
    <row r="4611">
      <c r="F4611" s="1" t="n"/>
    </row>
    <row r="4612">
      <c r="F4612" s="1" t="n"/>
    </row>
    <row r="4613">
      <c r="F4613" s="1" t="n"/>
    </row>
    <row r="4614">
      <c r="F4614" s="1" t="n"/>
    </row>
    <row r="4615">
      <c r="F4615" s="1" t="n"/>
    </row>
    <row r="4616">
      <c r="F4616" s="1" t="n"/>
    </row>
    <row r="4617">
      <c r="F4617" s="1" t="n"/>
    </row>
    <row r="4618">
      <c r="F4618" s="1" t="n"/>
    </row>
    <row r="4619">
      <c r="F4619" s="1" t="n"/>
    </row>
    <row r="4620">
      <c r="F4620" s="1" t="n"/>
    </row>
    <row r="4621">
      <c r="F4621" s="1" t="n"/>
    </row>
    <row r="4622">
      <c r="F4622" s="1" t="n"/>
    </row>
    <row r="4623">
      <c r="F4623" s="1" t="n"/>
    </row>
    <row r="4624">
      <c r="F4624" s="1" t="n"/>
    </row>
    <row r="4625">
      <c r="F4625" s="1" t="n"/>
    </row>
    <row r="4626">
      <c r="F4626" s="1" t="n"/>
    </row>
    <row r="4627">
      <c r="F4627" s="1" t="n"/>
    </row>
    <row r="4628">
      <c r="F4628" s="1" t="n"/>
    </row>
    <row r="4629">
      <c r="F4629" s="1" t="n"/>
    </row>
    <row r="4630">
      <c r="F4630" s="1" t="n"/>
    </row>
    <row r="4631">
      <c r="F4631" s="1" t="n"/>
    </row>
    <row r="4632">
      <c r="F4632" s="1" t="n"/>
    </row>
    <row r="4633">
      <c r="F4633" s="1" t="n"/>
    </row>
    <row r="4634">
      <c r="F4634" s="1" t="n"/>
    </row>
    <row r="4635">
      <c r="F4635" s="1" t="n"/>
    </row>
    <row r="4636">
      <c r="F4636" s="1" t="n"/>
    </row>
    <row r="4637">
      <c r="F4637" s="1" t="n"/>
    </row>
    <row r="4638">
      <c r="F4638" s="1" t="n"/>
    </row>
    <row r="4639">
      <c r="F4639" s="1" t="n"/>
    </row>
    <row r="4640">
      <c r="F4640" s="1" t="n"/>
    </row>
    <row r="4641">
      <c r="F4641" s="1" t="n"/>
    </row>
    <row r="4642">
      <c r="F4642" s="1" t="n"/>
    </row>
    <row r="4643">
      <c r="F4643" s="1" t="n"/>
    </row>
    <row r="4644">
      <c r="F4644" s="1" t="n"/>
    </row>
    <row r="4645">
      <c r="F4645" s="1" t="n"/>
    </row>
    <row r="4646">
      <c r="F4646" s="1" t="n"/>
    </row>
    <row r="4647">
      <c r="F4647" s="1" t="n"/>
    </row>
    <row r="4648">
      <c r="F4648" s="1" t="n"/>
    </row>
    <row r="4649">
      <c r="F4649" s="1" t="n"/>
    </row>
    <row r="4650">
      <c r="F4650" s="1" t="n"/>
    </row>
    <row r="4651">
      <c r="F4651" s="1" t="n"/>
    </row>
    <row r="4652">
      <c r="F4652" s="1" t="n"/>
    </row>
    <row r="4653">
      <c r="F4653" s="1" t="n"/>
    </row>
    <row r="4654">
      <c r="F4654" s="1" t="n"/>
    </row>
    <row r="4655">
      <c r="F4655" s="1" t="n"/>
    </row>
    <row r="4656">
      <c r="F4656" s="1" t="n"/>
    </row>
    <row r="4657">
      <c r="F4657" s="1" t="n"/>
    </row>
    <row r="4658">
      <c r="F4658" s="1" t="n"/>
    </row>
    <row r="4659">
      <c r="F4659" s="1" t="n"/>
    </row>
    <row r="4660">
      <c r="F4660" s="1" t="n"/>
    </row>
    <row r="4661">
      <c r="F4661" s="1" t="n"/>
    </row>
    <row r="4662">
      <c r="F4662" s="1" t="n"/>
    </row>
    <row r="4663">
      <c r="F4663" s="1" t="n"/>
    </row>
    <row r="4664">
      <c r="F4664" s="1" t="n"/>
    </row>
    <row r="4665">
      <c r="F4665" s="1" t="n"/>
    </row>
    <row r="4666">
      <c r="F4666" s="1" t="n"/>
    </row>
    <row r="4667">
      <c r="F4667" s="1" t="n"/>
    </row>
    <row r="4668">
      <c r="F4668" s="1" t="n"/>
    </row>
    <row r="4669">
      <c r="F4669" s="1" t="n"/>
    </row>
    <row r="4670">
      <c r="F4670" s="1" t="n"/>
    </row>
    <row r="4671">
      <c r="F4671" s="1" t="n"/>
    </row>
    <row r="4672">
      <c r="F4672" s="1" t="n"/>
    </row>
    <row r="4673">
      <c r="F4673" s="1" t="n"/>
    </row>
    <row r="4674">
      <c r="F4674" s="1" t="n"/>
    </row>
    <row r="4675">
      <c r="F4675" s="1" t="n"/>
    </row>
    <row r="4676">
      <c r="F4676" s="1" t="n"/>
    </row>
    <row r="4677">
      <c r="F4677" s="1" t="n"/>
    </row>
    <row r="4678">
      <c r="F4678" s="1" t="n"/>
    </row>
    <row r="4679">
      <c r="F4679" s="1" t="n"/>
    </row>
    <row r="4680">
      <c r="F4680" s="1" t="n"/>
    </row>
    <row r="4681">
      <c r="F4681" s="1" t="n"/>
    </row>
    <row r="4682">
      <c r="F4682" s="1" t="n"/>
    </row>
    <row r="4683">
      <c r="F4683" s="1" t="n"/>
    </row>
    <row r="4684">
      <c r="F4684" s="1" t="n"/>
    </row>
    <row r="4685">
      <c r="F4685" s="1" t="n"/>
    </row>
    <row r="4686">
      <c r="F4686" s="1" t="n"/>
    </row>
    <row r="4687">
      <c r="F4687" s="1" t="n"/>
    </row>
    <row r="4688">
      <c r="F4688" s="1" t="n"/>
    </row>
    <row r="4689">
      <c r="F4689" s="1" t="n"/>
    </row>
    <row r="4690">
      <c r="F4690" s="1" t="n"/>
    </row>
    <row r="4691">
      <c r="F4691" s="1" t="n"/>
    </row>
    <row r="4692">
      <c r="F4692" s="1" t="n"/>
    </row>
    <row r="4693">
      <c r="F4693" s="1" t="n"/>
    </row>
    <row r="4694">
      <c r="F4694" s="1" t="n"/>
    </row>
    <row r="4695">
      <c r="F4695" s="1" t="n"/>
    </row>
    <row r="4696">
      <c r="F4696" s="1" t="n"/>
    </row>
    <row r="4697">
      <c r="F4697" s="1" t="n"/>
    </row>
    <row r="4698">
      <c r="F4698" s="1" t="n"/>
    </row>
    <row r="4699">
      <c r="F4699" s="1" t="n"/>
    </row>
    <row r="4700">
      <c r="F4700" s="1" t="n"/>
    </row>
    <row r="4701">
      <c r="F4701" s="1" t="n"/>
    </row>
    <row r="4702">
      <c r="F4702" s="1" t="n"/>
    </row>
    <row r="4703">
      <c r="F4703" s="1" t="n"/>
    </row>
    <row r="4704">
      <c r="F4704" s="1" t="n"/>
    </row>
    <row r="4705">
      <c r="F4705" s="1" t="n"/>
    </row>
    <row r="4706">
      <c r="F4706" s="1" t="n"/>
    </row>
    <row r="4707">
      <c r="F4707" s="1" t="n"/>
    </row>
    <row r="4708">
      <c r="F4708" s="1" t="n"/>
    </row>
    <row r="4709">
      <c r="F4709" s="1" t="n"/>
    </row>
    <row r="4710">
      <c r="F4710" s="1" t="n"/>
    </row>
    <row r="4711">
      <c r="F4711" s="1" t="n"/>
    </row>
    <row r="4712">
      <c r="F4712" s="1" t="n"/>
    </row>
    <row r="4713">
      <c r="F4713" s="1" t="n"/>
    </row>
    <row r="4714">
      <c r="F4714" s="1" t="n"/>
    </row>
    <row r="4715">
      <c r="F4715" s="1" t="n"/>
    </row>
    <row r="4716">
      <c r="F4716" s="1" t="n"/>
    </row>
    <row r="4717">
      <c r="F4717" s="1" t="n"/>
    </row>
    <row r="4718">
      <c r="F4718" s="1" t="n"/>
    </row>
    <row r="4719">
      <c r="F4719" s="1" t="n"/>
    </row>
    <row r="4720">
      <c r="F4720" s="1" t="n"/>
    </row>
    <row r="4721">
      <c r="F4721" s="1" t="n"/>
    </row>
    <row r="4722">
      <c r="F4722" s="1" t="n"/>
    </row>
    <row r="4723">
      <c r="F4723" s="1" t="n"/>
    </row>
    <row r="4724">
      <c r="F4724" s="1" t="n"/>
    </row>
    <row r="4725">
      <c r="F4725" s="1" t="n"/>
    </row>
    <row r="4726">
      <c r="F4726" s="1" t="n"/>
    </row>
    <row r="4727">
      <c r="F4727" s="1" t="n"/>
    </row>
    <row r="4728">
      <c r="F4728" s="1" t="n"/>
    </row>
    <row r="4729">
      <c r="F4729" s="1" t="n"/>
    </row>
    <row r="4730">
      <c r="F4730" s="1" t="n"/>
    </row>
    <row r="4731">
      <c r="F4731" s="1" t="n"/>
    </row>
    <row r="4732">
      <c r="F4732" s="1" t="n"/>
    </row>
    <row r="4733">
      <c r="F4733" s="1" t="n"/>
    </row>
    <row r="4734">
      <c r="F4734" s="1" t="n"/>
    </row>
    <row r="4735">
      <c r="F4735" s="1" t="n"/>
    </row>
    <row r="4736">
      <c r="F4736" s="1" t="n"/>
    </row>
    <row r="4737">
      <c r="F4737" s="1" t="n"/>
    </row>
    <row r="4738">
      <c r="F4738" s="1" t="n"/>
    </row>
    <row r="4739">
      <c r="F4739" s="1" t="n"/>
    </row>
    <row r="4740">
      <c r="F4740" s="1" t="n"/>
    </row>
    <row r="4741">
      <c r="F4741" s="1" t="n"/>
    </row>
    <row r="4742">
      <c r="F4742" s="1" t="n"/>
    </row>
    <row r="4743">
      <c r="F4743" s="1" t="n"/>
    </row>
    <row r="4744">
      <c r="F4744" s="1" t="n"/>
    </row>
    <row r="4745">
      <c r="F4745" s="1" t="n"/>
    </row>
    <row r="4746">
      <c r="F4746" s="1" t="n"/>
    </row>
    <row r="4747">
      <c r="F4747" s="1" t="n"/>
    </row>
    <row r="4748">
      <c r="F4748" s="1" t="n"/>
    </row>
    <row r="4749">
      <c r="F4749" s="1" t="n"/>
    </row>
    <row r="4750">
      <c r="F4750" s="1" t="n"/>
    </row>
    <row r="4751">
      <c r="F4751" s="1" t="n"/>
    </row>
    <row r="4752">
      <c r="F4752" s="1" t="n"/>
    </row>
    <row r="4753">
      <c r="F4753" s="1" t="n"/>
    </row>
    <row r="4754">
      <c r="F4754" s="1" t="n"/>
    </row>
    <row r="4755">
      <c r="F4755" s="1" t="n"/>
    </row>
    <row r="4756">
      <c r="F4756" s="1" t="n"/>
    </row>
    <row r="4757">
      <c r="F4757" s="1" t="n"/>
    </row>
    <row r="4758">
      <c r="F4758" s="1" t="n"/>
    </row>
    <row r="4759">
      <c r="F4759" s="1" t="n"/>
    </row>
    <row r="4760">
      <c r="F4760" s="1" t="n"/>
    </row>
    <row r="4761">
      <c r="F4761" s="1" t="n"/>
    </row>
    <row r="4762">
      <c r="F4762" s="1" t="n"/>
    </row>
    <row r="4763">
      <c r="F4763" s="1" t="n"/>
    </row>
    <row r="4764">
      <c r="F4764" s="1" t="n"/>
    </row>
    <row r="4765">
      <c r="F4765" s="1" t="n"/>
    </row>
    <row r="4766">
      <c r="F4766" s="1" t="n"/>
    </row>
    <row r="4767">
      <c r="F4767" s="1" t="n"/>
    </row>
    <row r="4768">
      <c r="F4768" s="1" t="n"/>
    </row>
    <row r="4769">
      <c r="F4769" s="1" t="n"/>
    </row>
    <row r="4770">
      <c r="F4770" s="1" t="n"/>
    </row>
    <row r="4771">
      <c r="F4771" s="1" t="n"/>
    </row>
    <row r="4772">
      <c r="F4772" s="1" t="n"/>
    </row>
    <row r="4773">
      <c r="F4773" s="1" t="n"/>
    </row>
    <row r="4774">
      <c r="F4774" s="1" t="n"/>
    </row>
    <row r="4775">
      <c r="F4775" s="1" t="n"/>
    </row>
    <row r="4776">
      <c r="F4776" s="1" t="n"/>
    </row>
    <row r="4777">
      <c r="F4777" s="1" t="n"/>
    </row>
    <row r="4778">
      <c r="F4778" s="1" t="n"/>
    </row>
    <row r="4779">
      <c r="F4779" s="1" t="n"/>
    </row>
    <row r="4780">
      <c r="F4780" s="1" t="n"/>
    </row>
    <row r="4781">
      <c r="F4781" s="1" t="n"/>
    </row>
    <row r="4782">
      <c r="F4782" s="1" t="n"/>
    </row>
    <row r="4783">
      <c r="F4783" s="1" t="n"/>
    </row>
    <row r="4784">
      <c r="F4784" s="1" t="n"/>
    </row>
    <row r="4785">
      <c r="F4785" s="1" t="n"/>
    </row>
    <row r="4786">
      <c r="F4786" s="1" t="n"/>
    </row>
    <row r="4787">
      <c r="F4787" s="1" t="n"/>
    </row>
    <row r="4788">
      <c r="F4788" s="1" t="n"/>
    </row>
    <row r="4789">
      <c r="F4789" s="1" t="n"/>
    </row>
    <row r="4790">
      <c r="F4790" s="1" t="n"/>
    </row>
    <row r="4791">
      <c r="F4791" s="1" t="n"/>
    </row>
    <row r="4792">
      <c r="F4792" s="1" t="n"/>
    </row>
    <row r="4793">
      <c r="F4793" s="1" t="n"/>
    </row>
    <row r="4794">
      <c r="F4794" s="1" t="n"/>
    </row>
    <row r="4795">
      <c r="F4795" s="1" t="n"/>
    </row>
    <row r="4796">
      <c r="F4796" s="1" t="n"/>
    </row>
    <row r="4797">
      <c r="F4797" s="1" t="n"/>
    </row>
    <row r="4798">
      <c r="F4798" s="1" t="n"/>
    </row>
    <row r="4799">
      <c r="F4799" s="1" t="n"/>
    </row>
    <row r="4800">
      <c r="F4800" s="1" t="n"/>
    </row>
    <row r="4801">
      <c r="F4801" s="1" t="n"/>
    </row>
    <row r="4802">
      <c r="F4802" s="1" t="n"/>
    </row>
    <row r="4803">
      <c r="F4803" s="1" t="n"/>
    </row>
    <row r="4804">
      <c r="F4804" s="1" t="n"/>
    </row>
    <row r="4805">
      <c r="F4805" s="1" t="n"/>
    </row>
    <row r="4806">
      <c r="F4806" s="1" t="n"/>
    </row>
    <row r="4807">
      <c r="F4807" s="1" t="n"/>
    </row>
    <row r="4808">
      <c r="F4808" s="1" t="n"/>
    </row>
    <row r="4809">
      <c r="F4809" s="1" t="n"/>
    </row>
    <row r="4810">
      <c r="F4810" s="1" t="n"/>
    </row>
    <row r="4811">
      <c r="F4811" s="1" t="n"/>
    </row>
    <row r="4812">
      <c r="F4812" s="1" t="n"/>
    </row>
    <row r="4813">
      <c r="F4813" s="1" t="n"/>
    </row>
    <row r="4814">
      <c r="F4814" s="1" t="n"/>
    </row>
    <row r="4815">
      <c r="F4815" s="1" t="n"/>
    </row>
    <row r="4816">
      <c r="F4816" s="1" t="n"/>
    </row>
    <row r="4817">
      <c r="F4817" s="1" t="n"/>
    </row>
    <row r="4818">
      <c r="F4818" s="1" t="n"/>
    </row>
    <row r="4819">
      <c r="F4819" s="1" t="n"/>
    </row>
    <row r="4820">
      <c r="F4820" s="1" t="n"/>
    </row>
    <row r="4821">
      <c r="F4821" s="1" t="n"/>
    </row>
    <row r="4822">
      <c r="F4822" s="1" t="n"/>
    </row>
    <row r="4823">
      <c r="F4823" s="1" t="n"/>
    </row>
    <row r="4824">
      <c r="F4824" s="1" t="n"/>
    </row>
    <row r="4825">
      <c r="F4825" s="1" t="n"/>
    </row>
    <row r="4826">
      <c r="F4826" s="1" t="n"/>
    </row>
    <row r="4827">
      <c r="F4827" s="1" t="n"/>
    </row>
    <row r="4828">
      <c r="F4828" s="1" t="n"/>
    </row>
    <row r="4829">
      <c r="F4829" s="1" t="n"/>
    </row>
    <row r="4830">
      <c r="F4830" s="1" t="n"/>
    </row>
    <row r="4831">
      <c r="F4831" s="1" t="n"/>
    </row>
    <row r="4832">
      <c r="F4832" s="1" t="n"/>
    </row>
    <row r="4833">
      <c r="F4833" s="1" t="n"/>
    </row>
    <row r="4834">
      <c r="F4834" s="1" t="n"/>
    </row>
    <row r="4835">
      <c r="F4835" s="1" t="n"/>
    </row>
    <row r="4836">
      <c r="F4836" s="1" t="n"/>
    </row>
    <row r="4837">
      <c r="F4837" s="1" t="n"/>
    </row>
    <row r="4838">
      <c r="F4838" s="1" t="n"/>
    </row>
    <row r="4839">
      <c r="F4839" s="1" t="n"/>
    </row>
    <row r="4840">
      <c r="F4840" s="1" t="n"/>
    </row>
    <row r="4841">
      <c r="F4841" s="1" t="n"/>
    </row>
    <row r="4842">
      <c r="F4842" s="1" t="n"/>
    </row>
    <row r="4843">
      <c r="F4843" s="1" t="n"/>
    </row>
    <row r="4844">
      <c r="F4844" s="1" t="n"/>
    </row>
    <row r="4845">
      <c r="F4845" s="1" t="n"/>
    </row>
    <row r="4846">
      <c r="F4846" s="1" t="n"/>
    </row>
    <row r="4847">
      <c r="F4847" s="1" t="n"/>
    </row>
    <row r="4848">
      <c r="F4848" s="1" t="n"/>
    </row>
    <row r="4849">
      <c r="F4849" s="1" t="n"/>
    </row>
    <row r="4850">
      <c r="F4850" s="1" t="n"/>
    </row>
    <row r="4851">
      <c r="F4851" s="1" t="n"/>
    </row>
    <row r="4852">
      <c r="F4852" s="1" t="n"/>
    </row>
    <row r="4853">
      <c r="F4853" s="1" t="n"/>
    </row>
    <row r="4854">
      <c r="F4854" s="1" t="n"/>
    </row>
    <row r="4855">
      <c r="F4855" s="1" t="n"/>
    </row>
    <row r="4856">
      <c r="F4856" s="1" t="n"/>
    </row>
    <row r="4857">
      <c r="F4857" s="1" t="n"/>
    </row>
    <row r="4858">
      <c r="F4858" s="1" t="n"/>
    </row>
    <row r="4859">
      <c r="F4859" s="1" t="n"/>
    </row>
    <row r="4860">
      <c r="F4860" s="1" t="n"/>
    </row>
    <row r="4861">
      <c r="F4861" s="1" t="n"/>
    </row>
    <row r="4862">
      <c r="F4862" s="1" t="n"/>
    </row>
    <row r="4863">
      <c r="F4863" s="1" t="n"/>
    </row>
    <row r="4864">
      <c r="F4864" s="1" t="n"/>
    </row>
    <row r="4865">
      <c r="F4865" s="1" t="n"/>
    </row>
    <row r="4866">
      <c r="F4866" s="1" t="n"/>
    </row>
    <row r="4867">
      <c r="F4867" s="1" t="n"/>
    </row>
    <row r="4868">
      <c r="F4868" s="1" t="n"/>
    </row>
    <row r="4869">
      <c r="F4869" s="1" t="n"/>
    </row>
    <row r="4870">
      <c r="F4870" s="1" t="n"/>
    </row>
    <row r="4871">
      <c r="F4871" s="1" t="n"/>
    </row>
    <row r="4872">
      <c r="F4872" s="1" t="n"/>
    </row>
    <row r="4873">
      <c r="F4873" s="1" t="n"/>
    </row>
    <row r="4874">
      <c r="F4874" s="1" t="n"/>
    </row>
    <row r="4875">
      <c r="F4875" s="1" t="n"/>
    </row>
    <row r="4876">
      <c r="F4876" s="1" t="n"/>
    </row>
    <row r="4877">
      <c r="F4877" s="1" t="n"/>
    </row>
    <row r="4878">
      <c r="F4878" s="1" t="n"/>
    </row>
    <row r="4879">
      <c r="F4879" s="1" t="n"/>
    </row>
    <row r="4880">
      <c r="F4880" s="1" t="n"/>
    </row>
    <row r="4881">
      <c r="F4881" s="1" t="n"/>
    </row>
    <row r="4882">
      <c r="F4882" s="1" t="n"/>
    </row>
    <row r="4883">
      <c r="F4883" s="1" t="n"/>
    </row>
    <row r="4884">
      <c r="F4884" s="1" t="n"/>
    </row>
    <row r="4885">
      <c r="F4885" s="1" t="n"/>
    </row>
    <row r="4886">
      <c r="F4886" s="1" t="n"/>
    </row>
    <row r="4887">
      <c r="F4887" s="1" t="n"/>
    </row>
    <row r="4888">
      <c r="F4888" s="1" t="n"/>
    </row>
    <row r="4889">
      <c r="F4889" s="1" t="n"/>
    </row>
    <row r="4890">
      <c r="F4890" s="1" t="n"/>
    </row>
    <row r="4891">
      <c r="F4891" s="1" t="n"/>
    </row>
    <row r="4892">
      <c r="F4892" s="1" t="n"/>
    </row>
    <row r="4893">
      <c r="F4893" s="1" t="n"/>
    </row>
    <row r="4894">
      <c r="F4894" s="1" t="n"/>
    </row>
    <row r="4895">
      <c r="F4895" s="1" t="n"/>
    </row>
    <row r="4896">
      <c r="F4896" s="1" t="n"/>
    </row>
    <row r="4897">
      <c r="F4897" s="1" t="n"/>
    </row>
    <row r="4898">
      <c r="F4898" s="1" t="n"/>
    </row>
    <row r="4899">
      <c r="F4899" s="1" t="n"/>
    </row>
    <row r="4900">
      <c r="F4900" s="1" t="n"/>
    </row>
    <row r="4901">
      <c r="F4901" s="1" t="n"/>
    </row>
    <row r="4902">
      <c r="F4902" s="1" t="n"/>
    </row>
    <row r="4903">
      <c r="F4903" s="1" t="n"/>
    </row>
    <row r="4904">
      <c r="F4904" s="1" t="n"/>
    </row>
    <row r="4905">
      <c r="F4905" s="1" t="n"/>
    </row>
    <row r="4906">
      <c r="F4906" s="1" t="n"/>
    </row>
    <row r="4907">
      <c r="F4907" s="1" t="n"/>
    </row>
    <row r="4908">
      <c r="F4908" s="1" t="n"/>
    </row>
    <row r="4909">
      <c r="F4909" s="1" t="n"/>
    </row>
    <row r="4910">
      <c r="F4910" s="1" t="n"/>
    </row>
    <row r="4911">
      <c r="F4911" s="1" t="n"/>
    </row>
    <row r="4912">
      <c r="F4912" s="1" t="n"/>
    </row>
    <row r="4913">
      <c r="F4913" s="1" t="n"/>
    </row>
    <row r="4914">
      <c r="F4914" s="1" t="n"/>
    </row>
    <row r="4915">
      <c r="F4915" s="1" t="n"/>
    </row>
    <row r="4916">
      <c r="F4916" s="1" t="n"/>
    </row>
    <row r="4917">
      <c r="F4917" s="1" t="n"/>
    </row>
    <row r="4918">
      <c r="F4918" s="1" t="n"/>
    </row>
    <row r="4919">
      <c r="F4919" s="1" t="n"/>
    </row>
    <row r="4920">
      <c r="F4920" s="1" t="n"/>
    </row>
    <row r="4921">
      <c r="F4921" s="1" t="n"/>
    </row>
    <row r="4922">
      <c r="F4922" s="1" t="n"/>
    </row>
    <row r="4923">
      <c r="F4923" s="1" t="n"/>
    </row>
    <row r="4924">
      <c r="F4924" s="1" t="n"/>
    </row>
    <row r="4925">
      <c r="F4925" s="1" t="n"/>
    </row>
    <row r="4926">
      <c r="F4926" s="1" t="n"/>
    </row>
    <row r="4927">
      <c r="F4927" s="1" t="n"/>
    </row>
    <row r="4928">
      <c r="F4928" s="1" t="n"/>
    </row>
    <row r="4929">
      <c r="F4929" s="1" t="n"/>
    </row>
    <row r="4930">
      <c r="F4930" s="1" t="n"/>
    </row>
    <row r="4931">
      <c r="F4931" s="1" t="n"/>
    </row>
    <row r="4932">
      <c r="F4932" s="1" t="n"/>
    </row>
    <row r="4933">
      <c r="F4933" s="1" t="n"/>
    </row>
    <row r="4934">
      <c r="F4934" s="1" t="n"/>
    </row>
    <row r="4935">
      <c r="F4935" s="1" t="n"/>
    </row>
    <row r="4936">
      <c r="F4936" s="1" t="n"/>
    </row>
    <row r="4937">
      <c r="F4937" s="1" t="n"/>
    </row>
    <row r="4938">
      <c r="F4938" s="1" t="n"/>
    </row>
    <row r="4939">
      <c r="F4939" s="1" t="n"/>
    </row>
    <row r="4940">
      <c r="F4940" s="1" t="n"/>
    </row>
    <row r="4941">
      <c r="F4941" s="1" t="n"/>
    </row>
    <row r="4942">
      <c r="F4942" s="1" t="n"/>
    </row>
    <row r="4943">
      <c r="F4943" s="1" t="n"/>
    </row>
    <row r="4944">
      <c r="F4944" s="1" t="n"/>
    </row>
    <row r="4945">
      <c r="F4945" s="1" t="n"/>
    </row>
    <row r="4946">
      <c r="F4946" s="1" t="n"/>
    </row>
    <row r="4947">
      <c r="F4947" s="1" t="n"/>
    </row>
    <row r="4948">
      <c r="F4948" s="1" t="n"/>
    </row>
    <row r="4949">
      <c r="F4949" s="1" t="n"/>
    </row>
    <row r="4950">
      <c r="F4950" s="1" t="n"/>
    </row>
    <row r="4951">
      <c r="F4951" s="1" t="n"/>
    </row>
    <row r="4952">
      <c r="F4952" s="1" t="n"/>
    </row>
    <row r="4953">
      <c r="F4953" s="1" t="n"/>
    </row>
    <row r="4954">
      <c r="F4954" s="1" t="n"/>
    </row>
    <row r="4955">
      <c r="F4955" s="1" t="n"/>
    </row>
    <row r="4956">
      <c r="F4956" s="1" t="n"/>
    </row>
    <row r="4957">
      <c r="F4957" s="1" t="n"/>
    </row>
    <row r="4958">
      <c r="F4958" s="1" t="n"/>
    </row>
    <row r="4959">
      <c r="F4959" s="1" t="n"/>
    </row>
    <row r="4960">
      <c r="F4960" s="1" t="n"/>
    </row>
    <row r="4961">
      <c r="F4961" s="1" t="n"/>
    </row>
    <row r="4962">
      <c r="F4962" s="1" t="n"/>
    </row>
    <row r="4963">
      <c r="F4963" s="1" t="n"/>
    </row>
    <row r="4964">
      <c r="F4964" s="1" t="n"/>
    </row>
    <row r="4965">
      <c r="F4965" s="1" t="n"/>
    </row>
    <row r="4966">
      <c r="F4966" s="1" t="n"/>
    </row>
    <row r="4967">
      <c r="F4967" s="1" t="n"/>
    </row>
    <row r="4968">
      <c r="F4968" s="1" t="n"/>
    </row>
    <row r="4969">
      <c r="F4969" s="1" t="n"/>
    </row>
    <row r="4970">
      <c r="F4970" s="1" t="n"/>
    </row>
    <row r="4971">
      <c r="F4971" s="1" t="n"/>
    </row>
    <row r="4972">
      <c r="F4972" s="1" t="n"/>
    </row>
    <row r="4973">
      <c r="F4973" s="1" t="n"/>
    </row>
    <row r="4974">
      <c r="F4974" s="1" t="n"/>
    </row>
    <row r="4975">
      <c r="F4975" s="1" t="n"/>
    </row>
    <row r="4976">
      <c r="F4976" s="1" t="n"/>
    </row>
    <row r="4977">
      <c r="F4977" s="1" t="n"/>
    </row>
    <row r="4978">
      <c r="F4978" s="1" t="n"/>
    </row>
    <row r="4979">
      <c r="F4979" s="1" t="n"/>
    </row>
    <row r="4980">
      <c r="F4980" s="1" t="n"/>
    </row>
    <row r="4981">
      <c r="F4981" s="1" t="n"/>
    </row>
    <row r="4982">
      <c r="F4982" s="1" t="n"/>
    </row>
    <row r="4983">
      <c r="F4983" s="1" t="n"/>
    </row>
    <row r="4984">
      <c r="F4984" s="1" t="n"/>
    </row>
    <row r="4985">
      <c r="F4985" s="1" t="n"/>
    </row>
    <row r="4986">
      <c r="F4986" s="1" t="n"/>
    </row>
    <row r="4987">
      <c r="F4987" s="1" t="n"/>
    </row>
    <row r="4988">
      <c r="F4988" s="1" t="n"/>
    </row>
    <row r="4989">
      <c r="F4989" s="1" t="n"/>
    </row>
    <row r="4990">
      <c r="F4990" s="1" t="n"/>
    </row>
    <row r="4991">
      <c r="F4991" s="1" t="n"/>
    </row>
    <row r="4992">
      <c r="F4992" s="1" t="n"/>
    </row>
    <row r="4993">
      <c r="F4993" s="1" t="n"/>
    </row>
    <row r="4994">
      <c r="F4994" s="1" t="n"/>
    </row>
    <row r="4995">
      <c r="F4995" s="1" t="n"/>
    </row>
    <row r="4996">
      <c r="F4996" s="1" t="n"/>
    </row>
    <row r="4997">
      <c r="F4997" s="1" t="n"/>
    </row>
    <row r="4998">
      <c r="F4998" s="1" t="n"/>
    </row>
    <row r="4999">
      <c r="F4999" s="1" t="n"/>
    </row>
    <row r="5000">
      <c r="F5000" s="1" t="n"/>
    </row>
    <row r="5001">
      <c r="F5001" s="1" t="n"/>
    </row>
    <row r="5002">
      <c r="F5002" s="1" t="n"/>
    </row>
    <row r="5003">
      <c r="F5003" s="1" t="n"/>
    </row>
    <row r="5004">
      <c r="F5004" s="1" t="n"/>
    </row>
    <row r="5005">
      <c r="F5005" s="1" t="n"/>
    </row>
    <row r="5006">
      <c r="F5006" s="1" t="n"/>
    </row>
    <row r="5007">
      <c r="F5007" s="1" t="n"/>
    </row>
    <row r="5008">
      <c r="F5008" s="1" t="n"/>
    </row>
    <row r="5009">
      <c r="F5009" s="1" t="n"/>
    </row>
    <row r="5010">
      <c r="F5010" s="1" t="n"/>
    </row>
    <row r="5011">
      <c r="F5011" s="1" t="n"/>
    </row>
    <row r="5012">
      <c r="F5012" s="1" t="n"/>
    </row>
    <row r="5013">
      <c r="F5013" s="1" t="n"/>
    </row>
    <row r="5014">
      <c r="F5014" s="1" t="n"/>
    </row>
    <row r="5015">
      <c r="F5015" s="1" t="n"/>
    </row>
    <row r="5016">
      <c r="F5016" s="1" t="n"/>
    </row>
    <row r="5017">
      <c r="F5017" s="1" t="n"/>
    </row>
    <row r="5018">
      <c r="F5018" s="1" t="n"/>
    </row>
    <row r="5019">
      <c r="F5019" s="1" t="n"/>
    </row>
    <row r="5020">
      <c r="F5020" s="1" t="n"/>
    </row>
    <row r="5021">
      <c r="F5021" s="1" t="n"/>
    </row>
    <row r="5022">
      <c r="F5022" s="1" t="n"/>
    </row>
    <row r="5023">
      <c r="F5023" s="1" t="n"/>
    </row>
    <row r="5024">
      <c r="F5024" s="1" t="n"/>
    </row>
    <row r="5025">
      <c r="F5025" s="1" t="n"/>
    </row>
    <row r="5026">
      <c r="F5026" s="1" t="n"/>
    </row>
    <row r="5027">
      <c r="F5027" s="1" t="n"/>
    </row>
    <row r="5028">
      <c r="F5028" s="1" t="n"/>
    </row>
    <row r="5029">
      <c r="F5029" s="1" t="n"/>
    </row>
    <row r="5030">
      <c r="F5030" s="1" t="n"/>
    </row>
    <row r="5031">
      <c r="F5031" s="1" t="n"/>
    </row>
    <row r="5032">
      <c r="F5032" s="1" t="n"/>
    </row>
    <row r="5033">
      <c r="F5033" s="1" t="n"/>
    </row>
    <row r="5034">
      <c r="F5034" s="1" t="n"/>
    </row>
    <row r="5035">
      <c r="F5035" s="1" t="n"/>
    </row>
    <row r="5036">
      <c r="F5036" s="1" t="n"/>
    </row>
    <row r="5037">
      <c r="F5037" s="1" t="n"/>
    </row>
    <row r="5038">
      <c r="F5038" s="1" t="n"/>
    </row>
    <row r="5039">
      <c r="F5039" s="1" t="n"/>
    </row>
    <row r="5040">
      <c r="F5040" s="1" t="n"/>
    </row>
    <row r="5041">
      <c r="F5041" s="1" t="n"/>
    </row>
    <row r="5042">
      <c r="F5042" s="1" t="n"/>
    </row>
    <row r="5043">
      <c r="F5043" s="1" t="n"/>
    </row>
    <row r="5044">
      <c r="F5044" s="1" t="n"/>
    </row>
    <row r="5045">
      <c r="F5045" s="1" t="n"/>
    </row>
    <row r="5046">
      <c r="F5046" s="1" t="n"/>
    </row>
    <row r="5047">
      <c r="F5047" s="1" t="n"/>
    </row>
    <row r="5048">
      <c r="F5048" s="1" t="n"/>
    </row>
    <row r="5049">
      <c r="F5049" s="1" t="n"/>
    </row>
    <row r="5050">
      <c r="F5050" s="1" t="n"/>
    </row>
    <row r="5051">
      <c r="F5051" s="1" t="n"/>
    </row>
    <row r="5052">
      <c r="F5052" s="1" t="n"/>
    </row>
    <row r="5053">
      <c r="F5053" s="1" t="n"/>
    </row>
    <row r="5054">
      <c r="F5054" s="1" t="n"/>
    </row>
    <row r="5055">
      <c r="F5055" s="1" t="n"/>
    </row>
    <row r="5056">
      <c r="F5056" s="1" t="n"/>
    </row>
    <row r="5057">
      <c r="F5057" s="1" t="n"/>
    </row>
    <row r="5058">
      <c r="F5058" s="1" t="n"/>
    </row>
    <row r="5059">
      <c r="F5059" s="1" t="n"/>
    </row>
    <row r="5060">
      <c r="F5060" s="1" t="n"/>
    </row>
    <row r="5061">
      <c r="F5061" s="1" t="n"/>
    </row>
    <row r="5062">
      <c r="F5062" s="1" t="n"/>
    </row>
    <row r="5063">
      <c r="F5063" s="1" t="n"/>
    </row>
    <row r="5064">
      <c r="F5064" s="1" t="n"/>
    </row>
    <row r="5065">
      <c r="F5065" s="1" t="n"/>
    </row>
    <row r="5066">
      <c r="F5066" s="1" t="n"/>
    </row>
    <row r="5067">
      <c r="F5067" s="1" t="n"/>
    </row>
    <row r="5068">
      <c r="F5068" s="1" t="n"/>
    </row>
    <row r="5069">
      <c r="F5069" s="1" t="n"/>
    </row>
    <row r="5070">
      <c r="F5070" s="1" t="n"/>
    </row>
    <row r="5071">
      <c r="F5071" s="1" t="n"/>
    </row>
    <row r="5072">
      <c r="F5072" s="1" t="n"/>
    </row>
    <row r="5073">
      <c r="F5073" s="1" t="n"/>
    </row>
    <row r="5074">
      <c r="F5074" s="1" t="n"/>
    </row>
    <row r="5075">
      <c r="F5075" s="1" t="n"/>
    </row>
    <row r="5076">
      <c r="F5076" s="1" t="n"/>
    </row>
    <row r="5077">
      <c r="F5077" s="1" t="n"/>
    </row>
    <row r="5078">
      <c r="F5078" s="1" t="n"/>
    </row>
    <row r="5079">
      <c r="F5079" s="1" t="n"/>
    </row>
    <row r="5080">
      <c r="F5080" s="1" t="n"/>
    </row>
    <row r="5081">
      <c r="F5081" s="1" t="n"/>
    </row>
    <row r="5082">
      <c r="F5082" s="1" t="n"/>
    </row>
    <row r="5083">
      <c r="F5083" s="1" t="n"/>
    </row>
    <row r="5084">
      <c r="F5084" s="1" t="n"/>
    </row>
    <row r="5085">
      <c r="F5085" s="1" t="n"/>
    </row>
    <row r="5086">
      <c r="F5086" s="1" t="n"/>
    </row>
    <row r="5087">
      <c r="F5087" s="1" t="n"/>
    </row>
    <row r="5088">
      <c r="F5088" s="1" t="n"/>
    </row>
    <row r="5089">
      <c r="F5089" s="1" t="n"/>
    </row>
    <row r="5090">
      <c r="F5090" s="1" t="n"/>
    </row>
    <row r="5091">
      <c r="F5091" s="1" t="n"/>
    </row>
    <row r="5092">
      <c r="F5092" s="1" t="n"/>
    </row>
    <row r="5093">
      <c r="F5093" s="1" t="n"/>
    </row>
    <row r="5094">
      <c r="F5094" s="1" t="n"/>
    </row>
    <row r="5095">
      <c r="F5095" s="1" t="n"/>
    </row>
    <row r="5096">
      <c r="F5096" s="1" t="n"/>
    </row>
    <row r="5097">
      <c r="F5097" s="1" t="n"/>
    </row>
    <row r="5098">
      <c r="F5098" s="1" t="n"/>
    </row>
    <row r="5099">
      <c r="F5099" s="1" t="n"/>
    </row>
    <row r="5100">
      <c r="F5100" s="1" t="n"/>
    </row>
    <row r="5101">
      <c r="F5101" s="1" t="n"/>
    </row>
    <row r="5102">
      <c r="F5102" s="1" t="n"/>
    </row>
    <row r="5103">
      <c r="F5103" s="1" t="n"/>
    </row>
    <row r="5104">
      <c r="F5104" s="1" t="n"/>
    </row>
    <row r="5105">
      <c r="F5105" s="1" t="n"/>
    </row>
    <row r="5106">
      <c r="F5106" s="1" t="n"/>
    </row>
    <row r="5107">
      <c r="F5107" s="1" t="n"/>
    </row>
    <row r="5108">
      <c r="F5108" s="1" t="n"/>
    </row>
    <row r="5109">
      <c r="F5109" s="1" t="n"/>
    </row>
    <row r="5110">
      <c r="F5110" s="1" t="n"/>
    </row>
    <row r="5111">
      <c r="F5111" s="1" t="n"/>
    </row>
    <row r="5112">
      <c r="F5112" s="1" t="n"/>
    </row>
    <row r="5113">
      <c r="F5113" s="1" t="n"/>
    </row>
    <row r="5114">
      <c r="F5114" s="1" t="n"/>
    </row>
    <row r="5115">
      <c r="F5115" s="1" t="n"/>
    </row>
    <row r="5116">
      <c r="F5116" s="1" t="n"/>
    </row>
    <row r="5117">
      <c r="F5117" s="1" t="n"/>
    </row>
    <row r="5118">
      <c r="F5118" s="1" t="n"/>
    </row>
    <row r="5119">
      <c r="F5119" s="1" t="n"/>
    </row>
    <row r="5120">
      <c r="F5120" s="1" t="n"/>
    </row>
    <row r="5121">
      <c r="F5121" s="1" t="n"/>
    </row>
    <row r="5122">
      <c r="F5122" s="1" t="n"/>
    </row>
    <row r="5123">
      <c r="F5123" s="1" t="n"/>
    </row>
    <row r="5124">
      <c r="F5124" s="1" t="n"/>
    </row>
    <row r="5125">
      <c r="F5125" s="1" t="n"/>
    </row>
    <row r="5126">
      <c r="F5126" s="1" t="n"/>
    </row>
    <row r="5127">
      <c r="F5127" s="1" t="n"/>
    </row>
    <row r="5128">
      <c r="F5128" s="1" t="n"/>
    </row>
    <row r="5129">
      <c r="F5129" s="1" t="n"/>
    </row>
    <row r="5130">
      <c r="F5130" s="1" t="n"/>
    </row>
    <row r="5131">
      <c r="F5131" s="1" t="n"/>
    </row>
    <row r="5132">
      <c r="F5132" s="1" t="n"/>
    </row>
    <row r="5133">
      <c r="F5133" s="1" t="n"/>
    </row>
    <row r="5134">
      <c r="F5134" s="1" t="n"/>
    </row>
    <row r="5135">
      <c r="F5135" s="1" t="n"/>
    </row>
    <row r="5136">
      <c r="F5136" s="1" t="n"/>
    </row>
    <row r="5137">
      <c r="F5137" s="1" t="n"/>
    </row>
    <row r="5138">
      <c r="F5138" s="1" t="n"/>
    </row>
    <row r="5139">
      <c r="F5139" s="1" t="n"/>
    </row>
    <row r="5140">
      <c r="F5140" s="1" t="n"/>
    </row>
    <row r="5141">
      <c r="F5141" s="1" t="n"/>
    </row>
    <row r="5142">
      <c r="F5142" s="1" t="n"/>
    </row>
    <row r="5143">
      <c r="F5143" s="1" t="n"/>
    </row>
    <row r="5144">
      <c r="F5144" s="1" t="n"/>
    </row>
    <row r="5145">
      <c r="F5145" s="1" t="n"/>
    </row>
    <row r="5146">
      <c r="F5146" s="1" t="n"/>
    </row>
    <row r="5147">
      <c r="F5147" s="1" t="n"/>
    </row>
    <row r="5148">
      <c r="F5148" s="1" t="n"/>
    </row>
    <row r="5149">
      <c r="F5149" s="1" t="n"/>
    </row>
    <row r="5150">
      <c r="F5150" s="1" t="n"/>
    </row>
    <row r="5151">
      <c r="F5151" s="1" t="n"/>
    </row>
    <row r="5152">
      <c r="F5152" s="1" t="n"/>
    </row>
    <row r="5153">
      <c r="F5153" s="1" t="n"/>
    </row>
    <row r="5154">
      <c r="F5154" s="1" t="n"/>
    </row>
    <row r="5155">
      <c r="F5155" s="1" t="n"/>
    </row>
    <row r="5156">
      <c r="F5156" s="1" t="n"/>
    </row>
    <row r="5157">
      <c r="F5157" s="1" t="n"/>
    </row>
    <row r="5158">
      <c r="F5158" s="1" t="n"/>
    </row>
    <row r="5159">
      <c r="F5159" s="1" t="n"/>
    </row>
    <row r="5160">
      <c r="F5160" s="1" t="n"/>
    </row>
    <row r="5161">
      <c r="F5161" s="1" t="n"/>
    </row>
    <row r="5162">
      <c r="F5162" s="1" t="n"/>
    </row>
    <row r="5163">
      <c r="F5163" s="1" t="n"/>
    </row>
    <row r="5164">
      <c r="F5164" s="1" t="n"/>
    </row>
    <row r="5165">
      <c r="F5165" s="1" t="n"/>
    </row>
    <row r="5166">
      <c r="F5166" s="1" t="n"/>
    </row>
    <row r="5167">
      <c r="F5167" s="1" t="n"/>
    </row>
    <row r="5168">
      <c r="F5168" s="1" t="n"/>
    </row>
    <row r="5169">
      <c r="F5169" s="1" t="n"/>
    </row>
    <row r="5170">
      <c r="F5170" s="1" t="n"/>
    </row>
    <row r="5171">
      <c r="F5171" s="1" t="n"/>
    </row>
    <row r="5172">
      <c r="F5172" s="1" t="n"/>
    </row>
    <row r="5173">
      <c r="F5173" s="1" t="n"/>
    </row>
    <row r="5174">
      <c r="F5174" s="1" t="n"/>
    </row>
    <row r="5175">
      <c r="F5175" s="1" t="n"/>
    </row>
    <row r="5176">
      <c r="F5176" s="1" t="n"/>
    </row>
    <row r="5177">
      <c r="F5177" s="1" t="n"/>
    </row>
    <row r="5178">
      <c r="F5178" s="1" t="n"/>
    </row>
    <row r="5179">
      <c r="F5179" s="1" t="n"/>
    </row>
    <row r="5180">
      <c r="F5180" s="1" t="n"/>
    </row>
    <row r="5181">
      <c r="F5181" s="1" t="n"/>
    </row>
    <row r="5182">
      <c r="F5182" s="1" t="n"/>
    </row>
    <row r="5183">
      <c r="F5183" s="1" t="n"/>
    </row>
    <row r="5184">
      <c r="F5184" s="1" t="n"/>
    </row>
    <row r="5185">
      <c r="F5185" s="1" t="n"/>
    </row>
    <row r="5186">
      <c r="F5186" s="1" t="n"/>
    </row>
    <row r="5187">
      <c r="F5187" s="1" t="n"/>
    </row>
    <row r="5188">
      <c r="F5188" s="1" t="n"/>
    </row>
    <row r="5189">
      <c r="F5189" s="1" t="n"/>
    </row>
    <row r="5190">
      <c r="F5190" s="1" t="n"/>
    </row>
    <row r="5191">
      <c r="F5191" s="1" t="n"/>
    </row>
    <row r="5192">
      <c r="F5192" s="1" t="n"/>
    </row>
    <row r="5193">
      <c r="F5193" s="1" t="n"/>
    </row>
    <row r="5194">
      <c r="F5194" s="1" t="n"/>
    </row>
    <row r="5195">
      <c r="F5195" s="1" t="n"/>
    </row>
    <row r="5196">
      <c r="F5196" s="1" t="n"/>
    </row>
    <row r="5197">
      <c r="F5197" s="1" t="n"/>
    </row>
    <row r="5198">
      <c r="F5198" s="1" t="n"/>
    </row>
    <row r="5199">
      <c r="F5199" s="1" t="n"/>
    </row>
    <row r="5200">
      <c r="F5200" s="1" t="n"/>
    </row>
    <row r="5201">
      <c r="F5201" s="1" t="n"/>
    </row>
    <row r="5202">
      <c r="F5202" s="1" t="n"/>
    </row>
    <row r="5203">
      <c r="F5203" s="1" t="n"/>
    </row>
    <row r="5204">
      <c r="F5204" s="1" t="n"/>
    </row>
    <row r="5205">
      <c r="F5205" s="1" t="n"/>
    </row>
    <row r="5206">
      <c r="F5206" s="1" t="n"/>
    </row>
    <row r="5207">
      <c r="F5207" s="1" t="n"/>
    </row>
    <row r="5208">
      <c r="F5208" s="1" t="n"/>
    </row>
    <row r="5209">
      <c r="F5209" s="1" t="n"/>
    </row>
    <row r="5210">
      <c r="F5210" s="1" t="n"/>
    </row>
    <row r="5211">
      <c r="F5211" s="1" t="n"/>
    </row>
    <row r="5212">
      <c r="F5212" s="1" t="n"/>
    </row>
    <row r="5213">
      <c r="F5213" s="1" t="n"/>
    </row>
    <row r="5214">
      <c r="F5214" s="1" t="n"/>
    </row>
    <row r="5215">
      <c r="F5215" s="1" t="n"/>
    </row>
    <row r="5216">
      <c r="F5216" s="1" t="n"/>
    </row>
    <row r="5217">
      <c r="F5217" s="1" t="n"/>
    </row>
    <row r="5218">
      <c r="F5218" s="1" t="n"/>
    </row>
    <row r="5219">
      <c r="F5219" s="1" t="n"/>
    </row>
    <row r="5220">
      <c r="F5220" s="1" t="n"/>
    </row>
    <row r="5221">
      <c r="F5221" s="1" t="n"/>
    </row>
    <row r="5222">
      <c r="F5222" s="1" t="n"/>
    </row>
    <row r="5223">
      <c r="F5223" s="1" t="n"/>
    </row>
    <row r="5224">
      <c r="F5224" s="1" t="n"/>
    </row>
    <row r="5225">
      <c r="F5225" s="1" t="n"/>
    </row>
    <row r="5226">
      <c r="F5226" s="1" t="n"/>
    </row>
    <row r="5227">
      <c r="F5227" s="1" t="n"/>
    </row>
    <row r="5228">
      <c r="F5228" s="1" t="n"/>
    </row>
    <row r="5229">
      <c r="F5229" s="1" t="n"/>
    </row>
    <row r="5230">
      <c r="F5230" s="1" t="n"/>
    </row>
    <row r="5231">
      <c r="F5231" s="1" t="n"/>
    </row>
    <row r="5232">
      <c r="F5232" s="1" t="n"/>
    </row>
    <row r="5233">
      <c r="F5233" s="1" t="n"/>
    </row>
    <row r="5234">
      <c r="F5234" s="1" t="n"/>
    </row>
    <row r="5235">
      <c r="F5235" s="1" t="n"/>
    </row>
    <row r="5236">
      <c r="F5236" s="1" t="n"/>
    </row>
    <row r="5237">
      <c r="F5237" s="1" t="n"/>
    </row>
    <row r="5238">
      <c r="F5238" s="1" t="n"/>
    </row>
    <row r="5239">
      <c r="F5239" s="1" t="n"/>
    </row>
    <row r="5240">
      <c r="F5240" s="1" t="n"/>
    </row>
    <row r="5241">
      <c r="F5241" s="1" t="n"/>
    </row>
    <row r="5242">
      <c r="F5242" s="1" t="n"/>
    </row>
    <row r="5243">
      <c r="F5243" s="1" t="n"/>
    </row>
    <row r="5244">
      <c r="F5244" s="1" t="n"/>
    </row>
    <row r="5245">
      <c r="F5245" s="1" t="n"/>
    </row>
    <row r="5246">
      <c r="F5246" s="1" t="n"/>
    </row>
    <row r="5247">
      <c r="F5247" s="1" t="n"/>
    </row>
    <row r="5248">
      <c r="F5248" s="1" t="n"/>
    </row>
    <row r="5249">
      <c r="F5249" s="1" t="n"/>
    </row>
    <row r="5250">
      <c r="F5250" s="1" t="n"/>
    </row>
    <row r="5251">
      <c r="F5251" s="1" t="n"/>
    </row>
    <row r="5252">
      <c r="F5252" s="1" t="n"/>
    </row>
    <row r="5253">
      <c r="F5253" s="1" t="n"/>
    </row>
    <row r="5254">
      <c r="F5254" s="1" t="n"/>
    </row>
    <row r="5255">
      <c r="F5255" s="1" t="n"/>
    </row>
    <row r="5256">
      <c r="F5256" s="1" t="n"/>
    </row>
    <row r="5257">
      <c r="F5257" s="1" t="n"/>
    </row>
    <row r="5258">
      <c r="F5258" s="1" t="n"/>
    </row>
    <row r="5259">
      <c r="F5259" s="1" t="n"/>
    </row>
    <row r="5260">
      <c r="F5260" s="1" t="n"/>
    </row>
    <row r="5261">
      <c r="F5261" s="1" t="n"/>
    </row>
    <row r="5262">
      <c r="F5262" s="1" t="n"/>
    </row>
    <row r="5263">
      <c r="F5263" s="1" t="n"/>
    </row>
    <row r="5264">
      <c r="F5264" s="1" t="n"/>
    </row>
    <row r="5265">
      <c r="F5265" s="1" t="n"/>
    </row>
    <row r="5266">
      <c r="F5266" s="1" t="n"/>
    </row>
    <row r="5267">
      <c r="F5267" s="1" t="n"/>
    </row>
    <row r="5268">
      <c r="F5268" s="1" t="n"/>
    </row>
    <row r="5269">
      <c r="F5269" s="1" t="n"/>
    </row>
    <row r="5270">
      <c r="F5270" s="1" t="n"/>
    </row>
    <row r="5271">
      <c r="F5271" s="1" t="n"/>
    </row>
    <row r="5272">
      <c r="F5272" s="1" t="n"/>
    </row>
    <row r="5273">
      <c r="F5273" s="1" t="n"/>
    </row>
    <row r="5274">
      <c r="F5274" s="1" t="n"/>
    </row>
    <row r="5275">
      <c r="F5275" s="1" t="n"/>
    </row>
    <row r="5276">
      <c r="F5276" s="1" t="n"/>
    </row>
    <row r="5277">
      <c r="F5277" s="1" t="n"/>
    </row>
    <row r="5278">
      <c r="F5278" s="1" t="n"/>
    </row>
    <row r="5279">
      <c r="F5279" s="1" t="n"/>
    </row>
    <row r="5280">
      <c r="F5280" s="1" t="n"/>
    </row>
    <row r="5281">
      <c r="F5281" s="1" t="n"/>
    </row>
    <row r="5282">
      <c r="F5282" s="1" t="n"/>
    </row>
    <row r="5283">
      <c r="F5283" s="1" t="n"/>
    </row>
    <row r="5284">
      <c r="F5284" s="1" t="n"/>
    </row>
    <row r="5285">
      <c r="F5285" s="1" t="n"/>
    </row>
    <row r="5286">
      <c r="F5286" s="1" t="n"/>
    </row>
    <row r="5287">
      <c r="F5287" s="1" t="n"/>
    </row>
    <row r="5288">
      <c r="F5288" s="1" t="n"/>
    </row>
    <row r="5289">
      <c r="F5289" s="1" t="n"/>
    </row>
    <row r="5290">
      <c r="F5290" s="1" t="n"/>
    </row>
    <row r="5291">
      <c r="F5291" s="1" t="n"/>
    </row>
    <row r="5292">
      <c r="F5292" s="1" t="n"/>
    </row>
    <row r="5293">
      <c r="F5293" s="1" t="n"/>
    </row>
    <row r="5294">
      <c r="F5294" s="1" t="n"/>
    </row>
    <row r="5295">
      <c r="F5295" s="1" t="n"/>
    </row>
    <row r="5296">
      <c r="F5296" s="1" t="n"/>
    </row>
    <row r="5297">
      <c r="F5297" s="1" t="n"/>
    </row>
    <row r="5298">
      <c r="F5298" s="1" t="n"/>
    </row>
    <row r="5299">
      <c r="F5299" s="1" t="n"/>
    </row>
    <row r="5300">
      <c r="F5300" s="1" t="n"/>
    </row>
    <row r="5301">
      <c r="F5301" s="1" t="n"/>
    </row>
    <row r="5302">
      <c r="F5302" s="1" t="n"/>
    </row>
    <row r="5303">
      <c r="F5303" s="1" t="n"/>
    </row>
    <row r="5304">
      <c r="F5304" s="1" t="n"/>
    </row>
    <row r="5305">
      <c r="F5305" s="1" t="n"/>
    </row>
    <row r="5306">
      <c r="F5306" s="1" t="n"/>
    </row>
    <row r="5307">
      <c r="F5307" s="1" t="n"/>
    </row>
    <row r="5308">
      <c r="F5308" s="1" t="n"/>
    </row>
    <row r="5309">
      <c r="F5309" s="1" t="n"/>
    </row>
    <row r="5310">
      <c r="F5310" s="1" t="n"/>
    </row>
    <row r="5311">
      <c r="F5311" s="1" t="n"/>
    </row>
    <row r="5312">
      <c r="F5312" s="1" t="n"/>
    </row>
    <row r="5313">
      <c r="F5313" s="1" t="n"/>
    </row>
    <row r="5314">
      <c r="F5314" s="1" t="n"/>
    </row>
    <row r="5315">
      <c r="F5315" s="1" t="n"/>
    </row>
    <row r="5316">
      <c r="F5316" s="1" t="n"/>
    </row>
    <row r="5317">
      <c r="F5317" s="1" t="n"/>
    </row>
    <row r="5318">
      <c r="F5318" s="1" t="n"/>
    </row>
    <row r="5319">
      <c r="F5319" s="1" t="n"/>
    </row>
    <row r="5320">
      <c r="F5320" s="1" t="n"/>
    </row>
    <row r="5321">
      <c r="F5321" s="1" t="n"/>
    </row>
    <row r="5322">
      <c r="F5322" s="1" t="n"/>
    </row>
    <row r="5323">
      <c r="F5323" s="1" t="n"/>
    </row>
    <row r="5324">
      <c r="F5324" s="1" t="n"/>
    </row>
    <row r="5325">
      <c r="F5325" s="1" t="n"/>
    </row>
    <row r="5326">
      <c r="F5326" s="1" t="n"/>
    </row>
    <row r="5327">
      <c r="F5327" s="1" t="n"/>
    </row>
    <row r="5328">
      <c r="F5328" s="1" t="n"/>
    </row>
    <row r="5329">
      <c r="F5329" s="1" t="n"/>
    </row>
    <row r="5330">
      <c r="F5330" s="1" t="n"/>
    </row>
    <row r="5331">
      <c r="F5331" s="1" t="n"/>
    </row>
    <row r="5332">
      <c r="F5332" s="1" t="n"/>
    </row>
    <row r="5333">
      <c r="F5333" s="1" t="n"/>
    </row>
    <row r="5334">
      <c r="F5334" s="1" t="n"/>
    </row>
    <row r="5335">
      <c r="F5335" s="1" t="n"/>
    </row>
    <row r="5336">
      <c r="F5336" s="1" t="n"/>
    </row>
    <row r="5337">
      <c r="F5337" s="1" t="n"/>
    </row>
    <row r="5338">
      <c r="F5338" s="1" t="n"/>
    </row>
    <row r="5339">
      <c r="F5339" s="1" t="n"/>
    </row>
    <row r="5340">
      <c r="F5340" s="1" t="n"/>
    </row>
    <row r="5341">
      <c r="F5341" s="1" t="n"/>
    </row>
    <row r="5342">
      <c r="F5342" s="1" t="n"/>
    </row>
    <row r="5343">
      <c r="F5343" s="1" t="n"/>
    </row>
    <row r="5344">
      <c r="F5344" s="1" t="n"/>
    </row>
    <row r="5345">
      <c r="F5345" s="1" t="n"/>
    </row>
    <row r="5346">
      <c r="F5346" s="1" t="n"/>
    </row>
    <row r="5347">
      <c r="F5347" s="1" t="n"/>
    </row>
    <row r="5348">
      <c r="F5348" s="1" t="n"/>
    </row>
    <row r="5349">
      <c r="F5349" s="1" t="n"/>
    </row>
    <row r="5350">
      <c r="F5350" s="1" t="n"/>
    </row>
    <row r="5351">
      <c r="F5351" s="1" t="n"/>
    </row>
    <row r="5352">
      <c r="F5352" s="1" t="n"/>
    </row>
    <row r="5353">
      <c r="F5353" s="1" t="n"/>
    </row>
    <row r="5354">
      <c r="F5354" s="1" t="n"/>
    </row>
    <row r="5355">
      <c r="F5355" s="1" t="n"/>
    </row>
    <row r="5356">
      <c r="F5356" s="1" t="n"/>
    </row>
    <row r="5357">
      <c r="F5357" s="1" t="n"/>
    </row>
    <row r="5358">
      <c r="F5358" s="1" t="n"/>
    </row>
    <row r="5359">
      <c r="F5359" s="1" t="n"/>
    </row>
    <row r="5360">
      <c r="F5360" s="1" t="n"/>
    </row>
    <row r="5361">
      <c r="F5361" s="1" t="n"/>
    </row>
    <row r="5362">
      <c r="F5362" s="1" t="n"/>
    </row>
    <row r="5363">
      <c r="F5363" s="1" t="n"/>
    </row>
    <row r="5364">
      <c r="F5364" s="1" t="n"/>
    </row>
    <row r="5365">
      <c r="F5365" s="1" t="n"/>
    </row>
    <row r="5366">
      <c r="F5366" s="1" t="n"/>
    </row>
    <row r="5367">
      <c r="F5367" s="1" t="n"/>
    </row>
    <row r="5368">
      <c r="F5368" s="1" t="n"/>
    </row>
    <row r="5369">
      <c r="F5369" s="1" t="n"/>
    </row>
    <row r="5370">
      <c r="F5370" s="1" t="n"/>
    </row>
    <row r="5371">
      <c r="F5371" s="1" t="n"/>
    </row>
    <row r="5372">
      <c r="F5372" s="1" t="n"/>
    </row>
    <row r="5373">
      <c r="F5373" s="1" t="n"/>
    </row>
    <row r="5374">
      <c r="F5374" s="1" t="n"/>
    </row>
    <row r="5375">
      <c r="F5375" s="1" t="n"/>
    </row>
    <row r="5376">
      <c r="F5376" s="1" t="n"/>
    </row>
    <row r="5377">
      <c r="F5377" s="1" t="n"/>
    </row>
    <row r="5378">
      <c r="F5378" s="1" t="n"/>
    </row>
    <row r="5379">
      <c r="F5379" s="1" t="n"/>
    </row>
    <row r="5380">
      <c r="F5380" s="1" t="n"/>
    </row>
    <row r="5381">
      <c r="F5381" s="1" t="n"/>
    </row>
    <row r="5382">
      <c r="F5382" s="1" t="n"/>
    </row>
    <row r="5383">
      <c r="F5383" s="1" t="n"/>
    </row>
    <row r="5384">
      <c r="F5384" s="1" t="n"/>
    </row>
    <row r="5385">
      <c r="F5385" s="1" t="n"/>
    </row>
    <row r="5386">
      <c r="F5386" s="1" t="n"/>
    </row>
    <row r="5387">
      <c r="F5387" s="1" t="n"/>
    </row>
    <row r="5388">
      <c r="F5388" s="1" t="n"/>
    </row>
    <row r="5389">
      <c r="F5389" s="1" t="n"/>
    </row>
    <row r="5390">
      <c r="F5390" s="1" t="n"/>
    </row>
    <row r="5391">
      <c r="F5391" s="1" t="n"/>
    </row>
    <row r="5392">
      <c r="F5392" s="1" t="n"/>
    </row>
    <row r="5393">
      <c r="F5393" s="1" t="n"/>
    </row>
    <row r="5394">
      <c r="F5394" s="1" t="n"/>
    </row>
    <row r="5395">
      <c r="F5395" s="1" t="n"/>
    </row>
    <row r="5396">
      <c r="F5396" s="1" t="n"/>
    </row>
    <row r="5397">
      <c r="F5397" s="1" t="n"/>
    </row>
    <row r="5398">
      <c r="F5398" s="1" t="n"/>
    </row>
    <row r="5399">
      <c r="F5399" s="1" t="n"/>
    </row>
    <row r="5400">
      <c r="F5400" s="1" t="n"/>
    </row>
    <row r="5401">
      <c r="F5401" s="1" t="n"/>
    </row>
    <row r="5402">
      <c r="F5402" s="1" t="n"/>
    </row>
    <row r="5403">
      <c r="F5403" s="1" t="n"/>
    </row>
    <row r="5404">
      <c r="F5404" s="1" t="n"/>
    </row>
    <row r="5405">
      <c r="F5405" s="1" t="n"/>
    </row>
    <row r="5406">
      <c r="F5406" s="1" t="n"/>
    </row>
    <row r="5407">
      <c r="F5407" s="1" t="n"/>
    </row>
    <row r="5408">
      <c r="F5408" s="1" t="n"/>
    </row>
    <row r="5409">
      <c r="F5409" s="1" t="n"/>
    </row>
    <row r="5410">
      <c r="F5410" s="1" t="n"/>
    </row>
    <row r="5411">
      <c r="F5411" s="1" t="n"/>
    </row>
    <row r="5412">
      <c r="F5412" s="1" t="n"/>
    </row>
    <row r="5413">
      <c r="F5413" s="1" t="n"/>
    </row>
    <row r="5414">
      <c r="F5414" s="1" t="n"/>
    </row>
    <row r="5415">
      <c r="F5415" s="1" t="n"/>
    </row>
    <row r="5416">
      <c r="F5416" s="1" t="n"/>
    </row>
    <row r="5417">
      <c r="F5417" s="1" t="n"/>
    </row>
    <row r="5418">
      <c r="F5418" s="1" t="n"/>
    </row>
    <row r="5419">
      <c r="F5419" s="1" t="n"/>
    </row>
    <row r="5420">
      <c r="F5420" s="1" t="n"/>
    </row>
    <row r="5421">
      <c r="F5421" s="1" t="n"/>
    </row>
    <row r="5422">
      <c r="F5422" s="1" t="n"/>
    </row>
    <row r="5423">
      <c r="F5423" s="1" t="n"/>
    </row>
    <row r="5424">
      <c r="F5424" s="1" t="n"/>
    </row>
    <row r="5425">
      <c r="F5425" s="1" t="n"/>
    </row>
    <row r="5426">
      <c r="F5426" s="1" t="n"/>
    </row>
    <row r="5427">
      <c r="F5427" s="1" t="n"/>
    </row>
    <row r="5428">
      <c r="F5428" s="1" t="n"/>
    </row>
    <row r="5429">
      <c r="F5429" s="1" t="n"/>
    </row>
    <row r="5430">
      <c r="F5430" s="1" t="n"/>
    </row>
    <row r="5431">
      <c r="F5431" s="1" t="n"/>
    </row>
    <row r="5432">
      <c r="F5432" s="1" t="n"/>
    </row>
    <row r="5433">
      <c r="F5433" s="1" t="n"/>
    </row>
    <row r="5434">
      <c r="F5434" s="1" t="n"/>
    </row>
    <row r="5435">
      <c r="F5435" s="1" t="n"/>
    </row>
    <row r="5436">
      <c r="F5436" s="1" t="n"/>
    </row>
    <row r="5437">
      <c r="F5437" s="1" t="n"/>
    </row>
    <row r="5438">
      <c r="F5438" s="1" t="n"/>
    </row>
    <row r="5439">
      <c r="F5439" s="1" t="n"/>
    </row>
    <row r="5440">
      <c r="F5440" s="1" t="n"/>
    </row>
    <row r="5441">
      <c r="F5441" s="1" t="n"/>
    </row>
    <row r="5442">
      <c r="F5442" s="1" t="n"/>
    </row>
    <row r="5443">
      <c r="F5443" s="1" t="n"/>
    </row>
    <row r="5444">
      <c r="F5444" s="1" t="n"/>
    </row>
    <row r="5445">
      <c r="F5445" s="1" t="n"/>
    </row>
    <row r="5446">
      <c r="F5446" s="1" t="n"/>
    </row>
    <row r="5447">
      <c r="F5447" s="1" t="n"/>
    </row>
    <row r="5448">
      <c r="F5448" s="1" t="n"/>
    </row>
    <row r="5449">
      <c r="F5449" s="1" t="n"/>
    </row>
    <row r="5450">
      <c r="F5450" s="1" t="n"/>
    </row>
    <row r="5451">
      <c r="F5451" s="1" t="n"/>
    </row>
    <row r="5452">
      <c r="F5452" s="1" t="n"/>
    </row>
    <row r="5453">
      <c r="F5453" s="1" t="n"/>
    </row>
    <row r="5454">
      <c r="F5454" s="1" t="n"/>
    </row>
    <row r="5455">
      <c r="F5455" s="1" t="n"/>
    </row>
    <row r="5456">
      <c r="F5456" s="1" t="n"/>
    </row>
    <row r="5457">
      <c r="F5457" s="1" t="n"/>
    </row>
    <row r="5458">
      <c r="F5458" s="1" t="n"/>
    </row>
    <row r="5459">
      <c r="F5459" s="1" t="n"/>
    </row>
    <row r="5460">
      <c r="F5460" s="1" t="n"/>
    </row>
    <row r="5461">
      <c r="F5461" s="1" t="n"/>
    </row>
    <row r="5462">
      <c r="F5462" s="1" t="n"/>
    </row>
    <row r="5463">
      <c r="F5463" s="1" t="n"/>
    </row>
    <row r="5464">
      <c r="F5464" s="1" t="n"/>
    </row>
    <row r="5465">
      <c r="F5465" s="1" t="n"/>
    </row>
    <row r="5466">
      <c r="F5466" s="1" t="n"/>
    </row>
    <row r="5467">
      <c r="F5467" s="1" t="n"/>
    </row>
    <row r="5468">
      <c r="F5468" s="1" t="n"/>
    </row>
    <row r="5469">
      <c r="F5469" s="1" t="n"/>
    </row>
    <row r="5470">
      <c r="F5470" s="1" t="n"/>
    </row>
    <row r="5471">
      <c r="F5471" s="1" t="n"/>
    </row>
    <row r="5472">
      <c r="F5472" s="1" t="n"/>
    </row>
    <row r="5473">
      <c r="F5473" s="1" t="n"/>
    </row>
    <row r="5474">
      <c r="F5474" s="1" t="n"/>
    </row>
    <row r="5475">
      <c r="F5475" s="1" t="n"/>
    </row>
    <row r="5476">
      <c r="F5476" s="1" t="n"/>
    </row>
    <row r="5477">
      <c r="F5477" s="1" t="n"/>
    </row>
    <row r="5478">
      <c r="F5478" s="1" t="n"/>
    </row>
    <row r="5479">
      <c r="F5479" s="1" t="n"/>
    </row>
    <row r="5480">
      <c r="F5480" s="1" t="n"/>
    </row>
    <row r="5481">
      <c r="F5481" s="1" t="n"/>
    </row>
    <row r="5482">
      <c r="F5482" s="1" t="n"/>
    </row>
    <row r="5483">
      <c r="F5483" s="1" t="n"/>
    </row>
    <row r="5484">
      <c r="F5484" s="1" t="n"/>
    </row>
    <row r="5485">
      <c r="F5485" s="1" t="n"/>
    </row>
    <row r="5486">
      <c r="F5486" s="1" t="n"/>
    </row>
    <row r="5487">
      <c r="F5487" s="1" t="n"/>
    </row>
    <row r="5488">
      <c r="F5488" s="1" t="n"/>
    </row>
    <row r="5489">
      <c r="F5489" s="1" t="n"/>
    </row>
    <row r="5490">
      <c r="F5490" s="1" t="n"/>
    </row>
    <row r="5491">
      <c r="F5491" s="1" t="n"/>
    </row>
    <row r="5492">
      <c r="F5492" s="1" t="n"/>
    </row>
    <row r="5493">
      <c r="F5493" s="1" t="n"/>
    </row>
    <row r="5494">
      <c r="F5494" s="1" t="n"/>
    </row>
    <row r="5495">
      <c r="F5495" s="1" t="n"/>
    </row>
    <row r="5496">
      <c r="F5496" s="1" t="n"/>
    </row>
    <row r="5497">
      <c r="F5497" s="1" t="n"/>
    </row>
    <row r="5498">
      <c r="F5498" s="1" t="n"/>
    </row>
    <row r="5499">
      <c r="F5499" s="1" t="n"/>
    </row>
    <row r="5500">
      <c r="F5500" s="1" t="n"/>
    </row>
    <row r="5501">
      <c r="F5501" s="1" t="n"/>
    </row>
    <row r="5502">
      <c r="F5502" s="1" t="n"/>
    </row>
    <row r="5503">
      <c r="F5503" s="1" t="n"/>
    </row>
    <row r="5504">
      <c r="F5504" s="1" t="n"/>
    </row>
    <row r="5505">
      <c r="F5505" s="1" t="n"/>
    </row>
    <row r="5506">
      <c r="F5506" s="1" t="n"/>
    </row>
    <row r="5507">
      <c r="F5507" s="1" t="n"/>
    </row>
    <row r="5508">
      <c r="F5508" s="1" t="n"/>
    </row>
    <row r="5509">
      <c r="F5509" s="1" t="n"/>
    </row>
    <row r="5510">
      <c r="F5510" s="1" t="n"/>
    </row>
    <row r="5511">
      <c r="F5511" s="1" t="n"/>
    </row>
    <row r="5512">
      <c r="F5512" s="1" t="n"/>
    </row>
    <row r="5513">
      <c r="F5513" s="1" t="n"/>
    </row>
    <row r="5514">
      <c r="F5514" s="1" t="n"/>
    </row>
    <row r="5515">
      <c r="F5515" s="1" t="n"/>
    </row>
    <row r="5516">
      <c r="F5516" s="1" t="n"/>
    </row>
    <row r="5517">
      <c r="F5517" s="1" t="n"/>
    </row>
    <row r="5518">
      <c r="F5518" s="1" t="n"/>
    </row>
    <row r="5519">
      <c r="F5519" s="1" t="n"/>
    </row>
    <row r="5520">
      <c r="F5520" s="1" t="n"/>
    </row>
    <row r="5521">
      <c r="F5521" s="1" t="n"/>
    </row>
    <row r="5522">
      <c r="F5522" s="1" t="n"/>
    </row>
    <row r="5523">
      <c r="F5523" s="1" t="n"/>
    </row>
    <row r="5524">
      <c r="F5524" s="1" t="n"/>
    </row>
    <row r="5525">
      <c r="F5525" s="1" t="n"/>
    </row>
    <row r="5526">
      <c r="F5526" s="1" t="n"/>
    </row>
    <row r="5527">
      <c r="F5527" s="1" t="n"/>
    </row>
    <row r="5528">
      <c r="F5528" s="1" t="n"/>
    </row>
    <row r="5529">
      <c r="F5529" s="1" t="n"/>
    </row>
    <row r="5530">
      <c r="F5530" s="1" t="n"/>
    </row>
    <row r="5531">
      <c r="F5531" s="1" t="n"/>
    </row>
    <row r="5532">
      <c r="F5532" s="1" t="n"/>
    </row>
    <row r="5533">
      <c r="F5533" s="1" t="n"/>
    </row>
    <row r="5534">
      <c r="F5534" s="1" t="n"/>
    </row>
    <row r="5535">
      <c r="F5535" s="1" t="n"/>
    </row>
    <row r="5536">
      <c r="F5536" s="1" t="n"/>
    </row>
    <row r="5537">
      <c r="F5537" s="1" t="n"/>
    </row>
    <row r="5538">
      <c r="F5538" s="1" t="n"/>
    </row>
    <row r="5539">
      <c r="F5539" s="1" t="n"/>
    </row>
    <row r="5540">
      <c r="F5540" s="1" t="n"/>
    </row>
    <row r="5541">
      <c r="F5541" s="1" t="n"/>
    </row>
    <row r="5542">
      <c r="F5542" s="1" t="n"/>
    </row>
    <row r="5543">
      <c r="F5543" s="1" t="n"/>
    </row>
    <row r="5544">
      <c r="F5544" s="1" t="n"/>
    </row>
    <row r="5545">
      <c r="F5545" s="1" t="n"/>
    </row>
    <row r="5546">
      <c r="F5546" s="1" t="n"/>
    </row>
    <row r="5547">
      <c r="F5547" s="1" t="n"/>
    </row>
    <row r="5548">
      <c r="F5548" s="1" t="n"/>
    </row>
    <row r="5549">
      <c r="F5549" s="1" t="n"/>
    </row>
    <row r="5550">
      <c r="F5550" s="1" t="n"/>
    </row>
    <row r="5551">
      <c r="F5551" s="1" t="n"/>
    </row>
    <row r="5552">
      <c r="F5552" s="1" t="n"/>
    </row>
    <row r="5553">
      <c r="F5553" s="1" t="n"/>
    </row>
    <row r="5554">
      <c r="F5554" s="1" t="n"/>
    </row>
    <row r="5555">
      <c r="F5555" s="1" t="n"/>
    </row>
    <row r="5556">
      <c r="F5556" s="1" t="n"/>
    </row>
    <row r="5557">
      <c r="F5557" s="1" t="n"/>
    </row>
    <row r="5558">
      <c r="F5558" s="1" t="n"/>
    </row>
    <row r="5559">
      <c r="F5559" s="1" t="n"/>
    </row>
    <row r="5560">
      <c r="F5560" s="1" t="n"/>
    </row>
    <row r="5561">
      <c r="F5561" s="1" t="n"/>
    </row>
    <row r="5562">
      <c r="F5562" s="1" t="n"/>
    </row>
    <row r="5563">
      <c r="F5563" s="1" t="n"/>
    </row>
    <row r="5564">
      <c r="F5564" s="1" t="n"/>
    </row>
    <row r="5565">
      <c r="F5565" s="1" t="n"/>
    </row>
    <row r="5566">
      <c r="F5566" s="1" t="n"/>
    </row>
    <row r="5567">
      <c r="F5567" s="1" t="n"/>
    </row>
    <row r="5568">
      <c r="F5568" s="1" t="n"/>
    </row>
    <row r="5569">
      <c r="F5569" s="1" t="n"/>
    </row>
    <row r="5570">
      <c r="F5570" s="1" t="n"/>
    </row>
    <row r="5571">
      <c r="F5571" s="1" t="n"/>
    </row>
    <row r="5572">
      <c r="F5572" s="1" t="n"/>
    </row>
    <row r="5573">
      <c r="F5573" s="1" t="n"/>
    </row>
    <row r="5574">
      <c r="F5574" s="1" t="n"/>
    </row>
    <row r="5575">
      <c r="F5575" s="1" t="n"/>
    </row>
    <row r="5576">
      <c r="F5576" s="1" t="n"/>
    </row>
    <row r="5577">
      <c r="F5577" s="1" t="n"/>
    </row>
    <row r="5578">
      <c r="F5578" s="1" t="n"/>
    </row>
    <row r="5579">
      <c r="F5579" s="1" t="n"/>
    </row>
    <row r="5580">
      <c r="F5580" s="1" t="n"/>
    </row>
    <row r="5581">
      <c r="F5581" s="1" t="n"/>
    </row>
    <row r="5582">
      <c r="F5582" s="1" t="n"/>
    </row>
    <row r="5583">
      <c r="F5583" s="1" t="n"/>
    </row>
    <row r="5584">
      <c r="F5584" s="1" t="n"/>
    </row>
    <row r="5585">
      <c r="F5585" s="1" t="n"/>
    </row>
    <row r="5586">
      <c r="F5586" s="1" t="n"/>
    </row>
    <row r="5587">
      <c r="F5587" s="1" t="n"/>
    </row>
    <row r="5588">
      <c r="F5588" s="1" t="n"/>
    </row>
    <row r="5589">
      <c r="F5589" s="1" t="n"/>
    </row>
    <row r="5590">
      <c r="F5590" s="1" t="n"/>
    </row>
    <row r="5591">
      <c r="F5591" s="1" t="n"/>
    </row>
    <row r="5592">
      <c r="F5592" s="1" t="n"/>
    </row>
    <row r="5593">
      <c r="F5593" s="1" t="n"/>
    </row>
    <row r="5594">
      <c r="F5594" s="1" t="n"/>
    </row>
    <row r="5595">
      <c r="F5595" s="1" t="n"/>
    </row>
    <row r="5596">
      <c r="F5596" s="1" t="n"/>
    </row>
    <row r="5597">
      <c r="F5597" s="1" t="n"/>
    </row>
    <row r="5598">
      <c r="F5598" s="1" t="n"/>
    </row>
    <row r="5599">
      <c r="F5599" s="1" t="n"/>
    </row>
    <row r="5600">
      <c r="F5600" s="1" t="n"/>
    </row>
    <row r="5601">
      <c r="F5601" s="1" t="n"/>
    </row>
    <row r="5602">
      <c r="F5602" s="1" t="n"/>
    </row>
    <row r="5603">
      <c r="F5603" s="1" t="n"/>
    </row>
    <row r="5604">
      <c r="F5604" s="1" t="n"/>
    </row>
    <row r="5605">
      <c r="F5605" s="1" t="n"/>
    </row>
    <row r="5606">
      <c r="F5606" s="1" t="n"/>
    </row>
    <row r="5607">
      <c r="F5607" s="1" t="n"/>
    </row>
    <row r="5608">
      <c r="F5608" s="1" t="n"/>
    </row>
    <row r="5609">
      <c r="F5609" s="1" t="n"/>
    </row>
    <row r="5610">
      <c r="F5610" s="1" t="n"/>
    </row>
    <row r="5611">
      <c r="F5611" s="1" t="n"/>
    </row>
    <row r="5612">
      <c r="F5612" s="1" t="n"/>
    </row>
    <row r="5613">
      <c r="F5613" s="1" t="n"/>
    </row>
    <row r="5614">
      <c r="F5614" s="1" t="n"/>
    </row>
    <row r="5615">
      <c r="F5615" s="1" t="n"/>
    </row>
    <row r="5616">
      <c r="F5616" s="1" t="n"/>
    </row>
    <row r="5617">
      <c r="F5617" s="1" t="n"/>
    </row>
    <row r="5618">
      <c r="F5618" s="1" t="n"/>
    </row>
    <row r="5619">
      <c r="F5619" s="1" t="n"/>
    </row>
    <row r="5620">
      <c r="F5620" s="1" t="n"/>
    </row>
    <row r="5621">
      <c r="F5621" s="1" t="n"/>
    </row>
    <row r="5622">
      <c r="F5622" s="1" t="n"/>
    </row>
    <row r="5623">
      <c r="F5623" s="1" t="n"/>
    </row>
    <row r="5624">
      <c r="F5624" s="1" t="n"/>
    </row>
    <row r="5625">
      <c r="F5625" s="1" t="n"/>
    </row>
    <row r="5626">
      <c r="F5626" s="1" t="n"/>
    </row>
    <row r="5627">
      <c r="F5627" s="1" t="n"/>
    </row>
    <row r="5628">
      <c r="F5628" s="1" t="n"/>
    </row>
    <row r="5629">
      <c r="F5629" s="1" t="n"/>
    </row>
    <row r="5630">
      <c r="F5630" s="1" t="n"/>
    </row>
    <row r="5631">
      <c r="F5631" s="1" t="n"/>
    </row>
    <row r="5632">
      <c r="F5632" s="1" t="n"/>
    </row>
    <row r="5633">
      <c r="F5633" s="1" t="n"/>
    </row>
    <row r="5634">
      <c r="F5634" s="1" t="n"/>
    </row>
    <row r="5635">
      <c r="F5635" s="1" t="n"/>
    </row>
    <row r="5636">
      <c r="F5636" s="1" t="n"/>
    </row>
    <row r="5637">
      <c r="F5637" s="1" t="n"/>
    </row>
    <row r="5638">
      <c r="F5638" s="1" t="n"/>
    </row>
    <row r="5639">
      <c r="F5639" s="1" t="n"/>
    </row>
    <row r="5640">
      <c r="F5640" s="1" t="n"/>
    </row>
    <row r="5641">
      <c r="F5641" s="1" t="n"/>
    </row>
    <row r="5642">
      <c r="F5642" s="1" t="n"/>
    </row>
    <row r="5643">
      <c r="F5643" s="1" t="n"/>
    </row>
    <row r="5644">
      <c r="F5644" s="1" t="n"/>
    </row>
    <row r="5645">
      <c r="F5645" s="1" t="n"/>
    </row>
    <row r="5646">
      <c r="F5646" s="1" t="n"/>
    </row>
    <row r="5647">
      <c r="F5647" s="1" t="n"/>
    </row>
    <row r="5648">
      <c r="F5648" s="1" t="n"/>
    </row>
    <row r="5649">
      <c r="F5649" s="1" t="n"/>
    </row>
    <row r="5650">
      <c r="F5650" s="1" t="n"/>
    </row>
    <row r="5651">
      <c r="F5651" s="1" t="n"/>
    </row>
    <row r="5652">
      <c r="F5652" s="1" t="n"/>
    </row>
    <row r="5653">
      <c r="F5653" s="1" t="n"/>
    </row>
    <row r="5654">
      <c r="F5654" s="1" t="n"/>
    </row>
    <row r="5655">
      <c r="F5655" s="1" t="n"/>
    </row>
    <row r="5656">
      <c r="F5656" s="1" t="n"/>
    </row>
    <row r="5657">
      <c r="F5657" s="1" t="n"/>
    </row>
    <row r="5658">
      <c r="F5658" s="1" t="n"/>
    </row>
    <row r="5659">
      <c r="F5659" s="1" t="n"/>
    </row>
    <row r="5660">
      <c r="F5660" s="1" t="n"/>
    </row>
    <row r="5661">
      <c r="F5661" s="1" t="n"/>
    </row>
    <row r="5662">
      <c r="F5662" s="1" t="n"/>
    </row>
    <row r="5663">
      <c r="F5663" s="1" t="n"/>
    </row>
    <row r="5664">
      <c r="F5664" s="1" t="n"/>
    </row>
    <row r="5665">
      <c r="F5665" s="1" t="n"/>
    </row>
    <row r="5666">
      <c r="F5666" s="1" t="n"/>
    </row>
    <row r="5667">
      <c r="F5667" s="1" t="n"/>
    </row>
    <row r="5668">
      <c r="F5668" s="1" t="n"/>
    </row>
    <row r="5669">
      <c r="F5669" s="1" t="n"/>
    </row>
    <row r="5670">
      <c r="F5670" s="1" t="n"/>
    </row>
    <row r="5671">
      <c r="F5671" s="1" t="n"/>
    </row>
    <row r="5672">
      <c r="F5672" s="1" t="n"/>
    </row>
    <row r="5673">
      <c r="F5673" s="1" t="n"/>
    </row>
    <row r="5674">
      <c r="F5674" s="1" t="n"/>
    </row>
    <row r="5675">
      <c r="F5675" s="1" t="n"/>
    </row>
    <row r="5676">
      <c r="F5676" s="1" t="n"/>
    </row>
    <row r="5677">
      <c r="F5677" s="1" t="n"/>
    </row>
    <row r="5678">
      <c r="F5678" s="1" t="n"/>
    </row>
    <row r="5679">
      <c r="F5679" s="1" t="n"/>
    </row>
    <row r="5680">
      <c r="F5680" s="1" t="n"/>
    </row>
    <row r="5681">
      <c r="F5681" s="1" t="n"/>
    </row>
    <row r="5682">
      <c r="F5682" s="1" t="n"/>
    </row>
    <row r="5683">
      <c r="F5683" s="1" t="n"/>
    </row>
    <row r="5684">
      <c r="F5684" s="1" t="n"/>
    </row>
    <row r="5685">
      <c r="F5685" s="1" t="n"/>
    </row>
    <row r="5686">
      <c r="F5686" s="1" t="n"/>
    </row>
    <row r="5687">
      <c r="F5687" s="1" t="n"/>
    </row>
    <row r="5688">
      <c r="F5688" s="1" t="n"/>
    </row>
    <row r="5689">
      <c r="F5689" s="1" t="n"/>
    </row>
    <row r="5690">
      <c r="F5690" s="1" t="n"/>
    </row>
    <row r="5691">
      <c r="F5691" s="1" t="n"/>
    </row>
    <row r="5692">
      <c r="F5692" s="1" t="n"/>
    </row>
    <row r="5693">
      <c r="F5693" s="1" t="n"/>
    </row>
    <row r="5694">
      <c r="F5694" s="1" t="n"/>
    </row>
    <row r="5695">
      <c r="F5695" s="1" t="n"/>
    </row>
    <row r="5696">
      <c r="F5696" s="1" t="n"/>
    </row>
    <row r="5697">
      <c r="F5697" s="1" t="n"/>
    </row>
    <row r="5698">
      <c r="F5698" s="1" t="n"/>
    </row>
    <row r="5699">
      <c r="F5699" s="1" t="n"/>
    </row>
    <row r="5700">
      <c r="F5700" s="1" t="n"/>
    </row>
    <row r="5701">
      <c r="F5701" s="1" t="n"/>
    </row>
    <row r="5702">
      <c r="F5702" s="1" t="n"/>
    </row>
    <row r="5703">
      <c r="F5703" s="1" t="n"/>
    </row>
    <row r="5704">
      <c r="F5704" s="1" t="n"/>
    </row>
    <row r="5705">
      <c r="F5705" s="1" t="n"/>
    </row>
    <row r="5706">
      <c r="F5706" s="1" t="n"/>
    </row>
    <row r="5707">
      <c r="F5707" s="1" t="n"/>
    </row>
    <row r="5708">
      <c r="F5708" s="1" t="n"/>
    </row>
    <row r="5709">
      <c r="F5709" s="1" t="n"/>
    </row>
    <row r="5710">
      <c r="F5710" s="1" t="n"/>
    </row>
    <row r="5711">
      <c r="F5711" s="1" t="n"/>
    </row>
    <row r="5712">
      <c r="F5712" s="1" t="n"/>
    </row>
    <row r="5713">
      <c r="F5713" s="1" t="n"/>
    </row>
    <row r="5714">
      <c r="F5714" s="1" t="n"/>
    </row>
    <row r="5715">
      <c r="F5715" s="1" t="n"/>
    </row>
    <row r="5716">
      <c r="F5716" s="1" t="n"/>
    </row>
    <row r="5717">
      <c r="F5717" s="1" t="n"/>
    </row>
    <row r="5718">
      <c r="F5718" s="1" t="n"/>
    </row>
    <row r="5719">
      <c r="F5719" s="1" t="n"/>
    </row>
    <row r="5720">
      <c r="F5720" s="1" t="n"/>
    </row>
    <row r="5721">
      <c r="F5721" s="1" t="n"/>
    </row>
    <row r="5722">
      <c r="F5722" s="1" t="n"/>
    </row>
    <row r="5723">
      <c r="F5723" s="1" t="n"/>
    </row>
    <row r="5724">
      <c r="F5724" s="1" t="n"/>
    </row>
    <row r="5725">
      <c r="F5725" s="1" t="n"/>
    </row>
    <row r="5726">
      <c r="F5726" s="1" t="n"/>
    </row>
    <row r="5727">
      <c r="F5727" s="1" t="n"/>
    </row>
    <row r="5728">
      <c r="F5728" s="1" t="n"/>
    </row>
    <row r="5729">
      <c r="F5729" s="1" t="n"/>
    </row>
    <row r="5730">
      <c r="F5730" s="1" t="n"/>
    </row>
    <row r="5731">
      <c r="F5731" s="1" t="n"/>
    </row>
    <row r="5732">
      <c r="F5732" s="1" t="n"/>
    </row>
    <row r="5733">
      <c r="F5733" s="1" t="n"/>
    </row>
    <row r="5734">
      <c r="F5734" s="1" t="n"/>
    </row>
    <row r="5735">
      <c r="F5735" s="1" t="n"/>
    </row>
    <row r="5736">
      <c r="F5736" s="1" t="n"/>
    </row>
    <row r="5737">
      <c r="F5737" s="1" t="n"/>
    </row>
    <row r="5738">
      <c r="F5738" s="1" t="n"/>
    </row>
    <row r="5739">
      <c r="F5739" s="1" t="n"/>
    </row>
    <row r="5740">
      <c r="F5740" s="1" t="n"/>
    </row>
    <row r="5741">
      <c r="F5741" s="1" t="n"/>
    </row>
    <row r="5742">
      <c r="F5742" s="1" t="n"/>
    </row>
    <row r="5743">
      <c r="F5743" s="1" t="n"/>
    </row>
    <row r="5744">
      <c r="F5744" s="1" t="n"/>
    </row>
    <row r="5745">
      <c r="F5745" s="1" t="n"/>
    </row>
    <row r="5746">
      <c r="F5746" s="1" t="n"/>
    </row>
    <row r="5747">
      <c r="F5747" s="1" t="n"/>
    </row>
    <row r="5748">
      <c r="F5748" s="1" t="n"/>
    </row>
    <row r="5749">
      <c r="F5749" s="1" t="n"/>
    </row>
    <row r="5750">
      <c r="F5750" s="1" t="n"/>
    </row>
    <row r="5751">
      <c r="F5751" s="1" t="n"/>
    </row>
    <row r="5752">
      <c r="F5752" s="1" t="n"/>
    </row>
    <row r="5753">
      <c r="F5753" s="1" t="n"/>
    </row>
    <row r="5754">
      <c r="F5754" s="1" t="n"/>
    </row>
    <row r="5755">
      <c r="F5755" s="1" t="n"/>
    </row>
    <row r="5756">
      <c r="F5756" s="1" t="n"/>
    </row>
    <row r="5757">
      <c r="F5757" s="1" t="n"/>
    </row>
    <row r="5758">
      <c r="F5758" s="1" t="n"/>
    </row>
    <row r="5759">
      <c r="F5759" s="1" t="n"/>
    </row>
    <row r="5760">
      <c r="F5760" s="1" t="n"/>
    </row>
    <row r="5761">
      <c r="F5761" s="1" t="n"/>
    </row>
    <row r="5762">
      <c r="F5762" s="1" t="n"/>
    </row>
    <row r="5763">
      <c r="F5763" s="1" t="n"/>
    </row>
    <row r="5764">
      <c r="F5764" s="1" t="n"/>
    </row>
    <row r="5765">
      <c r="F5765" s="1" t="n"/>
    </row>
    <row r="5766">
      <c r="F5766" s="1" t="n"/>
    </row>
    <row r="5767">
      <c r="F5767" s="1" t="n"/>
    </row>
    <row r="5768">
      <c r="F5768" s="1" t="n"/>
    </row>
    <row r="5769">
      <c r="F5769" s="1" t="n"/>
    </row>
    <row r="5770">
      <c r="F5770" s="1" t="n"/>
    </row>
    <row r="5771">
      <c r="F5771" s="1" t="n"/>
    </row>
    <row r="5772">
      <c r="F5772" s="1" t="n"/>
    </row>
    <row r="5773">
      <c r="F5773" s="1" t="n"/>
    </row>
    <row r="5774">
      <c r="F5774" s="1" t="n"/>
    </row>
    <row r="5775">
      <c r="F5775" s="1" t="n"/>
    </row>
    <row r="5776">
      <c r="F5776" s="1" t="n"/>
    </row>
    <row r="5777">
      <c r="F5777" s="1" t="n"/>
    </row>
    <row r="5778">
      <c r="F5778" s="1" t="n"/>
    </row>
    <row r="5779">
      <c r="F5779" s="1" t="n"/>
    </row>
    <row r="5780">
      <c r="F5780" s="1" t="n"/>
    </row>
    <row r="5781">
      <c r="F5781" s="1" t="n"/>
    </row>
    <row r="5782">
      <c r="F5782" s="1" t="n"/>
    </row>
    <row r="5783">
      <c r="F5783" s="1" t="n"/>
    </row>
    <row r="5784">
      <c r="F5784" s="1" t="n"/>
    </row>
    <row r="5785">
      <c r="F5785" s="1" t="n"/>
    </row>
    <row r="5786">
      <c r="F5786" s="1" t="n"/>
    </row>
    <row r="5787">
      <c r="F5787" s="1" t="n"/>
    </row>
    <row r="5788">
      <c r="F5788" s="1" t="n"/>
    </row>
    <row r="5789">
      <c r="F5789" s="1" t="n"/>
    </row>
    <row r="5790">
      <c r="F5790" s="1" t="n"/>
    </row>
    <row r="5791">
      <c r="F5791" s="1" t="n"/>
    </row>
    <row r="5792">
      <c r="F5792" s="1" t="n"/>
    </row>
    <row r="5793">
      <c r="F5793" s="1" t="n"/>
    </row>
    <row r="5794">
      <c r="F5794" s="1" t="n"/>
    </row>
    <row r="5795">
      <c r="F5795" s="1" t="n"/>
    </row>
    <row r="5796">
      <c r="F5796" s="1" t="n"/>
    </row>
    <row r="5797">
      <c r="F5797" s="1" t="n"/>
    </row>
    <row r="5798">
      <c r="F5798" s="1" t="n"/>
    </row>
    <row r="5799">
      <c r="F5799" s="1" t="n"/>
    </row>
    <row r="5800">
      <c r="F5800" s="1" t="n"/>
    </row>
    <row r="5801">
      <c r="F5801" s="1" t="n"/>
    </row>
    <row r="5802">
      <c r="F5802" s="1" t="n"/>
    </row>
    <row r="5803">
      <c r="F5803" s="1" t="n"/>
    </row>
    <row r="5804">
      <c r="F5804" s="1" t="n"/>
    </row>
    <row r="5805">
      <c r="F5805" s="1" t="n"/>
    </row>
    <row r="5806">
      <c r="F5806" s="1" t="n"/>
    </row>
    <row r="5807">
      <c r="F5807" s="1" t="n"/>
    </row>
    <row r="5808">
      <c r="F5808" s="1" t="n"/>
    </row>
    <row r="5809">
      <c r="F5809" s="1" t="n"/>
    </row>
    <row r="5810">
      <c r="F5810" s="1" t="n"/>
    </row>
    <row r="5811">
      <c r="F5811" s="1" t="n"/>
    </row>
    <row r="5812">
      <c r="F5812" s="1" t="n"/>
    </row>
    <row r="5813">
      <c r="F5813" s="1" t="n"/>
    </row>
    <row r="5814">
      <c r="F5814" s="1" t="n"/>
    </row>
    <row r="5815">
      <c r="F5815" s="1" t="n"/>
    </row>
    <row r="5816">
      <c r="F5816" s="1" t="n"/>
    </row>
    <row r="5817">
      <c r="F5817" s="1" t="n"/>
    </row>
    <row r="5818">
      <c r="F5818" s="1" t="n"/>
    </row>
    <row r="5819">
      <c r="F5819" s="1" t="n"/>
    </row>
    <row r="5820">
      <c r="F5820" s="1" t="n"/>
    </row>
    <row r="5821">
      <c r="F5821" s="1" t="n"/>
    </row>
    <row r="5822">
      <c r="F5822" s="1" t="n"/>
    </row>
    <row r="5823">
      <c r="F5823" s="1" t="n"/>
    </row>
    <row r="5824">
      <c r="F5824" s="1" t="n"/>
    </row>
    <row r="5825">
      <c r="F5825" s="1" t="n"/>
    </row>
    <row r="5826">
      <c r="F5826" s="1" t="n"/>
    </row>
    <row r="5827">
      <c r="F5827" s="1" t="n"/>
    </row>
    <row r="5828">
      <c r="F5828" s="1" t="n"/>
    </row>
    <row r="5829">
      <c r="F5829" s="1" t="n"/>
    </row>
    <row r="5830">
      <c r="F5830" s="1" t="n"/>
    </row>
    <row r="5831">
      <c r="F5831" s="1" t="n"/>
    </row>
    <row r="5832">
      <c r="F5832" s="1" t="n"/>
    </row>
    <row r="5833">
      <c r="F5833" s="1" t="n"/>
    </row>
    <row r="5834">
      <c r="F5834" s="1" t="n"/>
    </row>
    <row r="5835">
      <c r="F5835" s="1" t="n"/>
    </row>
    <row r="5836">
      <c r="F5836" s="1" t="n"/>
    </row>
    <row r="5837">
      <c r="F5837" s="1" t="n"/>
    </row>
    <row r="5838">
      <c r="F5838" s="1" t="n"/>
    </row>
    <row r="5839">
      <c r="F5839" s="1" t="n"/>
    </row>
    <row r="5840">
      <c r="F5840" s="1" t="n"/>
    </row>
    <row r="5841">
      <c r="F5841" s="1" t="n"/>
    </row>
    <row r="5842">
      <c r="F5842" s="1" t="n"/>
    </row>
    <row r="5843">
      <c r="F5843" s="1" t="n"/>
    </row>
    <row r="5844">
      <c r="F5844" s="1" t="n"/>
    </row>
    <row r="5845">
      <c r="F5845" s="1" t="n"/>
    </row>
    <row r="5846">
      <c r="F5846" s="1" t="n"/>
    </row>
    <row r="5847">
      <c r="F5847" s="1" t="n"/>
    </row>
    <row r="5848">
      <c r="F5848" s="1" t="n"/>
    </row>
    <row r="5849">
      <c r="F5849" s="1" t="n"/>
    </row>
    <row r="5850">
      <c r="F5850" s="1" t="n"/>
    </row>
    <row r="5851">
      <c r="F5851" s="1" t="n"/>
    </row>
    <row r="5852">
      <c r="F5852" s="1" t="n"/>
    </row>
    <row r="5853">
      <c r="F5853" s="1" t="n"/>
    </row>
    <row r="5854">
      <c r="F5854" s="1" t="n"/>
    </row>
    <row r="5855">
      <c r="F5855" s="1" t="n"/>
    </row>
    <row r="5856">
      <c r="F5856" s="1" t="n"/>
    </row>
    <row r="5857">
      <c r="F5857" s="1" t="n"/>
    </row>
    <row r="5858">
      <c r="F5858" s="1" t="n"/>
    </row>
    <row r="5859">
      <c r="F5859" s="1" t="n"/>
    </row>
    <row r="5860">
      <c r="F5860" s="1" t="n"/>
    </row>
    <row r="5861">
      <c r="F5861" s="1" t="n"/>
    </row>
    <row r="5862">
      <c r="F5862" s="1" t="n"/>
    </row>
    <row r="5863">
      <c r="F5863" s="1" t="n"/>
    </row>
    <row r="5864">
      <c r="F5864" s="1" t="n"/>
    </row>
    <row r="5865">
      <c r="F5865" s="1" t="n"/>
    </row>
    <row r="5866">
      <c r="F5866" s="1" t="n"/>
    </row>
    <row r="5867">
      <c r="F5867" s="1" t="n"/>
    </row>
    <row r="5868">
      <c r="F5868" s="1" t="n"/>
    </row>
    <row r="5869">
      <c r="F5869" s="1" t="n"/>
    </row>
    <row r="5870">
      <c r="F5870" s="1" t="n"/>
    </row>
    <row r="5871">
      <c r="F5871" s="1" t="n"/>
    </row>
    <row r="5872">
      <c r="F5872" s="1" t="n"/>
    </row>
    <row r="5873">
      <c r="F5873" s="1" t="n"/>
    </row>
    <row r="5874">
      <c r="F5874" s="1" t="n"/>
    </row>
    <row r="5875">
      <c r="F5875" s="1" t="n"/>
    </row>
    <row r="5876">
      <c r="F5876" s="1" t="n"/>
    </row>
    <row r="5877">
      <c r="F5877" s="1" t="n"/>
    </row>
    <row r="5878">
      <c r="F5878" s="1" t="n"/>
    </row>
    <row r="5879">
      <c r="F5879" s="1" t="n"/>
    </row>
    <row r="5880">
      <c r="F5880" s="1" t="n"/>
    </row>
    <row r="5881">
      <c r="F5881" s="1" t="n"/>
    </row>
    <row r="5882">
      <c r="F5882" s="1" t="n"/>
    </row>
    <row r="5883">
      <c r="F5883" s="1" t="n"/>
    </row>
    <row r="5884">
      <c r="F5884" s="1" t="n"/>
    </row>
    <row r="5885">
      <c r="F5885" s="1" t="n"/>
    </row>
    <row r="5886">
      <c r="F5886" s="1" t="n"/>
    </row>
    <row r="5887">
      <c r="F5887" s="1" t="n"/>
    </row>
    <row r="5888">
      <c r="F5888" s="1" t="n"/>
    </row>
    <row r="5889">
      <c r="F5889" s="1" t="n"/>
    </row>
    <row r="5890">
      <c r="F5890" s="1" t="n"/>
    </row>
    <row r="5891">
      <c r="F5891" s="1" t="n"/>
    </row>
    <row r="5892">
      <c r="F5892" s="1" t="n"/>
    </row>
    <row r="5893">
      <c r="F5893" s="1" t="n"/>
    </row>
    <row r="5894">
      <c r="F5894" s="1" t="n"/>
    </row>
    <row r="5895">
      <c r="F5895" s="1" t="n"/>
    </row>
    <row r="5896">
      <c r="F5896" s="1" t="n"/>
    </row>
    <row r="5897">
      <c r="F5897" s="1" t="n"/>
    </row>
    <row r="5898">
      <c r="F5898" s="1" t="n"/>
    </row>
    <row r="5899">
      <c r="F5899" s="1" t="n"/>
    </row>
    <row r="5900">
      <c r="F5900" s="1" t="n"/>
    </row>
    <row r="5901">
      <c r="F5901" s="1" t="n"/>
    </row>
    <row r="5902">
      <c r="F5902" s="1" t="n"/>
    </row>
    <row r="5903">
      <c r="F5903" s="1" t="n"/>
    </row>
    <row r="5904">
      <c r="F5904" s="1" t="n"/>
    </row>
    <row r="5905">
      <c r="F5905" s="1" t="n"/>
    </row>
    <row r="5906">
      <c r="F5906" s="1" t="n"/>
    </row>
    <row r="5907">
      <c r="F5907" s="1" t="n"/>
    </row>
    <row r="5908">
      <c r="F5908" s="1" t="n"/>
    </row>
    <row r="5909">
      <c r="F5909" s="1" t="n"/>
    </row>
    <row r="5910">
      <c r="F5910" s="1" t="n"/>
    </row>
    <row r="5911">
      <c r="F5911" s="1" t="n"/>
    </row>
    <row r="5912">
      <c r="F5912" s="1" t="n"/>
    </row>
    <row r="5913">
      <c r="F5913" s="1" t="n"/>
    </row>
    <row r="5914">
      <c r="F5914" s="1" t="n"/>
    </row>
    <row r="5915">
      <c r="F5915" s="1" t="n"/>
    </row>
    <row r="5916">
      <c r="F5916" s="1" t="n"/>
    </row>
    <row r="5917">
      <c r="F5917" s="1" t="n"/>
    </row>
    <row r="5918">
      <c r="F5918" s="1" t="n"/>
    </row>
    <row r="5919">
      <c r="F5919" s="1" t="n"/>
    </row>
    <row r="5920">
      <c r="F5920" s="1" t="n"/>
    </row>
    <row r="5921">
      <c r="F5921" s="1" t="n"/>
    </row>
    <row r="5922">
      <c r="F5922" s="1" t="n"/>
    </row>
    <row r="5923">
      <c r="F5923" s="1" t="n"/>
    </row>
    <row r="5924">
      <c r="F5924" s="1" t="n"/>
    </row>
    <row r="5925">
      <c r="F5925" s="1" t="n"/>
    </row>
    <row r="5926">
      <c r="F5926" s="1" t="n"/>
    </row>
    <row r="5927">
      <c r="F5927" s="1" t="n"/>
    </row>
    <row r="5928">
      <c r="F5928" s="1" t="n"/>
    </row>
    <row r="5929">
      <c r="F5929" s="1" t="n"/>
    </row>
    <row r="5930">
      <c r="F5930" s="1" t="n"/>
    </row>
    <row r="5931">
      <c r="F5931" s="1" t="n"/>
    </row>
    <row r="5932">
      <c r="F5932" s="1" t="n"/>
    </row>
    <row r="5933">
      <c r="F5933" s="1" t="n"/>
    </row>
    <row r="5934">
      <c r="F5934" s="1" t="n"/>
    </row>
    <row r="5935">
      <c r="F5935" s="1" t="n"/>
    </row>
    <row r="5936">
      <c r="F5936" s="1" t="n"/>
    </row>
    <row r="5937">
      <c r="F5937" s="1" t="n"/>
    </row>
    <row r="5938">
      <c r="F5938" s="1" t="n"/>
    </row>
    <row r="5939">
      <c r="F5939" s="1" t="n"/>
    </row>
    <row r="5940">
      <c r="F5940" s="1" t="n"/>
    </row>
    <row r="5941">
      <c r="F5941" s="1" t="n"/>
    </row>
    <row r="5942">
      <c r="F5942" s="1" t="n"/>
    </row>
    <row r="5943">
      <c r="F5943" s="1" t="n"/>
    </row>
    <row r="5944">
      <c r="F5944" s="1" t="n"/>
    </row>
    <row r="5945">
      <c r="F5945" s="1" t="n"/>
    </row>
    <row r="5946">
      <c r="F5946" s="1" t="n"/>
    </row>
    <row r="5947">
      <c r="F5947" s="1" t="n"/>
    </row>
    <row r="5948">
      <c r="F5948" s="1" t="n"/>
    </row>
    <row r="5949">
      <c r="F5949" s="1" t="n"/>
    </row>
    <row r="5950">
      <c r="F5950" s="1" t="n"/>
    </row>
    <row r="5951">
      <c r="F5951" s="1" t="n"/>
    </row>
    <row r="5952">
      <c r="F5952" s="1" t="n"/>
    </row>
    <row r="5953">
      <c r="F5953" s="1" t="n"/>
    </row>
    <row r="5954">
      <c r="F5954" s="1" t="n"/>
    </row>
    <row r="5955">
      <c r="F5955" s="1" t="n"/>
    </row>
    <row r="5956">
      <c r="F5956" s="1" t="n"/>
    </row>
    <row r="5957">
      <c r="F5957" s="1" t="n"/>
    </row>
    <row r="5958">
      <c r="F5958" s="1" t="n"/>
    </row>
    <row r="5959">
      <c r="F5959" s="1" t="n"/>
    </row>
    <row r="5960">
      <c r="F5960" s="1" t="n"/>
    </row>
    <row r="5961">
      <c r="F5961" s="1" t="n"/>
    </row>
    <row r="5962">
      <c r="F5962" s="1" t="n"/>
    </row>
    <row r="5963">
      <c r="F5963" s="1" t="n"/>
    </row>
    <row r="5964">
      <c r="F5964" s="1" t="n"/>
    </row>
    <row r="5965">
      <c r="F5965" s="1" t="n"/>
    </row>
    <row r="5966">
      <c r="F5966" s="1" t="n"/>
    </row>
    <row r="5967">
      <c r="F5967" s="1" t="n"/>
    </row>
    <row r="5968">
      <c r="F5968" s="1" t="n"/>
    </row>
    <row r="5969">
      <c r="F5969" s="1" t="n"/>
    </row>
    <row r="5970">
      <c r="F5970" s="1" t="n"/>
    </row>
    <row r="5971">
      <c r="F5971" s="1" t="n"/>
    </row>
    <row r="5972">
      <c r="F5972" s="1" t="n"/>
    </row>
    <row r="5973">
      <c r="F5973" s="1" t="n"/>
    </row>
    <row r="5974">
      <c r="F5974" s="1" t="n"/>
    </row>
    <row r="5975">
      <c r="F5975" s="1" t="n"/>
    </row>
    <row r="5976">
      <c r="F5976" s="1" t="n"/>
    </row>
    <row r="5977">
      <c r="F5977" s="1" t="n"/>
    </row>
    <row r="5978">
      <c r="F5978" s="1" t="n"/>
    </row>
    <row r="5979">
      <c r="F5979" s="1" t="n"/>
    </row>
    <row r="5980">
      <c r="F5980" s="1" t="n"/>
    </row>
    <row r="5981">
      <c r="F5981" s="1" t="n"/>
    </row>
    <row r="5982">
      <c r="F5982" s="1" t="n"/>
    </row>
    <row r="5983">
      <c r="F5983" s="1" t="n"/>
    </row>
    <row r="5984">
      <c r="F5984" s="1" t="n"/>
    </row>
    <row r="5985">
      <c r="F5985" s="1" t="n"/>
    </row>
    <row r="5986">
      <c r="F5986" s="1" t="n"/>
    </row>
    <row r="5987">
      <c r="F5987" s="1" t="n"/>
    </row>
    <row r="5988">
      <c r="F5988" s="1" t="n"/>
    </row>
    <row r="5989">
      <c r="F5989" s="1" t="n"/>
    </row>
    <row r="5990">
      <c r="F5990" s="1" t="n"/>
    </row>
    <row r="5991">
      <c r="F5991" s="1" t="n"/>
    </row>
    <row r="5992">
      <c r="F5992" s="1" t="n"/>
    </row>
    <row r="5993">
      <c r="F5993" s="1" t="n"/>
    </row>
    <row r="5994">
      <c r="F5994" s="1" t="n"/>
    </row>
    <row r="5995">
      <c r="F5995" s="1" t="n"/>
    </row>
    <row r="5996">
      <c r="F5996" s="1" t="n"/>
    </row>
    <row r="5997">
      <c r="F5997" s="1" t="n"/>
    </row>
    <row r="5998">
      <c r="F5998" s="1" t="n"/>
    </row>
    <row r="5999">
      <c r="F5999" s="1" t="n"/>
    </row>
    <row r="6000">
      <c r="F6000" s="1" t="n"/>
    </row>
    <row r="6001">
      <c r="F6001" s="1" t="n"/>
    </row>
    <row r="6002">
      <c r="F6002" s="1" t="n"/>
    </row>
    <row r="6003">
      <c r="F6003" s="1" t="n"/>
    </row>
    <row r="6004">
      <c r="F6004" s="1" t="n"/>
    </row>
    <row r="6005">
      <c r="F6005" s="1" t="n"/>
    </row>
    <row r="6006">
      <c r="F6006" s="1" t="n"/>
    </row>
    <row r="6007">
      <c r="F6007" s="1" t="n"/>
    </row>
    <row r="6008">
      <c r="F6008" s="1" t="n"/>
    </row>
    <row r="6009">
      <c r="F6009" s="1" t="n"/>
    </row>
    <row r="6010">
      <c r="F6010" s="1" t="n"/>
    </row>
    <row r="6011">
      <c r="F6011" s="1" t="n"/>
    </row>
    <row r="6012">
      <c r="F6012" s="1" t="n"/>
    </row>
    <row r="6013">
      <c r="F6013" s="1" t="n"/>
    </row>
    <row r="6014">
      <c r="F6014" s="1" t="n"/>
    </row>
    <row r="6015">
      <c r="F6015" s="1" t="n"/>
    </row>
    <row r="6016">
      <c r="F6016" s="1" t="n"/>
    </row>
    <row r="6017">
      <c r="F6017" s="1" t="n"/>
    </row>
    <row r="6018">
      <c r="F6018" s="1" t="n"/>
    </row>
    <row r="6019">
      <c r="F6019" s="1" t="n"/>
    </row>
    <row r="6020">
      <c r="F6020" s="1" t="n"/>
    </row>
    <row r="6021">
      <c r="F6021" s="1" t="n"/>
    </row>
    <row r="6022">
      <c r="F6022" s="1" t="n"/>
    </row>
    <row r="6023">
      <c r="F6023" s="1" t="n"/>
    </row>
    <row r="6024">
      <c r="F6024" s="1" t="n"/>
    </row>
    <row r="6025">
      <c r="F6025" s="1" t="n"/>
    </row>
    <row r="6026">
      <c r="F6026" s="1" t="n"/>
    </row>
    <row r="6027">
      <c r="F6027" s="1" t="n"/>
    </row>
    <row r="6028">
      <c r="F6028" s="1" t="n"/>
    </row>
    <row r="6029">
      <c r="F6029" s="1" t="n"/>
    </row>
    <row r="6030">
      <c r="F6030" s="1" t="n"/>
    </row>
    <row r="6031">
      <c r="F6031" s="1" t="n"/>
    </row>
    <row r="6032">
      <c r="F6032" s="1" t="n"/>
    </row>
    <row r="6033">
      <c r="F6033" s="1" t="n"/>
    </row>
    <row r="6034">
      <c r="F6034" s="1" t="n"/>
    </row>
    <row r="6035">
      <c r="F6035" s="1" t="n"/>
    </row>
    <row r="6036">
      <c r="F6036" s="1" t="n"/>
    </row>
    <row r="6037">
      <c r="F6037" s="1" t="n"/>
    </row>
    <row r="6038">
      <c r="F6038" s="1" t="n"/>
    </row>
    <row r="6039">
      <c r="F6039" s="1" t="n"/>
    </row>
    <row r="6040">
      <c r="F6040" s="1" t="n"/>
    </row>
    <row r="6041">
      <c r="F6041" s="1" t="n"/>
    </row>
    <row r="6042">
      <c r="F6042" s="1" t="n"/>
    </row>
    <row r="6043">
      <c r="F6043" s="1" t="n"/>
    </row>
    <row r="6044">
      <c r="F6044" s="1" t="n"/>
    </row>
    <row r="6045">
      <c r="F6045" s="1" t="n"/>
    </row>
    <row r="6046">
      <c r="F6046" s="1" t="n"/>
    </row>
    <row r="6047">
      <c r="F6047" s="1" t="n"/>
    </row>
    <row r="6048">
      <c r="F6048" s="1" t="n"/>
    </row>
    <row r="6049">
      <c r="F6049" s="1" t="n"/>
    </row>
    <row r="6050">
      <c r="F6050" s="1" t="n"/>
    </row>
    <row r="6051">
      <c r="F6051" s="1" t="n"/>
    </row>
    <row r="6052">
      <c r="F6052" s="1" t="n"/>
    </row>
    <row r="6053">
      <c r="F6053" s="1" t="n"/>
    </row>
    <row r="6054">
      <c r="F6054" s="1" t="n"/>
    </row>
    <row r="6055">
      <c r="F6055" s="1" t="n"/>
    </row>
    <row r="6056">
      <c r="F6056" s="1" t="n"/>
    </row>
    <row r="6057">
      <c r="F6057" s="1" t="n"/>
    </row>
    <row r="6058">
      <c r="F6058" s="1" t="n"/>
    </row>
    <row r="6059">
      <c r="F6059" s="1" t="n"/>
    </row>
    <row r="6060">
      <c r="F6060" s="1" t="n"/>
    </row>
    <row r="6061">
      <c r="F6061" s="1" t="n"/>
    </row>
    <row r="6062">
      <c r="F6062" s="1" t="n"/>
    </row>
    <row r="6063">
      <c r="F6063" s="1" t="n"/>
    </row>
    <row r="6064">
      <c r="F6064" s="1" t="n"/>
    </row>
    <row r="6065">
      <c r="F6065" s="1" t="n"/>
    </row>
    <row r="6066">
      <c r="F6066" s="1" t="n"/>
    </row>
    <row r="6067">
      <c r="F6067" s="1" t="n"/>
    </row>
    <row r="6068">
      <c r="F6068" s="1" t="n"/>
    </row>
    <row r="6069">
      <c r="F6069" s="1" t="n"/>
    </row>
    <row r="6070">
      <c r="F6070" s="1" t="n"/>
    </row>
    <row r="6071">
      <c r="F6071" s="1" t="n"/>
    </row>
    <row r="6072">
      <c r="F6072" s="1" t="n"/>
    </row>
    <row r="6073">
      <c r="F6073" s="1" t="n"/>
    </row>
    <row r="6074">
      <c r="F6074" s="1" t="n"/>
    </row>
    <row r="6075">
      <c r="F6075" s="1" t="n"/>
    </row>
    <row r="6076">
      <c r="F6076" s="1" t="n"/>
    </row>
    <row r="6077">
      <c r="F6077" s="1" t="n"/>
    </row>
    <row r="6078">
      <c r="F6078" s="1" t="n"/>
    </row>
    <row r="6079">
      <c r="F6079" s="1" t="n"/>
    </row>
    <row r="6080">
      <c r="F6080" s="1" t="n"/>
    </row>
    <row r="6081">
      <c r="F6081" s="1" t="n"/>
    </row>
    <row r="6082">
      <c r="F6082" s="1" t="n"/>
    </row>
    <row r="6083">
      <c r="F6083" s="1" t="n"/>
    </row>
    <row r="6084">
      <c r="F6084" s="1" t="n"/>
    </row>
    <row r="6085">
      <c r="F6085" s="1" t="n"/>
    </row>
    <row r="6086">
      <c r="F6086" s="1" t="n"/>
    </row>
    <row r="6087">
      <c r="F6087" s="1" t="n"/>
    </row>
    <row r="6088">
      <c r="F6088" s="1" t="n"/>
    </row>
    <row r="6089">
      <c r="F6089" s="1" t="n"/>
    </row>
    <row r="6090">
      <c r="F6090" s="1" t="n"/>
    </row>
    <row r="6091">
      <c r="F6091" s="1" t="n"/>
    </row>
    <row r="6092">
      <c r="F6092" s="1" t="n"/>
    </row>
    <row r="6093">
      <c r="F6093" s="1" t="n"/>
    </row>
    <row r="6094">
      <c r="F6094" s="1" t="n"/>
    </row>
    <row r="6095">
      <c r="F6095" s="1" t="n"/>
    </row>
    <row r="6096">
      <c r="F6096" s="1" t="n"/>
    </row>
    <row r="6097">
      <c r="F6097" s="1" t="n"/>
    </row>
    <row r="6098">
      <c r="F6098" s="1" t="n"/>
    </row>
    <row r="6099">
      <c r="F6099" s="1" t="n"/>
    </row>
    <row r="6100">
      <c r="F6100" s="1" t="n"/>
    </row>
    <row r="6101">
      <c r="F6101" s="1" t="n"/>
    </row>
    <row r="6102">
      <c r="F6102" s="1" t="n"/>
    </row>
    <row r="6103">
      <c r="F6103" s="1" t="n"/>
    </row>
    <row r="6104">
      <c r="F6104" s="1" t="n"/>
    </row>
    <row r="6105">
      <c r="F6105" s="1" t="n"/>
    </row>
    <row r="6106">
      <c r="F6106" s="1" t="n"/>
    </row>
    <row r="6107">
      <c r="F6107" s="1" t="n"/>
    </row>
    <row r="6108">
      <c r="F6108" s="1" t="n"/>
    </row>
    <row r="6109">
      <c r="F6109" s="1" t="n"/>
    </row>
    <row r="6110">
      <c r="F6110" s="1" t="n"/>
    </row>
    <row r="6111">
      <c r="F6111" s="1" t="n"/>
    </row>
    <row r="6112">
      <c r="F6112" s="1" t="n"/>
    </row>
    <row r="6113">
      <c r="F6113" s="1" t="n"/>
    </row>
    <row r="6114">
      <c r="F6114" s="1" t="n"/>
    </row>
    <row r="6115">
      <c r="F6115" s="1" t="n"/>
    </row>
    <row r="6116">
      <c r="F6116" s="1" t="n"/>
    </row>
    <row r="6117">
      <c r="F6117" s="1" t="n"/>
    </row>
    <row r="6118">
      <c r="F6118" s="1" t="n"/>
    </row>
    <row r="6119">
      <c r="F6119" s="1" t="n"/>
    </row>
    <row r="6120">
      <c r="F6120" s="1" t="n"/>
    </row>
    <row r="6121">
      <c r="F6121" s="1" t="n"/>
    </row>
    <row r="6122">
      <c r="F6122" s="1" t="n"/>
    </row>
    <row r="6123">
      <c r="F6123" s="1" t="n"/>
    </row>
    <row r="6124">
      <c r="F6124" s="1" t="n"/>
    </row>
    <row r="6125">
      <c r="F6125" s="1" t="n"/>
    </row>
    <row r="6126">
      <c r="F6126" s="1" t="n"/>
    </row>
    <row r="6127">
      <c r="F6127" s="1" t="n"/>
    </row>
    <row r="6128">
      <c r="F6128" s="1" t="n"/>
    </row>
    <row r="6129">
      <c r="F6129" s="1" t="n"/>
    </row>
    <row r="6130">
      <c r="F6130" s="1" t="n"/>
    </row>
    <row r="6131">
      <c r="F6131" s="1" t="n"/>
    </row>
    <row r="6132">
      <c r="F6132" s="1" t="n"/>
    </row>
    <row r="6133">
      <c r="F6133" s="1" t="n"/>
    </row>
    <row r="6134">
      <c r="F6134" s="1" t="n"/>
    </row>
    <row r="6135">
      <c r="F6135" s="1" t="n"/>
    </row>
    <row r="6136">
      <c r="F6136" s="1" t="n"/>
    </row>
    <row r="6137">
      <c r="F6137" s="1" t="n"/>
    </row>
    <row r="6138">
      <c r="F6138" s="1" t="n"/>
    </row>
    <row r="6139">
      <c r="F6139" s="1" t="n"/>
    </row>
    <row r="6140">
      <c r="F6140" s="1" t="n"/>
    </row>
    <row r="6141">
      <c r="F6141" s="1" t="n"/>
    </row>
    <row r="6142">
      <c r="F6142" s="1" t="n"/>
    </row>
    <row r="6143">
      <c r="F6143" s="1" t="n"/>
    </row>
    <row r="6144">
      <c r="F6144" s="1" t="n"/>
    </row>
    <row r="6145">
      <c r="F6145" s="1" t="n"/>
    </row>
    <row r="6146">
      <c r="F6146" s="1" t="n"/>
    </row>
    <row r="6147">
      <c r="F6147" s="1" t="n"/>
    </row>
    <row r="6148">
      <c r="F6148" s="1" t="n"/>
    </row>
    <row r="6149">
      <c r="F6149" s="1" t="n"/>
    </row>
    <row r="6150">
      <c r="F6150" s="1" t="n"/>
    </row>
    <row r="6151">
      <c r="F6151" s="1" t="n"/>
    </row>
    <row r="6152">
      <c r="F6152" s="1" t="n"/>
    </row>
    <row r="6153">
      <c r="F6153" s="1" t="n"/>
    </row>
    <row r="6154">
      <c r="F6154" s="1" t="n"/>
    </row>
    <row r="6155">
      <c r="F6155" s="1" t="n"/>
    </row>
    <row r="6156">
      <c r="F6156" s="1" t="n"/>
    </row>
    <row r="6157">
      <c r="F6157" s="1" t="n"/>
    </row>
    <row r="6158">
      <c r="F6158" s="1" t="n"/>
    </row>
    <row r="6159">
      <c r="F6159" s="1" t="n"/>
    </row>
    <row r="6160">
      <c r="F6160" s="1" t="n"/>
    </row>
    <row r="6161">
      <c r="F6161" s="1" t="n"/>
    </row>
    <row r="6162">
      <c r="F6162" s="1" t="n"/>
    </row>
    <row r="6163">
      <c r="F6163" s="1" t="n"/>
    </row>
    <row r="6164">
      <c r="F6164" s="1" t="n"/>
    </row>
    <row r="6165">
      <c r="F6165" s="1" t="n"/>
    </row>
    <row r="6166">
      <c r="F6166" s="1" t="n"/>
    </row>
    <row r="6167">
      <c r="F6167" s="1" t="n"/>
    </row>
    <row r="6168">
      <c r="F6168" s="1" t="n"/>
    </row>
    <row r="6169">
      <c r="F6169" s="1" t="n"/>
    </row>
    <row r="6170">
      <c r="F6170" s="1" t="n"/>
    </row>
    <row r="6171">
      <c r="F6171" s="1" t="n"/>
    </row>
    <row r="6172">
      <c r="F6172" s="1" t="n"/>
    </row>
    <row r="6173">
      <c r="F6173" s="1" t="n"/>
    </row>
    <row r="6174">
      <c r="F6174" s="1" t="n"/>
    </row>
    <row r="6175">
      <c r="F6175" s="1" t="n"/>
    </row>
    <row r="6176">
      <c r="F6176" s="1" t="n"/>
    </row>
    <row r="6177">
      <c r="F6177" s="1" t="n"/>
    </row>
    <row r="6178">
      <c r="F6178" s="1" t="n"/>
    </row>
    <row r="6179">
      <c r="F6179" s="1" t="n"/>
    </row>
    <row r="6180">
      <c r="F6180" s="1" t="n"/>
    </row>
    <row r="6181">
      <c r="F6181" s="1" t="n"/>
    </row>
    <row r="6182">
      <c r="F6182" s="1" t="n"/>
    </row>
    <row r="6183">
      <c r="F6183" s="1" t="n"/>
    </row>
    <row r="6184">
      <c r="F6184" s="1" t="n"/>
    </row>
    <row r="6185">
      <c r="F6185" s="1" t="n"/>
    </row>
    <row r="6186">
      <c r="F6186" s="1" t="n"/>
    </row>
    <row r="6187">
      <c r="F6187" s="1" t="n"/>
    </row>
    <row r="6188">
      <c r="F6188" s="1" t="n"/>
    </row>
    <row r="6189">
      <c r="F6189" s="1" t="n"/>
    </row>
    <row r="6190">
      <c r="F6190" s="1" t="n"/>
    </row>
    <row r="6191">
      <c r="F6191" s="1" t="n"/>
    </row>
    <row r="6192">
      <c r="F6192" s="1" t="n"/>
    </row>
    <row r="6193">
      <c r="F6193" s="1" t="n"/>
    </row>
    <row r="6194">
      <c r="F6194" s="1" t="n"/>
    </row>
    <row r="6195">
      <c r="F6195" s="1" t="n"/>
    </row>
    <row r="6196">
      <c r="F6196" s="1" t="n"/>
    </row>
    <row r="6197">
      <c r="F6197" s="1" t="n"/>
    </row>
    <row r="6198">
      <c r="F6198" s="1" t="n"/>
    </row>
    <row r="6199">
      <c r="F6199" s="1" t="n"/>
    </row>
    <row r="6200">
      <c r="F6200" s="1" t="n"/>
    </row>
    <row r="6201">
      <c r="F6201" s="1" t="n"/>
    </row>
    <row r="6202">
      <c r="F6202" s="1" t="n"/>
    </row>
    <row r="6203">
      <c r="F6203" s="1" t="n"/>
    </row>
    <row r="6204">
      <c r="F6204" s="1" t="n"/>
    </row>
    <row r="6205">
      <c r="F6205" s="1" t="n"/>
    </row>
    <row r="6206">
      <c r="F6206" s="1" t="n"/>
    </row>
    <row r="6207">
      <c r="F6207" s="1" t="n"/>
    </row>
    <row r="6208">
      <c r="F6208" s="1" t="n"/>
    </row>
    <row r="6209">
      <c r="F6209" s="1" t="n"/>
    </row>
    <row r="6210">
      <c r="F6210" s="1" t="n"/>
    </row>
    <row r="6211">
      <c r="F6211" s="1" t="n"/>
    </row>
    <row r="6212">
      <c r="F6212" s="1" t="n"/>
    </row>
    <row r="6213">
      <c r="F6213" s="1" t="n"/>
    </row>
    <row r="6214">
      <c r="F6214" s="1" t="n"/>
    </row>
    <row r="6215">
      <c r="F6215" s="1" t="n"/>
    </row>
    <row r="6216">
      <c r="F6216" s="1" t="n"/>
    </row>
    <row r="6217">
      <c r="F6217" s="1" t="n"/>
    </row>
    <row r="6218">
      <c r="F6218" s="1" t="n"/>
    </row>
    <row r="6219">
      <c r="F6219" s="1" t="n"/>
    </row>
    <row r="6220">
      <c r="F6220" s="1" t="n"/>
    </row>
    <row r="6221">
      <c r="F6221" s="1" t="n"/>
    </row>
    <row r="6222">
      <c r="F6222" s="1" t="n"/>
    </row>
    <row r="6223">
      <c r="F6223" s="1" t="n"/>
    </row>
    <row r="6224">
      <c r="F6224" s="1" t="n"/>
    </row>
    <row r="6225">
      <c r="F6225" s="1" t="n"/>
    </row>
    <row r="6226">
      <c r="F6226" s="1" t="n"/>
    </row>
    <row r="6227">
      <c r="F6227" s="1" t="n"/>
    </row>
    <row r="6228">
      <c r="F6228" s="1" t="n"/>
    </row>
    <row r="6229">
      <c r="F6229" s="1" t="n"/>
    </row>
    <row r="6230">
      <c r="F6230" s="1" t="n"/>
    </row>
    <row r="6231">
      <c r="F6231" s="1" t="n"/>
    </row>
    <row r="6232">
      <c r="F6232" s="1" t="n"/>
    </row>
    <row r="6233">
      <c r="F6233" s="1" t="n"/>
    </row>
    <row r="6234">
      <c r="F6234" s="1" t="n"/>
    </row>
    <row r="6235">
      <c r="F6235" s="1" t="n"/>
    </row>
    <row r="6236">
      <c r="F6236" s="1" t="n"/>
    </row>
    <row r="6237">
      <c r="F6237" s="1" t="n"/>
    </row>
    <row r="6238">
      <c r="F6238" s="1" t="n"/>
    </row>
    <row r="6239">
      <c r="F6239" s="1" t="n"/>
    </row>
    <row r="6240">
      <c r="F6240" s="1" t="n"/>
    </row>
    <row r="6241">
      <c r="F6241" s="1" t="n"/>
    </row>
    <row r="6242">
      <c r="F6242" s="1" t="n"/>
    </row>
    <row r="6243">
      <c r="F6243" s="1" t="n"/>
    </row>
    <row r="6244">
      <c r="F6244" s="1" t="n"/>
    </row>
    <row r="6245">
      <c r="F6245" s="1" t="n"/>
    </row>
    <row r="6246">
      <c r="F6246" s="1" t="n"/>
    </row>
    <row r="6247">
      <c r="F6247" s="1" t="n"/>
    </row>
    <row r="6248">
      <c r="F6248" s="1" t="n"/>
    </row>
    <row r="6249">
      <c r="F6249" s="1" t="n"/>
    </row>
    <row r="6250">
      <c r="F6250" s="1" t="n"/>
    </row>
    <row r="6251">
      <c r="F6251" s="1" t="n"/>
    </row>
    <row r="6252">
      <c r="F6252" s="1" t="n"/>
    </row>
    <row r="6253">
      <c r="F6253" s="1" t="n"/>
    </row>
    <row r="6254">
      <c r="F6254" s="1" t="n"/>
    </row>
    <row r="6255">
      <c r="F6255" s="1" t="n"/>
    </row>
    <row r="6256">
      <c r="F6256" s="1" t="n"/>
    </row>
    <row r="6257">
      <c r="F6257" s="1" t="n"/>
    </row>
    <row r="6258">
      <c r="F6258" s="1" t="n"/>
    </row>
    <row r="6259">
      <c r="F6259" s="1" t="n"/>
    </row>
    <row r="6260">
      <c r="F6260" s="1" t="n"/>
    </row>
    <row r="6261">
      <c r="F6261" s="1" t="n"/>
    </row>
    <row r="6262">
      <c r="F6262" s="1" t="n"/>
    </row>
    <row r="6263">
      <c r="F6263" s="1" t="n"/>
    </row>
    <row r="6264">
      <c r="F6264" s="1" t="n"/>
    </row>
    <row r="6265">
      <c r="F6265" s="1" t="n"/>
    </row>
    <row r="6266">
      <c r="F6266" s="1" t="n"/>
    </row>
    <row r="6267">
      <c r="F6267" s="1" t="n"/>
    </row>
    <row r="6268">
      <c r="F6268" s="1" t="n"/>
    </row>
    <row r="6269">
      <c r="F6269" s="1" t="n"/>
    </row>
    <row r="6270">
      <c r="F6270" s="1" t="n"/>
    </row>
    <row r="6271">
      <c r="F6271" s="1" t="n"/>
    </row>
    <row r="6272">
      <c r="F6272" s="1" t="n"/>
    </row>
    <row r="6273">
      <c r="F6273" s="1" t="n"/>
    </row>
    <row r="6274">
      <c r="F6274" s="1" t="n"/>
    </row>
    <row r="6275">
      <c r="F6275" s="1" t="n"/>
    </row>
    <row r="6276">
      <c r="F6276" s="1" t="n"/>
    </row>
    <row r="6277">
      <c r="F6277" s="1" t="n"/>
    </row>
    <row r="6278">
      <c r="F6278" s="1" t="n"/>
    </row>
    <row r="6279">
      <c r="F6279" s="1" t="n"/>
    </row>
    <row r="6280">
      <c r="F6280" s="1" t="n"/>
    </row>
    <row r="6281">
      <c r="F6281" s="1" t="n"/>
    </row>
    <row r="6282">
      <c r="F6282" s="1" t="n"/>
    </row>
    <row r="6283">
      <c r="F6283" s="1" t="n"/>
    </row>
    <row r="6284">
      <c r="F6284" s="1" t="n"/>
    </row>
    <row r="6285">
      <c r="F6285" s="1" t="n"/>
    </row>
    <row r="6286">
      <c r="F6286" s="1" t="n"/>
    </row>
    <row r="6287">
      <c r="F6287" s="1" t="n"/>
    </row>
    <row r="6288">
      <c r="F6288" s="1" t="n"/>
    </row>
    <row r="6289">
      <c r="F6289" s="1" t="n"/>
    </row>
    <row r="6290">
      <c r="F6290" s="1" t="n"/>
    </row>
    <row r="6291">
      <c r="F6291" s="1" t="n"/>
    </row>
    <row r="6292">
      <c r="F6292" s="1" t="n"/>
    </row>
    <row r="6293">
      <c r="F6293" s="1" t="n"/>
    </row>
    <row r="6294">
      <c r="F6294" s="1" t="n"/>
    </row>
    <row r="6295">
      <c r="F6295" s="1" t="n"/>
    </row>
    <row r="6296">
      <c r="F6296" s="1" t="n"/>
    </row>
    <row r="6297">
      <c r="F6297" s="1" t="n"/>
    </row>
    <row r="6298">
      <c r="F6298" s="1" t="n"/>
    </row>
    <row r="6299">
      <c r="F6299" s="1" t="n"/>
    </row>
    <row r="6300">
      <c r="F6300" s="1" t="n"/>
    </row>
    <row r="6301">
      <c r="F6301" s="1" t="n"/>
    </row>
    <row r="6302">
      <c r="F6302" s="1" t="n"/>
    </row>
    <row r="6303">
      <c r="F6303" s="1" t="n"/>
    </row>
    <row r="6304">
      <c r="F6304" s="1" t="n"/>
    </row>
    <row r="6305">
      <c r="F6305" s="1" t="n"/>
    </row>
    <row r="6306">
      <c r="F6306" s="1" t="n"/>
    </row>
    <row r="6307">
      <c r="F6307" s="1" t="n"/>
    </row>
    <row r="6308">
      <c r="F6308" s="1" t="n"/>
    </row>
    <row r="6309">
      <c r="F6309" s="1" t="n"/>
    </row>
    <row r="6310">
      <c r="F6310" s="1" t="n"/>
    </row>
    <row r="6311">
      <c r="F6311" s="1" t="n"/>
    </row>
    <row r="6312">
      <c r="F6312" s="1" t="n"/>
    </row>
    <row r="6313">
      <c r="F6313" s="1" t="n"/>
    </row>
    <row r="6314">
      <c r="F6314" s="1" t="n"/>
    </row>
    <row r="6315">
      <c r="F6315" s="1" t="n"/>
    </row>
    <row r="6316">
      <c r="F6316" s="1" t="n"/>
    </row>
    <row r="6317">
      <c r="F6317" s="1" t="n"/>
    </row>
    <row r="6318">
      <c r="F6318" s="1" t="n"/>
    </row>
    <row r="6319">
      <c r="F6319" s="1" t="n"/>
    </row>
    <row r="6320">
      <c r="F6320" s="1" t="n"/>
    </row>
    <row r="6321">
      <c r="F6321" s="1" t="n"/>
    </row>
    <row r="6322">
      <c r="F6322" s="1" t="n"/>
    </row>
    <row r="6323">
      <c r="F6323" s="1" t="n"/>
    </row>
    <row r="6324">
      <c r="F6324" s="1" t="n"/>
    </row>
    <row r="6325">
      <c r="F6325" s="1" t="n"/>
    </row>
    <row r="6326">
      <c r="F6326" s="1" t="n"/>
    </row>
    <row r="6327">
      <c r="F6327" s="1" t="n"/>
    </row>
    <row r="6328">
      <c r="F6328" s="1" t="n"/>
    </row>
    <row r="6329">
      <c r="F6329" s="1" t="n"/>
    </row>
    <row r="6330">
      <c r="F6330" s="1" t="n"/>
    </row>
    <row r="6331">
      <c r="F6331" s="1" t="n"/>
    </row>
    <row r="6332">
      <c r="F6332" s="1" t="n"/>
    </row>
    <row r="6333">
      <c r="F6333" s="1" t="n"/>
    </row>
    <row r="6334">
      <c r="F6334" s="1" t="n"/>
    </row>
    <row r="6335">
      <c r="F6335" s="1" t="n"/>
    </row>
    <row r="6336">
      <c r="F6336" s="1" t="n"/>
    </row>
    <row r="6337">
      <c r="F6337" s="1" t="n"/>
    </row>
    <row r="6338">
      <c r="F6338" s="1" t="n"/>
    </row>
    <row r="6339">
      <c r="F6339" s="1" t="n"/>
    </row>
    <row r="6340">
      <c r="F6340" s="1" t="n"/>
    </row>
    <row r="6341">
      <c r="F6341" s="1" t="n"/>
    </row>
    <row r="6342">
      <c r="F6342" s="1" t="n"/>
    </row>
    <row r="6343">
      <c r="F6343" s="1" t="n"/>
    </row>
    <row r="6344">
      <c r="F6344" s="1" t="n"/>
    </row>
    <row r="6345">
      <c r="F6345" s="1" t="n"/>
    </row>
    <row r="6346">
      <c r="F6346" s="1" t="n"/>
    </row>
    <row r="6347">
      <c r="F6347" s="1" t="n"/>
    </row>
    <row r="6348">
      <c r="F6348" s="1" t="n"/>
    </row>
    <row r="6349">
      <c r="F6349" s="1" t="n"/>
    </row>
    <row r="6350">
      <c r="F6350" s="1" t="n"/>
    </row>
    <row r="6351">
      <c r="F6351" s="1" t="n"/>
    </row>
    <row r="6352">
      <c r="F6352" s="1" t="n"/>
    </row>
    <row r="6353">
      <c r="F6353" s="1" t="n"/>
    </row>
    <row r="6354">
      <c r="F6354" s="1" t="n"/>
    </row>
    <row r="6355">
      <c r="F6355" s="1" t="n"/>
    </row>
    <row r="6356">
      <c r="F6356" s="1" t="n"/>
    </row>
    <row r="6357">
      <c r="F6357" s="1" t="n"/>
    </row>
    <row r="6358">
      <c r="F6358" s="1" t="n"/>
    </row>
    <row r="6359">
      <c r="F6359" s="1" t="n"/>
    </row>
    <row r="6360">
      <c r="F6360" s="1" t="n"/>
    </row>
    <row r="6361">
      <c r="F6361" s="1" t="n"/>
    </row>
    <row r="6362">
      <c r="F6362" s="1" t="n"/>
    </row>
    <row r="6363">
      <c r="F6363" s="1" t="n"/>
    </row>
    <row r="6364">
      <c r="F6364" s="1" t="n"/>
    </row>
    <row r="6365">
      <c r="F6365" s="1" t="n"/>
    </row>
    <row r="6366">
      <c r="F6366" s="1" t="n"/>
    </row>
    <row r="6367">
      <c r="F6367" s="1" t="n"/>
    </row>
    <row r="6368">
      <c r="F6368" s="1" t="n"/>
    </row>
    <row r="6369">
      <c r="F6369" s="1" t="n"/>
    </row>
    <row r="6370">
      <c r="F6370" s="1" t="n"/>
    </row>
    <row r="6371">
      <c r="F6371" s="1" t="n"/>
    </row>
    <row r="6372">
      <c r="F6372" s="1" t="n"/>
    </row>
    <row r="6373">
      <c r="F6373" s="1" t="n"/>
    </row>
    <row r="6374">
      <c r="F6374" s="1" t="n"/>
    </row>
    <row r="6375">
      <c r="F6375" s="1" t="n"/>
    </row>
    <row r="6376">
      <c r="F6376" s="1" t="n"/>
    </row>
    <row r="6377">
      <c r="F6377" s="1" t="n"/>
    </row>
    <row r="6378">
      <c r="F6378" s="1" t="n"/>
    </row>
    <row r="6379">
      <c r="F6379" s="1" t="n"/>
    </row>
    <row r="6380">
      <c r="F6380" s="1" t="n"/>
    </row>
    <row r="6381">
      <c r="F6381" s="1" t="n"/>
    </row>
    <row r="6382">
      <c r="F6382" s="1" t="n"/>
    </row>
    <row r="6383">
      <c r="F6383" s="1" t="n"/>
    </row>
    <row r="6384">
      <c r="F6384" s="1" t="n"/>
    </row>
    <row r="6385">
      <c r="F6385" s="1" t="n"/>
    </row>
    <row r="6386">
      <c r="F6386" s="1" t="n"/>
    </row>
    <row r="6387">
      <c r="F6387" s="1" t="n"/>
    </row>
    <row r="6388">
      <c r="F6388" s="1" t="n"/>
    </row>
    <row r="6389">
      <c r="F6389" s="1" t="n"/>
    </row>
    <row r="6390">
      <c r="F6390" s="1" t="n"/>
    </row>
    <row r="6391">
      <c r="F6391" s="1" t="n"/>
    </row>
    <row r="6392">
      <c r="F6392" s="1" t="n"/>
    </row>
    <row r="6393">
      <c r="F6393" s="1" t="n"/>
    </row>
    <row r="6394">
      <c r="F6394" s="1" t="n"/>
    </row>
    <row r="6395">
      <c r="F6395" s="1" t="n"/>
    </row>
    <row r="6396">
      <c r="F6396" s="1" t="n"/>
    </row>
    <row r="6397">
      <c r="F6397" s="1" t="n"/>
    </row>
    <row r="6398">
      <c r="F6398" s="1" t="n"/>
    </row>
    <row r="6399">
      <c r="F6399" s="1" t="n"/>
    </row>
    <row r="6400">
      <c r="F6400" s="1" t="n"/>
    </row>
    <row r="6401">
      <c r="F6401" s="1" t="n"/>
    </row>
    <row r="6402">
      <c r="F6402" s="1" t="n"/>
    </row>
    <row r="6403">
      <c r="F6403" s="1" t="n"/>
    </row>
    <row r="6404">
      <c r="F6404" s="1" t="n"/>
    </row>
    <row r="6405">
      <c r="F6405" s="1" t="n"/>
    </row>
    <row r="6406">
      <c r="F6406" s="1" t="n"/>
    </row>
    <row r="6407">
      <c r="F6407" s="1" t="n"/>
    </row>
    <row r="6408">
      <c r="F6408" s="1" t="n"/>
    </row>
    <row r="6409">
      <c r="F6409" s="1" t="n"/>
    </row>
    <row r="6410">
      <c r="F6410" s="1" t="n"/>
    </row>
    <row r="6411">
      <c r="F6411" s="1" t="n"/>
    </row>
    <row r="6412">
      <c r="F6412" s="1" t="n"/>
    </row>
    <row r="6413">
      <c r="F6413" s="1" t="n"/>
    </row>
    <row r="6414">
      <c r="F6414" s="1" t="n"/>
    </row>
    <row r="6415">
      <c r="F6415" s="1" t="n"/>
    </row>
    <row r="6416">
      <c r="F6416" s="1" t="n"/>
    </row>
    <row r="6417">
      <c r="F6417" s="1" t="n"/>
    </row>
    <row r="6418">
      <c r="F6418" s="1" t="n"/>
    </row>
    <row r="6419">
      <c r="F6419" s="1" t="n"/>
    </row>
    <row r="6420">
      <c r="F6420" s="1" t="n"/>
    </row>
    <row r="6421">
      <c r="F6421" s="1" t="n"/>
    </row>
    <row r="6422">
      <c r="F6422" s="1" t="n"/>
    </row>
    <row r="6423">
      <c r="F6423" s="1" t="n"/>
    </row>
    <row r="6424">
      <c r="F6424" s="1" t="n"/>
    </row>
    <row r="6425">
      <c r="F6425" s="1" t="n"/>
    </row>
    <row r="6426">
      <c r="F6426" s="1" t="n"/>
    </row>
    <row r="6427">
      <c r="F6427" s="1" t="n"/>
    </row>
    <row r="6428">
      <c r="F6428" s="1" t="n"/>
    </row>
    <row r="6429">
      <c r="F6429" s="1" t="n"/>
    </row>
    <row r="6430">
      <c r="F6430" s="1" t="n"/>
    </row>
    <row r="6431">
      <c r="F6431" s="1" t="n"/>
    </row>
    <row r="6432">
      <c r="F6432" s="1" t="n"/>
    </row>
    <row r="6433">
      <c r="F6433" s="1" t="n"/>
    </row>
    <row r="6434">
      <c r="F6434" s="1" t="n"/>
    </row>
    <row r="6435">
      <c r="F6435" s="1" t="n"/>
    </row>
    <row r="6436">
      <c r="F6436" s="1" t="n"/>
    </row>
    <row r="6437">
      <c r="F6437" s="1" t="n"/>
    </row>
    <row r="6438">
      <c r="F6438" s="1" t="n"/>
    </row>
    <row r="6439">
      <c r="F6439" s="1" t="n"/>
    </row>
    <row r="6440">
      <c r="F6440" s="1" t="n"/>
    </row>
    <row r="6441">
      <c r="F6441" s="1" t="n"/>
    </row>
    <row r="6442">
      <c r="F6442" s="1" t="n"/>
    </row>
    <row r="6443">
      <c r="F6443" s="1" t="n"/>
    </row>
    <row r="6444">
      <c r="F6444" s="1" t="n"/>
    </row>
    <row r="6445">
      <c r="F6445" s="1" t="n"/>
    </row>
    <row r="6446">
      <c r="F6446" s="1" t="n"/>
    </row>
    <row r="6447">
      <c r="F6447" s="1" t="n"/>
    </row>
    <row r="6448">
      <c r="F6448" s="1" t="n"/>
    </row>
    <row r="6449">
      <c r="F6449" s="1" t="n"/>
    </row>
    <row r="6450">
      <c r="F6450" s="1" t="n"/>
    </row>
    <row r="6451">
      <c r="F6451" s="1" t="n"/>
    </row>
    <row r="6452">
      <c r="F6452" s="1" t="n"/>
    </row>
    <row r="6453">
      <c r="F6453" s="1" t="n"/>
    </row>
    <row r="6454">
      <c r="F6454" s="1" t="n"/>
    </row>
    <row r="6455">
      <c r="F6455" s="1" t="n"/>
    </row>
    <row r="6456">
      <c r="F6456" s="1" t="n"/>
    </row>
    <row r="6457">
      <c r="F6457" s="1" t="n"/>
    </row>
    <row r="6458">
      <c r="F6458" s="1" t="n"/>
    </row>
    <row r="6459">
      <c r="F6459" s="1" t="n"/>
    </row>
    <row r="6460">
      <c r="F6460" s="1" t="n"/>
    </row>
    <row r="6461">
      <c r="F6461" s="1" t="n"/>
    </row>
    <row r="6462">
      <c r="F6462" s="1" t="n"/>
    </row>
    <row r="6463">
      <c r="F6463" s="1" t="n"/>
    </row>
    <row r="6464">
      <c r="F6464" s="1" t="n"/>
    </row>
    <row r="6465">
      <c r="F6465" s="1" t="n"/>
    </row>
    <row r="6466">
      <c r="F6466" s="1" t="n"/>
    </row>
    <row r="6467">
      <c r="F6467" s="1" t="n"/>
    </row>
    <row r="6468">
      <c r="F6468" s="1" t="n"/>
    </row>
    <row r="6469">
      <c r="F6469" s="1" t="n"/>
    </row>
    <row r="6470">
      <c r="F6470" s="1" t="n"/>
    </row>
    <row r="6471">
      <c r="F6471" s="1" t="n"/>
    </row>
    <row r="6472">
      <c r="F6472" s="1" t="n"/>
    </row>
    <row r="6473">
      <c r="F6473" s="1" t="n"/>
    </row>
    <row r="6474">
      <c r="F6474" s="1" t="n"/>
    </row>
    <row r="6475">
      <c r="F6475" s="1" t="n"/>
    </row>
    <row r="6476">
      <c r="F6476" s="1" t="n"/>
    </row>
    <row r="6477">
      <c r="F6477" s="1" t="n"/>
    </row>
    <row r="6478">
      <c r="F6478" s="1" t="n"/>
    </row>
    <row r="6479">
      <c r="F6479" s="1" t="n"/>
    </row>
    <row r="6480">
      <c r="F6480" s="1" t="n"/>
    </row>
    <row r="6481">
      <c r="F6481" s="1" t="n"/>
    </row>
    <row r="6482">
      <c r="F6482" s="1" t="n"/>
    </row>
    <row r="6483">
      <c r="F6483" s="1" t="n"/>
    </row>
    <row r="6484">
      <c r="F6484" s="1" t="n"/>
    </row>
    <row r="6485">
      <c r="F6485" s="1" t="n"/>
    </row>
    <row r="6486">
      <c r="F6486" s="1" t="n"/>
    </row>
    <row r="6487">
      <c r="F6487" s="1" t="n"/>
    </row>
    <row r="6488">
      <c r="F6488" s="1" t="n"/>
    </row>
    <row r="6489">
      <c r="F6489" s="1" t="n"/>
    </row>
    <row r="6490">
      <c r="F6490" s="1" t="n"/>
    </row>
    <row r="6491">
      <c r="F6491" s="1" t="n"/>
    </row>
    <row r="6492">
      <c r="F6492" s="1" t="n"/>
    </row>
    <row r="6493">
      <c r="F6493" s="1" t="n"/>
    </row>
    <row r="6494">
      <c r="F6494" s="1" t="n"/>
    </row>
    <row r="6495">
      <c r="F6495" s="1" t="n"/>
    </row>
    <row r="6496">
      <c r="F6496" s="1" t="n"/>
    </row>
    <row r="6497">
      <c r="F6497" s="1" t="n"/>
    </row>
    <row r="6498">
      <c r="F6498" s="1" t="n"/>
    </row>
    <row r="6499">
      <c r="F6499" s="1" t="n"/>
    </row>
    <row r="6500">
      <c r="F6500" s="1" t="n"/>
    </row>
    <row r="6501">
      <c r="F6501" s="1" t="n"/>
    </row>
    <row r="6502">
      <c r="F6502" s="1" t="n"/>
    </row>
    <row r="6503">
      <c r="F6503" s="1" t="n"/>
    </row>
    <row r="6504">
      <c r="F6504" s="1" t="n"/>
    </row>
    <row r="6505">
      <c r="F6505" s="1" t="n"/>
    </row>
    <row r="6506">
      <c r="F6506" s="1" t="n"/>
    </row>
    <row r="6507">
      <c r="F6507" s="1" t="n"/>
    </row>
    <row r="6508">
      <c r="F6508" s="1" t="n"/>
    </row>
    <row r="6509">
      <c r="F6509" s="1" t="n"/>
    </row>
    <row r="6510">
      <c r="F6510" s="1" t="n"/>
    </row>
    <row r="6511">
      <c r="F6511" s="1" t="n"/>
    </row>
    <row r="6512">
      <c r="F6512" s="1" t="n"/>
    </row>
    <row r="6513">
      <c r="F6513" s="1" t="n"/>
    </row>
    <row r="6514">
      <c r="F6514" s="1" t="n"/>
    </row>
    <row r="6515">
      <c r="F6515" s="1" t="n"/>
    </row>
    <row r="6516">
      <c r="F6516" s="1" t="n"/>
    </row>
    <row r="6517">
      <c r="F6517" s="1" t="n"/>
    </row>
    <row r="6518">
      <c r="F6518" s="1" t="n"/>
    </row>
    <row r="6519">
      <c r="F6519" s="1" t="n"/>
    </row>
    <row r="6520">
      <c r="F6520" s="1" t="n"/>
    </row>
    <row r="6521">
      <c r="F6521" s="1" t="n"/>
    </row>
    <row r="6522">
      <c r="F6522" s="1" t="n"/>
    </row>
    <row r="6523">
      <c r="F6523" s="1" t="n"/>
    </row>
    <row r="6524">
      <c r="F6524" s="1" t="n"/>
    </row>
    <row r="6525">
      <c r="F6525" s="1" t="n"/>
    </row>
    <row r="6526">
      <c r="F6526" s="1" t="n"/>
    </row>
    <row r="6527">
      <c r="F6527" s="1" t="n"/>
    </row>
    <row r="6528">
      <c r="F6528" s="1" t="n"/>
    </row>
    <row r="6529">
      <c r="F6529" s="1" t="n"/>
    </row>
    <row r="6530">
      <c r="F6530" s="1" t="n"/>
    </row>
    <row r="6531">
      <c r="F6531" s="1" t="n"/>
    </row>
    <row r="6532">
      <c r="F6532" s="1" t="n"/>
    </row>
    <row r="6533">
      <c r="F6533" s="1" t="n"/>
    </row>
    <row r="6534">
      <c r="F6534" s="1" t="n"/>
    </row>
    <row r="6535">
      <c r="F6535" s="1" t="n"/>
    </row>
    <row r="6536">
      <c r="F6536" s="1" t="n"/>
    </row>
    <row r="6537">
      <c r="F6537" s="1" t="n"/>
    </row>
    <row r="6538">
      <c r="F6538" s="1" t="n"/>
    </row>
    <row r="6539">
      <c r="F6539" s="1" t="n"/>
    </row>
    <row r="6540">
      <c r="F6540" s="1" t="n"/>
    </row>
    <row r="6541">
      <c r="F6541" s="1" t="n"/>
    </row>
    <row r="6542">
      <c r="F6542" s="1" t="n"/>
    </row>
    <row r="6543">
      <c r="F6543" s="1" t="n"/>
    </row>
    <row r="6544">
      <c r="F6544" s="1" t="n"/>
    </row>
    <row r="6545">
      <c r="F6545" s="1" t="n"/>
    </row>
    <row r="6546">
      <c r="F6546" s="1" t="n"/>
    </row>
    <row r="6547">
      <c r="F6547" s="1" t="n"/>
    </row>
    <row r="6548">
      <c r="F6548" s="1" t="n"/>
    </row>
    <row r="6549">
      <c r="F6549" s="1" t="n"/>
    </row>
    <row r="6550">
      <c r="F6550" s="1" t="n"/>
    </row>
    <row r="6551">
      <c r="F6551" s="1" t="n"/>
    </row>
    <row r="6552">
      <c r="F6552" s="1" t="n"/>
    </row>
    <row r="6553">
      <c r="F6553" s="1" t="n"/>
    </row>
    <row r="6554">
      <c r="F6554" s="1" t="n"/>
    </row>
    <row r="6555">
      <c r="F6555" s="1" t="n"/>
    </row>
    <row r="6556">
      <c r="F6556" s="1" t="n"/>
    </row>
    <row r="6557">
      <c r="F6557" s="1" t="n"/>
    </row>
    <row r="6558">
      <c r="F6558" s="1" t="n"/>
    </row>
    <row r="6559">
      <c r="F6559" s="1" t="n"/>
    </row>
    <row r="6560">
      <c r="F6560" s="1" t="n"/>
    </row>
    <row r="6561">
      <c r="F6561" s="1" t="n"/>
    </row>
    <row r="6562">
      <c r="F6562" s="1" t="n"/>
    </row>
    <row r="6563">
      <c r="F6563" s="1" t="n"/>
    </row>
    <row r="6564">
      <c r="F6564" s="1" t="n"/>
    </row>
    <row r="6565">
      <c r="F6565" s="1" t="n"/>
    </row>
    <row r="6566">
      <c r="F6566" s="1" t="n"/>
    </row>
    <row r="6567">
      <c r="F6567" s="1" t="n"/>
    </row>
    <row r="6568">
      <c r="F6568" s="1" t="n"/>
    </row>
    <row r="6569">
      <c r="F6569" s="1" t="n"/>
    </row>
    <row r="6570">
      <c r="F6570" s="1" t="n"/>
    </row>
    <row r="6571">
      <c r="F6571" s="1" t="n"/>
    </row>
    <row r="6572">
      <c r="F6572" s="1" t="n"/>
    </row>
    <row r="6573">
      <c r="F6573" s="1" t="n"/>
    </row>
    <row r="6574">
      <c r="F6574" s="1" t="n"/>
    </row>
    <row r="6575">
      <c r="F6575" s="1" t="n"/>
    </row>
    <row r="6576">
      <c r="F6576" s="1" t="n"/>
    </row>
    <row r="6577">
      <c r="F6577" s="1" t="n"/>
    </row>
    <row r="6578">
      <c r="F6578" s="1" t="n"/>
    </row>
    <row r="6579">
      <c r="F6579" s="1" t="n"/>
    </row>
    <row r="6580">
      <c r="F6580" s="1" t="n"/>
    </row>
    <row r="6581">
      <c r="F6581" s="1" t="n"/>
    </row>
    <row r="6582">
      <c r="F6582" s="1" t="n"/>
    </row>
    <row r="6583">
      <c r="F6583" s="1" t="n"/>
    </row>
    <row r="6584">
      <c r="F6584" s="1" t="n"/>
    </row>
    <row r="6585">
      <c r="F6585" s="1" t="n"/>
    </row>
    <row r="6586">
      <c r="F6586" s="1" t="n"/>
    </row>
    <row r="6587">
      <c r="F6587" s="1" t="n"/>
    </row>
    <row r="6588">
      <c r="F6588" s="1" t="n"/>
    </row>
    <row r="6589">
      <c r="F6589" s="1" t="n"/>
    </row>
    <row r="6590">
      <c r="F6590" s="1" t="n"/>
    </row>
    <row r="6591">
      <c r="F6591" s="1" t="n"/>
    </row>
    <row r="6592">
      <c r="F6592" s="1" t="n"/>
    </row>
    <row r="6593">
      <c r="F6593" s="1" t="n"/>
    </row>
    <row r="6594">
      <c r="F6594" s="1" t="n"/>
    </row>
  </sheetData>
  <hyperlinks>
    <hyperlink xmlns:r="http://schemas.openxmlformats.org/officeDocument/2006/relationships" ref="I2" r:id="rId1"/>
    <hyperlink xmlns:r="http://schemas.openxmlformats.org/officeDocument/2006/relationships" ref="J2" display="20" r:id="rId2"/>
    <hyperlink xmlns:r="http://schemas.openxmlformats.org/officeDocument/2006/relationships" ref="K2" display="26/06/2026" r:id="rId3"/>
    <hyperlink xmlns:r="http://schemas.openxmlformats.org/officeDocument/2006/relationships" ref="L2" r:id="rId4"/>
    <hyperlink xmlns:r="http://schemas.openxmlformats.org/officeDocument/2006/relationships" ref="I3" r:id="rId5"/>
    <hyperlink xmlns:r="http://schemas.openxmlformats.org/officeDocument/2006/relationships" ref="J3" display="4" r:id="rId6"/>
    <hyperlink xmlns:r="http://schemas.openxmlformats.org/officeDocument/2006/relationships" ref="K3" display="26/06/2026" r:id="rId7"/>
    <hyperlink xmlns:r="http://schemas.openxmlformats.org/officeDocument/2006/relationships" ref="L3" r:id="rId8"/>
    <hyperlink xmlns:r="http://schemas.openxmlformats.org/officeDocument/2006/relationships" ref="I4" r:id="rId9"/>
    <hyperlink xmlns:r="http://schemas.openxmlformats.org/officeDocument/2006/relationships" ref="J4" display="20" r:id="rId10"/>
    <hyperlink xmlns:r="http://schemas.openxmlformats.org/officeDocument/2006/relationships" ref="K4" display="06/03/2026" r:id="rId11"/>
    <hyperlink xmlns:r="http://schemas.openxmlformats.org/officeDocument/2006/relationships" ref="L4" r:id="rId12"/>
    <hyperlink xmlns:r="http://schemas.openxmlformats.org/officeDocument/2006/relationships" ref="I5" r:id="rId13"/>
    <hyperlink xmlns:r="http://schemas.openxmlformats.org/officeDocument/2006/relationships" ref="J5" display="1" r:id="rId14"/>
    <hyperlink xmlns:r="http://schemas.openxmlformats.org/officeDocument/2006/relationships" ref="K5" display="06/03/2026" r:id="rId15"/>
    <hyperlink xmlns:r="http://schemas.openxmlformats.org/officeDocument/2006/relationships" ref="L5" r:id="rId16"/>
    <hyperlink xmlns:r="http://schemas.openxmlformats.org/officeDocument/2006/relationships" ref="I6" r:id="rId17"/>
    <hyperlink xmlns:r="http://schemas.openxmlformats.org/officeDocument/2006/relationships" ref="J6" display="1" r:id="rId18"/>
    <hyperlink xmlns:r="http://schemas.openxmlformats.org/officeDocument/2006/relationships" ref="K6" display="06/03/2026" r:id="rId19"/>
    <hyperlink xmlns:r="http://schemas.openxmlformats.org/officeDocument/2006/relationships" ref="L6" r:id="rId20"/>
    <hyperlink xmlns:r="http://schemas.openxmlformats.org/officeDocument/2006/relationships" ref="I7" r:id="rId21"/>
    <hyperlink xmlns:r="http://schemas.openxmlformats.org/officeDocument/2006/relationships" ref="J7" display="12" r:id="rId22"/>
    <hyperlink xmlns:r="http://schemas.openxmlformats.org/officeDocument/2006/relationships" ref="K7" display="06/03/2026" r:id="rId23"/>
    <hyperlink xmlns:r="http://schemas.openxmlformats.org/officeDocument/2006/relationships" ref="L7" r:id="rId24"/>
    <hyperlink xmlns:r="http://schemas.openxmlformats.org/officeDocument/2006/relationships" ref="I8" r:id="rId25"/>
    <hyperlink xmlns:r="http://schemas.openxmlformats.org/officeDocument/2006/relationships" ref="J8" display="4" r:id="rId26"/>
    <hyperlink xmlns:r="http://schemas.openxmlformats.org/officeDocument/2006/relationships" ref="K8" display="06/03/2026" r:id="rId27"/>
    <hyperlink xmlns:r="http://schemas.openxmlformats.org/officeDocument/2006/relationships" ref="L8" r:id="rId28"/>
    <hyperlink xmlns:r="http://schemas.openxmlformats.org/officeDocument/2006/relationships" ref="I9" r:id="rId29"/>
    <hyperlink xmlns:r="http://schemas.openxmlformats.org/officeDocument/2006/relationships" ref="J9" display="33" r:id="rId30"/>
    <hyperlink xmlns:r="http://schemas.openxmlformats.org/officeDocument/2006/relationships" ref="K9" display="23/01/2026" r:id="rId31"/>
    <hyperlink xmlns:r="http://schemas.openxmlformats.org/officeDocument/2006/relationships" ref="L9" r:id="rId32"/>
    <hyperlink xmlns:r="http://schemas.openxmlformats.org/officeDocument/2006/relationships" ref="I10" r:id="rId33"/>
    <hyperlink xmlns:r="http://schemas.openxmlformats.org/officeDocument/2006/relationships" ref="J10" display="1" r:id="rId34"/>
    <hyperlink xmlns:r="http://schemas.openxmlformats.org/officeDocument/2006/relationships" ref="K10" display="01/01/2026" r:id="rId35"/>
    <hyperlink xmlns:r="http://schemas.openxmlformats.org/officeDocument/2006/relationships" ref="L10" r:id="rId36"/>
    <hyperlink xmlns:r="http://schemas.openxmlformats.org/officeDocument/2006/relationships" ref="I11" r:id="rId37"/>
    <hyperlink xmlns:r="http://schemas.openxmlformats.org/officeDocument/2006/relationships" ref="J11" display="394" r:id="rId38"/>
    <hyperlink xmlns:r="http://schemas.openxmlformats.org/officeDocument/2006/relationships" ref="K11" display="21/11/2025" r:id="rId39"/>
    <hyperlink xmlns:r="http://schemas.openxmlformats.org/officeDocument/2006/relationships" ref="L11" r:id="rId40"/>
    <hyperlink xmlns:r="http://schemas.openxmlformats.org/officeDocument/2006/relationships" ref="I12" r:id="rId41"/>
    <hyperlink xmlns:r="http://schemas.openxmlformats.org/officeDocument/2006/relationships" ref="J12" display="22" r:id="rId42"/>
    <hyperlink xmlns:r="http://schemas.openxmlformats.org/officeDocument/2006/relationships" ref="K12" display="21/11/2025" r:id="rId43"/>
    <hyperlink xmlns:r="http://schemas.openxmlformats.org/officeDocument/2006/relationships" ref="L12" r:id="rId44"/>
    <hyperlink xmlns:r="http://schemas.openxmlformats.org/officeDocument/2006/relationships" ref="I13" r:id="rId45"/>
    <hyperlink xmlns:r="http://schemas.openxmlformats.org/officeDocument/2006/relationships" ref="J13" display="10" r:id="rId46"/>
    <hyperlink xmlns:r="http://schemas.openxmlformats.org/officeDocument/2006/relationships" ref="K13" display="21/11/2025" r:id="rId47"/>
    <hyperlink xmlns:r="http://schemas.openxmlformats.org/officeDocument/2006/relationships" ref="L13" r:id="rId48"/>
    <hyperlink xmlns:r="http://schemas.openxmlformats.org/officeDocument/2006/relationships" ref="I14" r:id="rId49"/>
    <hyperlink xmlns:r="http://schemas.openxmlformats.org/officeDocument/2006/relationships" ref="J14" display="46" r:id="rId50"/>
    <hyperlink xmlns:r="http://schemas.openxmlformats.org/officeDocument/2006/relationships" ref="K14" display="21/11/2025" r:id="rId51"/>
    <hyperlink xmlns:r="http://schemas.openxmlformats.org/officeDocument/2006/relationships" ref="L14" r:id="rId52"/>
    <hyperlink xmlns:r="http://schemas.openxmlformats.org/officeDocument/2006/relationships" ref="I15" r:id="rId53"/>
    <hyperlink xmlns:r="http://schemas.openxmlformats.org/officeDocument/2006/relationships" ref="J15" display="317" r:id="rId54"/>
    <hyperlink xmlns:r="http://schemas.openxmlformats.org/officeDocument/2006/relationships" ref="K15" display="21/11/2025" r:id="rId55"/>
    <hyperlink xmlns:r="http://schemas.openxmlformats.org/officeDocument/2006/relationships" ref="L15" r:id="rId56"/>
    <hyperlink xmlns:r="http://schemas.openxmlformats.org/officeDocument/2006/relationships" ref="I16" r:id="rId57"/>
    <hyperlink xmlns:r="http://schemas.openxmlformats.org/officeDocument/2006/relationships" ref="J16" display="2" r:id="rId58"/>
    <hyperlink xmlns:r="http://schemas.openxmlformats.org/officeDocument/2006/relationships" ref="K16" display="21/11/2025" r:id="rId59"/>
    <hyperlink xmlns:r="http://schemas.openxmlformats.org/officeDocument/2006/relationships" ref="L16" r:id="rId60"/>
    <hyperlink xmlns:r="http://schemas.openxmlformats.org/officeDocument/2006/relationships" ref="I17" r:id="rId61"/>
    <hyperlink xmlns:r="http://schemas.openxmlformats.org/officeDocument/2006/relationships" ref="J17" display="540" r:id="rId62"/>
    <hyperlink xmlns:r="http://schemas.openxmlformats.org/officeDocument/2006/relationships" ref="K17" display="23/10/2025" r:id="rId63"/>
    <hyperlink xmlns:r="http://schemas.openxmlformats.org/officeDocument/2006/relationships" ref="I18" r:id="rId64"/>
    <hyperlink xmlns:r="http://schemas.openxmlformats.org/officeDocument/2006/relationships" ref="J18" display="53" r:id="rId65"/>
    <hyperlink xmlns:r="http://schemas.openxmlformats.org/officeDocument/2006/relationships" ref="K18" display="26/09/2025" r:id="rId66"/>
    <hyperlink xmlns:r="http://schemas.openxmlformats.org/officeDocument/2006/relationships" ref="I19" r:id="rId67"/>
    <hyperlink xmlns:r="http://schemas.openxmlformats.org/officeDocument/2006/relationships" ref="J19" display="40" r:id="rId68"/>
    <hyperlink xmlns:r="http://schemas.openxmlformats.org/officeDocument/2006/relationships" ref="K19" display="23/09/2025" r:id="rId69"/>
    <hyperlink xmlns:r="http://schemas.openxmlformats.org/officeDocument/2006/relationships" ref="L19" r:id="rId70"/>
    <hyperlink xmlns:r="http://schemas.openxmlformats.org/officeDocument/2006/relationships" ref="I20" r:id="rId71"/>
    <hyperlink xmlns:r="http://schemas.openxmlformats.org/officeDocument/2006/relationships" ref="J20" display="4" r:id="rId72"/>
    <hyperlink xmlns:r="http://schemas.openxmlformats.org/officeDocument/2006/relationships" ref="K20" display="30/09/2025" r:id="rId73"/>
    <hyperlink xmlns:r="http://schemas.openxmlformats.org/officeDocument/2006/relationships" ref="L20" r:id="rId74"/>
    <hyperlink xmlns:r="http://schemas.openxmlformats.org/officeDocument/2006/relationships" ref="I21" r:id="rId75"/>
    <hyperlink xmlns:r="http://schemas.openxmlformats.org/officeDocument/2006/relationships" ref="J21" display="286" r:id="rId76"/>
    <hyperlink xmlns:r="http://schemas.openxmlformats.org/officeDocument/2006/relationships" ref="K21" display="26/09/2025" r:id="rId77"/>
    <hyperlink xmlns:r="http://schemas.openxmlformats.org/officeDocument/2006/relationships" ref="I22" r:id="rId78"/>
    <hyperlink xmlns:r="http://schemas.openxmlformats.org/officeDocument/2006/relationships" ref="J22" display="68" r:id="rId79"/>
    <hyperlink xmlns:r="http://schemas.openxmlformats.org/officeDocument/2006/relationships" ref="K22" display="26/09/2025" r:id="rId80"/>
    <hyperlink xmlns:r="http://schemas.openxmlformats.org/officeDocument/2006/relationships" ref="L22" r:id="rId81"/>
    <hyperlink xmlns:r="http://schemas.openxmlformats.org/officeDocument/2006/relationships" ref="I23" r:id="rId82"/>
    <hyperlink xmlns:r="http://schemas.openxmlformats.org/officeDocument/2006/relationships" ref="J23" display="7" r:id="rId83"/>
    <hyperlink xmlns:r="http://schemas.openxmlformats.org/officeDocument/2006/relationships" ref="K23" display="26/09/2025" r:id="rId84"/>
    <hyperlink xmlns:r="http://schemas.openxmlformats.org/officeDocument/2006/relationships" ref="L23" r:id="rId85"/>
    <hyperlink xmlns:r="http://schemas.openxmlformats.org/officeDocument/2006/relationships" ref="I24" r:id="rId86"/>
    <hyperlink xmlns:r="http://schemas.openxmlformats.org/officeDocument/2006/relationships" ref="J24" display="26" r:id="rId87"/>
    <hyperlink xmlns:r="http://schemas.openxmlformats.org/officeDocument/2006/relationships" ref="K24" display="26/09/2025" r:id="rId88"/>
    <hyperlink xmlns:r="http://schemas.openxmlformats.org/officeDocument/2006/relationships" ref="I25" r:id="rId89"/>
    <hyperlink xmlns:r="http://schemas.openxmlformats.org/officeDocument/2006/relationships" ref="J25" display="189" r:id="rId90"/>
    <hyperlink xmlns:r="http://schemas.openxmlformats.org/officeDocument/2006/relationships" ref="K25" display="23/09/2025" r:id="rId91"/>
    <hyperlink xmlns:r="http://schemas.openxmlformats.org/officeDocument/2006/relationships" ref="L25" r:id="rId92"/>
    <hyperlink xmlns:r="http://schemas.openxmlformats.org/officeDocument/2006/relationships" ref="I26" r:id="rId93"/>
    <hyperlink xmlns:r="http://schemas.openxmlformats.org/officeDocument/2006/relationships" ref="J26" display="28" r:id="rId94"/>
    <hyperlink xmlns:r="http://schemas.openxmlformats.org/officeDocument/2006/relationships" ref="K26" display="23/09/2025" r:id="rId95"/>
    <hyperlink xmlns:r="http://schemas.openxmlformats.org/officeDocument/2006/relationships" ref="L26" r:id="rId96"/>
    <hyperlink xmlns:r="http://schemas.openxmlformats.org/officeDocument/2006/relationships" ref="I27" r:id="rId97"/>
    <hyperlink xmlns:r="http://schemas.openxmlformats.org/officeDocument/2006/relationships" ref="J27" display="25" r:id="rId98"/>
    <hyperlink xmlns:r="http://schemas.openxmlformats.org/officeDocument/2006/relationships" ref="K27" display="23/09/2025" r:id="rId99"/>
    <hyperlink xmlns:r="http://schemas.openxmlformats.org/officeDocument/2006/relationships" ref="L27" r:id="rId100"/>
    <hyperlink xmlns:r="http://schemas.openxmlformats.org/officeDocument/2006/relationships" ref="I28" r:id="rId101"/>
    <hyperlink xmlns:r="http://schemas.openxmlformats.org/officeDocument/2006/relationships" ref="J28" display="1" r:id="rId102"/>
    <hyperlink xmlns:r="http://schemas.openxmlformats.org/officeDocument/2006/relationships" ref="K28" display="24/08/2025" r:id="rId103"/>
    <hyperlink xmlns:r="http://schemas.openxmlformats.org/officeDocument/2006/relationships" ref="L28" r:id="rId104"/>
    <hyperlink xmlns:r="http://schemas.openxmlformats.org/officeDocument/2006/relationships" ref="I29" r:id="rId105"/>
    <hyperlink xmlns:r="http://schemas.openxmlformats.org/officeDocument/2006/relationships" ref="J29" display="25" r:id="rId106"/>
    <hyperlink xmlns:r="http://schemas.openxmlformats.org/officeDocument/2006/relationships" ref="K29" display="19/08/2025" r:id="rId107"/>
    <hyperlink xmlns:r="http://schemas.openxmlformats.org/officeDocument/2006/relationships" ref="L29" r:id="rId108"/>
    <hyperlink xmlns:r="http://schemas.openxmlformats.org/officeDocument/2006/relationships" ref="I30" r:id="rId109"/>
    <hyperlink xmlns:r="http://schemas.openxmlformats.org/officeDocument/2006/relationships" ref="J30" display="26" r:id="rId110"/>
    <hyperlink xmlns:r="http://schemas.openxmlformats.org/officeDocument/2006/relationships" ref="K30" display="19/08/2025" r:id="rId111"/>
    <hyperlink xmlns:r="http://schemas.openxmlformats.org/officeDocument/2006/relationships" ref="L30" r:id="rId112"/>
    <hyperlink xmlns:r="http://schemas.openxmlformats.org/officeDocument/2006/relationships" ref="I31" r:id="rId113"/>
    <hyperlink xmlns:r="http://schemas.openxmlformats.org/officeDocument/2006/relationships" ref="J31" display="399" r:id="rId114"/>
    <hyperlink xmlns:r="http://schemas.openxmlformats.org/officeDocument/2006/relationships" ref="K31" display="01/08/2025" r:id="rId115"/>
    <hyperlink xmlns:r="http://schemas.openxmlformats.org/officeDocument/2006/relationships" ref="I32" r:id="rId116"/>
    <hyperlink xmlns:r="http://schemas.openxmlformats.org/officeDocument/2006/relationships" ref="J32" display="180" r:id="rId117"/>
    <hyperlink xmlns:r="http://schemas.openxmlformats.org/officeDocument/2006/relationships" ref="K32" display="01/08/2025" r:id="rId118"/>
    <hyperlink xmlns:r="http://schemas.openxmlformats.org/officeDocument/2006/relationships" ref="L32" r:id="rId119"/>
    <hyperlink xmlns:r="http://schemas.openxmlformats.org/officeDocument/2006/relationships" ref="I33" r:id="rId120"/>
    <hyperlink xmlns:r="http://schemas.openxmlformats.org/officeDocument/2006/relationships" ref="J33" display="160" r:id="rId121"/>
    <hyperlink xmlns:r="http://schemas.openxmlformats.org/officeDocument/2006/relationships" ref="K33" display="01/08/2025" r:id="rId122"/>
    <hyperlink xmlns:r="http://schemas.openxmlformats.org/officeDocument/2006/relationships" ref="L33" r:id="rId123"/>
    <hyperlink xmlns:r="http://schemas.openxmlformats.org/officeDocument/2006/relationships" ref="I34" r:id="rId124"/>
    <hyperlink xmlns:r="http://schemas.openxmlformats.org/officeDocument/2006/relationships" ref="J34" display="12" r:id="rId125"/>
    <hyperlink xmlns:r="http://schemas.openxmlformats.org/officeDocument/2006/relationships" ref="K34" display="01/08/2025" r:id="rId126"/>
    <hyperlink xmlns:r="http://schemas.openxmlformats.org/officeDocument/2006/relationships" ref="L34" r:id="rId127"/>
    <hyperlink xmlns:r="http://schemas.openxmlformats.org/officeDocument/2006/relationships" ref="I35" r:id="rId128"/>
    <hyperlink xmlns:r="http://schemas.openxmlformats.org/officeDocument/2006/relationships" ref="J35" display="40" r:id="rId129"/>
    <hyperlink xmlns:r="http://schemas.openxmlformats.org/officeDocument/2006/relationships" ref="K35" display="19/08/2025" r:id="rId130"/>
    <hyperlink xmlns:r="http://schemas.openxmlformats.org/officeDocument/2006/relationships" ref="L35" r:id="rId131"/>
    <hyperlink xmlns:r="http://schemas.openxmlformats.org/officeDocument/2006/relationships" ref="I36" r:id="rId132"/>
    <hyperlink xmlns:r="http://schemas.openxmlformats.org/officeDocument/2006/relationships" ref="J36" display="54" r:id="rId133"/>
    <hyperlink xmlns:r="http://schemas.openxmlformats.org/officeDocument/2006/relationships" ref="K36" display="01/08/2025" r:id="rId134"/>
    <hyperlink xmlns:r="http://schemas.openxmlformats.org/officeDocument/2006/relationships" ref="L36" r:id="rId135"/>
    <hyperlink xmlns:r="http://schemas.openxmlformats.org/officeDocument/2006/relationships" ref="I37" r:id="rId136"/>
    <hyperlink xmlns:r="http://schemas.openxmlformats.org/officeDocument/2006/relationships" ref="J37" display="191" r:id="rId137"/>
    <hyperlink xmlns:r="http://schemas.openxmlformats.org/officeDocument/2006/relationships" ref="K37" display="01/08/2025" r:id="rId138"/>
    <hyperlink xmlns:r="http://schemas.openxmlformats.org/officeDocument/2006/relationships" ref="I38" r:id="rId139"/>
    <hyperlink xmlns:r="http://schemas.openxmlformats.org/officeDocument/2006/relationships" ref="J38" display="16" r:id="rId140"/>
    <hyperlink xmlns:r="http://schemas.openxmlformats.org/officeDocument/2006/relationships" ref="K38" display="01/08/2025" r:id="rId141"/>
    <hyperlink xmlns:r="http://schemas.openxmlformats.org/officeDocument/2006/relationships" ref="L38" r:id="rId142"/>
    <hyperlink xmlns:r="http://schemas.openxmlformats.org/officeDocument/2006/relationships" ref="I39" r:id="rId143"/>
    <hyperlink xmlns:r="http://schemas.openxmlformats.org/officeDocument/2006/relationships" ref="J39" display="599" r:id="rId144"/>
    <hyperlink xmlns:r="http://schemas.openxmlformats.org/officeDocument/2006/relationships" ref="K39" display="13/06/2025" r:id="rId145"/>
    <hyperlink xmlns:r="http://schemas.openxmlformats.org/officeDocument/2006/relationships" ref="I40" r:id="rId146"/>
    <hyperlink xmlns:r="http://schemas.openxmlformats.org/officeDocument/2006/relationships" ref="J40" display="66" r:id="rId147"/>
    <hyperlink xmlns:r="http://schemas.openxmlformats.org/officeDocument/2006/relationships" ref="K40" display="13/06/2025" r:id="rId148"/>
    <hyperlink xmlns:r="http://schemas.openxmlformats.org/officeDocument/2006/relationships" ref="I41" r:id="rId149"/>
    <hyperlink xmlns:r="http://schemas.openxmlformats.org/officeDocument/2006/relationships" ref="J41" display="94" r:id="rId150"/>
    <hyperlink xmlns:r="http://schemas.openxmlformats.org/officeDocument/2006/relationships" ref="K41" display="13/06/2025" r:id="rId151"/>
    <hyperlink xmlns:r="http://schemas.openxmlformats.org/officeDocument/2006/relationships" ref="L41" r:id="rId152"/>
    <hyperlink xmlns:r="http://schemas.openxmlformats.org/officeDocument/2006/relationships" ref="I42" r:id="rId153"/>
    <hyperlink xmlns:r="http://schemas.openxmlformats.org/officeDocument/2006/relationships" ref="J42" display="37" r:id="rId154"/>
    <hyperlink xmlns:r="http://schemas.openxmlformats.org/officeDocument/2006/relationships" ref="K42" display="13/06/2025" r:id="rId155"/>
    <hyperlink xmlns:r="http://schemas.openxmlformats.org/officeDocument/2006/relationships" ref="L42" r:id="rId156"/>
    <hyperlink xmlns:r="http://schemas.openxmlformats.org/officeDocument/2006/relationships" ref="I43" r:id="rId157"/>
    <hyperlink xmlns:r="http://schemas.openxmlformats.org/officeDocument/2006/relationships" ref="J43" display="2" r:id="rId158"/>
    <hyperlink xmlns:r="http://schemas.openxmlformats.org/officeDocument/2006/relationships" ref="K43" display="13/06/2025" r:id="rId159"/>
    <hyperlink xmlns:r="http://schemas.openxmlformats.org/officeDocument/2006/relationships" ref="L43" r:id="rId160"/>
    <hyperlink xmlns:r="http://schemas.openxmlformats.org/officeDocument/2006/relationships" ref="I44" r:id="rId161"/>
    <hyperlink xmlns:r="http://schemas.openxmlformats.org/officeDocument/2006/relationships" ref="J44" display="53" r:id="rId162"/>
    <hyperlink xmlns:r="http://schemas.openxmlformats.org/officeDocument/2006/relationships" ref="K44" display="13/06/2025" r:id="rId163"/>
    <hyperlink xmlns:r="http://schemas.openxmlformats.org/officeDocument/2006/relationships" ref="L44" r:id="rId164"/>
    <hyperlink xmlns:r="http://schemas.openxmlformats.org/officeDocument/2006/relationships" ref="I45" r:id="rId165"/>
    <hyperlink xmlns:r="http://schemas.openxmlformats.org/officeDocument/2006/relationships" ref="J45" display="486" r:id="rId166"/>
    <hyperlink xmlns:r="http://schemas.openxmlformats.org/officeDocument/2006/relationships" ref="K45" display="13/06/2025" r:id="rId167"/>
    <hyperlink xmlns:r="http://schemas.openxmlformats.org/officeDocument/2006/relationships" ref="I46" r:id="rId168"/>
    <hyperlink xmlns:r="http://schemas.openxmlformats.org/officeDocument/2006/relationships" ref="J46" display="11" r:id="rId169"/>
    <hyperlink xmlns:r="http://schemas.openxmlformats.org/officeDocument/2006/relationships" ref="K46" display="13/06/2025" r:id="rId170"/>
    <hyperlink xmlns:r="http://schemas.openxmlformats.org/officeDocument/2006/relationships" ref="L46" r:id="rId171"/>
    <hyperlink xmlns:r="http://schemas.openxmlformats.org/officeDocument/2006/relationships" ref="I47" r:id="rId172"/>
    <hyperlink xmlns:r="http://schemas.openxmlformats.org/officeDocument/2006/relationships" ref="J47" display="3" r:id="rId173"/>
    <hyperlink xmlns:r="http://schemas.openxmlformats.org/officeDocument/2006/relationships" ref="K47" display="13/06/2025" r:id="rId174"/>
    <hyperlink xmlns:r="http://schemas.openxmlformats.org/officeDocument/2006/relationships" ref="L47" r:id="rId175"/>
    <hyperlink xmlns:r="http://schemas.openxmlformats.org/officeDocument/2006/relationships" ref="I48" r:id="rId176"/>
    <hyperlink xmlns:r="http://schemas.openxmlformats.org/officeDocument/2006/relationships" ref="J48" display="2" r:id="rId177"/>
    <hyperlink xmlns:r="http://schemas.openxmlformats.org/officeDocument/2006/relationships" ref="K48" display="13/06/2025" r:id="rId178"/>
    <hyperlink xmlns:r="http://schemas.openxmlformats.org/officeDocument/2006/relationships" ref="L48" r:id="rId179"/>
    <hyperlink xmlns:r="http://schemas.openxmlformats.org/officeDocument/2006/relationships" ref="I49" r:id="rId180"/>
    <hyperlink xmlns:r="http://schemas.openxmlformats.org/officeDocument/2006/relationships" ref="J49" display="11" r:id="rId181"/>
    <hyperlink xmlns:r="http://schemas.openxmlformats.org/officeDocument/2006/relationships" ref="K49" display="05/05/2025" r:id="rId182"/>
    <hyperlink xmlns:r="http://schemas.openxmlformats.org/officeDocument/2006/relationships" ref="L49" r:id="rId183"/>
    <hyperlink xmlns:r="http://schemas.openxmlformats.org/officeDocument/2006/relationships" ref="I50" r:id="rId184"/>
    <hyperlink xmlns:r="http://schemas.openxmlformats.org/officeDocument/2006/relationships" ref="J50" display="427" r:id="rId185"/>
    <hyperlink xmlns:r="http://schemas.openxmlformats.org/officeDocument/2006/relationships" ref="K50" display="11/04/2025" r:id="rId186"/>
    <hyperlink xmlns:r="http://schemas.openxmlformats.org/officeDocument/2006/relationships" ref="I51" r:id="rId187"/>
    <hyperlink xmlns:r="http://schemas.openxmlformats.org/officeDocument/2006/relationships" ref="J51" display="160" r:id="rId188"/>
    <hyperlink xmlns:r="http://schemas.openxmlformats.org/officeDocument/2006/relationships" ref="K51" display="11/04/2025" r:id="rId189"/>
    <hyperlink xmlns:r="http://schemas.openxmlformats.org/officeDocument/2006/relationships" ref="L51" r:id="rId190"/>
    <hyperlink xmlns:r="http://schemas.openxmlformats.org/officeDocument/2006/relationships" ref="I52" r:id="rId191"/>
    <hyperlink xmlns:r="http://schemas.openxmlformats.org/officeDocument/2006/relationships" ref="J52" display="16" r:id="rId192"/>
    <hyperlink xmlns:r="http://schemas.openxmlformats.org/officeDocument/2006/relationships" ref="K52" display="11/04/2025" r:id="rId193"/>
    <hyperlink xmlns:r="http://schemas.openxmlformats.org/officeDocument/2006/relationships" ref="L52" r:id="rId194"/>
    <hyperlink xmlns:r="http://schemas.openxmlformats.org/officeDocument/2006/relationships" ref="I53" r:id="rId195"/>
    <hyperlink xmlns:r="http://schemas.openxmlformats.org/officeDocument/2006/relationships" ref="J53" display="30" r:id="rId196"/>
    <hyperlink xmlns:r="http://schemas.openxmlformats.org/officeDocument/2006/relationships" ref="K53" display="29/04/2025" r:id="rId197"/>
    <hyperlink xmlns:r="http://schemas.openxmlformats.org/officeDocument/2006/relationships" ref="L53" r:id="rId198"/>
    <hyperlink xmlns:r="http://schemas.openxmlformats.org/officeDocument/2006/relationships" ref="I54" r:id="rId199"/>
    <hyperlink xmlns:r="http://schemas.openxmlformats.org/officeDocument/2006/relationships" ref="J54" display="54" r:id="rId200"/>
    <hyperlink xmlns:r="http://schemas.openxmlformats.org/officeDocument/2006/relationships" ref="K54" display="11/04/2025" r:id="rId201"/>
    <hyperlink xmlns:r="http://schemas.openxmlformats.org/officeDocument/2006/relationships" ref="L54" r:id="rId202"/>
    <hyperlink xmlns:r="http://schemas.openxmlformats.org/officeDocument/2006/relationships" ref="I55" r:id="rId203"/>
    <hyperlink xmlns:r="http://schemas.openxmlformats.org/officeDocument/2006/relationships" ref="J55" display="413" r:id="rId204"/>
    <hyperlink xmlns:r="http://schemas.openxmlformats.org/officeDocument/2006/relationships" ref="K55" display="11/04/2025" r:id="rId205"/>
    <hyperlink xmlns:r="http://schemas.openxmlformats.org/officeDocument/2006/relationships" ref="I56" r:id="rId206"/>
    <hyperlink xmlns:r="http://schemas.openxmlformats.org/officeDocument/2006/relationships" ref="J56" display="34" r:id="rId207"/>
    <hyperlink xmlns:r="http://schemas.openxmlformats.org/officeDocument/2006/relationships" ref="K56" display="11/04/2025" r:id="rId208"/>
    <hyperlink xmlns:r="http://schemas.openxmlformats.org/officeDocument/2006/relationships" ref="L56" r:id="rId209"/>
    <hyperlink xmlns:r="http://schemas.openxmlformats.org/officeDocument/2006/relationships" ref="I58" r:id="rId210"/>
    <hyperlink xmlns:r="http://schemas.openxmlformats.org/officeDocument/2006/relationships" ref="J58" display="2" r:id="rId211"/>
    <hyperlink xmlns:r="http://schemas.openxmlformats.org/officeDocument/2006/relationships" ref="K58" display="26/03/2025" r:id="rId212"/>
    <hyperlink xmlns:r="http://schemas.openxmlformats.org/officeDocument/2006/relationships" ref="L58" r:id="rId213"/>
    <hyperlink xmlns:r="http://schemas.openxmlformats.org/officeDocument/2006/relationships" ref="I60" r:id="rId214"/>
    <hyperlink xmlns:r="http://schemas.openxmlformats.org/officeDocument/2006/relationships" ref="J60" display="6" r:id="rId215"/>
    <hyperlink xmlns:r="http://schemas.openxmlformats.org/officeDocument/2006/relationships" ref="K60" display="14/02/2025" r:id="rId216"/>
    <hyperlink xmlns:r="http://schemas.openxmlformats.org/officeDocument/2006/relationships" ref="L60" r:id="rId217"/>
    <hyperlink xmlns:r="http://schemas.openxmlformats.org/officeDocument/2006/relationships" ref="I62" r:id="rId218"/>
    <hyperlink xmlns:r="http://schemas.openxmlformats.org/officeDocument/2006/relationships" ref="J62" display="553" r:id="rId219"/>
    <hyperlink xmlns:r="http://schemas.openxmlformats.org/officeDocument/2006/relationships" ref="K62" display="14/02/2025" r:id="rId220"/>
    <hyperlink xmlns:r="http://schemas.openxmlformats.org/officeDocument/2006/relationships" ref="I64" r:id="rId221"/>
    <hyperlink xmlns:r="http://schemas.openxmlformats.org/officeDocument/2006/relationships" ref="J64" display="160" r:id="rId222"/>
    <hyperlink xmlns:r="http://schemas.openxmlformats.org/officeDocument/2006/relationships" ref="K64" display="14/02/2025" r:id="rId223"/>
    <hyperlink xmlns:r="http://schemas.openxmlformats.org/officeDocument/2006/relationships" ref="L64" r:id="rId224"/>
    <hyperlink xmlns:r="http://schemas.openxmlformats.org/officeDocument/2006/relationships" ref="I66" r:id="rId225"/>
    <hyperlink xmlns:r="http://schemas.openxmlformats.org/officeDocument/2006/relationships" ref="J66" display="14" r:id="rId226"/>
    <hyperlink xmlns:r="http://schemas.openxmlformats.org/officeDocument/2006/relationships" ref="K66" display="14/02/2025" r:id="rId227"/>
    <hyperlink xmlns:r="http://schemas.openxmlformats.org/officeDocument/2006/relationships" ref="L66" r:id="rId228"/>
    <hyperlink xmlns:r="http://schemas.openxmlformats.org/officeDocument/2006/relationships" ref="I68" r:id="rId229"/>
    <hyperlink xmlns:r="http://schemas.openxmlformats.org/officeDocument/2006/relationships" ref="J68" display="30" r:id="rId230"/>
    <hyperlink xmlns:r="http://schemas.openxmlformats.org/officeDocument/2006/relationships" ref="K68" display="04/03/2025" r:id="rId231"/>
    <hyperlink xmlns:r="http://schemas.openxmlformats.org/officeDocument/2006/relationships" ref="L68" r:id="rId232"/>
    <hyperlink xmlns:r="http://schemas.openxmlformats.org/officeDocument/2006/relationships" ref="I70" r:id="rId233"/>
    <hyperlink xmlns:r="http://schemas.openxmlformats.org/officeDocument/2006/relationships" ref="J70" display="54" r:id="rId234"/>
    <hyperlink xmlns:r="http://schemas.openxmlformats.org/officeDocument/2006/relationships" ref="K70" display="14/02/2025" r:id="rId235"/>
    <hyperlink xmlns:r="http://schemas.openxmlformats.org/officeDocument/2006/relationships" ref="L70" r:id="rId236"/>
    <hyperlink xmlns:r="http://schemas.openxmlformats.org/officeDocument/2006/relationships" ref="I72" r:id="rId237"/>
    <hyperlink xmlns:r="http://schemas.openxmlformats.org/officeDocument/2006/relationships" ref="J72" display="184" r:id="rId238"/>
    <hyperlink xmlns:r="http://schemas.openxmlformats.org/officeDocument/2006/relationships" ref="K72" display="14/02/2025" r:id="rId239"/>
    <hyperlink xmlns:r="http://schemas.openxmlformats.org/officeDocument/2006/relationships" ref="I74" r:id="rId240"/>
    <hyperlink xmlns:r="http://schemas.openxmlformats.org/officeDocument/2006/relationships" ref="J74" display="17" r:id="rId241"/>
    <hyperlink xmlns:r="http://schemas.openxmlformats.org/officeDocument/2006/relationships" ref="K74" display="14/02/2025" r:id="rId242"/>
    <hyperlink xmlns:r="http://schemas.openxmlformats.org/officeDocument/2006/relationships" ref="L74" r:id="rId243"/>
    <hyperlink xmlns:r="http://schemas.openxmlformats.org/officeDocument/2006/relationships" ref="I76" r:id="rId244"/>
    <hyperlink xmlns:r="http://schemas.openxmlformats.org/officeDocument/2006/relationships" ref="J76" display="2" r:id="rId245"/>
    <hyperlink xmlns:r="http://schemas.openxmlformats.org/officeDocument/2006/relationships" ref="K76" display="09/02/2025" r:id="rId246"/>
    <hyperlink xmlns:r="http://schemas.openxmlformats.org/officeDocument/2006/relationships" ref="L76" r:id="rId247"/>
    <hyperlink xmlns:r="http://schemas.openxmlformats.org/officeDocument/2006/relationships" ref="I78" r:id="rId248"/>
    <hyperlink xmlns:r="http://schemas.openxmlformats.org/officeDocument/2006/relationships" ref="J78" display="495" r:id="rId249"/>
    <hyperlink xmlns:r="http://schemas.openxmlformats.org/officeDocument/2006/relationships" ref="K78" display="24/01/2025" r:id="rId250"/>
    <hyperlink xmlns:r="http://schemas.openxmlformats.org/officeDocument/2006/relationships" ref="L78" r:id="rId251"/>
    <hyperlink xmlns:r="http://schemas.openxmlformats.org/officeDocument/2006/relationships" ref="I80" r:id="rId252"/>
    <hyperlink xmlns:r="http://schemas.openxmlformats.org/officeDocument/2006/relationships" ref="J80" display="27" r:id="rId253"/>
    <hyperlink xmlns:r="http://schemas.openxmlformats.org/officeDocument/2006/relationships" ref="K80" display="24/01/2025" r:id="rId254"/>
    <hyperlink xmlns:r="http://schemas.openxmlformats.org/officeDocument/2006/relationships" ref="L80" r:id="rId255"/>
    <hyperlink xmlns:r="http://schemas.openxmlformats.org/officeDocument/2006/relationships" ref="I82" r:id="rId256"/>
    <hyperlink xmlns:r="http://schemas.openxmlformats.org/officeDocument/2006/relationships" ref="J82" display="25" r:id="rId257"/>
    <hyperlink xmlns:r="http://schemas.openxmlformats.org/officeDocument/2006/relationships" ref="K82" display="24/01/2025" r:id="rId258"/>
    <hyperlink xmlns:r="http://schemas.openxmlformats.org/officeDocument/2006/relationships" ref="L82" r:id="rId259"/>
    <hyperlink xmlns:r="http://schemas.openxmlformats.org/officeDocument/2006/relationships" ref="I84" r:id="rId260"/>
    <hyperlink xmlns:r="http://schemas.openxmlformats.org/officeDocument/2006/relationships" ref="J84" display="8" r:id="rId261"/>
    <hyperlink xmlns:r="http://schemas.openxmlformats.org/officeDocument/2006/relationships" ref="K84" display="03/01/2025" r:id="rId262"/>
    <hyperlink xmlns:r="http://schemas.openxmlformats.org/officeDocument/2006/relationships" ref="I86" r:id="rId263"/>
    <hyperlink xmlns:r="http://schemas.openxmlformats.org/officeDocument/2006/relationships" ref="J86" display="19" r:id="rId264"/>
    <hyperlink xmlns:r="http://schemas.openxmlformats.org/officeDocument/2006/relationships" ref="K86" display="01/01/2025" r:id="rId265"/>
    <hyperlink xmlns:r="http://schemas.openxmlformats.org/officeDocument/2006/relationships" ref="I88" r:id="rId266"/>
    <hyperlink xmlns:r="http://schemas.openxmlformats.org/officeDocument/2006/relationships" ref="J88" display="17" r:id="rId267"/>
    <hyperlink xmlns:r="http://schemas.openxmlformats.org/officeDocument/2006/relationships" ref="K88" display="01/01/2025" r:id="rId268"/>
    <hyperlink xmlns:r="http://schemas.openxmlformats.org/officeDocument/2006/relationships" ref="L88" r:id="rId269"/>
    <hyperlink xmlns:r="http://schemas.openxmlformats.org/officeDocument/2006/relationships" ref="I90" r:id="rId270"/>
    <hyperlink xmlns:r="http://schemas.openxmlformats.org/officeDocument/2006/relationships" ref="J90" display="398" r:id="rId271"/>
    <hyperlink xmlns:r="http://schemas.openxmlformats.org/officeDocument/2006/relationships" ref="K90" display="10/12/2024" r:id="rId272"/>
    <hyperlink xmlns:r="http://schemas.openxmlformats.org/officeDocument/2006/relationships" ref="L90" r:id="rId273"/>
    <hyperlink xmlns:r="http://schemas.openxmlformats.org/officeDocument/2006/relationships" ref="I92" r:id="rId274"/>
    <hyperlink xmlns:r="http://schemas.openxmlformats.org/officeDocument/2006/relationships" ref="J92" display="730" r:id="rId275"/>
    <hyperlink xmlns:r="http://schemas.openxmlformats.org/officeDocument/2006/relationships" ref="K92" display="15/11/2024" r:id="rId276"/>
    <hyperlink xmlns:r="http://schemas.openxmlformats.org/officeDocument/2006/relationships" ref="I94" r:id="rId277"/>
    <hyperlink xmlns:r="http://schemas.openxmlformats.org/officeDocument/2006/relationships" ref="J94" display="93" r:id="rId278"/>
    <hyperlink xmlns:r="http://schemas.openxmlformats.org/officeDocument/2006/relationships" ref="K94" display="15/11/2024" r:id="rId279"/>
    <hyperlink xmlns:r="http://schemas.openxmlformats.org/officeDocument/2006/relationships" ref="L94" r:id="rId280"/>
    <hyperlink xmlns:r="http://schemas.openxmlformats.org/officeDocument/2006/relationships" ref="I96" r:id="rId281"/>
    <hyperlink xmlns:r="http://schemas.openxmlformats.org/officeDocument/2006/relationships" ref="J96" display="33" r:id="rId282"/>
    <hyperlink xmlns:r="http://schemas.openxmlformats.org/officeDocument/2006/relationships" ref="K96" display="15/11/2024" r:id="rId283"/>
    <hyperlink xmlns:r="http://schemas.openxmlformats.org/officeDocument/2006/relationships" ref="L96" r:id="rId284"/>
    <hyperlink xmlns:r="http://schemas.openxmlformats.org/officeDocument/2006/relationships" ref="I98" r:id="rId285"/>
    <hyperlink xmlns:r="http://schemas.openxmlformats.org/officeDocument/2006/relationships" ref="J98" display="55" r:id="rId286"/>
    <hyperlink xmlns:r="http://schemas.openxmlformats.org/officeDocument/2006/relationships" ref="K98" display="15/11/2024" r:id="rId287"/>
    <hyperlink xmlns:r="http://schemas.openxmlformats.org/officeDocument/2006/relationships" ref="L98" r:id="rId288"/>
    <hyperlink xmlns:r="http://schemas.openxmlformats.org/officeDocument/2006/relationships" ref="I100" r:id="rId289"/>
    <hyperlink xmlns:r="http://schemas.openxmlformats.org/officeDocument/2006/relationships" ref="J100" display="3" r:id="rId290"/>
    <hyperlink xmlns:r="http://schemas.openxmlformats.org/officeDocument/2006/relationships" ref="K100" display="15/11/2024" r:id="rId291"/>
    <hyperlink xmlns:r="http://schemas.openxmlformats.org/officeDocument/2006/relationships" ref="L100" r:id="rId292"/>
    <hyperlink xmlns:r="http://schemas.openxmlformats.org/officeDocument/2006/relationships" ref="I102" r:id="rId293"/>
    <hyperlink xmlns:r="http://schemas.openxmlformats.org/officeDocument/2006/relationships" ref="J102" display="779" r:id="rId294"/>
    <hyperlink xmlns:r="http://schemas.openxmlformats.org/officeDocument/2006/relationships" ref="K102" display="15/11/2024" r:id="rId295"/>
    <hyperlink xmlns:r="http://schemas.openxmlformats.org/officeDocument/2006/relationships" ref="I104" r:id="rId296"/>
    <hyperlink xmlns:r="http://schemas.openxmlformats.org/officeDocument/2006/relationships" ref="J104" display="46" r:id="rId297"/>
    <hyperlink xmlns:r="http://schemas.openxmlformats.org/officeDocument/2006/relationships" ref="K104" display="15/11/2024" r:id="rId298"/>
    <hyperlink xmlns:r="http://schemas.openxmlformats.org/officeDocument/2006/relationships" ref="L104" r:id="rId299"/>
    <hyperlink xmlns:r="http://schemas.openxmlformats.org/officeDocument/2006/relationships" ref="I106" r:id="rId300"/>
    <hyperlink xmlns:r="http://schemas.openxmlformats.org/officeDocument/2006/relationships" ref="J106" display="10" r:id="rId301"/>
    <hyperlink xmlns:r="http://schemas.openxmlformats.org/officeDocument/2006/relationships" ref="K106" display="15/11/2024" r:id="rId302"/>
    <hyperlink xmlns:r="http://schemas.openxmlformats.org/officeDocument/2006/relationships" ref="I108" r:id="rId303"/>
    <hyperlink xmlns:r="http://schemas.openxmlformats.org/officeDocument/2006/relationships" ref="J108" display="418" r:id="rId304"/>
    <hyperlink xmlns:r="http://schemas.openxmlformats.org/officeDocument/2006/relationships" ref="K108" display="27/09/2024" r:id="rId305"/>
    <hyperlink xmlns:r="http://schemas.openxmlformats.org/officeDocument/2006/relationships" ref="I110" r:id="rId306"/>
    <hyperlink xmlns:r="http://schemas.openxmlformats.org/officeDocument/2006/relationships" ref="J110" display="160" r:id="rId307"/>
    <hyperlink xmlns:r="http://schemas.openxmlformats.org/officeDocument/2006/relationships" ref="K110" display="27/09/2024" r:id="rId308"/>
    <hyperlink xmlns:r="http://schemas.openxmlformats.org/officeDocument/2006/relationships" ref="L110" r:id="rId309"/>
    <hyperlink xmlns:r="http://schemas.openxmlformats.org/officeDocument/2006/relationships" ref="I112" r:id="rId310"/>
    <hyperlink xmlns:r="http://schemas.openxmlformats.org/officeDocument/2006/relationships" ref="J112" display="19" r:id="rId311"/>
    <hyperlink xmlns:r="http://schemas.openxmlformats.org/officeDocument/2006/relationships" ref="K112" display="27/09/2024" r:id="rId312"/>
    <hyperlink xmlns:r="http://schemas.openxmlformats.org/officeDocument/2006/relationships" ref="L112" r:id="rId313"/>
    <hyperlink xmlns:r="http://schemas.openxmlformats.org/officeDocument/2006/relationships" ref="I114" r:id="rId314"/>
    <hyperlink xmlns:r="http://schemas.openxmlformats.org/officeDocument/2006/relationships" ref="J114" display="30" r:id="rId315"/>
    <hyperlink xmlns:r="http://schemas.openxmlformats.org/officeDocument/2006/relationships" ref="K114" display="15/10/2024" r:id="rId316"/>
    <hyperlink xmlns:r="http://schemas.openxmlformats.org/officeDocument/2006/relationships" ref="L114" r:id="rId317"/>
    <hyperlink xmlns:r="http://schemas.openxmlformats.org/officeDocument/2006/relationships" ref="I116" r:id="rId318"/>
    <hyperlink xmlns:r="http://schemas.openxmlformats.org/officeDocument/2006/relationships" ref="J116" display="373" r:id="rId319"/>
    <hyperlink xmlns:r="http://schemas.openxmlformats.org/officeDocument/2006/relationships" ref="K116" display="27/09/2024" r:id="rId320"/>
    <hyperlink xmlns:r="http://schemas.openxmlformats.org/officeDocument/2006/relationships" ref="I118" r:id="rId321"/>
    <hyperlink xmlns:r="http://schemas.openxmlformats.org/officeDocument/2006/relationships" ref="J118" display="23" r:id="rId322"/>
    <hyperlink xmlns:r="http://schemas.openxmlformats.org/officeDocument/2006/relationships" ref="K118" display="27/09/2024" r:id="rId323"/>
    <hyperlink xmlns:r="http://schemas.openxmlformats.org/officeDocument/2006/relationships" ref="L118" r:id="rId324"/>
    <hyperlink xmlns:r="http://schemas.openxmlformats.org/officeDocument/2006/relationships" ref="I120" r:id="rId325"/>
    <hyperlink xmlns:r="http://schemas.openxmlformats.org/officeDocument/2006/relationships" ref="J120" display="54" r:id="rId326"/>
    <hyperlink xmlns:r="http://schemas.openxmlformats.org/officeDocument/2006/relationships" ref="K120" display="27/09/2024" r:id="rId327"/>
    <hyperlink xmlns:r="http://schemas.openxmlformats.org/officeDocument/2006/relationships" ref="L120" r:id="rId328"/>
    <hyperlink xmlns:r="http://schemas.openxmlformats.org/officeDocument/2006/relationships" ref="I122" r:id="rId329"/>
    <hyperlink xmlns:r="http://schemas.openxmlformats.org/officeDocument/2006/relationships" ref="J122" display="7" r:id="rId330"/>
    <hyperlink xmlns:r="http://schemas.openxmlformats.org/officeDocument/2006/relationships" ref="K122" display="06/08/2024" r:id="rId331"/>
    <hyperlink xmlns:r="http://schemas.openxmlformats.org/officeDocument/2006/relationships" ref="I124" r:id="rId332"/>
    <hyperlink xmlns:r="http://schemas.openxmlformats.org/officeDocument/2006/relationships" ref="J124" display="385" r:id="rId333"/>
    <hyperlink xmlns:r="http://schemas.openxmlformats.org/officeDocument/2006/relationships" ref="K124" display="02/08/2024" r:id="rId334"/>
    <hyperlink xmlns:r="http://schemas.openxmlformats.org/officeDocument/2006/relationships" ref="L124" r:id="rId335"/>
    <hyperlink xmlns:r="http://schemas.openxmlformats.org/officeDocument/2006/relationships" ref="I126" r:id="rId336"/>
    <hyperlink xmlns:r="http://schemas.openxmlformats.org/officeDocument/2006/relationships" ref="J126" display="398" r:id="rId337"/>
    <hyperlink xmlns:r="http://schemas.openxmlformats.org/officeDocument/2006/relationships" ref="K126" display="02/08/2024" r:id="rId338"/>
    <hyperlink xmlns:r="http://schemas.openxmlformats.org/officeDocument/2006/relationships" ref="I128" r:id="rId339"/>
    <hyperlink xmlns:r="http://schemas.openxmlformats.org/officeDocument/2006/relationships" ref="J128" display="160" r:id="rId340"/>
    <hyperlink xmlns:r="http://schemas.openxmlformats.org/officeDocument/2006/relationships" ref="K128" display="02/08/2024" r:id="rId341"/>
    <hyperlink xmlns:r="http://schemas.openxmlformats.org/officeDocument/2006/relationships" ref="L128" r:id="rId342"/>
    <hyperlink xmlns:r="http://schemas.openxmlformats.org/officeDocument/2006/relationships" ref="I130" r:id="rId343"/>
    <hyperlink xmlns:r="http://schemas.openxmlformats.org/officeDocument/2006/relationships" ref="J130" display="30" r:id="rId344"/>
    <hyperlink xmlns:r="http://schemas.openxmlformats.org/officeDocument/2006/relationships" ref="K130" display="02/08/2024" r:id="rId345"/>
    <hyperlink xmlns:r="http://schemas.openxmlformats.org/officeDocument/2006/relationships" ref="L130" r:id="rId346"/>
    <hyperlink xmlns:r="http://schemas.openxmlformats.org/officeDocument/2006/relationships" ref="I132" r:id="rId347"/>
    <hyperlink xmlns:r="http://schemas.openxmlformats.org/officeDocument/2006/relationships" ref="J132" display="30" r:id="rId348"/>
    <hyperlink xmlns:r="http://schemas.openxmlformats.org/officeDocument/2006/relationships" ref="K132" display="20/08/2024" r:id="rId349"/>
    <hyperlink xmlns:r="http://schemas.openxmlformats.org/officeDocument/2006/relationships" ref="L132" r:id="rId350"/>
    <hyperlink xmlns:r="http://schemas.openxmlformats.org/officeDocument/2006/relationships" ref="I134" r:id="rId351"/>
    <hyperlink xmlns:r="http://schemas.openxmlformats.org/officeDocument/2006/relationships" ref="J134" display="54" r:id="rId352"/>
    <hyperlink xmlns:r="http://schemas.openxmlformats.org/officeDocument/2006/relationships" ref="K134" display="02/08/2024" r:id="rId353"/>
    <hyperlink xmlns:r="http://schemas.openxmlformats.org/officeDocument/2006/relationships" ref="L134" r:id="rId354"/>
    <hyperlink xmlns:r="http://schemas.openxmlformats.org/officeDocument/2006/relationships" ref="I136" r:id="rId355"/>
    <hyperlink xmlns:r="http://schemas.openxmlformats.org/officeDocument/2006/relationships" ref="J136" display="356" r:id="rId356"/>
    <hyperlink xmlns:r="http://schemas.openxmlformats.org/officeDocument/2006/relationships" ref="K136" display="02/08/2024" r:id="rId357"/>
    <hyperlink xmlns:r="http://schemas.openxmlformats.org/officeDocument/2006/relationships" ref="I138" r:id="rId358"/>
    <hyperlink xmlns:r="http://schemas.openxmlformats.org/officeDocument/2006/relationships" ref="J138" display="41" r:id="rId359"/>
    <hyperlink xmlns:r="http://schemas.openxmlformats.org/officeDocument/2006/relationships" ref="K138" display="02/08/2024" r:id="rId360"/>
    <hyperlink xmlns:r="http://schemas.openxmlformats.org/officeDocument/2006/relationships" ref="L138" r:id="rId361"/>
    <hyperlink xmlns:r="http://schemas.openxmlformats.org/officeDocument/2006/relationships" ref="I140" r:id="rId362"/>
    <hyperlink xmlns:r="http://schemas.openxmlformats.org/officeDocument/2006/relationships" ref="J140" display="5" r:id="rId363"/>
    <hyperlink xmlns:r="http://schemas.openxmlformats.org/officeDocument/2006/relationships" ref="K140" display="02/08/2024" r:id="rId364"/>
    <hyperlink xmlns:r="http://schemas.openxmlformats.org/officeDocument/2006/relationships" ref="L140" r:id="rId365"/>
    <hyperlink xmlns:r="http://schemas.openxmlformats.org/officeDocument/2006/relationships" ref="I142" r:id="rId366"/>
    <hyperlink xmlns:r="http://schemas.openxmlformats.org/officeDocument/2006/relationships" ref="J142" display="309" r:id="rId367"/>
    <hyperlink xmlns:r="http://schemas.openxmlformats.org/officeDocument/2006/relationships" ref="K142" display="05/07/2024" r:id="rId368"/>
    <hyperlink xmlns:r="http://schemas.openxmlformats.org/officeDocument/2006/relationships" ref="I144" r:id="rId369"/>
    <hyperlink xmlns:r="http://schemas.openxmlformats.org/officeDocument/2006/relationships" ref="J144" display="8" r:id="rId370"/>
    <hyperlink xmlns:r="http://schemas.openxmlformats.org/officeDocument/2006/relationships" ref="K144" display="05/07/2024" r:id="rId371"/>
    <hyperlink xmlns:r="http://schemas.openxmlformats.org/officeDocument/2006/relationships" ref="L144" r:id="rId372"/>
    <hyperlink xmlns:r="http://schemas.openxmlformats.org/officeDocument/2006/relationships" ref="I146" r:id="rId373"/>
    <hyperlink xmlns:r="http://schemas.openxmlformats.org/officeDocument/2006/relationships" ref="J146" display="3" r:id="rId374"/>
    <hyperlink xmlns:r="http://schemas.openxmlformats.org/officeDocument/2006/relationships" ref="K146" display="05/07/2024" r:id="rId375"/>
    <hyperlink xmlns:r="http://schemas.openxmlformats.org/officeDocument/2006/relationships" ref="L146" r:id="rId376"/>
    <hyperlink xmlns:r="http://schemas.openxmlformats.org/officeDocument/2006/relationships" ref="I148" r:id="rId377"/>
    <hyperlink xmlns:r="http://schemas.openxmlformats.org/officeDocument/2006/relationships" ref="J148" display="20" r:id="rId378"/>
    <hyperlink xmlns:r="http://schemas.openxmlformats.org/officeDocument/2006/relationships" ref="K148" display="05/07/2024" r:id="rId379"/>
    <hyperlink xmlns:r="http://schemas.openxmlformats.org/officeDocument/2006/relationships" ref="L148" r:id="rId380"/>
    <hyperlink xmlns:r="http://schemas.openxmlformats.org/officeDocument/2006/relationships" ref="I150" r:id="rId381"/>
    <hyperlink xmlns:r="http://schemas.openxmlformats.org/officeDocument/2006/relationships" ref="J150" display="528" r:id="rId382"/>
    <hyperlink xmlns:r="http://schemas.openxmlformats.org/officeDocument/2006/relationships" ref="K150" display="14/06/2024" r:id="rId383"/>
    <hyperlink xmlns:r="http://schemas.openxmlformats.org/officeDocument/2006/relationships" ref="I152" r:id="rId384"/>
    <hyperlink xmlns:r="http://schemas.openxmlformats.org/officeDocument/2006/relationships" ref="J152" display="85" r:id="rId385"/>
    <hyperlink xmlns:r="http://schemas.openxmlformats.org/officeDocument/2006/relationships" ref="K152" display="14/06/2024" r:id="rId386"/>
    <hyperlink xmlns:r="http://schemas.openxmlformats.org/officeDocument/2006/relationships" ref="L152" r:id="rId387"/>
    <hyperlink xmlns:r="http://schemas.openxmlformats.org/officeDocument/2006/relationships" ref="I154" r:id="rId388"/>
    <hyperlink xmlns:r="http://schemas.openxmlformats.org/officeDocument/2006/relationships" ref="J154" display="43" r:id="rId389"/>
    <hyperlink xmlns:r="http://schemas.openxmlformats.org/officeDocument/2006/relationships" ref="K154" display="14/06/2024" r:id="rId390"/>
    <hyperlink xmlns:r="http://schemas.openxmlformats.org/officeDocument/2006/relationships" ref="L154" r:id="rId391"/>
    <hyperlink xmlns:r="http://schemas.openxmlformats.org/officeDocument/2006/relationships" ref="I156" r:id="rId392"/>
    <hyperlink xmlns:r="http://schemas.openxmlformats.org/officeDocument/2006/relationships" ref="J156" display="1" r:id="rId393"/>
    <hyperlink xmlns:r="http://schemas.openxmlformats.org/officeDocument/2006/relationships" ref="K156" display="14/06/2024" r:id="rId394"/>
    <hyperlink xmlns:r="http://schemas.openxmlformats.org/officeDocument/2006/relationships" ref="L156" r:id="rId395"/>
    <hyperlink xmlns:r="http://schemas.openxmlformats.org/officeDocument/2006/relationships" ref="I158" r:id="rId396"/>
    <hyperlink xmlns:r="http://schemas.openxmlformats.org/officeDocument/2006/relationships" ref="J158" display="398" r:id="rId397"/>
    <hyperlink xmlns:r="http://schemas.openxmlformats.org/officeDocument/2006/relationships" ref="K158" display="14/06/2024" r:id="rId398"/>
    <hyperlink xmlns:r="http://schemas.openxmlformats.org/officeDocument/2006/relationships" ref="I160" r:id="rId399"/>
    <hyperlink xmlns:r="http://schemas.openxmlformats.org/officeDocument/2006/relationships" ref="J160" display="28" r:id="rId400"/>
    <hyperlink xmlns:r="http://schemas.openxmlformats.org/officeDocument/2006/relationships" ref="K160" display="14/06/2024" r:id="rId401"/>
    <hyperlink xmlns:r="http://schemas.openxmlformats.org/officeDocument/2006/relationships" ref="L160" r:id="rId402"/>
    <hyperlink xmlns:r="http://schemas.openxmlformats.org/officeDocument/2006/relationships" ref="I162" r:id="rId403"/>
    <hyperlink xmlns:r="http://schemas.openxmlformats.org/officeDocument/2006/relationships" ref="J162" display="54" r:id="rId404"/>
    <hyperlink xmlns:r="http://schemas.openxmlformats.org/officeDocument/2006/relationships" ref="K162" display="14/06/2024" r:id="rId405"/>
    <hyperlink xmlns:r="http://schemas.openxmlformats.org/officeDocument/2006/relationships" ref="L162" r:id="rId406"/>
    <hyperlink xmlns:r="http://schemas.openxmlformats.org/officeDocument/2006/relationships" ref="I164" r:id="rId407"/>
    <hyperlink xmlns:r="http://schemas.openxmlformats.org/officeDocument/2006/relationships" ref="J164" display="16" r:id="rId408"/>
    <hyperlink xmlns:r="http://schemas.openxmlformats.org/officeDocument/2006/relationships" ref="K164" display="07/06/2024" r:id="rId409"/>
    <hyperlink xmlns:r="http://schemas.openxmlformats.org/officeDocument/2006/relationships" ref="L164" r:id="rId410"/>
    <hyperlink xmlns:r="http://schemas.openxmlformats.org/officeDocument/2006/relationships" ref="I166" r:id="rId411"/>
    <hyperlink xmlns:r="http://schemas.openxmlformats.org/officeDocument/2006/relationships" ref="J166" display="374" r:id="rId412"/>
    <hyperlink xmlns:r="http://schemas.openxmlformats.org/officeDocument/2006/relationships" ref="K166" display="19/04/2024" r:id="rId413"/>
    <hyperlink xmlns:r="http://schemas.openxmlformats.org/officeDocument/2006/relationships" ref="I168" r:id="rId414"/>
    <hyperlink xmlns:r="http://schemas.openxmlformats.org/officeDocument/2006/relationships" ref="J168" display="80" r:id="rId415"/>
    <hyperlink xmlns:r="http://schemas.openxmlformats.org/officeDocument/2006/relationships" ref="K168" display="19/04/2024" r:id="rId416"/>
    <hyperlink xmlns:r="http://schemas.openxmlformats.org/officeDocument/2006/relationships" ref="I170" r:id="rId417"/>
    <hyperlink xmlns:r="http://schemas.openxmlformats.org/officeDocument/2006/relationships" ref="J170" display="5" r:id="rId418"/>
    <hyperlink xmlns:r="http://schemas.openxmlformats.org/officeDocument/2006/relationships" ref="K170" display="19/04/2024" r:id="rId419"/>
    <hyperlink xmlns:r="http://schemas.openxmlformats.org/officeDocument/2006/relationships" ref="L170" r:id="rId420"/>
    <hyperlink xmlns:r="http://schemas.openxmlformats.org/officeDocument/2006/relationships" ref="I172" r:id="rId421"/>
    <hyperlink xmlns:r="http://schemas.openxmlformats.org/officeDocument/2006/relationships" ref="J172" display="160" r:id="rId422"/>
    <hyperlink xmlns:r="http://schemas.openxmlformats.org/officeDocument/2006/relationships" ref="K172" display="19/04/2024" r:id="rId423"/>
    <hyperlink xmlns:r="http://schemas.openxmlformats.org/officeDocument/2006/relationships" ref="L172" r:id="rId424"/>
    <hyperlink xmlns:r="http://schemas.openxmlformats.org/officeDocument/2006/relationships" ref="I174" r:id="rId425"/>
    <hyperlink xmlns:r="http://schemas.openxmlformats.org/officeDocument/2006/relationships" ref="J174" display="19" r:id="rId426"/>
    <hyperlink xmlns:r="http://schemas.openxmlformats.org/officeDocument/2006/relationships" ref="K174" display="19/04/2024" r:id="rId427"/>
    <hyperlink xmlns:r="http://schemas.openxmlformats.org/officeDocument/2006/relationships" ref="L174" r:id="rId428"/>
    <hyperlink xmlns:r="http://schemas.openxmlformats.org/officeDocument/2006/relationships" ref="I176" r:id="rId429"/>
    <hyperlink xmlns:r="http://schemas.openxmlformats.org/officeDocument/2006/relationships" ref="J176" display="30" r:id="rId430"/>
    <hyperlink xmlns:r="http://schemas.openxmlformats.org/officeDocument/2006/relationships" ref="K176" display="07/05/2024" r:id="rId431"/>
    <hyperlink xmlns:r="http://schemas.openxmlformats.org/officeDocument/2006/relationships" ref="L176" r:id="rId432"/>
    <hyperlink xmlns:r="http://schemas.openxmlformats.org/officeDocument/2006/relationships" ref="I178" r:id="rId433"/>
    <hyperlink xmlns:r="http://schemas.openxmlformats.org/officeDocument/2006/relationships" ref="J178" display="54" r:id="rId434"/>
    <hyperlink xmlns:r="http://schemas.openxmlformats.org/officeDocument/2006/relationships" ref="K178" display="19/04/2024" r:id="rId435"/>
    <hyperlink xmlns:r="http://schemas.openxmlformats.org/officeDocument/2006/relationships" ref="L178" r:id="rId436"/>
    <hyperlink xmlns:r="http://schemas.openxmlformats.org/officeDocument/2006/relationships" ref="I180" r:id="rId437"/>
    <hyperlink xmlns:r="http://schemas.openxmlformats.org/officeDocument/2006/relationships" ref="J180" display="95" r:id="rId438"/>
    <hyperlink xmlns:r="http://schemas.openxmlformats.org/officeDocument/2006/relationships" ref="K180" display="19/04/2024" r:id="rId439"/>
    <hyperlink xmlns:r="http://schemas.openxmlformats.org/officeDocument/2006/relationships" ref="I182" r:id="rId440"/>
    <hyperlink xmlns:r="http://schemas.openxmlformats.org/officeDocument/2006/relationships" ref="J182" display="5" r:id="rId441"/>
    <hyperlink xmlns:r="http://schemas.openxmlformats.org/officeDocument/2006/relationships" ref="K182" display="01/08/2025" r:id="rId442"/>
    <hyperlink xmlns:r="http://schemas.openxmlformats.org/officeDocument/2006/relationships" ref="L182" r:id="rId443"/>
    <hyperlink xmlns:r="http://schemas.openxmlformats.org/officeDocument/2006/relationships" ref="I184" r:id="rId444"/>
    <hyperlink xmlns:r="http://schemas.openxmlformats.org/officeDocument/2006/relationships" ref="J184" display="7" r:id="rId445"/>
    <hyperlink xmlns:r="http://schemas.openxmlformats.org/officeDocument/2006/relationships" ref="K184" display="19/04/2024" r:id="rId446"/>
    <hyperlink xmlns:r="http://schemas.openxmlformats.org/officeDocument/2006/relationships" ref="L184" r:id="rId447"/>
    <hyperlink xmlns:r="http://schemas.openxmlformats.org/officeDocument/2006/relationships" ref="I186" r:id="rId448"/>
    <hyperlink xmlns:r="http://schemas.openxmlformats.org/officeDocument/2006/relationships" ref="J186" display="342" r:id="rId449"/>
    <hyperlink xmlns:r="http://schemas.openxmlformats.org/officeDocument/2006/relationships" ref="K186" display="19/04/2024" r:id="rId450"/>
    <hyperlink xmlns:r="http://schemas.openxmlformats.org/officeDocument/2006/relationships" ref="I188" r:id="rId451"/>
    <hyperlink xmlns:r="http://schemas.openxmlformats.org/officeDocument/2006/relationships" ref="J188" display="41" r:id="rId452"/>
    <hyperlink xmlns:r="http://schemas.openxmlformats.org/officeDocument/2006/relationships" ref="K188" display="19/04/2024" r:id="rId453"/>
    <hyperlink xmlns:r="http://schemas.openxmlformats.org/officeDocument/2006/relationships" ref="L188" r:id="rId454"/>
    <hyperlink xmlns:r="http://schemas.openxmlformats.org/officeDocument/2006/relationships" ref="I190" r:id="rId455"/>
    <hyperlink xmlns:r="http://schemas.openxmlformats.org/officeDocument/2006/relationships" ref="J190" display="1068" r:id="rId456"/>
    <hyperlink xmlns:r="http://schemas.openxmlformats.org/officeDocument/2006/relationships" ref="K190" display="08/03/2024" r:id="rId457"/>
    <hyperlink xmlns:r="http://schemas.openxmlformats.org/officeDocument/2006/relationships" ref="I192" r:id="rId458"/>
    <hyperlink xmlns:r="http://schemas.openxmlformats.org/officeDocument/2006/relationships" ref="J192" display="22" r:id="rId459"/>
    <hyperlink xmlns:r="http://schemas.openxmlformats.org/officeDocument/2006/relationships" ref="K192" display="08/03/2024" r:id="rId460"/>
    <hyperlink xmlns:r="http://schemas.openxmlformats.org/officeDocument/2006/relationships" ref="L192" r:id="rId461"/>
    <hyperlink xmlns:r="http://schemas.openxmlformats.org/officeDocument/2006/relationships" ref="I194" r:id="rId462"/>
    <hyperlink xmlns:r="http://schemas.openxmlformats.org/officeDocument/2006/relationships" ref="J194" display="451" r:id="rId463"/>
    <hyperlink xmlns:r="http://schemas.openxmlformats.org/officeDocument/2006/relationships" ref="K194" display="09/02/2024" r:id="rId464"/>
    <hyperlink xmlns:r="http://schemas.openxmlformats.org/officeDocument/2006/relationships" ref="I196" r:id="rId465"/>
    <hyperlink xmlns:r="http://schemas.openxmlformats.org/officeDocument/2006/relationships" ref="J196" display="180" r:id="rId466"/>
    <hyperlink xmlns:r="http://schemas.openxmlformats.org/officeDocument/2006/relationships" ref="K196" display="09/02/2024" r:id="rId467"/>
    <hyperlink xmlns:r="http://schemas.openxmlformats.org/officeDocument/2006/relationships" ref="L196" r:id="rId468"/>
    <hyperlink xmlns:r="http://schemas.openxmlformats.org/officeDocument/2006/relationships" ref="I198" r:id="rId469"/>
    <hyperlink xmlns:r="http://schemas.openxmlformats.org/officeDocument/2006/relationships" ref="J198" display="22" r:id="rId470"/>
    <hyperlink xmlns:r="http://schemas.openxmlformats.org/officeDocument/2006/relationships" ref="K198" display="09/02/2024" r:id="rId471"/>
    <hyperlink xmlns:r="http://schemas.openxmlformats.org/officeDocument/2006/relationships" ref="L198" r:id="rId472"/>
    <hyperlink xmlns:r="http://schemas.openxmlformats.org/officeDocument/2006/relationships" ref="I200" r:id="rId473"/>
    <hyperlink xmlns:r="http://schemas.openxmlformats.org/officeDocument/2006/relationships" ref="J200" display="30" r:id="rId474"/>
    <hyperlink xmlns:r="http://schemas.openxmlformats.org/officeDocument/2006/relationships" ref="K200" display="05/03/2024" r:id="rId475"/>
    <hyperlink xmlns:r="http://schemas.openxmlformats.org/officeDocument/2006/relationships" ref="L200" r:id="rId476"/>
    <hyperlink xmlns:r="http://schemas.openxmlformats.org/officeDocument/2006/relationships" ref="I202" r:id="rId477"/>
    <hyperlink xmlns:r="http://schemas.openxmlformats.org/officeDocument/2006/relationships" ref="J202" display="284" r:id="rId478"/>
    <hyperlink xmlns:r="http://schemas.openxmlformats.org/officeDocument/2006/relationships" ref="K202" display="23/02/2024" r:id="rId479"/>
    <hyperlink xmlns:r="http://schemas.openxmlformats.org/officeDocument/2006/relationships" ref="L202" r:id="rId480"/>
    <hyperlink xmlns:r="http://schemas.openxmlformats.org/officeDocument/2006/relationships" ref="I204" r:id="rId481"/>
    <hyperlink xmlns:r="http://schemas.openxmlformats.org/officeDocument/2006/relationships" ref="J204" display="10" r:id="rId482"/>
    <hyperlink xmlns:r="http://schemas.openxmlformats.org/officeDocument/2006/relationships" ref="K204" display="23/02/2024" r:id="rId483"/>
    <hyperlink xmlns:r="http://schemas.openxmlformats.org/officeDocument/2006/relationships" ref="L204" r:id="rId484"/>
    <hyperlink xmlns:r="http://schemas.openxmlformats.org/officeDocument/2006/relationships" ref="I206" r:id="rId485"/>
    <hyperlink xmlns:r="http://schemas.openxmlformats.org/officeDocument/2006/relationships" ref="J206" display="5" r:id="rId486"/>
    <hyperlink xmlns:r="http://schemas.openxmlformats.org/officeDocument/2006/relationships" ref="K206" display="10/02/2024" r:id="rId487"/>
    <hyperlink xmlns:r="http://schemas.openxmlformats.org/officeDocument/2006/relationships" ref="L206" r:id="rId488"/>
    <hyperlink xmlns:r="http://schemas.openxmlformats.org/officeDocument/2006/relationships" ref="I208" r:id="rId489"/>
    <hyperlink xmlns:r="http://schemas.openxmlformats.org/officeDocument/2006/relationships" ref="J208" display="49" r:id="rId490"/>
    <hyperlink xmlns:r="http://schemas.openxmlformats.org/officeDocument/2006/relationships" ref="K208" display="09/02/2024" r:id="rId491"/>
    <hyperlink xmlns:r="http://schemas.openxmlformats.org/officeDocument/2006/relationships" ref="L208" r:id="rId492"/>
    <hyperlink xmlns:r="http://schemas.openxmlformats.org/officeDocument/2006/relationships" ref="I210" r:id="rId493"/>
    <hyperlink xmlns:r="http://schemas.openxmlformats.org/officeDocument/2006/relationships" ref="J210" display="4" r:id="rId494"/>
    <hyperlink xmlns:r="http://schemas.openxmlformats.org/officeDocument/2006/relationships" ref="K210" display="09/02/2024" r:id="rId495"/>
    <hyperlink xmlns:r="http://schemas.openxmlformats.org/officeDocument/2006/relationships" ref="L210" r:id="rId496"/>
    <hyperlink xmlns:r="http://schemas.openxmlformats.org/officeDocument/2006/relationships" ref="I212" r:id="rId497"/>
    <hyperlink xmlns:r="http://schemas.openxmlformats.org/officeDocument/2006/relationships" ref="J212" display="358" r:id="rId498"/>
    <hyperlink xmlns:r="http://schemas.openxmlformats.org/officeDocument/2006/relationships" ref="K212" display="09/02/2024" r:id="rId499"/>
    <hyperlink xmlns:r="http://schemas.openxmlformats.org/officeDocument/2006/relationships" ref="I214" r:id="rId500"/>
    <hyperlink xmlns:r="http://schemas.openxmlformats.org/officeDocument/2006/relationships" ref="J214" display="31" r:id="rId501"/>
    <hyperlink xmlns:r="http://schemas.openxmlformats.org/officeDocument/2006/relationships" ref="K214" display="09/02/2024" r:id="rId502"/>
    <hyperlink xmlns:r="http://schemas.openxmlformats.org/officeDocument/2006/relationships" ref="L214" r:id="rId503"/>
    <hyperlink xmlns:r="http://schemas.openxmlformats.org/officeDocument/2006/relationships" ref="I216" r:id="rId504"/>
    <hyperlink xmlns:r="http://schemas.openxmlformats.org/officeDocument/2006/relationships" ref="J216" display="7" r:id="rId505"/>
    <hyperlink xmlns:r="http://schemas.openxmlformats.org/officeDocument/2006/relationships" ref="K216" display="08/02/2024" r:id="rId506"/>
    <hyperlink xmlns:r="http://schemas.openxmlformats.org/officeDocument/2006/relationships" ref="I218" r:id="rId507"/>
    <hyperlink xmlns:r="http://schemas.openxmlformats.org/officeDocument/2006/relationships" ref="J218" display="531" r:id="rId508"/>
    <hyperlink xmlns:r="http://schemas.openxmlformats.org/officeDocument/2006/relationships" ref="K218" display="12/01/2024" r:id="rId509"/>
    <hyperlink xmlns:r="http://schemas.openxmlformats.org/officeDocument/2006/relationships" ref="I220" r:id="rId510"/>
    <hyperlink xmlns:r="http://schemas.openxmlformats.org/officeDocument/2006/relationships" ref="J220" display="20" r:id="rId511"/>
    <hyperlink xmlns:r="http://schemas.openxmlformats.org/officeDocument/2006/relationships" ref="K220" display="12/01/2024" r:id="rId512"/>
    <hyperlink xmlns:r="http://schemas.openxmlformats.org/officeDocument/2006/relationships" ref="L220" r:id="rId513"/>
    <hyperlink xmlns:r="http://schemas.openxmlformats.org/officeDocument/2006/relationships" ref="I222" r:id="rId514"/>
    <hyperlink xmlns:r="http://schemas.openxmlformats.org/officeDocument/2006/relationships" ref="J222" display="2" r:id="rId515"/>
    <hyperlink xmlns:r="http://schemas.openxmlformats.org/officeDocument/2006/relationships" ref="K222" display="01/01/2024" r:id="rId516"/>
    <hyperlink xmlns:r="http://schemas.openxmlformats.org/officeDocument/2006/relationships" ref="L222" r:id="rId517"/>
    <hyperlink xmlns:r="http://schemas.openxmlformats.org/officeDocument/2006/relationships" ref="I224" r:id="rId518"/>
    <hyperlink xmlns:r="http://schemas.openxmlformats.org/officeDocument/2006/relationships" ref="J224" display="18" r:id="rId519"/>
    <hyperlink xmlns:r="http://schemas.openxmlformats.org/officeDocument/2006/relationships" ref="K224" display="01/01/2024" r:id="rId520"/>
    <hyperlink xmlns:r="http://schemas.openxmlformats.org/officeDocument/2006/relationships" ref="I226" r:id="rId521"/>
    <hyperlink xmlns:r="http://schemas.openxmlformats.org/officeDocument/2006/relationships" ref="J226" display="134" r:id="rId522"/>
    <hyperlink xmlns:r="http://schemas.openxmlformats.org/officeDocument/2006/relationships" ref="K226" display="17/11/2023" r:id="rId523"/>
    <hyperlink xmlns:r="http://schemas.openxmlformats.org/officeDocument/2006/relationships" ref="L226" r:id="rId524"/>
    <hyperlink xmlns:r="http://schemas.openxmlformats.org/officeDocument/2006/relationships" ref="I228" r:id="rId525"/>
    <hyperlink xmlns:r="http://schemas.openxmlformats.org/officeDocument/2006/relationships" ref="J228" display="416" r:id="rId526"/>
    <hyperlink xmlns:r="http://schemas.openxmlformats.org/officeDocument/2006/relationships" ref="K228" display="17/11/2023" r:id="rId527"/>
    <hyperlink xmlns:r="http://schemas.openxmlformats.org/officeDocument/2006/relationships" ref="I230" r:id="rId528"/>
    <hyperlink xmlns:r="http://schemas.openxmlformats.org/officeDocument/2006/relationships" ref="J230" display="136" r:id="rId529"/>
    <hyperlink xmlns:r="http://schemas.openxmlformats.org/officeDocument/2006/relationships" ref="K230" display="17/11/2023" r:id="rId530"/>
    <hyperlink xmlns:r="http://schemas.openxmlformats.org/officeDocument/2006/relationships" ref="L230" r:id="rId531"/>
    <hyperlink xmlns:r="http://schemas.openxmlformats.org/officeDocument/2006/relationships" ref="I232" r:id="rId532"/>
    <hyperlink xmlns:r="http://schemas.openxmlformats.org/officeDocument/2006/relationships" ref="J232" display="19" r:id="rId533"/>
    <hyperlink xmlns:r="http://schemas.openxmlformats.org/officeDocument/2006/relationships" ref="K232" display="17/11/2023" r:id="rId534"/>
    <hyperlink xmlns:r="http://schemas.openxmlformats.org/officeDocument/2006/relationships" ref="L232" r:id="rId535"/>
    <hyperlink xmlns:r="http://schemas.openxmlformats.org/officeDocument/2006/relationships" ref="I234" r:id="rId536"/>
    <hyperlink xmlns:r="http://schemas.openxmlformats.org/officeDocument/2006/relationships" ref="J234" display="30" r:id="rId537"/>
    <hyperlink xmlns:r="http://schemas.openxmlformats.org/officeDocument/2006/relationships" ref="K234" display="05/12/2023" r:id="rId538"/>
    <hyperlink xmlns:r="http://schemas.openxmlformats.org/officeDocument/2006/relationships" ref="L234" r:id="rId539"/>
    <hyperlink xmlns:r="http://schemas.openxmlformats.org/officeDocument/2006/relationships" ref="I236" r:id="rId540"/>
    <hyperlink xmlns:r="http://schemas.openxmlformats.org/officeDocument/2006/relationships" ref="J236" display="81" r:id="rId541"/>
    <hyperlink xmlns:r="http://schemas.openxmlformats.org/officeDocument/2006/relationships" ref="K236" display="17/11/2023" r:id="rId542"/>
    <hyperlink xmlns:r="http://schemas.openxmlformats.org/officeDocument/2006/relationships" ref="L236" r:id="rId543"/>
    <hyperlink xmlns:r="http://schemas.openxmlformats.org/officeDocument/2006/relationships" ref="I238" r:id="rId544"/>
    <hyperlink xmlns:r="http://schemas.openxmlformats.org/officeDocument/2006/relationships" ref="J238" display="1" r:id="rId545"/>
    <hyperlink xmlns:r="http://schemas.openxmlformats.org/officeDocument/2006/relationships" ref="K238" display="17/11/2023" r:id="rId546"/>
    <hyperlink xmlns:r="http://schemas.openxmlformats.org/officeDocument/2006/relationships" ref="L238" r:id="rId547"/>
    <hyperlink xmlns:r="http://schemas.openxmlformats.org/officeDocument/2006/relationships" ref="I240" r:id="rId548"/>
    <hyperlink xmlns:r="http://schemas.openxmlformats.org/officeDocument/2006/relationships" ref="J240" display="45" r:id="rId549"/>
    <hyperlink xmlns:r="http://schemas.openxmlformats.org/officeDocument/2006/relationships" ref="K240" display="17/11/2023" r:id="rId550"/>
    <hyperlink xmlns:r="http://schemas.openxmlformats.org/officeDocument/2006/relationships" ref="I242" r:id="rId551"/>
    <hyperlink xmlns:r="http://schemas.openxmlformats.org/officeDocument/2006/relationships" ref="J242" display="2" r:id="rId552"/>
    <hyperlink xmlns:r="http://schemas.openxmlformats.org/officeDocument/2006/relationships" ref="K242" display="17/11/2023" r:id="rId553"/>
    <hyperlink xmlns:r="http://schemas.openxmlformats.org/officeDocument/2006/relationships" ref="L242" r:id="rId554"/>
    <hyperlink xmlns:r="http://schemas.openxmlformats.org/officeDocument/2006/relationships" ref="I244" r:id="rId555"/>
    <hyperlink xmlns:r="http://schemas.openxmlformats.org/officeDocument/2006/relationships" ref="J244" display="370" r:id="rId556"/>
    <hyperlink xmlns:r="http://schemas.openxmlformats.org/officeDocument/2006/relationships" ref="K244" display="17/11/2023" r:id="rId557"/>
    <hyperlink xmlns:r="http://schemas.openxmlformats.org/officeDocument/2006/relationships" ref="I246" r:id="rId558"/>
    <hyperlink xmlns:r="http://schemas.openxmlformats.org/officeDocument/2006/relationships" ref="J246" display="18" r:id="rId559"/>
    <hyperlink xmlns:r="http://schemas.openxmlformats.org/officeDocument/2006/relationships" ref="K246" display="17/11/2023" r:id="rId560"/>
    <hyperlink xmlns:r="http://schemas.openxmlformats.org/officeDocument/2006/relationships" ref="L246" r:id="rId561"/>
    <hyperlink xmlns:r="http://schemas.openxmlformats.org/officeDocument/2006/relationships" ref="I248" r:id="rId562"/>
    <hyperlink xmlns:r="http://schemas.openxmlformats.org/officeDocument/2006/relationships" ref="J248" display="1178" r:id="rId563"/>
    <hyperlink xmlns:r="http://schemas.openxmlformats.org/officeDocument/2006/relationships" ref="K248" display="13/10/2023" r:id="rId564"/>
    <hyperlink xmlns:r="http://schemas.openxmlformats.org/officeDocument/2006/relationships" ref="I250" r:id="rId565"/>
    <hyperlink xmlns:r="http://schemas.openxmlformats.org/officeDocument/2006/relationships" ref="J250" display="64" r:id="rId566"/>
    <hyperlink xmlns:r="http://schemas.openxmlformats.org/officeDocument/2006/relationships" ref="K250" display="13/10/2023" r:id="rId567"/>
    <hyperlink xmlns:r="http://schemas.openxmlformats.org/officeDocument/2006/relationships" ref="L250" r:id="rId568"/>
    <hyperlink xmlns:r="http://schemas.openxmlformats.org/officeDocument/2006/relationships" ref="I252" r:id="rId569"/>
    <hyperlink xmlns:r="http://schemas.openxmlformats.org/officeDocument/2006/relationships" ref="J252" display="4" r:id="rId570"/>
    <hyperlink xmlns:r="http://schemas.openxmlformats.org/officeDocument/2006/relationships" ref="K252" display="08/09/2023" r:id="rId571"/>
    <hyperlink xmlns:r="http://schemas.openxmlformats.org/officeDocument/2006/relationships" ref="L252" r:id="rId572"/>
    <hyperlink xmlns:r="http://schemas.openxmlformats.org/officeDocument/2006/relationships" ref="I254" r:id="rId573"/>
    <hyperlink xmlns:r="http://schemas.openxmlformats.org/officeDocument/2006/relationships" ref="J254" display="381" r:id="rId574"/>
    <hyperlink xmlns:r="http://schemas.openxmlformats.org/officeDocument/2006/relationships" ref="K254" display="08/09/2023" r:id="rId575"/>
    <hyperlink xmlns:r="http://schemas.openxmlformats.org/officeDocument/2006/relationships" ref="I256" r:id="rId576"/>
    <hyperlink xmlns:r="http://schemas.openxmlformats.org/officeDocument/2006/relationships" ref="J256" display="103" r:id="rId577"/>
    <hyperlink xmlns:r="http://schemas.openxmlformats.org/officeDocument/2006/relationships" ref="K256" display="08/09/2023" r:id="rId578"/>
    <hyperlink xmlns:r="http://schemas.openxmlformats.org/officeDocument/2006/relationships" ref="I258" r:id="rId579"/>
    <hyperlink xmlns:r="http://schemas.openxmlformats.org/officeDocument/2006/relationships" ref="J258" display="160" r:id="rId580"/>
    <hyperlink xmlns:r="http://schemas.openxmlformats.org/officeDocument/2006/relationships" ref="K258" display="08/09/2023" r:id="rId581"/>
    <hyperlink xmlns:r="http://schemas.openxmlformats.org/officeDocument/2006/relationships" ref="L258" r:id="rId582"/>
    <hyperlink xmlns:r="http://schemas.openxmlformats.org/officeDocument/2006/relationships" ref="I260" r:id="rId583"/>
    <hyperlink xmlns:r="http://schemas.openxmlformats.org/officeDocument/2006/relationships" ref="J260" display="18" r:id="rId584"/>
    <hyperlink xmlns:r="http://schemas.openxmlformats.org/officeDocument/2006/relationships" ref="K260" display="08/09/2023" r:id="rId585"/>
    <hyperlink xmlns:r="http://schemas.openxmlformats.org/officeDocument/2006/relationships" ref="L260" r:id="rId586"/>
    <hyperlink xmlns:r="http://schemas.openxmlformats.org/officeDocument/2006/relationships" ref="I262" r:id="rId587"/>
    <hyperlink xmlns:r="http://schemas.openxmlformats.org/officeDocument/2006/relationships" ref="J262" display="30" r:id="rId588"/>
    <hyperlink xmlns:r="http://schemas.openxmlformats.org/officeDocument/2006/relationships" ref="K262" display="10/10/2023" r:id="rId589"/>
    <hyperlink xmlns:r="http://schemas.openxmlformats.org/officeDocument/2006/relationships" ref="L262" r:id="rId590"/>
    <hyperlink xmlns:r="http://schemas.openxmlformats.org/officeDocument/2006/relationships" ref="I264" r:id="rId591"/>
    <hyperlink xmlns:r="http://schemas.openxmlformats.org/officeDocument/2006/relationships" ref="J264" display="173" r:id="rId592"/>
    <hyperlink xmlns:r="http://schemas.openxmlformats.org/officeDocument/2006/relationships" ref="K264" display="08/09/2023" r:id="rId593"/>
    <hyperlink xmlns:r="http://schemas.openxmlformats.org/officeDocument/2006/relationships" ref="I266" r:id="rId594"/>
    <hyperlink xmlns:r="http://schemas.openxmlformats.org/officeDocument/2006/relationships" ref="J266" display="10" r:id="rId595"/>
    <hyperlink xmlns:r="http://schemas.openxmlformats.org/officeDocument/2006/relationships" ref="K266" display="08/09/2023" r:id="rId596"/>
    <hyperlink xmlns:r="http://schemas.openxmlformats.org/officeDocument/2006/relationships" ref="L266" r:id="rId597"/>
    <hyperlink xmlns:r="http://schemas.openxmlformats.org/officeDocument/2006/relationships" ref="I268" r:id="rId598"/>
    <hyperlink xmlns:r="http://schemas.openxmlformats.org/officeDocument/2006/relationships" ref="J268" display="6" r:id="rId599"/>
    <hyperlink xmlns:r="http://schemas.openxmlformats.org/officeDocument/2006/relationships" ref="K268" display="08/09/2023" r:id="rId600"/>
    <hyperlink xmlns:r="http://schemas.openxmlformats.org/officeDocument/2006/relationships" ref="L268" r:id="rId601"/>
    <hyperlink xmlns:r="http://schemas.openxmlformats.org/officeDocument/2006/relationships" ref="I270" r:id="rId602"/>
    <hyperlink xmlns:r="http://schemas.openxmlformats.org/officeDocument/2006/relationships" ref="J270" display="81" r:id="rId603"/>
    <hyperlink xmlns:r="http://schemas.openxmlformats.org/officeDocument/2006/relationships" ref="K270" display="08/09/2023" r:id="rId604"/>
    <hyperlink xmlns:r="http://schemas.openxmlformats.org/officeDocument/2006/relationships" ref="L270" r:id="rId605"/>
    <hyperlink xmlns:r="http://schemas.openxmlformats.org/officeDocument/2006/relationships" ref="I272" r:id="rId606"/>
    <hyperlink xmlns:r="http://schemas.openxmlformats.org/officeDocument/2006/relationships" ref="J272" display="1067" r:id="rId607"/>
    <hyperlink xmlns:r="http://schemas.openxmlformats.org/officeDocument/2006/relationships" ref="K272" display="04/08/2023" r:id="rId608"/>
    <hyperlink xmlns:r="http://schemas.openxmlformats.org/officeDocument/2006/relationships" ref="I274" r:id="rId609"/>
    <hyperlink xmlns:r="http://schemas.openxmlformats.org/officeDocument/2006/relationships" ref="J274" display="81" r:id="rId610"/>
    <hyperlink xmlns:r="http://schemas.openxmlformats.org/officeDocument/2006/relationships" ref="K274" display="04/08/2023" r:id="rId611"/>
    <hyperlink xmlns:r="http://schemas.openxmlformats.org/officeDocument/2006/relationships" ref="L274" r:id="rId612"/>
    <hyperlink xmlns:r="http://schemas.openxmlformats.org/officeDocument/2006/relationships" ref="I276" r:id="rId613"/>
    <hyperlink xmlns:r="http://schemas.openxmlformats.org/officeDocument/2006/relationships" ref="J276" display="81" r:id="rId614"/>
    <hyperlink xmlns:r="http://schemas.openxmlformats.org/officeDocument/2006/relationships" ref="K276" display="04/08/2023" r:id="rId615"/>
    <hyperlink xmlns:r="http://schemas.openxmlformats.org/officeDocument/2006/relationships" ref="L276" r:id="rId616"/>
    <hyperlink xmlns:r="http://schemas.openxmlformats.org/officeDocument/2006/relationships" ref="I278" r:id="rId617"/>
    <hyperlink xmlns:r="http://schemas.openxmlformats.org/officeDocument/2006/relationships" ref="J278" display="5" r:id="rId618"/>
    <hyperlink xmlns:r="http://schemas.openxmlformats.org/officeDocument/2006/relationships" ref="K278" display="01/08/2023" r:id="rId619"/>
    <hyperlink xmlns:r="http://schemas.openxmlformats.org/officeDocument/2006/relationships" ref="L278" r:id="rId620"/>
    <hyperlink xmlns:r="http://schemas.openxmlformats.org/officeDocument/2006/relationships" ref="I280" r:id="rId621"/>
    <hyperlink xmlns:r="http://schemas.openxmlformats.org/officeDocument/2006/relationships" ref="J280" display="25" r:id="rId622"/>
    <hyperlink xmlns:r="http://schemas.openxmlformats.org/officeDocument/2006/relationships" ref="K280" display="18/07/2023" r:id="rId623"/>
    <hyperlink xmlns:r="http://schemas.openxmlformats.org/officeDocument/2006/relationships" ref="L280" r:id="rId624"/>
    <hyperlink xmlns:r="http://schemas.openxmlformats.org/officeDocument/2006/relationships" ref="I282" r:id="rId625"/>
    <hyperlink xmlns:r="http://schemas.openxmlformats.org/officeDocument/2006/relationships" ref="J282" display="25" r:id="rId626"/>
    <hyperlink xmlns:r="http://schemas.openxmlformats.org/officeDocument/2006/relationships" ref="K282" display="18/07/2023" r:id="rId627"/>
    <hyperlink xmlns:r="http://schemas.openxmlformats.org/officeDocument/2006/relationships" ref="L282" r:id="rId628"/>
    <hyperlink xmlns:r="http://schemas.openxmlformats.org/officeDocument/2006/relationships" ref="I284" r:id="rId629"/>
    <hyperlink xmlns:r="http://schemas.openxmlformats.org/officeDocument/2006/relationships" ref="J284" display="4" r:id="rId630"/>
    <hyperlink xmlns:r="http://schemas.openxmlformats.org/officeDocument/2006/relationships" ref="K284" display="01/07/2023" r:id="rId631"/>
    <hyperlink xmlns:r="http://schemas.openxmlformats.org/officeDocument/2006/relationships" ref="L284" r:id="rId632"/>
    <hyperlink xmlns:r="http://schemas.openxmlformats.org/officeDocument/2006/relationships" ref="I286" r:id="rId633"/>
    <hyperlink xmlns:r="http://schemas.openxmlformats.org/officeDocument/2006/relationships" ref="J286" display="856" r:id="rId634"/>
    <hyperlink xmlns:r="http://schemas.openxmlformats.org/officeDocument/2006/relationships" ref="K286" display="23/06/2023" r:id="rId635"/>
    <hyperlink xmlns:r="http://schemas.openxmlformats.org/officeDocument/2006/relationships" ref="I288" r:id="rId636"/>
    <hyperlink xmlns:r="http://schemas.openxmlformats.org/officeDocument/2006/relationships" ref="J288" display="86" r:id="rId637"/>
    <hyperlink xmlns:r="http://schemas.openxmlformats.org/officeDocument/2006/relationships" ref="K288" display="23/06/2023" r:id="rId638"/>
    <hyperlink xmlns:r="http://schemas.openxmlformats.org/officeDocument/2006/relationships" ref="L288" r:id="rId639"/>
    <hyperlink xmlns:r="http://schemas.openxmlformats.org/officeDocument/2006/relationships" ref="I290" r:id="rId640"/>
    <hyperlink xmlns:r="http://schemas.openxmlformats.org/officeDocument/2006/relationships" ref="J290" display="25" r:id="rId641"/>
    <hyperlink xmlns:r="http://schemas.openxmlformats.org/officeDocument/2006/relationships" ref="K290" display="23/06/2023" r:id="rId642"/>
    <hyperlink xmlns:r="http://schemas.openxmlformats.org/officeDocument/2006/relationships" ref="L290" r:id="rId643"/>
    <hyperlink xmlns:r="http://schemas.openxmlformats.org/officeDocument/2006/relationships" ref="I292" r:id="rId644"/>
    <hyperlink xmlns:r="http://schemas.openxmlformats.org/officeDocument/2006/relationships" ref="J292" display="4" r:id="rId645"/>
    <hyperlink xmlns:r="http://schemas.openxmlformats.org/officeDocument/2006/relationships" ref="K292" display="16/10/2024" r:id="rId646"/>
    <hyperlink xmlns:r="http://schemas.openxmlformats.org/officeDocument/2006/relationships" ref="L292" r:id="rId647"/>
    <hyperlink xmlns:r="http://schemas.openxmlformats.org/officeDocument/2006/relationships" ref="I294" r:id="rId648"/>
    <hyperlink xmlns:r="http://schemas.openxmlformats.org/officeDocument/2006/relationships" ref="J294" display="591" r:id="rId649"/>
    <hyperlink xmlns:r="http://schemas.openxmlformats.org/officeDocument/2006/relationships" ref="K294" display="23/06/2023" r:id="rId650"/>
    <hyperlink xmlns:r="http://schemas.openxmlformats.org/officeDocument/2006/relationships" ref="I296" r:id="rId651"/>
    <hyperlink xmlns:r="http://schemas.openxmlformats.org/officeDocument/2006/relationships" ref="J296" display="15" r:id="rId652"/>
    <hyperlink xmlns:r="http://schemas.openxmlformats.org/officeDocument/2006/relationships" ref="K296" display="23/06/2023" r:id="rId653"/>
    <hyperlink xmlns:r="http://schemas.openxmlformats.org/officeDocument/2006/relationships" ref="L296" r:id="rId654"/>
    <hyperlink xmlns:r="http://schemas.openxmlformats.org/officeDocument/2006/relationships" ref="I298" r:id="rId655"/>
    <hyperlink xmlns:r="http://schemas.openxmlformats.org/officeDocument/2006/relationships" ref="J298" display="24" r:id="rId656"/>
    <hyperlink xmlns:r="http://schemas.openxmlformats.org/officeDocument/2006/relationships" ref="K298" display="04/11/2023" r:id="rId657"/>
    <hyperlink xmlns:r="http://schemas.openxmlformats.org/officeDocument/2006/relationships" ref="L298" r:id="rId658"/>
    <hyperlink xmlns:r="http://schemas.openxmlformats.org/officeDocument/2006/relationships" ref="I300" r:id="rId659"/>
    <hyperlink xmlns:r="http://schemas.openxmlformats.org/officeDocument/2006/relationships" ref="J300" display="81" r:id="rId660"/>
    <hyperlink xmlns:r="http://schemas.openxmlformats.org/officeDocument/2006/relationships" ref="K300" display="23/06/2023" r:id="rId661"/>
    <hyperlink xmlns:r="http://schemas.openxmlformats.org/officeDocument/2006/relationships" ref="L300" r:id="rId662"/>
    <hyperlink xmlns:r="http://schemas.openxmlformats.org/officeDocument/2006/relationships" ref="I302" r:id="rId663"/>
    <hyperlink xmlns:r="http://schemas.openxmlformats.org/officeDocument/2006/relationships" ref="J302" display="10" r:id="rId664"/>
    <hyperlink xmlns:r="http://schemas.openxmlformats.org/officeDocument/2006/relationships" ref="K302" display="23/06/2023" r:id="rId665"/>
    <hyperlink xmlns:r="http://schemas.openxmlformats.org/officeDocument/2006/relationships" ref="L302" r:id="rId666"/>
    <hyperlink xmlns:r="http://schemas.openxmlformats.org/officeDocument/2006/relationships" ref="I304" r:id="rId667"/>
    <hyperlink xmlns:r="http://schemas.openxmlformats.org/officeDocument/2006/relationships" ref="J304" display="1" r:id="rId668"/>
    <hyperlink xmlns:r="http://schemas.openxmlformats.org/officeDocument/2006/relationships" ref="K304" display="23/06/2023" r:id="rId669"/>
    <hyperlink xmlns:r="http://schemas.openxmlformats.org/officeDocument/2006/relationships" ref="L304" r:id="rId670"/>
    <hyperlink xmlns:r="http://schemas.openxmlformats.org/officeDocument/2006/relationships" ref="I306" r:id="rId671"/>
    <hyperlink xmlns:r="http://schemas.openxmlformats.org/officeDocument/2006/relationships" ref="J306" display="230" r:id="rId672"/>
    <hyperlink xmlns:r="http://schemas.openxmlformats.org/officeDocument/2006/relationships" ref="K306" display="12/05/2023" r:id="rId673"/>
    <hyperlink xmlns:r="http://schemas.openxmlformats.org/officeDocument/2006/relationships" ref="I308" r:id="rId674"/>
    <hyperlink xmlns:r="http://schemas.openxmlformats.org/officeDocument/2006/relationships" ref="J308" display="8" r:id="rId675"/>
    <hyperlink xmlns:r="http://schemas.openxmlformats.org/officeDocument/2006/relationships" ref="K308" display="17/11/2023" r:id="rId676"/>
    <hyperlink xmlns:r="http://schemas.openxmlformats.org/officeDocument/2006/relationships" ref="L308" r:id="rId677"/>
    <hyperlink xmlns:r="http://schemas.openxmlformats.org/officeDocument/2006/relationships" ref="I310" r:id="rId678"/>
    <hyperlink xmlns:r="http://schemas.openxmlformats.org/officeDocument/2006/relationships" ref="J310" display="387" r:id="rId679"/>
    <hyperlink xmlns:r="http://schemas.openxmlformats.org/officeDocument/2006/relationships" ref="K310" display="21/04/2023" r:id="rId680"/>
    <hyperlink xmlns:r="http://schemas.openxmlformats.org/officeDocument/2006/relationships" ref="I312" r:id="rId681"/>
    <hyperlink xmlns:r="http://schemas.openxmlformats.org/officeDocument/2006/relationships" ref="J312" display="261" r:id="rId682"/>
    <hyperlink xmlns:r="http://schemas.openxmlformats.org/officeDocument/2006/relationships" ref="K312" display="21/04/2023" r:id="rId683"/>
    <hyperlink xmlns:r="http://schemas.openxmlformats.org/officeDocument/2006/relationships" ref="I314" r:id="rId684"/>
    <hyperlink xmlns:r="http://schemas.openxmlformats.org/officeDocument/2006/relationships" ref="J314" display="2" r:id="rId685"/>
    <hyperlink xmlns:r="http://schemas.openxmlformats.org/officeDocument/2006/relationships" ref="K314" display="21/04/2023" r:id="rId686"/>
    <hyperlink xmlns:r="http://schemas.openxmlformats.org/officeDocument/2006/relationships" ref="L314" r:id="rId687"/>
    <hyperlink xmlns:r="http://schemas.openxmlformats.org/officeDocument/2006/relationships" ref="I316" r:id="rId688"/>
    <hyperlink xmlns:r="http://schemas.openxmlformats.org/officeDocument/2006/relationships" ref="J316" display="134" r:id="rId689"/>
    <hyperlink xmlns:r="http://schemas.openxmlformats.org/officeDocument/2006/relationships" ref="K316" display="21/04/2023" r:id="rId690"/>
    <hyperlink xmlns:r="http://schemas.openxmlformats.org/officeDocument/2006/relationships" ref="L316" r:id="rId691"/>
    <hyperlink xmlns:r="http://schemas.openxmlformats.org/officeDocument/2006/relationships" ref="I318" r:id="rId692"/>
    <hyperlink xmlns:r="http://schemas.openxmlformats.org/officeDocument/2006/relationships" ref="J318" display="23" r:id="rId693"/>
    <hyperlink xmlns:r="http://schemas.openxmlformats.org/officeDocument/2006/relationships" ref="K318" display="21/04/2023" r:id="rId694"/>
    <hyperlink xmlns:r="http://schemas.openxmlformats.org/officeDocument/2006/relationships" ref="L318" r:id="rId695"/>
    <hyperlink xmlns:r="http://schemas.openxmlformats.org/officeDocument/2006/relationships" ref="I320" r:id="rId696"/>
    <hyperlink xmlns:r="http://schemas.openxmlformats.org/officeDocument/2006/relationships" ref="J320" display="5" r:id="rId697"/>
    <hyperlink xmlns:r="http://schemas.openxmlformats.org/officeDocument/2006/relationships" ref="K320" display="21/04/2023" r:id="rId698"/>
    <hyperlink xmlns:r="http://schemas.openxmlformats.org/officeDocument/2006/relationships" ref="L320" r:id="rId699"/>
    <hyperlink xmlns:r="http://schemas.openxmlformats.org/officeDocument/2006/relationships" ref="I322" r:id="rId700"/>
    <hyperlink xmlns:r="http://schemas.openxmlformats.org/officeDocument/2006/relationships" ref="J322" display="450" r:id="rId701"/>
    <hyperlink xmlns:r="http://schemas.openxmlformats.org/officeDocument/2006/relationships" ref="K322" display="21/04/2023" r:id="rId702"/>
    <hyperlink xmlns:r="http://schemas.openxmlformats.org/officeDocument/2006/relationships" ref="I324" r:id="rId703"/>
    <hyperlink xmlns:r="http://schemas.openxmlformats.org/officeDocument/2006/relationships" ref="J324" display="46" r:id="rId704"/>
    <hyperlink xmlns:r="http://schemas.openxmlformats.org/officeDocument/2006/relationships" ref="K324" display="21/04/2023" r:id="rId705"/>
    <hyperlink xmlns:r="http://schemas.openxmlformats.org/officeDocument/2006/relationships" ref="L324" r:id="rId706"/>
    <hyperlink xmlns:r="http://schemas.openxmlformats.org/officeDocument/2006/relationships" ref="I326" r:id="rId707"/>
    <hyperlink xmlns:r="http://schemas.openxmlformats.org/officeDocument/2006/relationships" ref="J326" display="12" r:id="rId708"/>
    <hyperlink xmlns:r="http://schemas.openxmlformats.org/officeDocument/2006/relationships" ref="K326" display="21/04/2023" r:id="rId709"/>
    <hyperlink xmlns:r="http://schemas.openxmlformats.org/officeDocument/2006/relationships" ref="L326" r:id="rId710"/>
    <hyperlink xmlns:r="http://schemas.openxmlformats.org/officeDocument/2006/relationships" ref="I328" r:id="rId711"/>
    <hyperlink xmlns:r="http://schemas.openxmlformats.org/officeDocument/2006/relationships" ref="J328" display="81" r:id="rId712"/>
    <hyperlink xmlns:r="http://schemas.openxmlformats.org/officeDocument/2006/relationships" ref="K328" display="21/04/2023" r:id="rId713"/>
    <hyperlink xmlns:r="http://schemas.openxmlformats.org/officeDocument/2006/relationships" ref="L328" r:id="rId714"/>
    <hyperlink xmlns:r="http://schemas.openxmlformats.org/officeDocument/2006/relationships" ref="I330" r:id="rId715"/>
    <hyperlink xmlns:r="http://schemas.openxmlformats.org/officeDocument/2006/relationships" ref="J330" display="1" r:id="rId716"/>
    <hyperlink xmlns:r="http://schemas.openxmlformats.org/officeDocument/2006/relationships" ref="K330" display="21/04/2023" r:id="rId717"/>
    <hyperlink xmlns:r="http://schemas.openxmlformats.org/officeDocument/2006/relationships" ref="L330" r:id="rId718"/>
    <hyperlink xmlns:r="http://schemas.openxmlformats.org/officeDocument/2006/relationships" ref="I332" r:id="rId719"/>
    <hyperlink xmlns:r="http://schemas.openxmlformats.org/officeDocument/2006/relationships" ref="J332" display="294" r:id="rId720"/>
    <hyperlink xmlns:r="http://schemas.openxmlformats.org/officeDocument/2006/relationships" ref="K332" display="21/03/2023" r:id="rId721"/>
    <hyperlink xmlns:r="http://schemas.openxmlformats.org/officeDocument/2006/relationships" ref="L332" r:id="rId722"/>
    <hyperlink xmlns:r="http://schemas.openxmlformats.org/officeDocument/2006/relationships" ref="I334" r:id="rId723"/>
    <hyperlink xmlns:r="http://schemas.openxmlformats.org/officeDocument/2006/relationships" ref="J334" display="76" r:id="rId724"/>
    <hyperlink xmlns:r="http://schemas.openxmlformats.org/officeDocument/2006/relationships" ref="K334" display="21/03/2023" r:id="rId725"/>
    <hyperlink xmlns:r="http://schemas.openxmlformats.org/officeDocument/2006/relationships" ref="L334" r:id="rId726"/>
    <hyperlink xmlns:r="http://schemas.openxmlformats.org/officeDocument/2006/relationships" ref="I336" r:id="rId727"/>
    <hyperlink xmlns:r="http://schemas.openxmlformats.org/officeDocument/2006/relationships" ref="J336" display="471" r:id="rId728"/>
    <hyperlink xmlns:r="http://schemas.openxmlformats.org/officeDocument/2006/relationships" ref="K336" display="15/02/2023" r:id="rId729"/>
    <hyperlink xmlns:r="http://schemas.openxmlformats.org/officeDocument/2006/relationships" ref="L336" r:id="rId730"/>
    <hyperlink xmlns:r="http://schemas.openxmlformats.org/officeDocument/2006/relationships" ref="I338" r:id="rId731"/>
    <hyperlink xmlns:r="http://schemas.openxmlformats.org/officeDocument/2006/relationships" ref="J338" display="52" r:id="rId732"/>
    <hyperlink xmlns:r="http://schemas.openxmlformats.org/officeDocument/2006/relationships" ref="K338" display="24/02/2024" r:id="rId733"/>
    <hyperlink xmlns:r="http://schemas.openxmlformats.org/officeDocument/2006/relationships" ref="L338" r:id="rId734"/>
    <hyperlink xmlns:r="http://schemas.openxmlformats.org/officeDocument/2006/relationships" ref="I340" r:id="rId735"/>
    <hyperlink xmlns:r="http://schemas.openxmlformats.org/officeDocument/2006/relationships" ref="J340" display="6" r:id="rId736"/>
    <hyperlink xmlns:r="http://schemas.openxmlformats.org/officeDocument/2006/relationships" ref="K340" display="10/02/2023" r:id="rId737"/>
    <hyperlink xmlns:r="http://schemas.openxmlformats.org/officeDocument/2006/relationships" ref="I342" r:id="rId738"/>
    <hyperlink xmlns:r="http://schemas.openxmlformats.org/officeDocument/2006/relationships" ref="J342" display="479" r:id="rId739"/>
    <hyperlink xmlns:r="http://schemas.openxmlformats.org/officeDocument/2006/relationships" ref="K342" display="10/02/2023" r:id="rId740"/>
    <hyperlink xmlns:r="http://schemas.openxmlformats.org/officeDocument/2006/relationships" ref="I344" r:id="rId741"/>
    <hyperlink xmlns:r="http://schemas.openxmlformats.org/officeDocument/2006/relationships" ref="J344" display="160" r:id="rId742"/>
    <hyperlink xmlns:r="http://schemas.openxmlformats.org/officeDocument/2006/relationships" ref="K344" display="10/02/2023" r:id="rId743"/>
    <hyperlink xmlns:r="http://schemas.openxmlformats.org/officeDocument/2006/relationships" ref="L344" r:id="rId744"/>
    <hyperlink xmlns:r="http://schemas.openxmlformats.org/officeDocument/2006/relationships" ref="I346" r:id="rId745"/>
    <hyperlink xmlns:r="http://schemas.openxmlformats.org/officeDocument/2006/relationships" ref="J346" display="14" r:id="rId746"/>
    <hyperlink xmlns:r="http://schemas.openxmlformats.org/officeDocument/2006/relationships" ref="K346" display="03/02/2023" r:id="rId747"/>
    <hyperlink xmlns:r="http://schemas.openxmlformats.org/officeDocument/2006/relationships" ref="L346" r:id="rId748"/>
    <hyperlink xmlns:r="http://schemas.openxmlformats.org/officeDocument/2006/relationships" ref="I348" r:id="rId749"/>
    <hyperlink xmlns:r="http://schemas.openxmlformats.org/officeDocument/2006/relationships" ref="J348" display="30" r:id="rId750"/>
    <hyperlink xmlns:r="http://schemas.openxmlformats.org/officeDocument/2006/relationships" ref="K348" display="28/02/2023" r:id="rId751"/>
    <hyperlink xmlns:r="http://schemas.openxmlformats.org/officeDocument/2006/relationships" ref="L348" r:id="rId752"/>
    <hyperlink xmlns:r="http://schemas.openxmlformats.org/officeDocument/2006/relationships" ref="I350" r:id="rId753"/>
    <hyperlink xmlns:r="http://schemas.openxmlformats.org/officeDocument/2006/relationships" ref="J350" display="174" r:id="rId754"/>
    <hyperlink xmlns:r="http://schemas.openxmlformats.org/officeDocument/2006/relationships" ref="K350" display="10/02/2023" r:id="rId755"/>
    <hyperlink xmlns:r="http://schemas.openxmlformats.org/officeDocument/2006/relationships" ref="I352" r:id="rId756"/>
    <hyperlink xmlns:r="http://schemas.openxmlformats.org/officeDocument/2006/relationships" ref="J352" display="23" r:id="rId757"/>
    <hyperlink xmlns:r="http://schemas.openxmlformats.org/officeDocument/2006/relationships" ref="K352" display="03/02/2023" r:id="rId758"/>
    <hyperlink xmlns:r="http://schemas.openxmlformats.org/officeDocument/2006/relationships" ref="L352" r:id="rId759"/>
    <hyperlink xmlns:r="http://schemas.openxmlformats.org/officeDocument/2006/relationships" ref="I354" r:id="rId760"/>
    <hyperlink xmlns:r="http://schemas.openxmlformats.org/officeDocument/2006/relationships" ref="J354" display="5" r:id="rId761"/>
    <hyperlink xmlns:r="http://schemas.openxmlformats.org/officeDocument/2006/relationships" ref="K354" display="03/02/2023" r:id="rId762"/>
    <hyperlink xmlns:r="http://schemas.openxmlformats.org/officeDocument/2006/relationships" ref="L354" r:id="rId763"/>
    <hyperlink xmlns:r="http://schemas.openxmlformats.org/officeDocument/2006/relationships" ref="I356" r:id="rId764"/>
    <hyperlink xmlns:r="http://schemas.openxmlformats.org/officeDocument/2006/relationships" ref="J356" display="81" r:id="rId765"/>
    <hyperlink xmlns:r="http://schemas.openxmlformats.org/officeDocument/2006/relationships" ref="K356" display="03/02/2023" r:id="rId766"/>
    <hyperlink xmlns:r="http://schemas.openxmlformats.org/officeDocument/2006/relationships" ref="L356" r:id="rId767"/>
    <hyperlink xmlns:r="http://schemas.openxmlformats.org/officeDocument/2006/relationships" ref="I358" r:id="rId768"/>
    <hyperlink xmlns:r="http://schemas.openxmlformats.org/officeDocument/2006/relationships" ref="J358" display="5" r:id="rId769"/>
    <hyperlink xmlns:r="http://schemas.openxmlformats.org/officeDocument/2006/relationships" ref="K358" display="03/02/2023" r:id="rId770"/>
    <hyperlink xmlns:r="http://schemas.openxmlformats.org/officeDocument/2006/relationships" ref="L358" r:id="rId771"/>
    <hyperlink xmlns:r="http://schemas.openxmlformats.org/officeDocument/2006/relationships" ref="I360" r:id="rId772"/>
    <hyperlink xmlns:r="http://schemas.openxmlformats.org/officeDocument/2006/relationships" ref="J360" display="6" r:id="rId773"/>
    <hyperlink xmlns:r="http://schemas.openxmlformats.org/officeDocument/2006/relationships" ref="K360" display="27/01/2023" r:id="rId774"/>
    <hyperlink xmlns:r="http://schemas.openxmlformats.org/officeDocument/2006/relationships" ref="L360" r:id="rId775"/>
    <hyperlink xmlns:r="http://schemas.openxmlformats.org/officeDocument/2006/relationships" ref="I362" r:id="rId776"/>
    <hyperlink xmlns:r="http://schemas.openxmlformats.org/officeDocument/2006/relationships" ref="J362" display="457" r:id="rId777"/>
    <hyperlink xmlns:r="http://schemas.openxmlformats.org/officeDocument/2006/relationships" ref="K362" display="13/01/2023" r:id="rId778"/>
    <hyperlink xmlns:r="http://schemas.openxmlformats.org/officeDocument/2006/relationships" ref="I364" r:id="rId779"/>
    <hyperlink xmlns:r="http://schemas.openxmlformats.org/officeDocument/2006/relationships" ref="J364" display="14" r:id="rId780"/>
    <hyperlink xmlns:r="http://schemas.openxmlformats.org/officeDocument/2006/relationships" ref="K364" display="13/01/2023" r:id="rId781"/>
    <hyperlink xmlns:r="http://schemas.openxmlformats.org/officeDocument/2006/relationships" ref="L364" r:id="rId782"/>
    <hyperlink xmlns:r="http://schemas.openxmlformats.org/officeDocument/2006/relationships" ref="I366" r:id="rId783"/>
    <hyperlink xmlns:r="http://schemas.openxmlformats.org/officeDocument/2006/relationships" ref="J366" display="3" r:id="rId784"/>
    <hyperlink xmlns:r="http://schemas.openxmlformats.org/officeDocument/2006/relationships" ref="K366" display="07/01/2023" r:id="rId785"/>
    <hyperlink xmlns:r="http://schemas.openxmlformats.org/officeDocument/2006/relationships" ref="L366" r:id="rId786"/>
    <hyperlink xmlns:r="http://schemas.openxmlformats.org/officeDocument/2006/relationships" ref="I368" r:id="rId787"/>
    <hyperlink xmlns:r="http://schemas.openxmlformats.org/officeDocument/2006/relationships" ref="J368" display="11" r:id="rId788"/>
    <hyperlink xmlns:r="http://schemas.openxmlformats.org/officeDocument/2006/relationships" ref="K368" display="01/01/2023" r:id="rId789"/>
    <hyperlink xmlns:r="http://schemas.openxmlformats.org/officeDocument/2006/relationships" ref="I370" r:id="rId790"/>
    <hyperlink xmlns:r="http://schemas.openxmlformats.org/officeDocument/2006/relationships" ref="J370" display="10" r:id="rId791"/>
    <hyperlink xmlns:r="http://schemas.openxmlformats.org/officeDocument/2006/relationships" ref="K370" display="01/01/2023" r:id="rId792"/>
    <hyperlink xmlns:r="http://schemas.openxmlformats.org/officeDocument/2006/relationships" ref="L370" r:id="rId793"/>
    <hyperlink xmlns:r="http://schemas.openxmlformats.org/officeDocument/2006/relationships" ref="I372" r:id="rId794"/>
    <hyperlink xmlns:r="http://schemas.openxmlformats.org/officeDocument/2006/relationships" ref="J372" display="25" r:id="rId795"/>
    <hyperlink xmlns:r="http://schemas.openxmlformats.org/officeDocument/2006/relationships" ref="K372" display="13/12/2022" r:id="rId796"/>
    <hyperlink xmlns:r="http://schemas.openxmlformats.org/officeDocument/2006/relationships" ref="L372" r:id="rId797"/>
    <hyperlink xmlns:r="http://schemas.openxmlformats.org/officeDocument/2006/relationships" ref="I374" r:id="rId798"/>
    <hyperlink xmlns:r="http://schemas.openxmlformats.org/officeDocument/2006/relationships" ref="J374" display="352" r:id="rId799"/>
    <hyperlink xmlns:r="http://schemas.openxmlformats.org/officeDocument/2006/relationships" ref="K374" display="02/12/2022" r:id="rId800"/>
    <hyperlink xmlns:r="http://schemas.openxmlformats.org/officeDocument/2006/relationships" ref="L374" r:id="rId801"/>
    <hyperlink xmlns:r="http://schemas.openxmlformats.org/officeDocument/2006/relationships" ref="I376" r:id="rId802"/>
    <hyperlink xmlns:r="http://schemas.openxmlformats.org/officeDocument/2006/relationships" ref="J376" display="27" r:id="rId803"/>
    <hyperlink xmlns:r="http://schemas.openxmlformats.org/officeDocument/2006/relationships" ref="K376" display="02/12/2022" r:id="rId804"/>
    <hyperlink xmlns:r="http://schemas.openxmlformats.org/officeDocument/2006/relationships" ref="L376" r:id="rId805"/>
    <hyperlink xmlns:r="http://schemas.openxmlformats.org/officeDocument/2006/relationships" ref="I378" r:id="rId806"/>
    <hyperlink xmlns:r="http://schemas.openxmlformats.org/officeDocument/2006/relationships" ref="J378" display="835" r:id="rId807"/>
    <hyperlink xmlns:r="http://schemas.openxmlformats.org/officeDocument/2006/relationships" ref="K378" display="02/12/2022" r:id="rId808"/>
    <hyperlink xmlns:r="http://schemas.openxmlformats.org/officeDocument/2006/relationships" ref="I380" r:id="rId809"/>
    <hyperlink xmlns:r="http://schemas.openxmlformats.org/officeDocument/2006/relationships" ref="J380" display="46" r:id="rId810"/>
    <hyperlink xmlns:r="http://schemas.openxmlformats.org/officeDocument/2006/relationships" ref="K380" display="02/12/2022" r:id="rId811"/>
    <hyperlink xmlns:r="http://schemas.openxmlformats.org/officeDocument/2006/relationships" ref="L380" r:id="rId812"/>
    <hyperlink xmlns:r="http://schemas.openxmlformats.org/officeDocument/2006/relationships" ref="I382" r:id="rId813"/>
    <hyperlink xmlns:r="http://schemas.openxmlformats.org/officeDocument/2006/relationships" ref="J382" display="594" r:id="rId814"/>
    <hyperlink xmlns:r="http://schemas.openxmlformats.org/officeDocument/2006/relationships" ref="K382" display="28/11/2022" r:id="rId815"/>
    <hyperlink xmlns:r="http://schemas.openxmlformats.org/officeDocument/2006/relationships" ref="L382" r:id="rId816"/>
    <hyperlink xmlns:r="http://schemas.openxmlformats.org/officeDocument/2006/relationships" ref="I384" r:id="rId817"/>
    <hyperlink xmlns:r="http://schemas.openxmlformats.org/officeDocument/2006/relationships" ref="J384" display="30" r:id="rId818"/>
    <hyperlink xmlns:r="http://schemas.openxmlformats.org/officeDocument/2006/relationships" ref="K384" display="02/09/2022" r:id="rId819"/>
    <hyperlink xmlns:r="http://schemas.openxmlformats.org/officeDocument/2006/relationships" ref="I386" r:id="rId820"/>
    <hyperlink xmlns:r="http://schemas.openxmlformats.org/officeDocument/2006/relationships" ref="J386" display="16" r:id="rId821"/>
    <hyperlink xmlns:r="http://schemas.openxmlformats.org/officeDocument/2006/relationships" ref="K386" display="28/11/2022" r:id="rId822"/>
    <hyperlink xmlns:r="http://schemas.openxmlformats.org/officeDocument/2006/relationships" ref="L386" r:id="rId823"/>
    <hyperlink xmlns:r="http://schemas.openxmlformats.org/officeDocument/2006/relationships" ref="I388" r:id="rId824"/>
    <hyperlink xmlns:r="http://schemas.openxmlformats.org/officeDocument/2006/relationships" ref="J388" display="2" r:id="rId825"/>
    <hyperlink xmlns:r="http://schemas.openxmlformats.org/officeDocument/2006/relationships" ref="K388" display="01/09/2023" r:id="rId826"/>
    <hyperlink xmlns:r="http://schemas.openxmlformats.org/officeDocument/2006/relationships" ref="L388" r:id="rId827"/>
    <hyperlink xmlns:r="http://schemas.openxmlformats.org/officeDocument/2006/relationships" ref="I390" r:id="rId828"/>
    <hyperlink xmlns:r="http://schemas.openxmlformats.org/officeDocument/2006/relationships" ref="J390" display="10" r:id="rId829"/>
    <hyperlink xmlns:r="http://schemas.openxmlformats.org/officeDocument/2006/relationships" ref="K390" display="09/09/2022" r:id="rId830"/>
    <hyperlink xmlns:r="http://schemas.openxmlformats.org/officeDocument/2006/relationships" ref="I392" r:id="rId831"/>
    <hyperlink xmlns:r="http://schemas.openxmlformats.org/officeDocument/2006/relationships" ref="J392" display="5" r:id="rId832"/>
    <hyperlink xmlns:r="http://schemas.openxmlformats.org/officeDocument/2006/relationships" ref="K392" display="02/09/2022" r:id="rId833"/>
    <hyperlink xmlns:r="http://schemas.openxmlformats.org/officeDocument/2006/relationships" ref="L392" r:id="rId834"/>
    <hyperlink xmlns:r="http://schemas.openxmlformats.org/officeDocument/2006/relationships" ref="I394" r:id="rId835"/>
    <hyperlink xmlns:r="http://schemas.openxmlformats.org/officeDocument/2006/relationships" ref="J394" display="8" r:id="rId836"/>
    <hyperlink xmlns:r="http://schemas.openxmlformats.org/officeDocument/2006/relationships" ref="K394" display="26/11/2022" r:id="rId837"/>
    <hyperlink xmlns:r="http://schemas.openxmlformats.org/officeDocument/2006/relationships" ref="L394" r:id="rId838"/>
    <hyperlink xmlns:r="http://schemas.openxmlformats.org/officeDocument/2006/relationships" ref="I396" r:id="rId839"/>
    <hyperlink xmlns:r="http://schemas.openxmlformats.org/officeDocument/2006/relationships" ref="J396" display="399" r:id="rId840"/>
    <hyperlink xmlns:r="http://schemas.openxmlformats.org/officeDocument/2006/relationships" ref="K396" display="18/11/2022" r:id="rId841"/>
    <hyperlink xmlns:r="http://schemas.openxmlformats.org/officeDocument/2006/relationships" ref="I398" r:id="rId842"/>
    <hyperlink xmlns:r="http://schemas.openxmlformats.org/officeDocument/2006/relationships" ref="J398" display="189" r:id="rId843"/>
    <hyperlink xmlns:r="http://schemas.openxmlformats.org/officeDocument/2006/relationships" ref="K398" display="18/11/2022" r:id="rId844"/>
    <hyperlink xmlns:r="http://schemas.openxmlformats.org/officeDocument/2006/relationships" ref="I400" r:id="rId845"/>
    <hyperlink xmlns:r="http://schemas.openxmlformats.org/officeDocument/2006/relationships" ref="J400" display="171" r:id="rId846"/>
    <hyperlink xmlns:r="http://schemas.openxmlformats.org/officeDocument/2006/relationships" ref="K400" display="18/11/2022" r:id="rId847"/>
    <hyperlink xmlns:r="http://schemas.openxmlformats.org/officeDocument/2006/relationships" ref="L400" r:id="rId848"/>
    <hyperlink xmlns:r="http://schemas.openxmlformats.org/officeDocument/2006/relationships" ref="I402" r:id="rId849"/>
    <hyperlink xmlns:r="http://schemas.openxmlformats.org/officeDocument/2006/relationships" ref="J402" display="12" r:id="rId850"/>
    <hyperlink xmlns:r="http://schemas.openxmlformats.org/officeDocument/2006/relationships" ref="K402" display="18/11/2022" r:id="rId851"/>
    <hyperlink xmlns:r="http://schemas.openxmlformats.org/officeDocument/2006/relationships" ref="L402" r:id="rId852"/>
    <hyperlink xmlns:r="http://schemas.openxmlformats.org/officeDocument/2006/relationships" ref="I404" r:id="rId853"/>
    <hyperlink xmlns:r="http://schemas.openxmlformats.org/officeDocument/2006/relationships" ref="J404" display="31" r:id="rId854"/>
    <hyperlink xmlns:r="http://schemas.openxmlformats.org/officeDocument/2006/relationships" ref="K404" display="13/12/2022" r:id="rId855"/>
    <hyperlink xmlns:r="http://schemas.openxmlformats.org/officeDocument/2006/relationships" ref="L404" r:id="rId856"/>
    <hyperlink xmlns:r="http://schemas.openxmlformats.org/officeDocument/2006/relationships" ref="I406" r:id="rId857"/>
    <hyperlink xmlns:r="http://schemas.openxmlformats.org/officeDocument/2006/relationships" ref="J406" display="209" r:id="rId858"/>
    <hyperlink xmlns:r="http://schemas.openxmlformats.org/officeDocument/2006/relationships" ref="K406" display="18/11/2022" r:id="rId859"/>
    <hyperlink xmlns:r="http://schemas.openxmlformats.org/officeDocument/2006/relationships" ref="I408" r:id="rId860"/>
    <hyperlink xmlns:r="http://schemas.openxmlformats.org/officeDocument/2006/relationships" ref="J408" display="14" r:id="rId861"/>
    <hyperlink xmlns:r="http://schemas.openxmlformats.org/officeDocument/2006/relationships" ref="K408" display="18/11/2022" r:id="rId862"/>
    <hyperlink xmlns:r="http://schemas.openxmlformats.org/officeDocument/2006/relationships" ref="L408" r:id="rId863"/>
    <hyperlink xmlns:r="http://schemas.openxmlformats.org/officeDocument/2006/relationships" ref="I410" r:id="rId864"/>
    <hyperlink xmlns:r="http://schemas.openxmlformats.org/officeDocument/2006/relationships" ref="J410" display="29" r:id="rId865"/>
    <hyperlink xmlns:r="http://schemas.openxmlformats.org/officeDocument/2006/relationships" ref="K410" display="18/11/2022" r:id="rId866"/>
    <hyperlink xmlns:r="http://schemas.openxmlformats.org/officeDocument/2006/relationships" ref="L410" r:id="rId867"/>
    <hyperlink xmlns:r="http://schemas.openxmlformats.org/officeDocument/2006/relationships" ref="I412" r:id="rId868"/>
    <hyperlink xmlns:r="http://schemas.openxmlformats.org/officeDocument/2006/relationships" ref="J412" display="2" r:id="rId869"/>
    <hyperlink xmlns:r="http://schemas.openxmlformats.org/officeDocument/2006/relationships" ref="K412" display="18/11/2022" r:id="rId870"/>
    <hyperlink xmlns:r="http://schemas.openxmlformats.org/officeDocument/2006/relationships" ref="L412" r:id="rId871"/>
    <hyperlink xmlns:r="http://schemas.openxmlformats.org/officeDocument/2006/relationships" ref="I414" r:id="rId872"/>
    <hyperlink xmlns:r="http://schemas.openxmlformats.org/officeDocument/2006/relationships" ref="J414" display="3" r:id="rId873"/>
    <hyperlink xmlns:r="http://schemas.openxmlformats.org/officeDocument/2006/relationships" ref="K414" display="18/11/2022" r:id="rId874"/>
    <hyperlink xmlns:r="http://schemas.openxmlformats.org/officeDocument/2006/relationships" ref="L414" r:id="rId875"/>
    <hyperlink xmlns:r="http://schemas.openxmlformats.org/officeDocument/2006/relationships" ref="I416" r:id="rId876"/>
    <hyperlink xmlns:r="http://schemas.openxmlformats.org/officeDocument/2006/relationships" ref="J416" display="1" r:id="rId877"/>
    <hyperlink xmlns:r="http://schemas.openxmlformats.org/officeDocument/2006/relationships" ref="K416" display="18/11/2022" r:id="rId878"/>
    <hyperlink xmlns:r="http://schemas.openxmlformats.org/officeDocument/2006/relationships" ref="L416" r:id="rId879"/>
    <hyperlink xmlns:r="http://schemas.openxmlformats.org/officeDocument/2006/relationships" ref="I418" r:id="rId880"/>
    <hyperlink xmlns:r="http://schemas.openxmlformats.org/officeDocument/2006/relationships" ref="J418" display="81" r:id="rId881"/>
    <hyperlink xmlns:r="http://schemas.openxmlformats.org/officeDocument/2006/relationships" ref="K418" display="18/11/2022" r:id="rId882"/>
    <hyperlink xmlns:r="http://schemas.openxmlformats.org/officeDocument/2006/relationships" ref="L418" r:id="rId883"/>
    <hyperlink xmlns:r="http://schemas.openxmlformats.org/officeDocument/2006/relationships" ref="I420" r:id="rId884"/>
    <hyperlink xmlns:r="http://schemas.openxmlformats.org/officeDocument/2006/relationships" ref="J420" display="3" r:id="rId885"/>
    <hyperlink xmlns:r="http://schemas.openxmlformats.org/officeDocument/2006/relationships" ref="K420" display="18/11/2022" r:id="rId886"/>
    <hyperlink xmlns:r="http://schemas.openxmlformats.org/officeDocument/2006/relationships" ref="L420" r:id="rId887"/>
    <hyperlink xmlns:r="http://schemas.openxmlformats.org/officeDocument/2006/relationships" ref="I422" r:id="rId888"/>
    <hyperlink xmlns:r="http://schemas.openxmlformats.org/officeDocument/2006/relationships" ref="J422" display="5" r:id="rId889"/>
    <hyperlink xmlns:r="http://schemas.openxmlformats.org/officeDocument/2006/relationships" ref="K422" display="18/11/2022" r:id="rId890"/>
    <hyperlink xmlns:r="http://schemas.openxmlformats.org/officeDocument/2006/relationships" ref="L422" r:id="rId891"/>
    <hyperlink xmlns:r="http://schemas.openxmlformats.org/officeDocument/2006/relationships" ref="I424" r:id="rId892"/>
    <hyperlink xmlns:r="http://schemas.openxmlformats.org/officeDocument/2006/relationships" ref="J424" display="135" r:id="rId893"/>
    <hyperlink xmlns:r="http://schemas.openxmlformats.org/officeDocument/2006/relationships" ref="K424" display="14/10/2022" r:id="rId894"/>
    <hyperlink xmlns:r="http://schemas.openxmlformats.org/officeDocument/2006/relationships" ref="I426" r:id="rId895"/>
    <hyperlink xmlns:r="http://schemas.openxmlformats.org/officeDocument/2006/relationships" ref="J426" display="10" r:id="rId896"/>
    <hyperlink xmlns:r="http://schemas.openxmlformats.org/officeDocument/2006/relationships" ref="K426" display="14/10/2022" r:id="rId897"/>
    <hyperlink xmlns:r="http://schemas.openxmlformats.org/officeDocument/2006/relationships" ref="L426" r:id="rId898"/>
    <hyperlink xmlns:r="http://schemas.openxmlformats.org/officeDocument/2006/relationships" ref="I428" r:id="rId899"/>
    <hyperlink xmlns:r="http://schemas.openxmlformats.org/officeDocument/2006/relationships" ref="J428" display="639" r:id="rId900"/>
    <hyperlink xmlns:r="http://schemas.openxmlformats.org/officeDocument/2006/relationships" ref="K428" display="07/10/2022" r:id="rId901"/>
    <hyperlink xmlns:r="http://schemas.openxmlformats.org/officeDocument/2006/relationships" ref="L428" r:id="rId902"/>
    <hyperlink xmlns:r="http://schemas.openxmlformats.org/officeDocument/2006/relationships" ref="I430" r:id="rId903"/>
    <hyperlink xmlns:r="http://schemas.openxmlformats.org/officeDocument/2006/relationships" ref="J430" display="14" r:id="rId904"/>
    <hyperlink xmlns:r="http://schemas.openxmlformats.org/officeDocument/2006/relationships" ref="K430" display="07/10/2022" r:id="rId905"/>
    <hyperlink xmlns:r="http://schemas.openxmlformats.org/officeDocument/2006/relationships" ref="L430" r:id="rId906"/>
    <hyperlink xmlns:r="http://schemas.openxmlformats.org/officeDocument/2006/relationships" ref="I432" r:id="rId907"/>
    <hyperlink xmlns:r="http://schemas.openxmlformats.org/officeDocument/2006/relationships" ref="J432" display="48" r:id="rId908"/>
    <hyperlink xmlns:r="http://schemas.openxmlformats.org/officeDocument/2006/relationships" ref="K432" display="07/10/2022" r:id="rId909"/>
    <hyperlink xmlns:r="http://schemas.openxmlformats.org/officeDocument/2006/relationships" ref="L432" r:id="rId910"/>
    <hyperlink xmlns:r="http://schemas.openxmlformats.org/officeDocument/2006/relationships" ref="I434" r:id="rId911"/>
    <hyperlink xmlns:r="http://schemas.openxmlformats.org/officeDocument/2006/relationships" ref="J434" display="617" r:id="rId912"/>
    <hyperlink xmlns:r="http://schemas.openxmlformats.org/officeDocument/2006/relationships" ref="K434" display="07/10/2022" r:id="rId913"/>
    <hyperlink xmlns:r="http://schemas.openxmlformats.org/officeDocument/2006/relationships" ref="I436" r:id="rId914"/>
    <hyperlink xmlns:r="http://schemas.openxmlformats.org/officeDocument/2006/relationships" ref="J436" display="31" r:id="rId915"/>
    <hyperlink xmlns:r="http://schemas.openxmlformats.org/officeDocument/2006/relationships" ref="K436" display="07/10/2022" r:id="rId916"/>
    <hyperlink xmlns:r="http://schemas.openxmlformats.org/officeDocument/2006/relationships" ref="L436" r:id="rId917"/>
    <hyperlink xmlns:r="http://schemas.openxmlformats.org/officeDocument/2006/relationships" ref="I438" r:id="rId918"/>
    <hyperlink xmlns:r="http://schemas.openxmlformats.org/officeDocument/2006/relationships" ref="J438" display="3" r:id="rId919"/>
    <hyperlink xmlns:r="http://schemas.openxmlformats.org/officeDocument/2006/relationships" ref="K438" display="01/10/2022" r:id="rId920"/>
    <hyperlink xmlns:r="http://schemas.openxmlformats.org/officeDocument/2006/relationships" ref="L438" r:id="rId921"/>
    <hyperlink xmlns:r="http://schemas.openxmlformats.org/officeDocument/2006/relationships" ref="I440" r:id="rId922"/>
    <hyperlink xmlns:r="http://schemas.openxmlformats.org/officeDocument/2006/relationships" ref="J440" display="453" r:id="rId923"/>
    <hyperlink xmlns:r="http://schemas.openxmlformats.org/officeDocument/2006/relationships" ref="K440" display="09/09/2022" r:id="rId924"/>
    <hyperlink xmlns:r="http://schemas.openxmlformats.org/officeDocument/2006/relationships" ref="I442" r:id="rId925"/>
    <hyperlink xmlns:r="http://schemas.openxmlformats.org/officeDocument/2006/relationships" ref="J442" display="161" r:id="rId926"/>
    <hyperlink xmlns:r="http://schemas.openxmlformats.org/officeDocument/2006/relationships" ref="K442" display="09/09/2022" r:id="rId927"/>
    <hyperlink xmlns:r="http://schemas.openxmlformats.org/officeDocument/2006/relationships" ref="L442" r:id="rId928"/>
    <hyperlink xmlns:r="http://schemas.openxmlformats.org/officeDocument/2006/relationships" ref="I444" r:id="rId929"/>
    <hyperlink xmlns:r="http://schemas.openxmlformats.org/officeDocument/2006/relationships" ref="J444" display="26" r:id="rId930"/>
    <hyperlink xmlns:r="http://schemas.openxmlformats.org/officeDocument/2006/relationships" ref="K444" display="09/09/2022" r:id="rId931"/>
    <hyperlink xmlns:r="http://schemas.openxmlformats.org/officeDocument/2006/relationships" ref="L444" r:id="rId932"/>
    <hyperlink xmlns:r="http://schemas.openxmlformats.org/officeDocument/2006/relationships" ref="I446" r:id="rId933"/>
    <hyperlink xmlns:r="http://schemas.openxmlformats.org/officeDocument/2006/relationships" ref="J446" display="39" r:id="rId934"/>
    <hyperlink xmlns:r="http://schemas.openxmlformats.org/officeDocument/2006/relationships" ref="K446" display="05/10/2022" r:id="rId935"/>
    <hyperlink xmlns:r="http://schemas.openxmlformats.org/officeDocument/2006/relationships" ref="L446" r:id="rId936"/>
    <hyperlink xmlns:r="http://schemas.openxmlformats.org/officeDocument/2006/relationships" ref="I448" r:id="rId937"/>
    <hyperlink xmlns:r="http://schemas.openxmlformats.org/officeDocument/2006/relationships" ref="J448" display="3" r:id="rId938"/>
    <hyperlink xmlns:r="http://schemas.openxmlformats.org/officeDocument/2006/relationships" ref="K448" display="09/09/2022" r:id="rId939"/>
    <hyperlink xmlns:r="http://schemas.openxmlformats.org/officeDocument/2006/relationships" ref="L448" r:id="rId940"/>
    <hyperlink xmlns:r="http://schemas.openxmlformats.org/officeDocument/2006/relationships" ref="I450" r:id="rId941"/>
    <hyperlink xmlns:r="http://schemas.openxmlformats.org/officeDocument/2006/relationships" ref="J450" display="10" r:id="rId942"/>
    <hyperlink xmlns:r="http://schemas.openxmlformats.org/officeDocument/2006/relationships" ref="K450" display="09/09/2022" r:id="rId943"/>
    <hyperlink xmlns:r="http://schemas.openxmlformats.org/officeDocument/2006/relationships" ref="L450" r:id="rId944"/>
    <hyperlink xmlns:r="http://schemas.openxmlformats.org/officeDocument/2006/relationships" ref="I452" r:id="rId945"/>
    <hyperlink xmlns:r="http://schemas.openxmlformats.org/officeDocument/2006/relationships" ref="J452" display="5" r:id="rId946"/>
    <hyperlink xmlns:r="http://schemas.openxmlformats.org/officeDocument/2006/relationships" ref="K452" display="09/09/2022" r:id="rId947"/>
    <hyperlink xmlns:r="http://schemas.openxmlformats.org/officeDocument/2006/relationships" ref="L452" r:id="rId948"/>
    <hyperlink xmlns:r="http://schemas.openxmlformats.org/officeDocument/2006/relationships" ref="I454" r:id="rId949"/>
    <hyperlink xmlns:r="http://schemas.openxmlformats.org/officeDocument/2006/relationships" ref="J454" display="81" r:id="rId950"/>
    <hyperlink xmlns:r="http://schemas.openxmlformats.org/officeDocument/2006/relationships" ref="K454" display="09/09/2022" r:id="rId951"/>
    <hyperlink xmlns:r="http://schemas.openxmlformats.org/officeDocument/2006/relationships" ref="L454" r:id="rId952"/>
    <hyperlink xmlns:r="http://schemas.openxmlformats.org/officeDocument/2006/relationships" ref="I456" r:id="rId953"/>
    <hyperlink xmlns:r="http://schemas.openxmlformats.org/officeDocument/2006/relationships" ref="J456" display="240" r:id="rId954"/>
    <hyperlink xmlns:r="http://schemas.openxmlformats.org/officeDocument/2006/relationships" ref="K456" display="09/09/2022" r:id="rId955"/>
    <hyperlink xmlns:r="http://schemas.openxmlformats.org/officeDocument/2006/relationships" ref="I458" r:id="rId956"/>
    <hyperlink xmlns:r="http://schemas.openxmlformats.org/officeDocument/2006/relationships" ref="J458" display="12" r:id="rId957"/>
    <hyperlink xmlns:r="http://schemas.openxmlformats.org/officeDocument/2006/relationships" ref="K458" display="09/09/2022" r:id="rId958"/>
    <hyperlink xmlns:r="http://schemas.openxmlformats.org/officeDocument/2006/relationships" ref="L458" r:id="rId959"/>
    <hyperlink xmlns:r="http://schemas.openxmlformats.org/officeDocument/2006/relationships" ref="I460" r:id="rId960"/>
    <hyperlink xmlns:r="http://schemas.openxmlformats.org/officeDocument/2006/relationships" ref="J460" display="3" r:id="rId961"/>
    <hyperlink xmlns:r="http://schemas.openxmlformats.org/officeDocument/2006/relationships" ref="K460" display="09/09/2022" r:id="rId962"/>
    <hyperlink xmlns:r="http://schemas.openxmlformats.org/officeDocument/2006/relationships" ref="L460" r:id="rId963"/>
    <hyperlink xmlns:r="http://schemas.openxmlformats.org/officeDocument/2006/relationships" ref="I462" r:id="rId964"/>
    <hyperlink xmlns:r="http://schemas.openxmlformats.org/officeDocument/2006/relationships" ref="J462" display="3" r:id="rId965"/>
    <hyperlink xmlns:r="http://schemas.openxmlformats.org/officeDocument/2006/relationships" ref="K462" display="01/08/2022" r:id="rId966"/>
    <hyperlink xmlns:r="http://schemas.openxmlformats.org/officeDocument/2006/relationships" ref="L462" r:id="rId967"/>
    <hyperlink xmlns:r="http://schemas.openxmlformats.org/officeDocument/2006/relationships" ref="I464" r:id="rId968"/>
    <hyperlink xmlns:r="http://schemas.openxmlformats.org/officeDocument/2006/relationships" ref="J464" display="4" r:id="rId969"/>
    <hyperlink xmlns:r="http://schemas.openxmlformats.org/officeDocument/2006/relationships" ref="K464" display="01/08/2022" r:id="rId970"/>
    <hyperlink xmlns:r="http://schemas.openxmlformats.org/officeDocument/2006/relationships" ref="L464" r:id="rId971"/>
    <hyperlink xmlns:r="http://schemas.openxmlformats.org/officeDocument/2006/relationships" ref="I466" r:id="rId972"/>
    <hyperlink xmlns:r="http://schemas.openxmlformats.org/officeDocument/2006/relationships" ref="J466" display="20" r:id="rId973"/>
    <hyperlink xmlns:r="http://schemas.openxmlformats.org/officeDocument/2006/relationships" ref="K466" display="28/07/2022" r:id="rId974"/>
    <hyperlink xmlns:r="http://schemas.openxmlformats.org/officeDocument/2006/relationships" ref="L466" r:id="rId975"/>
    <hyperlink xmlns:r="http://schemas.openxmlformats.org/officeDocument/2006/relationships" ref="I468" r:id="rId976"/>
    <hyperlink xmlns:r="http://schemas.openxmlformats.org/officeDocument/2006/relationships" ref="J468" display="20" r:id="rId977"/>
    <hyperlink xmlns:r="http://schemas.openxmlformats.org/officeDocument/2006/relationships" ref="K468" display="28/07/2022" r:id="rId978"/>
    <hyperlink xmlns:r="http://schemas.openxmlformats.org/officeDocument/2006/relationships" ref="L468" r:id="rId979"/>
    <hyperlink xmlns:r="http://schemas.openxmlformats.org/officeDocument/2006/relationships" ref="I470" r:id="rId980"/>
    <hyperlink xmlns:r="http://schemas.openxmlformats.org/officeDocument/2006/relationships" ref="J470" display="44" r:id="rId981"/>
    <hyperlink xmlns:r="http://schemas.openxmlformats.org/officeDocument/2006/relationships" ref="K470" display="09/07/2022" r:id="rId982"/>
    <hyperlink xmlns:r="http://schemas.openxmlformats.org/officeDocument/2006/relationships" ref="L470" r:id="rId983"/>
    <hyperlink xmlns:r="http://schemas.openxmlformats.org/officeDocument/2006/relationships" ref="I472" r:id="rId984"/>
    <hyperlink xmlns:r="http://schemas.openxmlformats.org/officeDocument/2006/relationships" ref="J472" display="579" r:id="rId985"/>
    <hyperlink xmlns:r="http://schemas.openxmlformats.org/officeDocument/2006/relationships" ref="K472" display="08/07/2022" r:id="rId986"/>
    <hyperlink xmlns:r="http://schemas.openxmlformats.org/officeDocument/2006/relationships" ref="I474" r:id="rId987"/>
    <hyperlink xmlns:r="http://schemas.openxmlformats.org/officeDocument/2006/relationships" ref="J474" display="24" r:id="rId988"/>
    <hyperlink xmlns:r="http://schemas.openxmlformats.org/officeDocument/2006/relationships" ref="K474" display="08/07/2022" r:id="rId989"/>
    <hyperlink xmlns:r="http://schemas.openxmlformats.org/officeDocument/2006/relationships" ref="L474" r:id="rId990"/>
    <hyperlink xmlns:r="http://schemas.openxmlformats.org/officeDocument/2006/relationships" ref="I476" r:id="rId991"/>
    <hyperlink xmlns:r="http://schemas.openxmlformats.org/officeDocument/2006/relationships" ref="J476" display="436" r:id="rId992"/>
    <hyperlink xmlns:r="http://schemas.openxmlformats.org/officeDocument/2006/relationships" ref="K476" display="07/07/2022" r:id="rId993"/>
    <hyperlink xmlns:r="http://schemas.openxmlformats.org/officeDocument/2006/relationships" ref="L476" r:id="rId994"/>
    <hyperlink xmlns:r="http://schemas.openxmlformats.org/officeDocument/2006/relationships" ref="I478" r:id="rId995"/>
    <hyperlink xmlns:r="http://schemas.openxmlformats.org/officeDocument/2006/relationships" ref="J478" display="2" r:id="rId996"/>
    <hyperlink xmlns:r="http://schemas.openxmlformats.org/officeDocument/2006/relationships" ref="K478" display="01/07/2022" r:id="rId997"/>
    <hyperlink xmlns:r="http://schemas.openxmlformats.org/officeDocument/2006/relationships" ref="L478" r:id="rId998"/>
    <hyperlink xmlns:r="http://schemas.openxmlformats.org/officeDocument/2006/relationships" ref="I480" r:id="rId999"/>
    <hyperlink xmlns:r="http://schemas.openxmlformats.org/officeDocument/2006/relationships" ref="J480" display="936" r:id="rId1000"/>
    <hyperlink xmlns:r="http://schemas.openxmlformats.org/officeDocument/2006/relationships" ref="K480" display="10/06/2022" r:id="rId1001"/>
    <hyperlink xmlns:r="http://schemas.openxmlformats.org/officeDocument/2006/relationships" ref="I482" r:id="rId1002"/>
    <hyperlink xmlns:r="http://schemas.openxmlformats.org/officeDocument/2006/relationships" ref="J482" display="104" r:id="rId1003"/>
    <hyperlink xmlns:r="http://schemas.openxmlformats.org/officeDocument/2006/relationships" ref="K482" display="10/06/2022" r:id="rId1004"/>
    <hyperlink xmlns:r="http://schemas.openxmlformats.org/officeDocument/2006/relationships" ref="L482" r:id="rId1005"/>
    <hyperlink xmlns:r="http://schemas.openxmlformats.org/officeDocument/2006/relationships" ref="I484" r:id="rId1006"/>
    <hyperlink xmlns:r="http://schemas.openxmlformats.org/officeDocument/2006/relationships" ref="J484" display="51" r:id="rId1007"/>
    <hyperlink xmlns:r="http://schemas.openxmlformats.org/officeDocument/2006/relationships" ref="K484" display="10/06/2022" r:id="rId1008"/>
    <hyperlink xmlns:r="http://schemas.openxmlformats.org/officeDocument/2006/relationships" ref="L484" r:id="rId1009"/>
    <hyperlink xmlns:r="http://schemas.openxmlformats.org/officeDocument/2006/relationships" ref="I486" r:id="rId1010"/>
    <hyperlink xmlns:r="http://schemas.openxmlformats.org/officeDocument/2006/relationships" ref="J486" display="3" r:id="rId1011"/>
    <hyperlink xmlns:r="http://schemas.openxmlformats.org/officeDocument/2006/relationships" ref="K486" display="10/06/2022" r:id="rId1012"/>
    <hyperlink xmlns:r="http://schemas.openxmlformats.org/officeDocument/2006/relationships" ref="L486" r:id="rId1013"/>
    <hyperlink xmlns:r="http://schemas.openxmlformats.org/officeDocument/2006/relationships" ref="I488" r:id="rId1014"/>
    <hyperlink xmlns:r="http://schemas.openxmlformats.org/officeDocument/2006/relationships" ref="J488" display="1" r:id="rId1015"/>
    <hyperlink xmlns:r="http://schemas.openxmlformats.org/officeDocument/2006/relationships" ref="K488" display="10/06/2022" r:id="rId1016"/>
    <hyperlink xmlns:r="http://schemas.openxmlformats.org/officeDocument/2006/relationships" ref="L488" r:id="rId1017"/>
    <hyperlink xmlns:r="http://schemas.openxmlformats.org/officeDocument/2006/relationships" ref="I490" r:id="rId1018"/>
    <hyperlink xmlns:r="http://schemas.openxmlformats.org/officeDocument/2006/relationships" ref="J490" display="81" r:id="rId1019"/>
    <hyperlink xmlns:r="http://schemas.openxmlformats.org/officeDocument/2006/relationships" ref="K490" display="10/06/2022" r:id="rId1020"/>
    <hyperlink xmlns:r="http://schemas.openxmlformats.org/officeDocument/2006/relationships" ref="L490" r:id="rId1021"/>
    <hyperlink xmlns:r="http://schemas.openxmlformats.org/officeDocument/2006/relationships" ref="I492" r:id="rId1022"/>
    <hyperlink xmlns:r="http://schemas.openxmlformats.org/officeDocument/2006/relationships" ref="J492" display="513" r:id="rId1023"/>
    <hyperlink xmlns:r="http://schemas.openxmlformats.org/officeDocument/2006/relationships" ref="K492" display="29/04/2022" r:id="rId1024"/>
    <hyperlink xmlns:r="http://schemas.openxmlformats.org/officeDocument/2006/relationships" ref="I494" r:id="rId1025"/>
    <hyperlink xmlns:r="http://schemas.openxmlformats.org/officeDocument/2006/relationships" ref="J494" display="161" r:id="rId1026"/>
    <hyperlink xmlns:r="http://schemas.openxmlformats.org/officeDocument/2006/relationships" ref="K494" display="29/04/2022" r:id="rId1027"/>
    <hyperlink xmlns:r="http://schemas.openxmlformats.org/officeDocument/2006/relationships" ref="L494" r:id="rId1028"/>
    <hyperlink xmlns:r="http://schemas.openxmlformats.org/officeDocument/2006/relationships" ref="I496" r:id="rId1029"/>
    <hyperlink xmlns:r="http://schemas.openxmlformats.org/officeDocument/2006/relationships" ref="J496" display="6" r:id="rId1030"/>
    <hyperlink xmlns:r="http://schemas.openxmlformats.org/officeDocument/2006/relationships" ref="K496" display="30/04/2022" r:id="rId1031"/>
    <hyperlink xmlns:r="http://schemas.openxmlformats.org/officeDocument/2006/relationships" ref="L496" r:id="rId1032"/>
    <hyperlink xmlns:r="http://schemas.openxmlformats.org/officeDocument/2006/relationships" ref="I498" r:id="rId1033"/>
    <hyperlink xmlns:r="http://schemas.openxmlformats.org/officeDocument/2006/relationships" ref="J498" display="19" r:id="rId1034"/>
    <hyperlink xmlns:r="http://schemas.openxmlformats.org/officeDocument/2006/relationships" ref="K498" display="29/04/2022" r:id="rId1035"/>
    <hyperlink xmlns:r="http://schemas.openxmlformats.org/officeDocument/2006/relationships" ref="L498" r:id="rId1036"/>
    <hyperlink xmlns:r="http://schemas.openxmlformats.org/officeDocument/2006/relationships" ref="I500" r:id="rId1037"/>
    <hyperlink xmlns:r="http://schemas.openxmlformats.org/officeDocument/2006/relationships" ref="J500" display="30" r:id="rId1038"/>
    <hyperlink xmlns:r="http://schemas.openxmlformats.org/officeDocument/2006/relationships" ref="K500" display="02/06/2022" r:id="rId1039"/>
    <hyperlink xmlns:r="http://schemas.openxmlformats.org/officeDocument/2006/relationships" ref="L500" r:id="rId1040"/>
    <hyperlink xmlns:r="http://schemas.openxmlformats.org/officeDocument/2006/relationships" ref="I502" r:id="rId1041"/>
    <hyperlink xmlns:r="http://schemas.openxmlformats.org/officeDocument/2006/relationships" ref="J502" display="447" r:id="rId1042"/>
    <hyperlink xmlns:r="http://schemas.openxmlformats.org/officeDocument/2006/relationships" ref="K502" display="29/04/2022" r:id="rId1043"/>
    <hyperlink xmlns:r="http://schemas.openxmlformats.org/officeDocument/2006/relationships" ref="I504" r:id="rId1044"/>
    <hyperlink xmlns:r="http://schemas.openxmlformats.org/officeDocument/2006/relationships" ref="J504" display="75" r:id="rId1045"/>
    <hyperlink xmlns:r="http://schemas.openxmlformats.org/officeDocument/2006/relationships" ref="K504" display="29/04/2022" r:id="rId1046"/>
    <hyperlink xmlns:r="http://schemas.openxmlformats.org/officeDocument/2006/relationships" ref="L504" r:id="rId1047"/>
    <hyperlink xmlns:r="http://schemas.openxmlformats.org/officeDocument/2006/relationships" ref="I506" r:id="rId1048"/>
    <hyperlink xmlns:r="http://schemas.openxmlformats.org/officeDocument/2006/relationships" ref="J506" display="36" r:id="rId1049"/>
    <hyperlink xmlns:r="http://schemas.openxmlformats.org/officeDocument/2006/relationships" ref="K506" display="29/04/2022" r:id="rId1050"/>
    <hyperlink xmlns:r="http://schemas.openxmlformats.org/officeDocument/2006/relationships" ref="L506" r:id="rId1051"/>
    <hyperlink xmlns:r="http://schemas.openxmlformats.org/officeDocument/2006/relationships" ref="I508" r:id="rId1052"/>
    <hyperlink xmlns:r="http://schemas.openxmlformats.org/officeDocument/2006/relationships" ref="J508" display="3" r:id="rId1053"/>
    <hyperlink xmlns:r="http://schemas.openxmlformats.org/officeDocument/2006/relationships" ref="K508" display="29/04/2022" r:id="rId1054"/>
    <hyperlink xmlns:r="http://schemas.openxmlformats.org/officeDocument/2006/relationships" ref="L508" r:id="rId1055"/>
    <hyperlink xmlns:r="http://schemas.openxmlformats.org/officeDocument/2006/relationships" ref="I510" r:id="rId1056"/>
    <hyperlink xmlns:r="http://schemas.openxmlformats.org/officeDocument/2006/relationships" ref="J510" display="81" r:id="rId1057"/>
    <hyperlink xmlns:r="http://schemas.openxmlformats.org/officeDocument/2006/relationships" ref="K510" display="29/04/2022" r:id="rId1058"/>
    <hyperlink xmlns:r="http://schemas.openxmlformats.org/officeDocument/2006/relationships" ref="L510" r:id="rId1059"/>
    <hyperlink xmlns:r="http://schemas.openxmlformats.org/officeDocument/2006/relationships" ref="I512" r:id="rId1060"/>
    <hyperlink xmlns:r="http://schemas.openxmlformats.org/officeDocument/2006/relationships" ref="J512" display="9" r:id="rId1061"/>
    <hyperlink xmlns:r="http://schemas.openxmlformats.org/officeDocument/2006/relationships" ref="K512" display="08/04/2022" r:id="rId1062"/>
    <hyperlink xmlns:r="http://schemas.openxmlformats.org/officeDocument/2006/relationships" ref="L512" r:id="rId1063"/>
    <hyperlink xmlns:r="http://schemas.openxmlformats.org/officeDocument/2006/relationships" ref="I514" r:id="rId1064"/>
    <hyperlink xmlns:r="http://schemas.openxmlformats.org/officeDocument/2006/relationships" ref="J514" display="1" r:id="rId1065"/>
    <hyperlink xmlns:r="http://schemas.openxmlformats.org/officeDocument/2006/relationships" ref="K514" display="01/04/2022" r:id="rId1066"/>
    <hyperlink xmlns:r="http://schemas.openxmlformats.org/officeDocument/2006/relationships" ref="L514" r:id="rId1067"/>
    <hyperlink xmlns:r="http://schemas.openxmlformats.org/officeDocument/2006/relationships" ref="I516" r:id="rId1068"/>
    <hyperlink xmlns:r="http://schemas.openxmlformats.org/officeDocument/2006/relationships" ref="J516" display="6" r:id="rId1069"/>
    <hyperlink xmlns:r="http://schemas.openxmlformats.org/officeDocument/2006/relationships" ref="K516" display="05/03/2022" r:id="rId1070"/>
    <hyperlink xmlns:r="http://schemas.openxmlformats.org/officeDocument/2006/relationships" ref="L516" r:id="rId1071"/>
    <hyperlink xmlns:r="http://schemas.openxmlformats.org/officeDocument/2006/relationships" ref="I518" r:id="rId1072"/>
    <hyperlink xmlns:r="http://schemas.openxmlformats.org/officeDocument/2006/relationships" ref="J518" display="5" r:id="rId1073"/>
    <hyperlink xmlns:r="http://schemas.openxmlformats.org/officeDocument/2006/relationships" ref="K518" display="25/02/2022" r:id="rId1074"/>
    <hyperlink xmlns:r="http://schemas.openxmlformats.org/officeDocument/2006/relationships" ref="I520" r:id="rId1075"/>
    <hyperlink xmlns:r="http://schemas.openxmlformats.org/officeDocument/2006/relationships" ref="J520" display="531" r:id="rId1076"/>
    <hyperlink xmlns:r="http://schemas.openxmlformats.org/officeDocument/2006/relationships" ref="K520" display="18/02/2022" r:id="rId1077"/>
    <hyperlink xmlns:r="http://schemas.openxmlformats.org/officeDocument/2006/relationships" ref="I522" r:id="rId1078"/>
    <hyperlink xmlns:r="http://schemas.openxmlformats.org/officeDocument/2006/relationships" ref="J522" display="148" r:id="rId1079"/>
    <hyperlink xmlns:r="http://schemas.openxmlformats.org/officeDocument/2006/relationships" ref="K522" display="18/02/2022" r:id="rId1080"/>
    <hyperlink xmlns:r="http://schemas.openxmlformats.org/officeDocument/2006/relationships" ref="L522" r:id="rId1081"/>
    <hyperlink xmlns:r="http://schemas.openxmlformats.org/officeDocument/2006/relationships" ref="I524" r:id="rId1082"/>
    <hyperlink xmlns:r="http://schemas.openxmlformats.org/officeDocument/2006/relationships" ref="J524" display="19" r:id="rId1083"/>
    <hyperlink xmlns:r="http://schemas.openxmlformats.org/officeDocument/2006/relationships" ref="K524" display="18/02/2022" r:id="rId1084"/>
    <hyperlink xmlns:r="http://schemas.openxmlformats.org/officeDocument/2006/relationships" ref="L524" r:id="rId1085"/>
    <hyperlink xmlns:r="http://schemas.openxmlformats.org/officeDocument/2006/relationships" ref="I526" r:id="rId1086"/>
    <hyperlink xmlns:r="http://schemas.openxmlformats.org/officeDocument/2006/relationships" ref="J526" display="30" r:id="rId1087"/>
    <hyperlink xmlns:r="http://schemas.openxmlformats.org/officeDocument/2006/relationships" ref="K526" display="17/03/2022" r:id="rId1088"/>
    <hyperlink xmlns:r="http://schemas.openxmlformats.org/officeDocument/2006/relationships" ref="L526" r:id="rId1089"/>
    <hyperlink xmlns:r="http://schemas.openxmlformats.org/officeDocument/2006/relationships" ref="I528" r:id="rId1090"/>
    <hyperlink xmlns:r="http://schemas.openxmlformats.org/officeDocument/2006/relationships" ref="J528" display="3" r:id="rId1091"/>
    <hyperlink xmlns:r="http://schemas.openxmlformats.org/officeDocument/2006/relationships" ref="K528" display="18/02/2022" r:id="rId1092"/>
    <hyperlink xmlns:r="http://schemas.openxmlformats.org/officeDocument/2006/relationships" ref="L528" r:id="rId1093"/>
    <hyperlink xmlns:r="http://schemas.openxmlformats.org/officeDocument/2006/relationships" ref="I530" r:id="rId1094"/>
    <hyperlink xmlns:r="http://schemas.openxmlformats.org/officeDocument/2006/relationships" ref="J530" display="9" r:id="rId1095"/>
    <hyperlink xmlns:r="http://schemas.openxmlformats.org/officeDocument/2006/relationships" ref="K530" display="18/02/2022" r:id="rId1096"/>
    <hyperlink xmlns:r="http://schemas.openxmlformats.org/officeDocument/2006/relationships" ref="L530" r:id="rId1097"/>
    <hyperlink xmlns:r="http://schemas.openxmlformats.org/officeDocument/2006/relationships" ref="I532" r:id="rId1098"/>
    <hyperlink xmlns:r="http://schemas.openxmlformats.org/officeDocument/2006/relationships" ref="J532" display="179" r:id="rId1099"/>
    <hyperlink xmlns:r="http://schemas.openxmlformats.org/officeDocument/2006/relationships" ref="K532" display="18/02/2022" r:id="rId1100"/>
    <hyperlink xmlns:r="http://schemas.openxmlformats.org/officeDocument/2006/relationships" ref="I534" r:id="rId1101"/>
    <hyperlink xmlns:r="http://schemas.openxmlformats.org/officeDocument/2006/relationships" ref="J534" display="12" r:id="rId1102"/>
    <hyperlink xmlns:r="http://schemas.openxmlformats.org/officeDocument/2006/relationships" ref="K534" display="18/02/2022" r:id="rId1103"/>
    <hyperlink xmlns:r="http://schemas.openxmlformats.org/officeDocument/2006/relationships" ref="L534" r:id="rId1104"/>
    <hyperlink xmlns:r="http://schemas.openxmlformats.org/officeDocument/2006/relationships" ref="I536" r:id="rId1105"/>
    <hyperlink xmlns:r="http://schemas.openxmlformats.org/officeDocument/2006/relationships" ref="J536" display="81" r:id="rId1106"/>
    <hyperlink xmlns:r="http://schemas.openxmlformats.org/officeDocument/2006/relationships" ref="K536" display="18/02/2022" r:id="rId1107"/>
    <hyperlink xmlns:r="http://schemas.openxmlformats.org/officeDocument/2006/relationships" ref="L536" r:id="rId1108"/>
    <hyperlink xmlns:r="http://schemas.openxmlformats.org/officeDocument/2006/relationships" ref="I538" r:id="rId1109"/>
    <hyperlink xmlns:r="http://schemas.openxmlformats.org/officeDocument/2006/relationships" ref="J538" display="9" r:id="rId1110"/>
    <hyperlink xmlns:r="http://schemas.openxmlformats.org/officeDocument/2006/relationships" ref="K538" display="28/01/2022" r:id="rId1111"/>
    <hyperlink xmlns:r="http://schemas.openxmlformats.org/officeDocument/2006/relationships" ref="L538" r:id="rId1112"/>
    <hyperlink xmlns:r="http://schemas.openxmlformats.org/officeDocument/2006/relationships" ref="I540" r:id="rId1113"/>
    <hyperlink xmlns:r="http://schemas.openxmlformats.org/officeDocument/2006/relationships" ref="J540" display="535" r:id="rId1114"/>
    <hyperlink xmlns:r="http://schemas.openxmlformats.org/officeDocument/2006/relationships" ref="K540" display="28/01/2022" r:id="rId1115"/>
    <hyperlink xmlns:r="http://schemas.openxmlformats.org/officeDocument/2006/relationships" ref="L540" r:id="rId1116"/>
    <hyperlink xmlns:r="http://schemas.openxmlformats.org/officeDocument/2006/relationships" ref="I542" r:id="rId1117"/>
    <hyperlink xmlns:r="http://schemas.openxmlformats.org/officeDocument/2006/relationships" ref="J542" display="10" r:id="rId1118"/>
    <hyperlink xmlns:r="http://schemas.openxmlformats.org/officeDocument/2006/relationships" ref="K542" display="01/01/2022" r:id="rId1119"/>
    <hyperlink xmlns:r="http://schemas.openxmlformats.org/officeDocument/2006/relationships" ref="L542" r:id="rId1120"/>
    <hyperlink xmlns:r="http://schemas.openxmlformats.org/officeDocument/2006/relationships" ref="I544" r:id="rId1121"/>
    <hyperlink xmlns:r="http://schemas.openxmlformats.org/officeDocument/2006/relationships" ref="J544" display="63" r:id="rId1122"/>
    <hyperlink xmlns:r="http://schemas.openxmlformats.org/officeDocument/2006/relationships" ref="K544" display="09/12/2021" r:id="rId1123"/>
    <hyperlink xmlns:r="http://schemas.openxmlformats.org/officeDocument/2006/relationships" ref="L544" r:id="rId1124"/>
    <hyperlink xmlns:r="http://schemas.openxmlformats.org/officeDocument/2006/relationships" ref="I546" r:id="rId1125"/>
    <hyperlink xmlns:r="http://schemas.openxmlformats.org/officeDocument/2006/relationships" ref="J546" display="423" r:id="rId1126"/>
    <hyperlink xmlns:r="http://schemas.openxmlformats.org/officeDocument/2006/relationships" ref="K546" display="19/11/2021" r:id="rId1127"/>
    <hyperlink xmlns:r="http://schemas.openxmlformats.org/officeDocument/2006/relationships" ref="I548" r:id="rId1128"/>
    <hyperlink xmlns:r="http://schemas.openxmlformats.org/officeDocument/2006/relationships" ref="J548" display="121" r:id="rId1129"/>
    <hyperlink xmlns:r="http://schemas.openxmlformats.org/officeDocument/2006/relationships" ref="K548" display="19/11/2021" r:id="rId1130"/>
    <hyperlink xmlns:r="http://schemas.openxmlformats.org/officeDocument/2006/relationships" ref="L548" r:id="rId1131"/>
    <hyperlink xmlns:r="http://schemas.openxmlformats.org/officeDocument/2006/relationships" ref="I550" r:id="rId1132"/>
    <hyperlink xmlns:r="http://schemas.openxmlformats.org/officeDocument/2006/relationships" ref="J550" display="21" r:id="rId1133"/>
    <hyperlink xmlns:r="http://schemas.openxmlformats.org/officeDocument/2006/relationships" ref="K550" display="19/11/2021" r:id="rId1134"/>
    <hyperlink xmlns:r="http://schemas.openxmlformats.org/officeDocument/2006/relationships" ref="L550" r:id="rId1135"/>
    <hyperlink xmlns:r="http://schemas.openxmlformats.org/officeDocument/2006/relationships" ref="I552" r:id="rId1136"/>
    <hyperlink xmlns:r="http://schemas.openxmlformats.org/officeDocument/2006/relationships" ref="J552" display="3" r:id="rId1137"/>
    <hyperlink xmlns:r="http://schemas.openxmlformats.org/officeDocument/2006/relationships" ref="K552" display="19/11/2021" r:id="rId1138"/>
    <hyperlink xmlns:r="http://schemas.openxmlformats.org/officeDocument/2006/relationships" ref="L552" r:id="rId1139"/>
    <hyperlink xmlns:r="http://schemas.openxmlformats.org/officeDocument/2006/relationships" ref="I554" r:id="rId1140"/>
    <hyperlink xmlns:r="http://schemas.openxmlformats.org/officeDocument/2006/relationships" ref="J554" display="9" r:id="rId1141"/>
    <hyperlink xmlns:r="http://schemas.openxmlformats.org/officeDocument/2006/relationships" ref="K554" display="19/11/2021" r:id="rId1142"/>
    <hyperlink xmlns:r="http://schemas.openxmlformats.org/officeDocument/2006/relationships" ref="L554" r:id="rId1143"/>
    <hyperlink xmlns:r="http://schemas.openxmlformats.org/officeDocument/2006/relationships" ref="I556" r:id="rId1144"/>
    <hyperlink xmlns:r="http://schemas.openxmlformats.org/officeDocument/2006/relationships" ref="J556" display="81" r:id="rId1145"/>
    <hyperlink xmlns:r="http://schemas.openxmlformats.org/officeDocument/2006/relationships" ref="K556" display="19/11/2021" r:id="rId1146"/>
    <hyperlink xmlns:r="http://schemas.openxmlformats.org/officeDocument/2006/relationships" ref="L556" r:id="rId1147"/>
    <hyperlink xmlns:r="http://schemas.openxmlformats.org/officeDocument/2006/relationships" ref="I558" r:id="rId1148"/>
    <hyperlink xmlns:r="http://schemas.openxmlformats.org/officeDocument/2006/relationships" ref="J558" display="188" r:id="rId1149"/>
    <hyperlink xmlns:r="http://schemas.openxmlformats.org/officeDocument/2006/relationships" ref="K558" display="19/11/2021" r:id="rId1150"/>
    <hyperlink xmlns:r="http://schemas.openxmlformats.org/officeDocument/2006/relationships" ref="I560" r:id="rId1151"/>
    <hyperlink xmlns:r="http://schemas.openxmlformats.org/officeDocument/2006/relationships" ref="J560" display="6" r:id="rId1152"/>
    <hyperlink xmlns:r="http://schemas.openxmlformats.org/officeDocument/2006/relationships" ref="K560" display="19/11/2021" r:id="rId1153"/>
    <hyperlink xmlns:r="http://schemas.openxmlformats.org/officeDocument/2006/relationships" ref="L560" r:id="rId1154"/>
    <hyperlink xmlns:r="http://schemas.openxmlformats.org/officeDocument/2006/relationships" ref="I562" r:id="rId1155"/>
    <hyperlink xmlns:r="http://schemas.openxmlformats.org/officeDocument/2006/relationships" ref="J562" display="2" r:id="rId1156"/>
    <hyperlink xmlns:r="http://schemas.openxmlformats.org/officeDocument/2006/relationships" ref="K562" display="19/11/2021" r:id="rId1157"/>
    <hyperlink xmlns:r="http://schemas.openxmlformats.org/officeDocument/2006/relationships" ref="L562" r:id="rId1158"/>
    <hyperlink xmlns:r="http://schemas.openxmlformats.org/officeDocument/2006/relationships" ref="I564" r:id="rId1159"/>
    <hyperlink xmlns:r="http://schemas.openxmlformats.org/officeDocument/2006/relationships" ref="J564" display="10" r:id="rId1160"/>
    <hyperlink xmlns:r="http://schemas.openxmlformats.org/officeDocument/2006/relationships" ref="K564" display="15/10/2021" r:id="rId1161"/>
    <hyperlink xmlns:r="http://schemas.openxmlformats.org/officeDocument/2006/relationships" ref="L564" r:id="rId1162"/>
    <hyperlink xmlns:r="http://schemas.openxmlformats.org/officeDocument/2006/relationships" ref="I566" r:id="rId1163"/>
    <hyperlink xmlns:r="http://schemas.openxmlformats.org/officeDocument/2006/relationships" ref="J566" display="399" r:id="rId1164"/>
    <hyperlink xmlns:r="http://schemas.openxmlformats.org/officeDocument/2006/relationships" ref="K566" display="24/09/2021" r:id="rId1165"/>
    <hyperlink xmlns:r="http://schemas.openxmlformats.org/officeDocument/2006/relationships" ref="I568" r:id="rId1166"/>
    <hyperlink xmlns:r="http://schemas.openxmlformats.org/officeDocument/2006/relationships" ref="J568" display="155" r:id="rId1167"/>
    <hyperlink xmlns:r="http://schemas.openxmlformats.org/officeDocument/2006/relationships" ref="K568" display="24/09/2021" r:id="rId1168"/>
    <hyperlink xmlns:r="http://schemas.openxmlformats.org/officeDocument/2006/relationships" ref="L568" r:id="rId1169"/>
    <hyperlink xmlns:r="http://schemas.openxmlformats.org/officeDocument/2006/relationships" ref="I570" r:id="rId1170"/>
    <hyperlink xmlns:r="http://schemas.openxmlformats.org/officeDocument/2006/relationships" ref="J570" display="19" r:id="rId1171"/>
    <hyperlink xmlns:r="http://schemas.openxmlformats.org/officeDocument/2006/relationships" ref="K570" display="24/09/2021" r:id="rId1172"/>
    <hyperlink xmlns:r="http://schemas.openxmlformats.org/officeDocument/2006/relationships" ref="L570" r:id="rId1173"/>
    <hyperlink xmlns:r="http://schemas.openxmlformats.org/officeDocument/2006/relationships" ref="I572" r:id="rId1174"/>
    <hyperlink xmlns:r="http://schemas.openxmlformats.org/officeDocument/2006/relationships" ref="J572" display="9" r:id="rId1175"/>
    <hyperlink xmlns:r="http://schemas.openxmlformats.org/officeDocument/2006/relationships" ref="K572" display="24/09/2021" r:id="rId1176"/>
    <hyperlink xmlns:r="http://schemas.openxmlformats.org/officeDocument/2006/relationships" ref="L572" r:id="rId1177"/>
    <hyperlink xmlns:r="http://schemas.openxmlformats.org/officeDocument/2006/relationships" ref="I574" r:id="rId1178"/>
    <hyperlink xmlns:r="http://schemas.openxmlformats.org/officeDocument/2006/relationships" ref="J574" display="187" r:id="rId1179"/>
    <hyperlink xmlns:r="http://schemas.openxmlformats.org/officeDocument/2006/relationships" ref="K574" display="24/09/2021" r:id="rId1180"/>
    <hyperlink xmlns:r="http://schemas.openxmlformats.org/officeDocument/2006/relationships" ref="I576" r:id="rId1181"/>
    <hyperlink xmlns:r="http://schemas.openxmlformats.org/officeDocument/2006/relationships" ref="J576" display="11" r:id="rId1182"/>
    <hyperlink xmlns:r="http://schemas.openxmlformats.org/officeDocument/2006/relationships" ref="K576" display="24/09/2021" r:id="rId1183"/>
    <hyperlink xmlns:r="http://schemas.openxmlformats.org/officeDocument/2006/relationships" ref="L576" r:id="rId1184"/>
    <hyperlink xmlns:r="http://schemas.openxmlformats.org/officeDocument/2006/relationships" ref="I578" r:id="rId1185"/>
    <hyperlink xmlns:r="http://schemas.openxmlformats.org/officeDocument/2006/relationships" ref="J578" display="2" r:id="rId1186"/>
    <hyperlink xmlns:r="http://schemas.openxmlformats.org/officeDocument/2006/relationships" ref="K578" display="24/09/2021" r:id="rId1187"/>
    <hyperlink xmlns:r="http://schemas.openxmlformats.org/officeDocument/2006/relationships" ref="L578" r:id="rId1188"/>
    <hyperlink xmlns:r="http://schemas.openxmlformats.org/officeDocument/2006/relationships" ref="I580" r:id="rId1189"/>
    <hyperlink xmlns:r="http://schemas.openxmlformats.org/officeDocument/2006/relationships" ref="J580" display="81" r:id="rId1190"/>
    <hyperlink xmlns:r="http://schemas.openxmlformats.org/officeDocument/2006/relationships" ref="K580" display="24/09/2021" r:id="rId1191"/>
    <hyperlink xmlns:r="http://schemas.openxmlformats.org/officeDocument/2006/relationships" ref="L580" r:id="rId1192"/>
    <hyperlink xmlns:r="http://schemas.openxmlformats.org/officeDocument/2006/relationships" ref="I582" r:id="rId1193"/>
    <hyperlink xmlns:r="http://schemas.openxmlformats.org/officeDocument/2006/relationships" ref="J582" display="3" r:id="rId1194"/>
    <hyperlink xmlns:r="http://schemas.openxmlformats.org/officeDocument/2006/relationships" ref="K582" display="24/09/2021" r:id="rId1195"/>
    <hyperlink xmlns:r="http://schemas.openxmlformats.org/officeDocument/2006/relationships" ref="L582" r:id="rId1196"/>
    <hyperlink xmlns:r="http://schemas.openxmlformats.org/officeDocument/2006/relationships" ref="I584" r:id="rId1197"/>
    <hyperlink xmlns:r="http://schemas.openxmlformats.org/officeDocument/2006/relationships" ref="J584" display="389" r:id="rId1198"/>
    <hyperlink xmlns:r="http://schemas.openxmlformats.org/officeDocument/2006/relationships" ref="K584" display="26/08/2021" r:id="rId1199"/>
    <hyperlink xmlns:r="http://schemas.openxmlformats.org/officeDocument/2006/relationships" ref="L584" r:id="rId1200"/>
    <hyperlink xmlns:r="http://schemas.openxmlformats.org/officeDocument/2006/relationships" ref="I586" r:id="rId1201"/>
    <hyperlink xmlns:r="http://schemas.openxmlformats.org/officeDocument/2006/relationships" ref="J586" display="121" r:id="rId1202"/>
    <hyperlink xmlns:r="http://schemas.openxmlformats.org/officeDocument/2006/relationships" ref="K586" display="20/08/2021" r:id="rId1203"/>
    <hyperlink xmlns:r="http://schemas.openxmlformats.org/officeDocument/2006/relationships" ref="L586" r:id="rId1204"/>
    <hyperlink xmlns:r="http://schemas.openxmlformats.org/officeDocument/2006/relationships" ref="I588" r:id="rId1205"/>
    <hyperlink xmlns:r="http://schemas.openxmlformats.org/officeDocument/2006/relationships" ref="J588" display="3" r:id="rId1206"/>
    <hyperlink xmlns:r="http://schemas.openxmlformats.org/officeDocument/2006/relationships" ref="K588" display="01/08/2021" r:id="rId1207"/>
    <hyperlink xmlns:r="http://schemas.openxmlformats.org/officeDocument/2006/relationships" ref="L588" r:id="rId1208"/>
    <hyperlink xmlns:r="http://schemas.openxmlformats.org/officeDocument/2006/relationships" ref="I590" r:id="rId1209"/>
    <hyperlink xmlns:r="http://schemas.openxmlformats.org/officeDocument/2006/relationships" ref="J590" display="424" r:id="rId1210"/>
    <hyperlink xmlns:r="http://schemas.openxmlformats.org/officeDocument/2006/relationships" ref="K590" display="23/07/2021" r:id="rId1211"/>
    <hyperlink xmlns:r="http://schemas.openxmlformats.org/officeDocument/2006/relationships" ref="I592" r:id="rId1212"/>
    <hyperlink xmlns:r="http://schemas.openxmlformats.org/officeDocument/2006/relationships" ref="J592" display="241" r:id="rId1213"/>
    <hyperlink xmlns:r="http://schemas.openxmlformats.org/officeDocument/2006/relationships" ref="K592" display="23/07/2021" r:id="rId1214"/>
    <hyperlink xmlns:r="http://schemas.openxmlformats.org/officeDocument/2006/relationships" ref="L592" r:id="rId1215"/>
    <hyperlink xmlns:r="http://schemas.openxmlformats.org/officeDocument/2006/relationships" ref="I594" r:id="rId1216"/>
    <hyperlink xmlns:r="http://schemas.openxmlformats.org/officeDocument/2006/relationships" ref="J594" display="22" r:id="rId1217"/>
    <hyperlink xmlns:r="http://schemas.openxmlformats.org/officeDocument/2006/relationships" ref="K594" display="23/07/2021" r:id="rId1218"/>
    <hyperlink xmlns:r="http://schemas.openxmlformats.org/officeDocument/2006/relationships" ref="L594" r:id="rId1219"/>
    <hyperlink xmlns:r="http://schemas.openxmlformats.org/officeDocument/2006/relationships" ref="I596" r:id="rId1220"/>
    <hyperlink xmlns:r="http://schemas.openxmlformats.org/officeDocument/2006/relationships" ref="J596" display="3" r:id="rId1221"/>
    <hyperlink xmlns:r="http://schemas.openxmlformats.org/officeDocument/2006/relationships" ref="K596" display="23/07/2021" r:id="rId1222"/>
    <hyperlink xmlns:r="http://schemas.openxmlformats.org/officeDocument/2006/relationships" ref="L596" r:id="rId1223"/>
    <hyperlink xmlns:r="http://schemas.openxmlformats.org/officeDocument/2006/relationships" ref="I598" r:id="rId1224"/>
    <hyperlink xmlns:r="http://schemas.openxmlformats.org/officeDocument/2006/relationships" ref="J598" display="81" r:id="rId1225"/>
    <hyperlink xmlns:r="http://schemas.openxmlformats.org/officeDocument/2006/relationships" ref="K598" display="23/07/2021" r:id="rId1226"/>
    <hyperlink xmlns:r="http://schemas.openxmlformats.org/officeDocument/2006/relationships" ref="L598" r:id="rId1227"/>
    <hyperlink xmlns:r="http://schemas.openxmlformats.org/officeDocument/2006/relationships" ref="I600" r:id="rId1228"/>
    <hyperlink xmlns:r="http://schemas.openxmlformats.org/officeDocument/2006/relationships" ref="J600" display="331" r:id="rId1229"/>
    <hyperlink xmlns:r="http://schemas.openxmlformats.org/officeDocument/2006/relationships" ref="K600" display="23/07/2021" r:id="rId1230"/>
    <hyperlink xmlns:r="http://schemas.openxmlformats.org/officeDocument/2006/relationships" ref="I602" r:id="rId1231"/>
    <hyperlink xmlns:r="http://schemas.openxmlformats.org/officeDocument/2006/relationships" ref="J602" display="13" r:id="rId1232"/>
    <hyperlink xmlns:r="http://schemas.openxmlformats.org/officeDocument/2006/relationships" ref="K602" display="23/07/2021" r:id="rId1233"/>
    <hyperlink xmlns:r="http://schemas.openxmlformats.org/officeDocument/2006/relationships" ref="L602" r:id="rId1234"/>
    <hyperlink xmlns:r="http://schemas.openxmlformats.org/officeDocument/2006/relationships" ref="I604" r:id="rId1235"/>
    <hyperlink xmlns:r="http://schemas.openxmlformats.org/officeDocument/2006/relationships" ref="J604" display="4" r:id="rId1236"/>
    <hyperlink xmlns:r="http://schemas.openxmlformats.org/officeDocument/2006/relationships" ref="K604" display="23/07/2021" r:id="rId1237"/>
    <hyperlink xmlns:r="http://schemas.openxmlformats.org/officeDocument/2006/relationships" ref="L604" r:id="rId1238"/>
    <hyperlink xmlns:r="http://schemas.openxmlformats.org/officeDocument/2006/relationships" ref="I606" r:id="rId1239"/>
    <hyperlink xmlns:r="http://schemas.openxmlformats.org/officeDocument/2006/relationships" ref="J606" display="5" r:id="rId1240"/>
    <hyperlink xmlns:r="http://schemas.openxmlformats.org/officeDocument/2006/relationships" ref="K606" display="23/07/2021" r:id="rId1241"/>
    <hyperlink xmlns:r="http://schemas.openxmlformats.org/officeDocument/2006/relationships" ref="L606" r:id="rId1242"/>
    <hyperlink xmlns:r="http://schemas.openxmlformats.org/officeDocument/2006/relationships" ref="I608" r:id="rId1243"/>
    <hyperlink xmlns:r="http://schemas.openxmlformats.org/officeDocument/2006/relationships" ref="J608" display="540" r:id="rId1244"/>
    <hyperlink xmlns:r="http://schemas.openxmlformats.org/officeDocument/2006/relationships" ref="K608" display="25/06/2021" r:id="rId1245"/>
    <hyperlink xmlns:r="http://schemas.openxmlformats.org/officeDocument/2006/relationships" ref="I610" r:id="rId1246"/>
    <hyperlink xmlns:r="http://schemas.openxmlformats.org/officeDocument/2006/relationships" ref="J610" display="11" r:id="rId1247"/>
    <hyperlink xmlns:r="http://schemas.openxmlformats.org/officeDocument/2006/relationships" ref="K610" display="22/06/2021" r:id="rId1248"/>
    <hyperlink xmlns:r="http://schemas.openxmlformats.org/officeDocument/2006/relationships" ref="I612" r:id="rId1249"/>
    <hyperlink xmlns:r="http://schemas.openxmlformats.org/officeDocument/2006/relationships" ref="J612" display="6" r:id="rId1250"/>
    <hyperlink xmlns:r="http://schemas.openxmlformats.org/officeDocument/2006/relationships" ref="K612" display="18/06/2021" r:id="rId1251"/>
    <hyperlink xmlns:r="http://schemas.openxmlformats.org/officeDocument/2006/relationships" ref="L612" r:id="rId1252"/>
    <hyperlink xmlns:r="http://schemas.openxmlformats.org/officeDocument/2006/relationships" ref="I614" r:id="rId1253"/>
    <hyperlink xmlns:r="http://schemas.openxmlformats.org/officeDocument/2006/relationships" ref="J614" display="494" r:id="rId1254"/>
    <hyperlink xmlns:r="http://schemas.openxmlformats.org/officeDocument/2006/relationships" ref="K614" display="18/06/2021" r:id="rId1255"/>
    <hyperlink xmlns:r="http://schemas.openxmlformats.org/officeDocument/2006/relationships" ref="I616" r:id="rId1256"/>
    <hyperlink xmlns:r="http://schemas.openxmlformats.org/officeDocument/2006/relationships" ref="J616" display="86" r:id="rId1257"/>
    <hyperlink xmlns:r="http://schemas.openxmlformats.org/officeDocument/2006/relationships" ref="K616" display="18/06/2021" r:id="rId1258"/>
    <hyperlink xmlns:r="http://schemas.openxmlformats.org/officeDocument/2006/relationships" ref="L616" r:id="rId1259"/>
    <hyperlink xmlns:r="http://schemas.openxmlformats.org/officeDocument/2006/relationships" ref="I618" r:id="rId1260"/>
    <hyperlink xmlns:r="http://schemas.openxmlformats.org/officeDocument/2006/relationships" ref="J618" display="21" r:id="rId1261"/>
    <hyperlink xmlns:r="http://schemas.openxmlformats.org/officeDocument/2006/relationships" ref="K618" display="18/06/2021" r:id="rId1262"/>
    <hyperlink xmlns:r="http://schemas.openxmlformats.org/officeDocument/2006/relationships" ref="L618" r:id="rId1263"/>
    <hyperlink xmlns:r="http://schemas.openxmlformats.org/officeDocument/2006/relationships" ref="I620" r:id="rId1264"/>
    <hyperlink xmlns:r="http://schemas.openxmlformats.org/officeDocument/2006/relationships" ref="J620" display="162" r:id="rId1265"/>
    <hyperlink xmlns:r="http://schemas.openxmlformats.org/officeDocument/2006/relationships" ref="K620" display="18/06/2021" r:id="rId1266"/>
    <hyperlink xmlns:r="http://schemas.openxmlformats.org/officeDocument/2006/relationships" ref="L620" r:id="rId1267"/>
    <hyperlink xmlns:r="http://schemas.openxmlformats.org/officeDocument/2006/relationships" ref="I622" r:id="rId1268"/>
    <hyperlink xmlns:r="http://schemas.openxmlformats.org/officeDocument/2006/relationships" ref="J622" display="5" r:id="rId1269"/>
    <hyperlink xmlns:r="http://schemas.openxmlformats.org/officeDocument/2006/relationships" ref="K622" display="18/06/2021" r:id="rId1270"/>
    <hyperlink xmlns:r="http://schemas.openxmlformats.org/officeDocument/2006/relationships" ref="L622" r:id="rId1271"/>
    <hyperlink xmlns:r="http://schemas.openxmlformats.org/officeDocument/2006/relationships" ref="I624" r:id="rId1272"/>
    <hyperlink xmlns:r="http://schemas.openxmlformats.org/officeDocument/2006/relationships" ref="J624" display="40" r:id="rId1273"/>
    <hyperlink xmlns:r="http://schemas.openxmlformats.org/officeDocument/2006/relationships" ref="K624" display="18/06/2021" r:id="rId1274"/>
    <hyperlink xmlns:r="http://schemas.openxmlformats.org/officeDocument/2006/relationships" ref="L624" r:id="rId1275"/>
    <hyperlink xmlns:r="http://schemas.openxmlformats.org/officeDocument/2006/relationships" ref="I626" r:id="rId1276"/>
    <hyperlink xmlns:r="http://schemas.openxmlformats.org/officeDocument/2006/relationships" ref="J626" display="25" r:id="rId1277"/>
    <hyperlink xmlns:r="http://schemas.openxmlformats.org/officeDocument/2006/relationships" ref="K626" display="27/05/2021" r:id="rId1278"/>
    <hyperlink xmlns:r="http://schemas.openxmlformats.org/officeDocument/2006/relationships" ref="L626" r:id="rId1279"/>
    <hyperlink xmlns:r="http://schemas.openxmlformats.org/officeDocument/2006/relationships" ref="I628" r:id="rId1280"/>
    <hyperlink xmlns:r="http://schemas.openxmlformats.org/officeDocument/2006/relationships" ref="J628" display="393" r:id="rId1281"/>
    <hyperlink xmlns:r="http://schemas.openxmlformats.org/officeDocument/2006/relationships" ref="K628" display="23/04/2021" r:id="rId1282"/>
    <hyperlink xmlns:r="http://schemas.openxmlformats.org/officeDocument/2006/relationships" ref="I630" r:id="rId1283"/>
    <hyperlink xmlns:r="http://schemas.openxmlformats.org/officeDocument/2006/relationships" ref="J630" display="126" r:id="rId1284"/>
    <hyperlink xmlns:r="http://schemas.openxmlformats.org/officeDocument/2006/relationships" ref="K630" display="23/04/2021" r:id="rId1285"/>
    <hyperlink xmlns:r="http://schemas.openxmlformats.org/officeDocument/2006/relationships" ref="I632" r:id="rId1286"/>
    <hyperlink xmlns:r="http://schemas.openxmlformats.org/officeDocument/2006/relationships" ref="J632" display="164" r:id="rId1287"/>
    <hyperlink xmlns:r="http://schemas.openxmlformats.org/officeDocument/2006/relationships" ref="K632" display="23/04/2021" r:id="rId1288"/>
    <hyperlink xmlns:r="http://schemas.openxmlformats.org/officeDocument/2006/relationships" ref="L632" r:id="rId1289"/>
    <hyperlink xmlns:r="http://schemas.openxmlformats.org/officeDocument/2006/relationships" ref="I634" r:id="rId1290"/>
    <hyperlink xmlns:r="http://schemas.openxmlformats.org/officeDocument/2006/relationships" ref="J634" display="9" r:id="rId1291"/>
    <hyperlink xmlns:r="http://schemas.openxmlformats.org/officeDocument/2006/relationships" ref="K634" display="23/04/2021" r:id="rId1292"/>
    <hyperlink xmlns:r="http://schemas.openxmlformats.org/officeDocument/2006/relationships" ref="L634" r:id="rId1293"/>
    <hyperlink xmlns:r="http://schemas.openxmlformats.org/officeDocument/2006/relationships" ref="I636" r:id="rId1294"/>
    <hyperlink xmlns:r="http://schemas.openxmlformats.org/officeDocument/2006/relationships" ref="J636" display="9" r:id="rId1295"/>
    <hyperlink xmlns:r="http://schemas.openxmlformats.org/officeDocument/2006/relationships" ref="K636" display="23/04/2021" r:id="rId1296"/>
    <hyperlink xmlns:r="http://schemas.openxmlformats.org/officeDocument/2006/relationships" ref="L636" r:id="rId1297"/>
    <hyperlink xmlns:r="http://schemas.openxmlformats.org/officeDocument/2006/relationships" ref="I638" r:id="rId1298"/>
    <hyperlink xmlns:r="http://schemas.openxmlformats.org/officeDocument/2006/relationships" ref="J638" display="5" r:id="rId1299"/>
    <hyperlink xmlns:r="http://schemas.openxmlformats.org/officeDocument/2006/relationships" ref="K638" display="23/04/2021" r:id="rId1300"/>
    <hyperlink xmlns:r="http://schemas.openxmlformats.org/officeDocument/2006/relationships" ref="L638" r:id="rId1301"/>
    <hyperlink xmlns:r="http://schemas.openxmlformats.org/officeDocument/2006/relationships" ref="I640" r:id="rId1302"/>
    <hyperlink xmlns:r="http://schemas.openxmlformats.org/officeDocument/2006/relationships" ref="J640" display="162" r:id="rId1303"/>
    <hyperlink xmlns:r="http://schemas.openxmlformats.org/officeDocument/2006/relationships" ref="K640" display="23/04/2021" r:id="rId1304"/>
    <hyperlink xmlns:r="http://schemas.openxmlformats.org/officeDocument/2006/relationships" ref="L640" r:id="rId1305"/>
    <hyperlink xmlns:r="http://schemas.openxmlformats.org/officeDocument/2006/relationships" ref="I642" r:id="rId1306"/>
    <hyperlink xmlns:r="http://schemas.openxmlformats.org/officeDocument/2006/relationships" ref="J642" display="409" r:id="rId1307"/>
    <hyperlink xmlns:r="http://schemas.openxmlformats.org/officeDocument/2006/relationships" ref="K642" display="23/04/2021" r:id="rId1308"/>
    <hyperlink xmlns:r="http://schemas.openxmlformats.org/officeDocument/2006/relationships" ref="I644" r:id="rId1309"/>
    <hyperlink xmlns:r="http://schemas.openxmlformats.org/officeDocument/2006/relationships" ref="J644" display="30" r:id="rId1310"/>
    <hyperlink xmlns:r="http://schemas.openxmlformats.org/officeDocument/2006/relationships" ref="K644" display="23/04/2021" r:id="rId1311"/>
    <hyperlink xmlns:r="http://schemas.openxmlformats.org/officeDocument/2006/relationships" ref="L644" r:id="rId1312"/>
    <hyperlink xmlns:r="http://schemas.openxmlformats.org/officeDocument/2006/relationships" ref="I646" r:id="rId1313"/>
    <hyperlink xmlns:r="http://schemas.openxmlformats.org/officeDocument/2006/relationships" ref="J646" display="5" r:id="rId1314"/>
    <hyperlink xmlns:r="http://schemas.openxmlformats.org/officeDocument/2006/relationships" ref="K646" display="23/04/2021" r:id="rId1315"/>
    <hyperlink xmlns:r="http://schemas.openxmlformats.org/officeDocument/2006/relationships" ref="L646" r:id="rId1316"/>
    <hyperlink xmlns:r="http://schemas.openxmlformats.org/officeDocument/2006/relationships" ref="I648" r:id="rId1317"/>
    <hyperlink xmlns:r="http://schemas.openxmlformats.org/officeDocument/2006/relationships" ref="J648" display="411" r:id="rId1318"/>
    <hyperlink xmlns:r="http://schemas.openxmlformats.org/officeDocument/2006/relationships" ref="K648" display="19/03/2021" r:id="rId1319"/>
    <hyperlink xmlns:r="http://schemas.openxmlformats.org/officeDocument/2006/relationships" ref="I650" r:id="rId1320"/>
    <hyperlink xmlns:r="http://schemas.openxmlformats.org/officeDocument/2006/relationships" ref="J650" display="3" r:id="rId1321"/>
    <hyperlink xmlns:r="http://schemas.openxmlformats.org/officeDocument/2006/relationships" ref="K650" display="08/09/2023" r:id="rId1322"/>
    <hyperlink xmlns:r="http://schemas.openxmlformats.org/officeDocument/2006/relationships" ref="L650" r:id="rId1323"/>
    <hyperlink xmlns:r="http://schemas.openxmlformats.org/officeDocument/2006/relationships" ref="I652" r:id="rId1324"/>
    <hyperlink xmlns:r="http://schemas.openxmlformats.org/officeDocument/2006/relationships" ref="J652" display="15" r:id="rId1325"/>
    <hyperlink xmlns:r="http://schemas.openxmlformats.org/officeDocument/2006/relationships" ref="K652" display="19/03/2021" r:id="rId1326"/>
    <hyperlink xmlns:r="http://schemas.openxmlformats.org/officeDocument/2006/relationships" ref="L652" r:id="rId1327"/>
    <hyperlink xmlns:r="http://schemas.openxmlformats.org/officeDocument/2006/relationships" ref="I654" r:id="rId1328"/>
    <hyperlink xmlns:r="http://schemas.openxmlformats.org/officeDocument/2006/relationships" ref="J654" display="25" r:id="rId1329"/>
    <hyperlink xmlns:r="http://schemas.openxmlformats.org/officeDocument/2006/relationships" ref="K654" display="11/03/2021" r:id="rId1330"/>
    <hyperlink xmlns:r="http://schemas.openxmlformats.org/officeDocument/2006/relationships" ref="L654" r:id="rId1331"/>
    <hyperlink xmlns:r="http://schemas.openxmlformats.org/officeDocument/2006/relationships" ref="I656" r:id="rId1332"/>
    <hyperlink xmlns:r="http://schemas.openxmlformats.org/officeDocument/2006/relationships" ref="J656" display="426" r:id="rId1333"/>
    <hyperlink xmlns:r="http://schemas.openxmlformats.org/officeDocument/2006/relationships" ref="K656" display="05/02/2021" r:id="rId1334"/>
    <hyperlink xmlns:r="http://schemas.openxmlformats.org/officeDocument/2006/relationships" ref="I658" r:id="rId1335"/>
    <hyperlink xmlns:r="http://schemas.openxmlformats.org/officeDocument/2006/relationships" ref="J658" display="158" r:id="rId1336"/>
    <hyperlink xmlns:r="http://schemas.openxmlformats.org/officeDocument/2006/relationships" ref="K658" display="05/02/2021" r:id="rId1337"/>
    <hyperlink xmlns:r="http://schemas.openxmlformats.org/officeDocument/2006/relationships" ref="I660" r:id="rId1338"/>
    <hyperlink xmlns:r="http://schemas.openxmlformats.org/officeDocument/2006/relationships" ref="J660" display="23" r:id="rId1339"/>
    <hyperlink xmlns:r="http://schemas.openxmlformats.org/officeDocument/2006/relationships" ref="K660" display="05/02/2021" r:id="rId1340"/>
    <hyperlink xmlns:r="http://schemas.openxmlformats.org/officeDocument/2006/relationships" ref="L660" r:id="rId1341"/>
    <hyperlink xmlns:r="http://schemas.openxmlformats.org/officeDocument/2006/relationships" ref="I662" r:id="rId1342"/>
    <hyperlink xmlns:r="http://schemas.openxmlformats.org/officeDocument/2006/relationships" ref="J662" display="5" r:id="rId1343"/>
    <hyperlink xmlns:r="http://schemas.openxmlformats.org/officeDocument/2006/relationships" ref="K662" display="05/02/2021" r:id="rId1344"/>
    <hyperlink xmlns:r="http://schemas.openxmlformats.org/officeDocument/2006/relationships" ref="L662" r:id="rId1345"/>
    <hyperlink xmlns:r="http://schemas.openxmlformats.org/officeDocument/2006/relationships" ref="I664" r:id="rId1346"/>
    <hyperlink xmlns:r="http://schemas.openxmlformats.org/officeDocument/2006/relationships" ref="J664" display="9" r:id="rId1347"/>
    <hyperlink xmlns:r="http://schemas.openxmlformats.org/officeDocument/2006/relationships" ref="K664" display="05/02/2021" r:id="rId1348"/>
    <hyperlink xmlns:r="http://schemas.openxmlformats.org/officeDocument/2006/relationships" ref="L664" r:id="rId1349"/>
    <hyperlink xmlns:r="http://schemas.openxmlformats.org/officeDocument/2006/relationships" ref="I666" r:id="rId1350"/>
    <hyperlink xmlns:r="http://schemas.openxmlformats.org/officeDocument/2006/relationships" ref="J666" display="119" r:id="rId1351"/>
    <hyperlink xmlns:r="http://schemas.openxmlformats.org/officeDocument/2006/relationships" ref="K666" display="05/02/2021" r:id="rId1352"/>
    <hyperlink xmlns:r="http://schemas.openxmlformats.org/officeDocument/2006/relationships" ref="I668" r:id="rId1353"/>
    <hyperlink xmlns:r="http://schemas.openxmlformats.org/officeDocument/2006/relationships" ref="J668" display="8" r:id="rId1354"/>
    <hyperlink xmlns:r="http://schemas.openxmlformats.org/officeDocument/2006/relationships" ref="K668" display="05/02/2021" r:id="rId1355"/>
    <hyperlink xmlns:r="http://schemas.openxmlformats.org/officeDocument/2006/relationships" ref="L668" r:id="rId1356"/>
    <hyperlink xmlns:r="http://schemas.openxmlformats.org/officeDocument/2006/relationships" ref="I670" r:id="rId1357"/>
    <hyperlink xmlns:r="http://schemas.openxmlformats.org/officeDocument/2006/relationships" ref="J670" display="81" r:id="rId1358"/>
    <hyperlink xmlns:r="http://schemas.openxmlformats.org/officeDocument/2006/relationships" ref="K670" display="05/02/2021" r:id="rId1359"/>
    <hyperlink xmlns:r="http://schemas.openxmlformats.org/officeDocument/2006/relationships" ref="L670" r:id="rId1360"/>
    <hyperlink xmlns:r="http://schemas.openxmlformats.org/officeDocument/2006/relationships" ref="I672" r:id="rId1361"/>
    <hyperlink xmlns:r="http://schemas.openxmlformats.org/officeDocument/2006/relationships" ref="J672" display="6" r:id="rId1362"/>
    <hyperlink xmlns:r="http://schemas.openxmlformats.org/officeDocument/2006/relationships" ref="K672" display="25/01/2021" r:id="rId1363"/>
    <hyperlink xmlns:r="http://schemas.openxmlformats.org/officeDocument/2006/relationships" ref="I674" r:id="rId1364"/>
    <hyperlink xmlns:r="http://schemas.openxmlformats.org/officeDocument/2006/relationships" ref="J674" display="10" r:id="rId1365"/>
    <hyperlink xmlns:r="http://schemas.openxmlformats.org/officeDocument/2006/relationships" ref="K674" display="01/01/2021" r:id="rId1366"/>
    <hyperlink xmlns:r="http://schemas.openxmlformats.org/officeDocument/2006/relationships" ref="L674" r:id="rId1367"/>
    <hyperlink xmlns:r="http://schemas.openxmlformats.org/officeDocument/2006/relationships" ref="I676" r:id="rId1368"/>
    <hyperlink xmlns:r="http://schemas.openxmlformats.org/officeDocument/2006/relationships" ref="J676" display="8" r:id="rId1369"/>
    <hyperlink xmlns:r="http://schemas.openxmlformats.org/officeDocument/2006/relationships" ref="K676" display="04/12/2020" r:id="rId1370"/>
    <hyperlink xmlns:r="http://schemas.openxmlformats.org/officeDocument/2006/relationships" ref="L676" r:id="rId1371"/>
    <hyperlink xmlns:r="http://schemas.openxmlformats.org/officeDocument/2006/relationships" ref="I678" r:id="rId1372"/>
    <hyperlink xmlns:r="http://schemas.openxmlformats.org/officeDocument/2006/relationships" ref="J678" display="718" r:id="rId1373"/>
    <hyperlink xmlns:r="http://schemas.openxmlformats.org/officeDocument/2006/relationships" ref="K678" display="20/11/2020" r:id="rId1374"/>
    <hyperlink xmlns:r="http://schemas.openxmlformats.org/officeDocument/2006/relationships" ref="I680" r:id="rId1375"/>
    <hyperlink xmlns:r="http://schemas.openxmlformats.org/officeDocument/2006/relationships" ref="J680" display="6" r:id="rId1376"/>
    <hyperlink xmlns:r="http://schemas.openxmlformats.org/officeDocument/2006/relationships" ref="K680" display="20/11/2020" r:id="rId1377"/>
    <hyperlink xmlns:r="http://schemas.openxmlformats.org/officeDocument/2006/relationships" ref="L680" r:id="rId1378"/>
    <hyperlink xmlns:r="http://schemas.openxmlformats.org/officeDocument/2006/relationships" ref="I682" r:id="rId1379"/>
    <hyperlink xmlns:r="http://schemas.openxmlformats.org/officeDocument/2006/relationships" ref="J682" display="23" r:id="rId1380"/>
    <hyperlink xmlns:r="http://schemas.openxmlformats.org/officeDocument/2006/relationships" ref="K682" display="20/11/2020" r:id="rId1381"/>
    <hyperlink xmlns:r="http://schemas.openxmlformats.org/officeDocument/2006/relationships" ref="L682" r:id="rId1382"/>
    <hyperlink xmlns:r="http://schemas.openxmlformats.org/officeDocument/2006/relationships" ref="I684" r:id="rId1383"/>
    <hyperlink xmlns:r="http://schemas.openxmlformats.org/officeDocument/2006/relationships" ref="J684" display="302" r:id="rId1384"/>
    <hyperlink xmlns:r="http://schemas.openxmlformats.org/officeDocument/2006/relationships" ref="K684" display="12/11/2020" r:id="rId1385"/>
    <hyperlink xmlns:r="http://schemas.openxmlformats.org/officeDocument/2006/relationships" ref="L684" r:id="rId1386"/>
    <hyperlink xmlns:r="http://schemas.openxmlformats.org/officeDocument/2006/relationships" ref="I686" r:id="rId1387"/>
    <hyperlink xmlns:r="http://schemas.openxmlformats.org/officeDocument/2006/relationships" ref="J686" display="5050" r:id="rId1388"/>
    <hyperlink xmlns:r="http://schemas.openxmlformats.org/officeDocument/2006/relationships" ref="K686" display="26/09/2020" r:id="rId1389"/>
    <hyperlink xmlns:r="http://schemas.openxmlformats.org/officeDocument/2006/relationships" ref="I688" r:id="rId1390"/>
    <hyperlink xmlns:r="http://schemas.openxmlformats.org/officeDocument/2006/relationships" ref="J688" display="62" r:id="rId1391"/>
    <hyperlink xmlns:r="http://schemas.openxmlformats.org/officeDocument/2006/relationships" ref="K688" display="07/10/2022" r:id="rId1392"/>
    <hyperlink xmlns:r="http://schemas.openxmlformats.org/officeDocument/2006/relationships" ref="L688" r:id="rId1393"/>
    <hyperlink xmlns:r="http://schemas.openxmlformats.org/officeDocument/2006/relationships" ref="I690" r:id="rId1394"/>
    <hyperlink xmlns:r="http://schemas.openxmlformats.org/officeDocument/2006/relationships" ref="J690" display="408" r:id="rId1395"/>
    <hyperlink xmlns:r="http://schemas.openxmlformats.org/officeDocument/2006/relationships" ref="K690" display="25/09/2020" r:id="rId1396"/>
    <hyperlink xmlns:r="http://schemas.openxmlformats.org/officeDocument/2006/relationships" ref="I692" r:id="rId1397"/>
    <hyperlink xmlns:r="http://schemas.openxmlformats.org/officeDocument/2006/relationships" ref="J692" display="30" r:id="rId1398"/>
    <hyperlink xmlns:r="http://schemas.openxmlformats.org/officeDocument/2006/relationships" ref="K692" display="25/09/2020" r:id="rId1399"/>
    <hyperlink xmlns:r="http://schemas.openxmlformats.org/officeDocument/2006/relationships" ref="I694" r:id="rId1400"/>
    <hyperlink xmlns:r="http://schemas.openxmlformats.org/officeDocument/2006/relationships" ref="J694" display="153" r:id="rId1401"/>
    <hyperlink xmlns:r="http://schemas.openxmlformats.org/officeDocument/2006/relationships" ref="K694" display="25/09/2020" r:id="rId1402"/>
    <hyperlink xmlns:r="http://schemas.openxmlformats.org/officeDocument/2006/relationships" ref="L694" r:id="rId1403"/>
    <hyperlink xmlns:r="http://schemas.openxmlformats.org/officeDocument/2006/relationships" ref="I696" r:id="rId1404"/>
    <hyperlink xmlns:r="http://schemas.openxmlformats.org/officeDocument/2006/relationships" ref="J696" display="12" r:id="rId1405"/>
    <hyperlink xmlns:r="http://schemas.openxmlformats.org/officeDocument/2006/relationships" ref="K696" display="25/09/2020" r:id="rId1406"/>
    <hyperlink xmlns:r="http://schemas.openxmlformats.org/officeDocument/2006/relationships" ref="L696" r:id="rId1407"/>
    <hyperlink xmlns:r="http://schemas.openxmlformats.org/officeDocument/2006/relationships" ref="I698" r:id="rId1408"/>
    <hyperlink xmlns:r="http://schemas.openxmlformats.org/officeDocument/2006/relationships" ref="J698" display="81" r:id="rId1409"/>
    <hyperlink xmlns:r="http://schemas.openxmlformats.org/officeDocument/2006/relationships" ref="K698" display="25/09/2020" r:id="rId1410"/>
    <hyperlink xmlns:r="http://schemas.openxmlformats.org/officeDocument/2006/relationships" ref="L698" r:id="rId1411"/>
    <hyperlink xmlns:r="http://schemas.openxmlformats.org/officeDocument/2006/relationships" ref="I700" r:id="rId1412"/>
    <hyperlink xmlns:r="http://schemas.openxmlformats.org/officeDocument/2006/relationships" ref="J700" display="5" r:id="rId1413"/>
    <hyperlink xmlns:r="http://schemas.openxmlformats.org/officeDocument/2006/relationships" ref="K700" display="25/09/2020" r:id="rId1414"/>
    <hyperlink xmlns:r="http://schemas.openxmlformats.org/officeDocument/2006/relationships" ref="L700" r:id="rId1415"/>
    <hyperlink xmlns:r="http://schemas.openxmlformats.org/officeDocument/2006/relationships" ref="I702" r:id="rId1416"/>
    <hyperlink xmlns:r="http://schemas.openxmlformats.org/officeDocument/2006/relationships" ref="J702" display="142" r:id="rId1417"/>
    <hyperlink xmlns:r="http://schemas.openxmlformats.org/officeDocument/2006/relationships" ref="K702" display="25/09/2020" r:id="rId1418"/>
    <hyperlink xmlns:r="http://schemas.openxmlformats.org/officeDocument/2006/relationships" ref="I704" r:id="rId1419"/>
    <hyperlink xmlns:r="http://schemas.openxmlformats.org/officeDocument/2006/relationships" ref="J704" display="11" r:id="rId1420"/>
    <hyperlink xmlns:r="http://schemas.openxmlformats.org/officeDocument/2006/relationships" ref="K704" display="25/09/2020" r:id="rId1421"/>
    <hyperlink xmlns:r="http://schemas.openxmlformats.org/officeDocument/2006/relationships" ref="L704" r:id="rId1422"/>
    <hyperlink xmlns:r="http://schemas.openxmlformats.org/officeDocument/2006/relationships" ref="I706" r:id="rId1423"/>
    <hyperlink xmlns:r="http://schemas.openxmlformats.org/officeDocument/2006/relationships" ref="J706" display="9" r:id="rId1424"/>
    <hyperlink xmlns:r="http://schemas.openxmlformats.org/officeDocument/2006/relationships" ref="K706" display="25/09/2020" r:id="rId1425"/>
    <hyperlink xmlns:r="http://schemas.openxmlformats.org/officeDocument/2006/relationships" ref="L706" r:id="rId1426"/>
    <hyperlink xmlns:r="http://schemas.openxmlformats.org/officeDocument/2006/relationships" ref="I708" r:id="rId1427"/>
    <hyperlink xmlns:r="http://schemas.openxmlformats.org/officeDocument/2006/relationships" ref="J708" display="540" r:id="rId1428"/>
    <hyperlink xmlns:r="http://schemas.openxmlformats.org/officeDocument/2006/relationships" ref="K708" display="09/09/2020" r:id="rId1429"/>
    <hyperlink xmlns:r="http://schemas.openxmlformats.org/officeDocument/2006/relationships" ref="I710" r:id="rId1430"/>
    <hyperlink xmlns:r="http://schemas.openxmlformats.org/officeDocument/2006/relationships" ref="J710" display="540" r:id="rId1431"/>
    <hyperlink xmlns:r="http://schemas.openxmlformats.org/officeDocument/2006/relationships" ref="K710" display="03/09/2020" r:id="rId1432"/>
    <hyperlink xmlns:r="http://schemas.openxmlformats.org/officeDocument/2006/relationships" ref="I712" r:id="rId1433"/>
    <hyperlink xmlns:r="http://schemas.openxmlformats.org/officeDocument/2006/relationships" ref="J712" display="339" r:id="rId1434"/>
    <hyperlink xmlns:r="http://schemas.openxmlformats.org/officeDocument/2006/relationships" ref="K712" display="13/08/2020" r:id="rId1435"/>
    <hyperlink xmlns:r="http://schemas.openxmlformats.org/officeDocument/2006/relationships" ref="L712" r:id="rId1436"/>
    <hyperlink xmlns:r="http://schemas.openxmlformats.org/officeDocument/2006/relationships" ref="I714" r:id="rId1437"/>
    <hyperlink xmlns:r="http://schemas.openxmlformats.org/officeDocument/2006/relationships" ref="J714" display="120" r:id="rId1438"/>
    <hyperlink xmlns:r="http://schemas.openxmlformats.org/officeDocument/2006/relationships" ref="K714" display="13/08/2020" r:id="rId1439"/>
    <hyperlink xmlns:r="http://schemas.openxmlformats.org/officeDocument/2006/relationships" ref="L714" r:id="rId1440"/>
    <hyperlink xmlns:r="http://schemas.openxmlformats.org/officeDocument/2006/relationships" ref="I716" r:id="rId1441"/>
    <hyperlink xmlns:r="http://schemas.openxmlformats.org/officeDocument/2006/relationships" ref="J716" display="384" r:id="rId1442"/>
    <hyperlink xmlns:r="http://schemas.openxmlformats.org/officeDocument/2006/relationships" ref="K716" display="07/08/2020" r:id="rId1443"/>
    <hyperlink xmlns:r="http://schemas.openxmlformats.org/officeDocument/2006/relationships" ref="I718" r:id="rId1444"/>
    <hyperlink xmlns:r="http://schemas.openxmlformats.org/officeDocument/2006/relationships" ref="J718" display="31" r:id="rId1445"/>
    <hyperlink xmlns:r="http://schemas.openxmlformats.org/officeDocument/2006/relationships" ref="K718" display="07/08/2020" r:id="rId1446"/>
    <hyperlink xmlns:r="http://schemas.openxmlformats.org/officeDocument/2006/relationships" ref="L718" r:id="rId1447"/>
    <hyperlink xmlns:r="http://schemas.openxmlformats.org/officeDocument/2006/relationships" ref="I720" r:id="rId1448"/>
    <hyperlink xmlns:r="http://schemas.openxmlformats.org/officeDocument/2006/relationships" ref="J720" display="7" r:id="rId1449"/>
    <hyperlink xmlns:r="http://schemas.openxmlformats.org/officeDocument/2006/relationships" ref="K720" display="01/08/2020" r:id="rId1450"/>
    <hyperlink xmlns:r="http://schemas.openxmlformats.org/officeDocument/2006/relationships" ref="L720" r:id="rId1451"/>
    <hyperlink xmlns:r="http://schemas.openxmlformats.org/officeDocument/2006/relationships" ref="I722" r:id="rId1452"/>
    <hyperlink xmlns:r="http://schemas.openxmlformats.org/officeDocument/2006/relationships" ref="J722" display="497" r:id="rId1453"/>
    <hyperlink xmlns:r="http://schemas.openxmlformats.org/officeDocument/2006/relationships" ref="K722" display="17/07/2020" r:id="rId1454"/>
    <hyperlink xmlns:r="http://schemas.openxmlformats.org/officeDocument/2006/relationships" ref="L722" r:id="rId1455"/>
    <hyperlink xmlns:r="http://schemas.openxmlformats.org/officeDocument/2006/relationships" ref="I724" r:id="rId1456"/>
    <hyperlink xmlns:r="http://schemas.openxmlformats.org/officeDocument/2006/relationships" ref="J724" display="18" r:id="rId1457"/>
    <hyperlink xmlns:r="http://schemas.openxmlformats.org/officeDocument/2006/relationships" ref="K724" display="17/07/2020" r:id="rId1458"/>
    <hyperlink xmlns:r="http://schemas.openxmlformats.org/officeDocument/2006/relationships" ref="L724" r:id="rId1459"/>
    <hyperlink xmlns:r="http://schemas.openxmlformats.org/officeDocument/2006/relationships" ref="I726" r:id="rId1460"/>
    <hyperlink xmlns:r="http://schemas.openxmlformats.org/officeDocument/2006/relationships" ref="J726" display="46" r:id="rId1461"/>
    <hyperlink xmlns:r="http://schemas.openxmlformats.org/officeDocument/2006/relationships" ref="K726" display="18/06/2020" r:id="rId1462"/>
    <hyperlink xmlns:r="http://schemas.openxmlformats.org/officeDocument/2006/relationships" ref="L726" r:id="rId1463"/>
    <hyperlink xmlns:r="http://schemas.openxmlformats.org/officeDocument/2006/relationships" ref="I728" r:id="rId1464"/>
    <hyperlink xmlns:r="http://schemas.openxmlformats.org/officeDocument/2006/relationships" ref="J728" display="397" r:id="rId1465"/>
    <hyperlink xmlns:r="http://schemas.openxmlformats.org/officeDocument/2006/relationships" ref="K728" display="03/07/2020" r:id="rId1466"/>
    <hyperlink xmlns:r="http://schemas.openxmlformats.org/officeDocument/2006/relationships" ref="I730" r:id="rId1467"/>
    <hyperlink xmlns:r="http://schemas.openxmlformats.org/officeDocument/2006/relationships" ref="J730" display="137" r:id="rId1468"/>
    <hyperlink xmlns:r="http://schemas.openxmlformats.org/officeDocument/2006/relationships" ref="K730" display="03/07/2020" r:id="rId1469"/>
    <hyperlink xmlns:r="http://schemas.openxmlformats.org/officeDocument/2006/relationships" ref="L730" r:id="rId1470"/>
    <hyperlink xmlns:r="http://schemas.openxmlformats.org/officeDocument/2006/relationships" ref="I732" r:id="rId1471"/>
    <hyperlink xmlns:r="http://schemas.openxmlformats.org/officeDocument/2006/relationships" ref="J732" display="20" r:id="rId1472"/>
    <hyperlink xmlns:r="http://schemas.openxmlformats.org/officeDocument/2006/relationships" ref="K732" display="03/07/2020" r:id="rId1473"/>
    <hyperlink xmlns:r="http://schemas.openxmlformats.org/officeDocument/2006/relationships" ref="L732" r:id="rId1474"/>
    <hyperlink xmlns:r="http://schemas.openxmlformats.org/officeDocument/2006/relationships" ref="I734" r:id="rId1475"/>
    <hyperlink xmlns:r="http://schemas.openxmlformats.org/officeDocument/2006/relationships" ref="J734" display="8" r:id="rId1476"/>
    <hyperlink xmlns:r="http://schemas.openxmlformats.org/officeDocument/2006/relationships" ref="K734" display="26/06/2020" r:id="rId1477"/>
    <hyperlink xmlns:r="http://schemas.openxmlformats.org/officeDocument/2006/relationships" ref="L734" r:id="rId1478"/>
    <hyperlink xmlns:r="http://schemas.openxmlformats.org/officeDocument/2006/relationships" ref="I736" r:id="rId1479"/>
    <hyperlink xmlns:r="http://schemas.openxmlformats.org/officeDocument/2006/relationships" ref="J736" display="550" r:id="rId1480"/>
    <hyperlink xmlns:r="http://schemas.openxmlformats.org/officeDocument/2006/relationships" ref="K736" display="10/06/2020" r:id="rId1481"/>
    <hyperlink xmlns:r="http://schemas.openxmlformats.org/officeDocument/2006/relationships" ref="I738" r:id="rId1482"/>
    <hyperlink xmlns:r="http://schemas.openxmlformats.org/officeDocument/2006/relationships" ref="J738" display="27" r:id="rId1483"/>
    <hyperlink xmlns:r="http://schemas.openxmlformats.org/officeDocument/2006/relationships" ref="K738" display="21/05/2020" r:id="rId1484"/>
    <hyperlink xmlns:r="http://schemas.openxmlformats.org/officeDocument/2006/relationships" ref="L738" r:id="rId1485"/>
    <hyperlink xmlns:r="http://schemas.openxmlformats.org/officeDocument/2006/relationships" ref="I740" r:id="rId1486"/>
    <hyperlink xmlns:r="http://schemas.openxmlformats.org/officeDocument/2006/relationships" ref="J740" display="2" r:id="rId1487"/>
    <hyperlink xmlns:r="http://schemas.openxmlformats.org/officeDocument/2006/relationships" ref="K740" display="18/05/2020" r:id="rId1488"/>
    <hyperlink xmlns:r="http://schemas.openxmlformats.org/officeDocument/2006/relationships" ref="L740" r:id="rId1489"/>
    <hyperlink xmlns:r="http://schemas.openxmlformats.org/officeDocument/2006/relationships" ref="I742" r:id="rId1490"/>
    <hyperlink xmlns:r="http://schemas.openxmlformats.org/officeDocument/2006/relationships" ref="J742" display="390" r:id="rId1491"/>
    <hyperlink xmlns:r="http://schemas.openxmlformats.org/officeDocument/2006/relationships" ref="K742" display="24/04/2020" r:id="rId1492"/>
    <hyperlink xmlns:r="http://schemas.openxmlformats.org/officeDocument/2006/relationships" ref="I744" r:id="rId1493"/>
    <hyperlink xmlns:r="http://schemas.openxmlformats.org/officeDocument/2006/relationships" ref="J744" display="137" r:id="rId1494"/>
    <hyperlink xmlns:r="http://schemas.openxmlformats.org/officeDocument/2006/relationships" ref="K744" display="24/04/2020" r:id="rId1495"/>
    <hyperlink xmlns:r="http://schemas.openxmlformats.org/officeDocument/2006/relationships" ref="L744" r:id="rId1496"/>
    <hyperlink xmlns:r="http://schemas.openxmlformats.org/officeDocument/2006/relationships" ref="I746" r:id="rId1497"/>
    <hyperlink xmlns:r="http://schemas.openxmlformats.org/officeDocument/2006/relationships" ref="J746" display="14" r:id="rId1498"/>
    <hyperlink xmlns:r="http://schemas.openxmlformats.org/officeDocument/2006/relationships" ref="K746" display="24/04/2020" r:id="rId1499"/>
    <hyperlink xmlns:r="http://schemas.openxmlformats.org/officeDocument/2006/relationships" ref="L746" r:id="rId1500"/>
    <hyperlink xmlns:r="http://schemas.openxmlformats.org/officeDocument/2006/relationships" ref="I748" r:id="rId1501"/>
    <hyperlink xmlns:r="http://schemas.openxmlformats.org/officeDocument/2006/relationships" ref="J748" display="322" r:id="rId1502"/>
    <hyperlink xmlns:r="http://schemas.openxmlformats.org/officeDocument/2006/relationships" ref="K748" display="17/04/2020" r:id="rId1503"/>
    <hyperlink xmlns:r="http://schemas.openxmlformats.org/officeDocument/2006/relationships" ref="I750" r:id="rId1504"/>
    <hyperlink xmlns:r="http://schemas.openxmlformats.org/officeDocument/2006/relationships" ref="J750" display="20" r:id="rId1505"/>
    <hyperlink xmlns:r="http://schemas.openxmlformats.org/officeDocument/2006/relationships" ref="K750" display="17/04/2020" r:id="rId1506"/>
    <hyperlink xmlns:r="http://schemas.openxmlformats.org/officeDocument/2006/relationships" ref="L750" r:id="rId1507"/>
    <hyperlink xmlns:r="http://schemas.openxmlformats.org/officeDocument/2006/relationships" ref="I752" r:id="rId1508"/>
    <hyperlink xmlns:r="http://schemas.openxmlformats.org/officeDocument/2006/relationships" ref="J752" display="5" r:id="rId1509"/>
    <hyperlink xmlns:r="http://schemas.openxmlformats.org/officeDocument/2006/relationships" ref="K752" display="17/04/2020" r:id="rId1510"/>
    <hyperlink xmlns:r="http://schemas.openxmlformats.org/officeDocument/2006/relationships" ref="L752" r:id="rId1511"/>
    <hyperlink xmlns:r="http://schemas.openxmlformats.org/officeDocument/2006/relationships" ref="I754" r:id="rId1512"/>
    <hyperlink xmlns:r="http://schemas.openxmlformats.org/officeDocument/2006/relationships" ref="J754" display="25" r:id="rId1513"/>
    <hyperlink xmlns:r="http://schemas.openxmlformats.org/officeDocument/2006/relationships" ref="K754" display="12/03/2020" r:id="rId1514"/>
    <hyperlink xmlns:r="http://schemas.openxmlformats.org/officeDocument/2006/relationships" ref="L754" r:id="rId1515"/>
    <hyperlink xmlns:r="http://schemas.openxmlformats.org/officeDocument/2006/relationships" ref="I756" r:id="rId1516"/>
    <hyperlink xmlns:r="http://schemas.openxmlformats.org/officeDocument/2006/relationships" ref="J756" display="96" r:id="rId1517"/>
    <hyperlink xmlns:r="http://schemas.openxmlformats.org/officeDocument/2006/relationships" ref="K756" display="29/02/2020" r:id="rId1518"/>
    <hyperlink xmlns:r="http://schemas.openxmlformats.org/officeDocument/2006/relationships" ref="L756" r:id="rId1519"/>
    <hyperlink xmlns:r="http://schemas.openxmlformats.org/officeDocument/2006/relationships" ref="I758" r:id="rId1520"/>
    <hyperlink xmlns:r="http://schemas.openxmlformats.org/officeDocument/2006/relationships" ref="J758" display="6" r:id="rId1521"/>
    <hyperlink xmlns:r="http://schemas.openxmlformats.org/officeDocument/2006/relationships" ref="K758" display="29/02/2020" r:id="rId1522"/>
    <hyperlink xmlns:r="http://schemas.openxmlformats.org/officeDocument/2006/relationships" ref="L758" r:id="rId1523"/>
    <hyperlink xmlns:r="http://schemas.openxmlformats.org/officeDocument/2006/relationships" ref="I760" r:id="rId1524"/>
    <hyperlink xmlns:r="http://schemas.openxmlformats.org/officeDocument/2006/relationships" ref="J760" display="358" r:id="rId1525"/>
    <hyperlink xmlns:r="http://schemas.openxmlformats.org/officeDocument/2006/relationships" ref="K760" display="24/01/2020" r:id="rId1526"/>
    <hyperlink xmlns:r="http://schemas.openxmlformats.org/officeDocument/2006/relationships" ref="I762" r:id="rId1527"/>
    <hyperlink xmlns:r="http://schemas.openxmlformats.org/officeDocument/2006/relationships" ref="J762" display="137" r:id="rId1528"/>
    <hyperlink xmlns:r="http://schemas.openxmlformats.org/officeDocument/2006/relationships" ref="K762" display="24/01/2020" r:id="rId1529"/>
    <hyperlink xmlns:r="http://schemas.openxmlformats.org/officeDocument/2006/relationships" ref="L762" r:id="rId1530"/>
    <hyperlink xmlns:r="http://schemas.openxmlformats.org/officeDocument/2006/relationships" ref="I764" r:id="rId1531"/>
    <hyperlink xmlns:r="http://schemas.openxmlformats.org/officeDocument/2006/relationships" ref="J764" display="14" r:id="rId1532"/>
    <hyperlink xmlns:r="http://schemas.openxmlformats.org/officeDocument/2006/relationships" ref="K764" display="24/01/2020" r:id="rId1533"/>
    <hyperlink xmlns:r="http://schemas.openxmlformats.org/officeDocument/2006/relationships" ref="L764" r:id="rId1534"/>
    <hyperlink xmlns:r="http://schemas.openxmlformats.org/officeDocument/2006/relationships" ref="I766" r:id="rId1535"/>
    <hyperlink xmlns:r="http://schemas.openxmlformats.org/officeDocument/2006/relationships" ref="J766" display="6" r:id="rId1536"/>
    <hyperlink xmlns:r="http://schemas.openxmlformats.org/officeDocument/2006/relationships" ref="K766" display="01/01/2020" r:id="rId1537"/>
    <hyperlink xmlns:r="http://schemas.openxmlformats.org/officeDocument/2006/relationships" ref="L766" r:id="rId1538"/>
    <hyperlink xmlns:r="http://schemas.openxmlformats.org/officeDocument/2006/relationships" ref="I768" r:id="rId1539"/>
    <hyperlink xmlns:r="http://schemas.openxmlformats.org/officeDocument/2006/relationships" ref="J768" display="10" r:id="rId1540"/>
    <hyperlink xmlns:r="http://schemas.openxmlformats.org/officeDocument/2006/relationships" ref="K768" display="01/01/2020" r:id="rId1541"/>
    <hyperlink xmlns:r="http://schemas.openxmlformats.org/officeDocument/2006/relationships" ref="L768" r:id="rId1542"/>
    <hyperlink xmlns:r="http://schemas.openxmlformats.org/officeDocument/2006/relationships" ref="I770" r:id="rId1543"/>
    <hyperlink xmlns:r="http://schemas.openxmlformats.org/officeDocument/2006/relationships" ref="J770" display="2302" r:id="rId1544"/>
    <hyperlink xmlns:r="http://schemas.openxmlformats.org/officeDocument/2006/relationships" ref="K770" display="02/12/2019" r:id="rId1545"/>
    <hyperlink xmlns:r="http://schemas.openxmlformats.org/officeDocument/2006/relationships" ref="I772" r:id="rId1546"/>
    <hyperlink xmlns:r="http://schemas.openxmlformats.org/officeDocument/2006/relationships" ref="J772" display="10" r:id="rId1547"/>
    <hyperlink xmlns:r="http://schemas.openxmlformats.org/officeDocument/2006/relationships" ref="K772" display="21/02/2025" r:id="rId1548"/>
    <hyperlink xmlns:r="http://schemas.openxmlformats.org/officeDocument/2006/relationships" ref="L772" r:id="rId1549"/>
    <hyperlink xmlns:r="http://schemas.openxmlformats.org/officeDocument/2006/relationships" ref="I774" r:id="rId1550"/>
    <hyperlink xmlns:r="http://schemas.openxmlformats.org/officeDocument/2006/relationships" ref="J774" display="47" r:id="rId1551"/>
    <hyperlink xmlns:r="http://schemas.openxmlformats.org/officeDocument/2006/relationships" ref="K774" display="17/02/2023" r:id="rId1552"/>
    <hyperlink xmlns:r="http://schemas.openxmlformats.org/officeDocument/2006/relationships" ref="L774" r:id="rId1553"/>
    <hyperlink xmlns:r="http://schemas.openxmlformats.org/officeDocument/2006/relationships" ref="I776" r:id="rId1554"/>
    <hyperlink xmlns:r="http://schemas.openxmlformats.org/officeDocument/2006/relationships" ref="J776" display="84" r:id="rId1555"/>
    <hyperlink xmlns:r="http://schemas.openxmlformats.org/officeDocument/2006/relationships" ref="K776" display="01/11/2022" r:id="rId1556"/>
    <hyperlink xmlns:r="http://schemas.openxmlformats.org/officeDocument/2006/relationships" ref="L776" r:id="rId1557"/>
    <hyperlink xmlns:r="http://schemas.openxmlformats.org/officeDocument/2006/relationships" ref="I778" r:id="rId1558"/>
    <hyperlink xmlns:r="http://schemas.openxmlformats.org/officeDocument/2006/relationships" ref="J778" display="30" r:id="rId1559"/>
    <hyperlink xmlns:r="http://schemas.openxmlformats.org/officeDocument/2006/relationships" ref="K778" display="03/03/2022" r:id="rId1560"/>
    <hyperlink xmlns:r="http://schemas.openxmlformats.org/officeDocument/2006/relationships" ref="L778" r:id="rId1561"/>
    <hyperlink xmlns:r="http://schemas.openxmlformats.org/officeDocument/2006/relationships" ref="I780" r:id="rId1562"/>
    <hyperlink xmlns:r="http://schemas.openxmlformats.org/officeDocument/2006/relationships" ref="J780" display="16" r:id="rId1563"/>
    <hyperlink xmlns:r="http://schemas.openxmlformats.org/officeDocument/2006/relationships" ref="K780" display="29/05/2020" r:id="rId1564"/>
    <hyperlink xmlns:r="http://schemas.openxmlformats.org/officeDocument/2006/relationships" ref="L780" r:id="rId1565"/>
    <hyperlink xmlns:r="http://schemas.openxmlformats.org/officeDocument/2006/relationships" ref="I782" r:id="rId1566"/>
    <hyperlink xmlns:r="http://schemas.openxmlformats.org/officeDocument/2006/relationships" ref="J782" display="20" r:id="rId1567"/>
    <hyperlink xmlns:r="http://schemas.openxmlformats.org/officeDocument/2006/relationships" ref="K782" display="21/11/2019" r:id="rId1568"/>
    <hyperlink xmlns:r="http://schemas.openxmlformats.org/officeDocument/2006/relationships" ref="L782" r:id="rId1569"/>
    <hyperlink xmlns:r="http://schemas.openxmlformats.org/officeDocument/2006/relationships" ref="I784" r:id="rId1570"/>
    <hyperlink xmlns:r="http://schemas.openxmlformats.org/officeDocument/2006/relationships" ref="J784" display="64" r:id="rId1571"/>
    <hyperlink xmlns:r="http://schemas.openxmlformats.org/officeDocument/2006/relationships" ref="K784" display="15/11/2019" r:id="rId1572"/>
    <hyperlink xmlns:r="http://schemas.openxmlformats.org/officeDocument/2006/relationships" ref="L784" r:id="rId1573"/>
    <hyperlink xmlns:r="http://schemas.openxmlformats.org/officeDocument/2006/relationships" ref="I786" r:id="rId1574"/>
    <hyperlink xmlns:r="http://schemas.openxmlformats.org/officeDocument/2006/relationships" ref="J786" display="3" r:id="rId1575"/>
    <hyperlink xmlns:r="http://schemas.openxmlformats.org/officeDocument/2006/relationships" ref="K786" display="15/11/2019" r:id="rId1576"/>
    <hyperlink xmlns:r="http://schemas.openxmlformats.org/officeDocument/2006/relationships" ref="L786" r:id="rId1577"/>
    <hyperlink xmlns:r="http://schemas.openxmlformats.org/officeDocument/2006/relationships" ref="I788" r:id="rId1578"/>
    <hyperlink xmlns:r="http://schemas.openxmlformats.org/officeDocument/2006/relationships" ref="J788" display="121" r:id="rId1579"/>
    <hyperlink xmlns:r="http://schemas.openxmlformats.org/officeDocument/2006/relationships" ref="K788" display="07/11/2019" r:id="rId1580"/>
    <hyperlink xmlns:r="http://schemas.openxmlformats.org/officeDocument/2006/relationships" ref="L788" r:id="rId1581"/>
    <hyperlink xmlns:r="http://schemas.openxmlformats.org/officeDocument/2006/relationships" ref="I790" r:id="rId1582"/>
    <hyperlink xmlns:r="http://schemas.openxmlformats.org/officeDocument/2006/relationships" ref="J790" display="3" r:id="rId1583"/>
    <hyperlink xmlns:r="http://schemas.openxmlformats.org/officeDocument/2006/relationships" ref="K790" display="22/10/2019" r:id="rId1584"/>
    <hyperlink xmlns:r="http://schemas.openxmlformats.org/officeDocument/2006/relationships" ref="L790" r:id="rId1585"/>
    <hyperlink xmlns:r="http://schemas.openxmlformats.org/officeDocument/2006/relationships" ref="I792" r:id="rId1586"/>
    <hyperlink xmlns:r="http://schemas.openxmlformats.org/officeDocument/2006/relationships" ref="J792" display="398" r:id="rId1587"/>
    <hyperlink xmlns:r="http://schemas.openxmlformats.org/officeDocument/2006/relationships" ref="K792" display="04/10/2019" r:id="rId1588"/>
    <hyperlink xmlns:r="http://schemas.openxmlformats.org/officeDocument/2006/relationships" ref="I794" r:id="rId1589"/>
    <hyperlink xmlns:r="http://schemas.openxmlformats.org/officeDocument/2006/relationships" ref="J794" display="138" r:id="rId1590"/>
    <hyperlink xmlns:r="http://schemas.openxmlformats.org/officeDocument/2006/relationships" ref="K794" display="04/10/2019" r:id="rId1591"/>
    <hyperlink xmlns:r="http://schemas.openxmlformats.org/officeDocument/2006/relationships" ref="L794" r:id="rId1592"/>
    <hyperlink xmlns:r="http://schemas.openxmlformats.org/officeDocument/2006/relationships" ref="I796" r:id="rId1593"/>
    <hyperlink xmlns:r="http://schemas.openxmlformats.org/officeDocument/2006/relationships" ref="J796" display="20" r:id="rId1594"/>
    <hyperlink xmlns:r="http://schemas.openxmlformats.org/officeDocument/2006/relationships" ref="K796" display="04/10/2019" r:id="rId1595"/>
    <hyperlink xmlns:r="http://schemas.openxmlformats.org/officeDocument/2006/relationships" ref="L796" r:id="rId1596"/>
    <hyperlink xmlns:r="http://schemas.openxmlformats.org/officeDocument/2006/relationships" ref="I798" r:id="rId1597"/>
    <hyperlink xmlns:r="http://schemas.openxmlformats.org/officeDocument/2006/relationships" ref="J798" display="42" r:id="rId1598"/>
    <hyperlink xmlns:r="http://schemas.openxmlformats.org/officeDocument/2006/relationships" ref="K798" display="01/10/2019" r:id="rId1599"/>
    <hyperlink xmlns:r="http://schemas.openxmlformats.org/officeDocument/2006/relationships" ref="L798" r:id="rId1600"/>
    <hyperlink xmlns:r="http://schemas.openxmlformats.org/officeDocument/2006/relationships" ref="I800" r:id="rId1601"/>
    <hyperlink xmlns:r="http://schemas.openxmlformats.org/officeDocument/2006/relationships" ref="J800" display="540" r:id="rId1602"/>
    <hyperlink xmlns:r="http://schemas.openxmlformats.org/officeDocument/2006/relationships" ref="K800" display="28/08/2019" r:id="rId1603"/>
    <hyperlink xmlns:r="http://schemas.openxmlformats.org/officeDocument/2006/relationships" ref="I802" r:id="rId1604"/>
    <hyperlink xmlns:r="http://schemas.openxmlformats.org/officeDocument/2006/relationships" ref="J802" display="302" r:id="rId1605"/>
    <hyperlink xmlns:r="http://schemas.openxmlformats.org/officeDocument/2006/relationships" ref="K802" display="23/08/2019" r:id="rId1606"/>
    <hyperlink xmlns:r="http://schemas.openxmlformats.org/officeDocument/2006/relationships" ref="I804" r:id="rId1607"/>
    <hyperlink xmlns:r="http://schemas.openxmlformats.org/officeDocument/2006/relationships" ref="J804" display="29" r:id="rId1608"/>
    <hyperlink xmlns:r="http://schemas.openxmlformats.org/officeDocument/2006/relationships" ref="K804" display="01/08/2019" r:id="rId1609"/>
    <hyperlink xmlns:r="http://schemas.openxmlformats.org/officeDocument/2006/relationships" ref="L804" r:id="rId1610"/>
    <hyperlink xmlns:r="http://schemas.openxmlformats.org/officeDocument/2006/relationships" ref="I806" r:id="rId1611"/>
    <hyperlink xmlns:r="http://schemas.openxmlformats.org/officeDocument/2006/relationships" ref="J806" display="4" r:id="rId1612"/>
    <hyperlink xmlns:r="http://schemas.openxmlformats.org/officeDocument/2006/relationships" ref="K806" display="31/08/2019" r:id="rId1613"/>
    <hyperlink xmlns:r="http://schemas.openxmlformats.org/officeDocument/2006/relationships" ref="L806" r:id="rId1614"/>
    <hyperlink xmlns:r="http://schemas.openxmlformats.org/officeDocument/2006/relationships" ref="I808" r:id="rId1615"/>
    <hyperlink xmlns:r="http://schemas.openxmlformats.org/officeDocument/2006/relationships" ref="J808" display="5" r:id="rId1616"/>
    <hyperlink xmlns:r="http://schemas.openxmlformats.org/officeDocument/2006/relationships" ref="K808" display="01/08/2019" r:id="rId1617"/>
    <hyperlink xmlns:r="http://schemas.openxmlformats.org/officeDocument/2006/relationships" ref="L808" r:id="rId1618"/>
    <hyperlink xmlns:r="http://schemas.openxmlformats.org/officeDocument/2006/relationships" ref="I810" r:id="rId1619"/>
    <hyperlink xmlns:r="http://schemas.openxmlformats.org/officeDocument/2006/relationships" ref="J810" display="5" r:id="rId1620"/>
    <hyperlink xmlns:r="http://schemas.openxmlformats.org/officeDocument/2006/relationships" ref="K810" display="18/07/2019" r:id="rId1621"/>
    <hyperlink xmlns:r="http://schemas.openxmlformats.org/officeDocument/2006/relationships" ref="L810" r:id="rId1622"/>
    <hyperlink xmlns:r="http://schemas.openxmlformats.org/officeDocument/2006/relationships" ref="I812" r:id="rId1623"/>
    <hyperlink xmlns:r="http://schemas.openxmlformats.org/officeDocument/2006/relationships" ref="J812" display="346" r:id="rId1624"/>
    <hyperlink xmlns:r="http://schemas.openxmlformats.org/officeDocument/2006/relationships" ref="K812" display="12/07/2019" r:id="rId1625"/>
    <hyperlink xmlns:r="http://schemas.openxmlformats.org/officeDocument/2006/relationships" ref="I814" r:id="rId1626"/>
    <hyperlink xmlns:r="http://schemas.openxmlformats.org/officeDocument/2006/relationships" ref="J814" display="144" r:id="rId1627"/>
    <hyperlink xmlns:r="http://schemas.openxmlformats.org/officeDocument/2006/relationships" ref="K814" display="12/07/2019" r:id="rId1628"/>
    <hyperlink xmlns:r="http://schemas.openxmlformats.org/officeDocument/2006/relationships" ref="L814" r:id="rId1629"/>
    <hyperlink xmlns:r="http://schemas.openxmlformats.org/officeDocument/2006/relationships" ref="I816" r:id="rId1630"/>
    <hyperlink xmlns:r="http://schemas.openxmlformats.org/officeDocument/2006/relationships" ref="J816" display="12" r:id="rId1631"/>
    <hyperlink xmlns:r="http://schemas.openxmlformats.org/officeDocument/2006/relationships" ref="K816" display="12/07/2019" r:id="rId1632"/>
    <hyperlink xmlns:r="http://schemas.openxmlformats.org/officeDocument/2006/relationships" ref="L816" r:id="rId1633"/>
    <hyperlink xmlns:r="http://schemas.openxmlformats.org/officeDocument/2006/relationships" ref="I818" r:id="rId1634"/>
    <hyperlink xmlns:r="http://schemas.openxmlformats.org/officeDocument/2006/relationships" ref="J818" display="5" r:id="rId1635"/>
    <hyperlink xmlns:r="http://schemas.openxmlformats.org/officeDocument/2006/relationships" ref="K818" display="12/07/2019" r:id="rId1636"/>
    <hyperlink xmlns:r="http://schemas.openxmlformats.org/officeDocument/2006/relationships" ref="L818" r:id="rId1637"/>
    <hyperlink xmlns:r="http://schemas.openxmlformats.org/officeDocument/2006/relationships" ref="I820" r:id="rId1638"/>
    <hyperlink xmlns:r="http://schemas.openxmlformats.org/officeDocument/2006/relationships" ref="J820" display="8" r:id="rId1639"/>
    <hyperlink xmlns:r="http://schemas.openxmlformats.org/officeDocument/2006/relationships" ref="K820" display="28/06/2019" r:id="rId1640"/>
    <hyperlink xmlns:r="http://schemas.openxmlformats.org/officeDocument/2006/relationships" ref="L820" r:id="rId1641"/>
    <hyperlink xmlns:r="http://schemas.openxmlformats.org/officeDocument/2006/relationships" ref="I822" r:id="rId1642"/>
    <hyperlink xmlns:r="http://schemas.openxmlformats.org/officeDocument/2006/relationships" ref="J822" display="255" r:id="rId1643"/>
    <hyperlink xmlns:r="http://schemas.openxmlformats.org/officeDocument/2006/relationships" ref="K822" display="14/06/2019" r:id="rId1644"/>
    <hyperlink xmlns:r="http://schemas.openxmlformats.org/officeDocument/2006/relationships" ref="I824" r:id="rId1645"/>
    <hyperlink xmlns:r="http://schemas.openxmlformats.org/officeDocument/2006/relationships" ref="J824" display="2" r:id="rId1646"/>
    <hyperlink xmlns:r="http://schemas.openxmlformats.org/officeDocument/2006/relationships" ref="K824" display="14/06/2019" r:id="rId1647"/>
    <hyperlink xmlns:r="http://schemas.openxmlformats.org/officeDocument/2006/relationships" ref="L824" r:id="rId1648"/>
    <hyperlink xmlns:r="http://schemas.openxmlformats.org/officeDocument/2006/relationships" ref="I826" r:id="rId1649"/>
    <hyperlink xmlns:r="http://schemas.openxmlformats.org/officeDocument/2006/relationships" ref="J826" display="21" r:id="rId1650"/>
    <hyperlink xmlns:r="http://schemas.openxmlformats.org/officeDocument/2006/relationships" ref="K826" display="30/05/2019" r:id="rId1651"/>
    <hyperlink xmlns:r="http://schemas.openxmlformats.org/officeDocument/2006/relationships" ref="L826" r:id="rId1652"/>
    <hyperlink xmlns:r="http://schemas.openxmlformats.org/officeDocument/2006/relationships" ref="I828" r:id="rId1653"/>
    <hyperlink xmlns:r="http://schemas.openxmlformats.org/officeDocument/2006/relationships" ref="J828" display="54" r:id="rId1654"/>
    <hyperlink xmlns:r="http://schemas.openxmlformats.org/officeDocument/2006/relationships" ref="K828" display="05/06/2019" r:id="rId1655"/>
    <hyperlink xmlns:r="http://schemas.openxmlformats.org/officeDocument/2006/relationships" ref="L828" r:id="rId1656"/>
    <hyperlink xmlns:r="http://schemas.openxmlformats.org/officeDocument/2006/relationships" ref="I830" r:id="rId1657"/>
    <hyperlink xmlns:r="http://schemas.openxmlformats.org/officeDocument/2006/relationships" ref="J830" display="312" r:id="rId1658"/>
    <hyperlink xmlns:r="http://schemas.openxmlformats.org/officeDocument/2006/relationships" ref="K830" display="03/05/2019" r:id="rId1659"/>
    <hyperlink xmlns:r="http://schemas.openxmlformats.org/officeDocument/2006/relationships" ref="I832" r:id="rId1660"/>
    <hyperlink xmlns:r="http://schemas.openxmlformats.org/officeDocument/2006/relationships" ref="J832" display="176" r:id="rId1661"/>
    <hyperlink xmlns:r="http://schemas.openxmlformats.org/officeDocument/2006/relationships" ref="K832" display="03/05/2019" r:id="rId1662"/>
    <hyperlink xmlns:r="http://schemas.openxmlformats.org/officeDocument/2006/relationships" ref="I834" r:id="rId1663"/>
    <hyperlink xmlns:r="http://schemas.openxmlformats.org/officeDocument/2006/relationships" ref="J834" display="19" r:id="rId1664"/>
    <hyperlink xmlns:r="http://schemas.openxmlformats.org/officeDocument/2006/relationships" ref="K834" display="03/05/2019" r:id="rId1665"/>
    <hyperlink xmlns:r="http://schemas.openxmlformats.org/officeDocument/2006/relationships" ref="L834" r:id="rId1666"/>
    <hyperlink xmlns:r="http://schemas.openxmlformats.org/officeDocument/2006/relationships" ref="I836" r:id="rId1667"/>
    <hyperlink xmlns:r="http://schemas.openxmlformats.org/officeDocument/2006/relationships" ref="J836" display="8" r:id="rId1668"/>
    <hyperlink xmlns:r="http://schemas.openxmlformats.org/officeDocument/2006/relationships" ref="K836" display="10/04/2019" r:id="rId1669"/>
    <hyperlink xmlns:r="http://schemas.openxmlformats.org/officeDocument/2006/relationships" ref="L836" r:id="rId1670"/>
    <hyperlink xmlns:r="http://schemas.openxmlformats.org/officeDocument/2006/relationships" ref="I838" r:id="rId1671"/>
    <hyperlink xmlns:r="http://schemas.openxmlformats.org/officeDocument/2006/relationships" ref="J838" display="133" r:id="rId1672"/>
    <hyperlink xmlns:r="http://schemas.openxmlformats.org/officeDocument/2006/relationships" ref="K838" display="15/02/2019" r:id="rId1673"/>
    <hyperlink xmlns:r="http://schemas.openxmlformats.org/officeDocument/2006/relationships" ref="I840" r:id="rId1674"/>
    <hyperlink xmlns:r="http://schemas.openxmlformats.org/officeDocument/2006/relationships" ref="J840" display="9" r:id="rId1675"/>
    <hyperlink xmlns:r="http://schemas.openxmlformats.org/officeDocument/2006/relationships" ref="K840" display="15/02/2019" r:id="rId1676"/>
    <hyperlink xmlns:r="http://schemas.openxmlformats.org/officeDocument/2006/relationships" ref="L840" r:id="rId1677"/>
    <hyperlink xmlns:r="http://schemas.openxmlformats.org/officeDocument/2006/relationships" ref="I842" r:id="rId1678"/>
    <hyperlink xmlns:r="http://schemas.openxmlformats.org/officeDocument/2006/relationships" ref="J842" display="273" r:id="rId1679"/>
    <hyperlink xmlns:r="http://schemas.openxmlformats.org/officeDocument/2006/relationships" ref="K842" display="25/01/2019" r:id="rId1680"/>
    <hyperlink xmlns:r="http://schemas.openxmlformats.org/officeDocument/2006/relationships" ref="I844" r:id="rId1681"/>
    <hyperlink xmlns:r="http://schemas.openxmlformats.org/officeDocument/2006/relationships" ref="J844" display="81" r:id="rId1682"/>
    <hyperlink xmlns:r="http://schemas.openxmlformats.org/officeDocument/2006/relationships" ref="K844" display="25/01/2019" r:id="rId1683"/>
    <hyperlink xmlns:r="http://schemas.openxmlformats.org/officeDocument/2006/relationships" ref="L844" r:id="rId1684"/>
    <hyperlink xmlns:r="http://schemas.openxmlformats.org/officeDocument/2006/relationships" ref="I846" r:id="rId1685"/>
    <hyperlink xmlns:r="http://schemas.openxmlformats.org/officeDocument/2006/relationships" ref="J846" display="13" r:id="rId1686"/>
    <hyperlink xmlns:r="http://schemas.openxmlformats.org/officeDocument/2006/relationships" ref="K846" display="25/01/2019" r:id="rId1687"/>
    <hyperlink xmlns:r="http://schemas.openxmlformats.org/officeDocument/2006/relationships" ref="L846" r:id="rId1688"/>
    <hyperlink xmlns:r="http://schemas.openxmlformats.org/officeDocument/2006/relationships" ref="I848" r:id="rId1689"/>
    <hyperlink xmlns:r="http://schemas.openxmlformats.org/officeDocument/2006/relationships" ref="J848" display="10" r:id="rId1690"/>
    <hyperlink xmlns:r="http://schemas.openxmlformats.org/officeDocument/2006/relationships" ref="K848" display="16/02/2019" r:id="rId1691"/>
    <hyperlink xmlns:r="http://schemas.openxmlformats.org/officeDocument/2006/relationships" ref="L848" r:id="rId1692"/>
    <hyperlink xmlns:r="http://schemas.openxmlformats.org/officeDocument/2006/relationships" ref="I850" r:id="rId1693"/>
    <hyperlink xmlns:r="http://schemas.openxmlformats.org/officeDocument/2006/relationships" ref="J850" display="7" r:id="rId1694"/>
    <hyperlink xmlns:r="http://schemas.openxmlformats.org/officeDocument/2006/relationships" ref="K850" display="01/01/2019" r:id="rId1695"/>
    <hyperlink xmlns:r="http://schemas.openxmlformats.org/officeDocument/2006/relationships" ref="L850" r:id="rId1696"/>
    <hyperlink xmlns:r="http://schemas.openxmlformats.org/officeDocument/2006/relationships" ref="I852" r:id="rId1697"/>
    <hyperlink xmlns:r="http://schemas.openxmlformats.org/officeDocument/2006/relationships" ref="J852" display="254" r:id="rId1698"/>
    <hyperlink xmlns:r="http://schemas.openxmlformats.org/officeDocument/2006/relationships" ref="K852" display="07/12/2018" r:id="rId1699"/>
    <hyperlink xmlns:r="http://schemas.openxmlformats.org/officeDocument/2006/relationships" ref="I854" r:id="rId1700"/>
    <hyperlink xmlns:r="http://schemas.openxmlformats.org/officeDocument/2006/relationships" ref="J854" display="40" r:id="rId1701"/>
    <hyperlink xmlns:r="http://schemas.openxmlformats.org/officeDocument/2006/relationships" ref="K854" display="07/12/2018" r:id="rId1702"/>
    <hyperlink xmlns:r="http://schemas.openxmlformats.org/officeDocument/2006/relationships" ref="L854" r:id="rId1703"/>
    <hyperlink xmlns:r="http://schemas.openxmlformats.org/officeDocument/2006/relationships" ref="I856" r:id="rId1704"/>
    <hyperlink xmlns:r="http://schemas.openxmlformats.org/officeDocument/2006/relationships" ref="J856" display="16" r:id="rId1705"/>
    <hyperlink xmlns:r="http://schemas.openxmlformats.org/officeDocument/2006/relationships" ref="K856" display="07/12/2018" r:id="rId1706"/>
    <hyperlink xmlns:r="http://schemas.openxmlformats.org/officeDocument/2006/relationships" ref="L856" r:id="rId1707"/>
    <hyperlink xmlns:r="http://schemas.openxmlformats.org/officeDocument/2006/relationships" ref="I858" r:id="rId1708"/>
    <hyperlink xmlns:r="http://schemas.openxmlformats.org/officeDocument/2006/relationships" ref="J858" display="68" r:id="rId1709"/>
    <hyperlink xmlns:r="http://schemas.openxmlformats.org/officeDocument/2006/relationships" ref="K858" display="16/11/2018" r:id="rId1710"/>
    <hyperlink xmlns:r="http://schemas.openxmlformats.org/officeDocument/2006/relationships" ref="L858" r:id="rId1711"/>
    <hyperlink xmlns:r="http://schemas.openxmlformats.org/officeDocument/2006/relationships" ref="I860" r:id="rId1712"/>
    <hyperlink xmlns:r="http://schemas.openxmlformats.org/officeDocument/2006/relationships" ref="J860" display="127" r:id="rId1713"/>
    <hyperlink xmlns:r="http://schemas.openxmlformats.org/officeDocument/2006/relationships" ref="K860" display="02/11/2018" r:id="rId1714"/>
    <hyperlink xmlns:r="http://schemas.openxmlformats.org/officeDocument/2006/relationships" ref="I862" r:id="rId1715"/>
    <hyperlink xmlns:r="http://schemas.openxmlformats.org/officeDocument/2006/relationships" ref="J862" display="10" r:id="rId1716"/>
    <hyperlink xmlns:r="http://schemas.openxmlformats.org/officeDocument/2006/relationships" ref="K862" display="02/11/2018" r:id="rId1717"/>
    <hyperlink xmlns:r="http://schemas.openxmlformats.org/officeDocument/2006/relationships" ref="L862" r:id="rId1718"/>
    <hyperlink xmlns:r="http://schemas.openxmlformats.org/officeDocument/2006/relationships" ref="I864" r:id="rId1719"/>
    <hyperlink xmlns:r="http://schemas.openxmlformats.org/officeDocument/2006/relationships" ref="J864" display="273" r:id="rId1720"/>
    <hyperlink xmlns:r="http://schemas.openxmlformats.org/officeDocument/2006/relationships" ref="K864" display="05/10/2018" r:id="rId1721"/>
    <hyperlink xmlns:r="http://schemas.openxmlformats.org/officeDocument/2006/relationships" ref="I866" r:id="rId1722"/>
    <hyperlink xmlns:r="http://schemas.openxmlformats.org/officeDocument/2006/relationships" ref="J866" display="84" r:id="rId1723"/>
    <hyperlink xmlns:r="http://schemas.openxmlformats.org/officeDocument/2006/relationships" ref="K866" display="05/10/2018" r:id="rId1724"/>
    <hyperlink xmlns:r="http://schemas.openxmlformats.org/officeDocument/2006/relationships" ref="I868" r:id="rId1725"/>
    <hyperlink xmlns:r="http://schemas.openxmlformats.org/officeDocument/2006/relationships" ref="J868" display="8" r:id="rId1726"/>
    <hyperlink xmlns:r="http://schemas.openxmlformats.org/officeDocument/2006/relationships" ref="K868" display="05/10/2018" r:id="rId1727"/>
    <hyperlink xmlns:r="http://schemas.openxmlformats.org/officeDocument/2006/relationships" ref="L868" r:id="rId1728"/>
    <hyperlink xmlns:r="http://schemas.openxmlformats.org/officeDocument/2006/relationships" ref="I870" r:id="rId1729"/>
    <hyperlink xmlns:r="http://schemas.openxmlformats.org/officeDocument/2006/relationships" ref="J870" display="10" r:id="rId1730"/>
    <hyperlink xmlns:r="http://schemas.openxmlformats.org/officeDocument/2006/relationships" ref="K870" display="09/11/2018" r:id="rId1731"/>
    <hyperlink xmlns:r="http://schemas.openxmlformats.org/officeDocument/2006/relationships" ref="L870" r:id="rId1732"/>
    <hyperlink xmlns:r="http://schemas.openxmlformats.org/officeDocument/2006/relationships" ref="I872" r:id="rId1733"/>
    <hyperlink xmlns:r="http://schemas.openxmlformats.org/officeDocument/2006/relationships" ref="J872" display="24" r:id="rId1734"/>
    <hyperlink xmlns:r="http://schemas.openxmlformats.org/officeDocument/2006/relationships" ref="K872" display="05/10/2018" r:id="rId1735"/>
    <hyperlink xmlns:r="http://schemas.openxmlformats.org/officeDocument/2006/relationships" ref="L872" r:id="rId1736"/>
    <hyperlink xmlns:r="http://schemas.openxmlformats.org/officeDocument/2006/relationships" ref="I874" r:id="rId1737"/>
    <hyperlink xmlns:r="http://schemas.openxmlformats.org/officeDocument/2006/relationships" ref="J874" display="16" r:id="rId1738"/>
    <hyperlink xmlns:r="http://schemas.openxmlformats.org/officeDocument/2006/relationships" ref="K874" display="05/10/2018" r:id="rId1739"/>
    <hyperlink xmlns:r="http://schemas.openxmlformats.org/officeDocument/2006/relationships" ref="L874" r:id="rId1740"/>
    <hyperlink xmlns:r="http://schemas.openxmlformats.org/officeDocument/2006/relationships" ref="I876" r:id="rId1741"/>
    <hyperlink xmlns:r="http://schemas.openxmlformats.org/officeDocument/2006/relationships" ref="J876" display="307" r:id="rId1742"/>
    <hyperlink xmlns:r="http://schemas.openxmlformats.org/officeDocument/2006/relationships" ref="K876" display="10/08/2018" r:id="rId1743"/>
    <hyperlink xmlns:r="http://schemas.openxmlformats.org/officeDocument/2006/relationships" ref="I878" r:id="rId1744"/>
    <hyperlink xmlns:r="http://schemas.openxmlformats.org/officeDocument/2006/relationships" ref="J878" display="26" r:id="rId1745"/>
    <hyperlink xmlns:r="http://schemas.openxmlformats.org/officeDocument/2006/relationships" ref="K878" display="09/08/2018" r:id="rId1746"/>
    <hyperlink xmlns:r="http://schemas.openxmlformats.org/officeDocument/2006/relationships" ref="L878" r:id="rId1747"/>
    <hyperlink xmlns:r="http://schemas.openxmlformats.org/officeDocument/2006/relationships" ref="I880" r:id="rId1748"/>
    <hyperlink xmlns:r="http://schemas.openxmlformats.org/officeDocument/2006/relationships" ref="J880" display="4" r:id="rId1749"/>
    <hyperlink xmlns:r="http://schemas.openxmlformats.org/officeDocument/2006/relationships" ref="K880" display="09/08/2018" r:id="rId1750"/>
    <hyperlink xmlns:r="http://schemas.openxmlformats.org/officeDocument/2006/relationships" ref="L880" r:id="rId1751"/>
    <hyperlink xmlns:r="http://schemas.openxmlformats.org/officeDocument/2006/relationships" ref="I882" r:id="rId1752"/>
    <hyperlink xmlns:r="http://schemas.openxmlformats.org/officeDocument/2006/relationships" ref="J882" display="540" r:id="rId1753"/>
    <hyperlink xmlns:r="http://schemas.openxmlformats.org/officeDocument/2006/relationships" ref="K882" display="08/08/2018" r:id="rId1754"/>
    <hyperlink xmlns:r="http://schemas.openxmlformats.org/officeDocument/2006/relationships" ref="I884" r:id="rId1755"/>
    <hyperlink xmlns:r="http://schemas.openxmlformats.org/officeDocument/2006/relationships" ref="J884" display="3" r:id="rId1756"/>
    <hyperlink xmlns:r="http://schemas.openxmlformats.org/officeDocument/2006/relationships" ref="K884" display="01/08/2018" r:id="rId1757"/>
    <hyperlink xmlns:r="http://schemas.openxmlformats.org/officeDocument/2006/relationships" ref="L884" r:id="rId1758"/>
    <hyperlink xmlns:r="http://schemas.openxmlformats.org/officeDocument/2006/relationships" ref="I886" r:id="rId1759"/>
    <hyperlink xmlns:r="http://schemas.openxmlformats.org/officeDocument/2006/relationships" ref="J886" display="5" r:id="rId1760"/>
    <hyperlink xmlns:r="http://schemas.openxmlformats.org/officeDocument/2006/relationships" ref="K886" display="19/07/2018" r:id="rId1761"/>
    <hyperlink xmlns:r="http://schemas.openxmlformats.org/officeDocument/2006/relationships" ref="L886" r:id="rId1762"/>
    <hyperlink xmlns:r="http://schemas.openxmlformats.org/officeDocument/2006/relationships" ref="I888" r:id="rId1763"/>
    <hyperlink xmlns:r="http://schemas.openxmlformats.org/officeDocument/2006/relationships" ref="J888" display="46" r:id="rId1764"/>
    <hyperlink xmlns:r="http://schemas.openxmlformats.org/officeDocument/2006/relationships" ref="K888" display="14/07/2018" r:id="rId1765"/>
    <hyperlink xmlns:r="http://schemas.openxmlformats.org/officeDocument/2006/relationships" ref="L888" r:id="rId1766"/>
    <hyperlink xmlns:r="http://schemas.openxmlformats.org/officeDocument/2006/relationships" ref="I890" r:id="rId1767"/>
    <hyperlink xmlns:r="http://schemas.openxmlformats.org/officeDocument/2006/relationships" ref="J890" display="20" r:id="rId1768"/>
    <hyperlink xmlns:r="http://schemas.openxmlformats.org/officeDocument/2006/relationships" ref="K890" display="14/07/2018" r:id="rId1769"/>
    <hyperlink xmlns:r="http://schemas.openxmlformats.org/officeDocument/2006/relationships" ref="L890" r:id="rId1770"/>
    <hyperlink xmlns:r="http://schemas.openxmlformats.org/officeDocument/2006/relationships" ref="I892" r:id="rId1771"/>
    <hyperlink xmlns:r="http://schemas.openxmlformats.org/officeDocument/2006/relationships" ref="J892" display="14" r:id="rId1772"/>
    <hyperlink xmlns:r="http://schemas.openxmlformats.org/officeDocument/2006/relationships" ref="K892" display="14/07/2018" r:id="rId1773"/>
    <hyperlink xmlns:r="http://schemas.openxmlformats.org/officeDocument/2006/relationships" ref="L892" r:id="rId1774"/>
    <hyperlink xmlns:r="http://schemas.openxmlformats.org/officeDocument/2006/relationships" ref="I894" r:id="rId1775"/>
    <hyperlink xmlns:r="http://schemas.openxmlformats.org/officeDocument/2006/relationships" ref="J894" display="78" r:id="rId1776"/>
    <hyperlink xmlns:r="http://schemas.openxmlformats.org/officeDocument/2006/relationships" ref="K894" display="14/07/2018" r:id="rId1777"/>
    <hyperlink xmlns:r="http://schemas.openxmlformats.org/officeDocument/2006/relationships" ref="L894" r:id="rId1778"/>
    <hyperlink xmlns:r="http://schemas.openxmlformats.org/officeDocument/2006/relationships" ref="I896" r:id="rId1779"/>
    <hyperlink xmlns:r="http://schemas.openxmlformats.org/officeDocument/2006/relationships" ref="J896" display="314" r:id="rId1780"/>
    <hyperlink xmlns:r="http://schemas.openxmlformats.org/officeDocument/2006/relationships" ref="K896" display="13/07/2018" r:id="rId1781"/>
    <hyperlink xmlns:r="http://schemas.openxmlformats.org/officeDocument/2006/relationships" ref="I898" r:id="rId1782"/>
    <hyperlink xmlns:r="http://schemas.openxmlformats.org/officeDocument/2006/relationships" ref="J898" display="95" r:id="rId1783"/>
    <hyperlink xmlns:r="http://schemas.openxmlformats.org/officeDocument/2006/relationships" ref="K898" display="13/07/2018" r:id="rId1784"/>
    <hyperlink xmlns:r="http://schemas.openxmlformats.org/officeDocument/2006/relationships" ref="L898" r:id="rId1785"/>
    <hyperlink xmlns:r="http://schemas.openxmlformats.org/officeDocument/2006/relationships" ref="I900" r:id="rId1786"/>
    <hyperlink xmlns:r="http://schemas.openxmlformats.org/officeDocument/2006/relationships" ref="J900" display="18" r:id="rId1787"/>
    <hyperlink xmlns:r="http://schemas.openxmlformats.org/officeDocument/2006/relationships" ref="K900" display="13/07/2018" r:id="rId1788"/>
    <hyperlink xmlns:r="http://schemas.openxmlformats.org/officeDocument/2006/relationships" ref="L900" r:id="rId1789"/>
    <hyperlink xmlns:r="http://schemas.openxmlformats.org/officeDocument/2006/relationships" ref="I902" r:id="rId1790"/>
    <hyperlink xmlns:r="http://schemas.openxmlformats.org/officeDocument/2006/relationships" ref="J902" display="5" r:id="rId1791"/>
    <hyperlink xmlns:r="http://schemas.openxmlformats.org/officeDocument/2006/relationships" ref="K902" display="16/11/2018" r:id="rId1792"/>
    <hyperlink xmlns:r="http://schemas.openxmlformats.org/officeDocument/2006/relationships" ref="L902" r:id="rId1793"/>
    <hyperlink xmlns:r="http://schemas.openxmlformats.org/officeDocument/2006/relationships" ref="I904" r:id="rId1794"/>
    <hyperlink xmlns:r="http://schemas.openxmlformats.org/officeDocument/2006/relationships" ref="J904" display="5" r:id="rId1795"/>
    <hyperlink xmlns:r="http://schemas.openxmlformats.org/officeDocument/2006/relationships" ref="K904" display="13/07/2018" r:id="rId1796"/>
    <hyperlink xmlns:r="http://schemas.openxmlformats.org/officeDocument/2006/relationships" ref="L904" r:id="rId1797"/>
    <hyperlink xmlns:r="http://schemas.openxmlformats.org/officeDocument/2006/relationships" ref="I906" r:id="rId1798"/>
    <hyperlink xmlns:r="http://schemas.openxmlformats.org/officeDocument/2006/relationships" ref="J906" display="41" r:id="rId1799"/>
    <hyperlink xmlns:r="http://schemas.openxmlformats.org/officeDocument/2006/relationships" ref="K906" display="22/06/2018" r:id="rId1800"/>
    <hyperlink xmlns:r="http://schemas.openxmlformats.org/officeDocument/2006/relationships" ref="I908" r:id="rId1801"/>
    <hyperlink xmlns:r="http://schemas.openxmlformats.org/officeDocument/2006/relationships" ref="J908" display="8" r:id="rId1802"/>
    <hyperlink xmlns:r="http://schemas.openxmlformats.org/officeDocument/2006/relationships" ref="K908" display="15/06/2018" r:id="rId1803"/>
    <hyperlink xmlns:r="http://schemas.openxmlformats.org/officeDocument/2006/relationships" ref="L908" r:id="rId1804"/>
    <hyperlink xmlns:r="http://schemas.openxmlformats.org/officeDocument/2006/relationships" ref="I910" r:id="rId1805"/>
    <hyperlink xmlns:r="http://schemas.openxmlformats.org/officeDocument/2006/relationships" ref="J910" display="540" r:id="rId1806"/>
    <hyperlink xmlns:r="http://schemas.openxmlformats.org/officeDocument/2006/relationships" ref="K910" display="13/06/2018" r:id="rId1807"/>
    <hyperlink xmlns:r="http://schemas.openxmlformats.org/officeDocument/2006/relationships" ref="I912" r:id="rId1808"/>
    <hyperlink xmlns:r="http://schemas.openxmlformats.org/officeDocument/2006/relationships" ref="J912" display="312" r:id="rId1809"/>
    <hyperlink xmlns:r="http://schemas.openxmlformats.org/officeDocument/2006/relationships" ref="K912" display="08/06/2018" r:id="rId1810"/>
    <hyperlink xmlns:r="http://schemas.openxmlformats.org/officeDocument/2006/relationships" ref="L912" r:id="rId1811"/>
    <hyperlink xmlns:r="http://schemas.openxmlformats.org/officeDocument/2006/relationships" ref="I914" r:id="rId1812"/>
    <hyperlink xmlns:r="http://schemas.openxmlformats.org/officeDocument/2006/relationships" ref="J914" display="19" r:id="rId1813"/>
    <hyperlink xmlns:r="http://schemas.openxmlformats.org/officeDocument/2006/relationships" ref="K914" display="08/06/2018" r:id="rId1814"/>
    <hyperlink xmlns:r="http://schemas.openxmlformats.org/officeDocument/2006/relationships" ref="L914" r:id="rId1815"/>
    <hyperlink xmlns:r="http://schemas.openxmlformats.org/officeDocument/2006/relationships" ref="I916" r:id="rId1816"/>
    <hyperlink xmlns:r="http://schemas.openxmlformats.org/officeDocument/2006/relationships" ref="J916" display="256" r:id="rId1817"/>
    <hyperlink xmlns:r="http://schemas.openxmlformats.org/officeDocument/2006/relationships" ref="K916" display="08/06/2018" r:id="rId1818"/>
    <hyperlink xmlns:r="http://schemas.openxmlformats.org/officeDocument/2006/relationships" ref="I918" r:id="rId1819"/>
    <hyperlink xmlns:r="http://schemas.openxmlformats.org/officeDocument/2006/relationships" ref="J918" display="22" r:id="rId1820"/>
    <hyperlink xmlns:r="http://schemas.openxmlformats.org/officeDocument/2006/relationships" ref="K918" display="08/06/2018" r:id="rId1821"/>
    <hyperlink xmlns:r="http://schemas.openxmlformats.org/officeDocument/2006/relationships" ref="L918" r:id="rId1822"/>
    <hyperlink xmlns:r="http://schemas.openxmlformats.org/officeDocument/2006/relationships" ref="I920" r:id="rId1823"/>
    <hyperlink xmlns:r="http://schemas.openxmlformats.org/officeDocument/2006/relationships" ref="J920" display="8" r:id="rId1824"/>
    <hyperlink xmlns:r="http://schemas.openxmlformats.org/officeDocument/2006/relationships" ref="K920" display="08/06/2018" r:id="rId1825"/>
    <hyperlink xmlns:r="http://schemas.openxmlformats.org/officeDocument/2006/relationships" ref="L920" r:id="rId1826"/>
    <hyperlink xmlns:r="http://schemas.openxmlformats.org/officeDocument/2006/relationships" ref="I922" r:id="rId1827"/>
    <hyperlink xmlns:r="http://schemas.openxmlformats.org/officeDocument/2006/relationships" ref="J922" display="600" r:id="rId1828"/>
    <hyperlink xmlns:r="http://schemas.openxmlformats.org/officeDocument/2006/relationships" ref="K922" display="23/05/2018" r:id="rId1829"/>
    <hyperlink xmlns:r="http://schemas.openxmlformats.org/officeDocument/2006/relationships" ref="I924" r:id="rId1830"/>
    <hyperlink xmlns:r="http://schemas.openxmlformats.org/officeDocument/2006/relationships" ref="J924" display="280" r:id="rId1831"/>
    <hyperlink xmlns:r="http://schemas.openxmlformats.org/officeDocument/2006/relationships" ref="K924" display="27/04/2018" r:id="rId1832"/>
    <hyperlink xmlns:r="http://schemas.openxmlformats.org/officeDocument/2006/relationships" ref="I926" r:id="rId1833"/>
    <hyperlink xmlns:r="http://schemas.openxmlformats.org/officeDocument/2006/relationships" ref="J926" display="118" r:id="rId1834"/>
    <hyperlink xmlns:r="http://schemas.openxmlformats.org/officeDocument/2006/relationships" ref="K926" display="27/04/2018" r:id="rId1835"/>
    <hyperlink xmlns:r="http://schemas.openxmlformats.org/officeDocument/2006/relationships" ref="I928" r:id="rId1836"/>
    <hyperlink xmlns:r="http://schemas.openxmlformats.org/officeDocument/2006/relationships" ref="J928" display="16" r:id="rId1837"/>
    <hyperlink xmlns:r="http://schemas.openxmlformats.org/officeDocument/2006/relationships" ref="K928" display="27/04/2018" r:id="rId1838"/>
    <hyperlink xmlns:r="http://schemas.openxmlformats.org/officeDocument/2006/relationships" ref="L928" r:id="rId1839"/>
    <hyperlink xmlns:r="http://schemas.openxmlformats.org/officeDocument/2006/relationships" ref="I930" r:id="rId1840"/>
    <hyperlink xmlns:r="http://schemas.openxmlformats.org/officeDocument/2006/relationships" ref="J930" display="76" r:id="rId1841"/>
    <hyperlink xmlns:r="http://schemas.openxmlformats.org/officeDocument/2006/relationships" ref="K930" display="06/04/2018" r:id="rId1842"/>
    <hyperlink xmlns:r="http://schemas.openxmlformats.org/officeDocument/2006/relationships" ref="I932" r:id="rId1843"/>
    <hyperlink xmlns:r="http://schemas.openxmlformats.org/officeDocument/2006/relationships" ref="J932" display="4" r:id="rId1844"/>
    <hyperlink xmlns:r="http://schemas.openxmlformats.org/officeDocument/2006/relationships" ref="K932" display="06/04/2018" r:id="rId1845"/>
    <hyperlink xmlns:r="http://schemas.openxmlformats.org/officeDocument/2006/relationships" ref="L932" r:id="rId1846"/>
    <hyperlink xmlns:r="http://schemas.openxmlformats.org/officeDocument/2006/relationships" ref="I934" r:id="rId1847"/>
    <hyperlink xmlns:r="http://schemas.openxmlformats.org/officeDocument/2006/relationships" ref="J934" display="249" r:id="rId1848"/>
    <hyperlink xmlns:r="http://schemas.openxmlformats.org/officeDocument/2006/relationships" ref="K934" display="16/03/2018" r:id="rId1849"/>
    <hyperlink xmlns:r="http://schemas.openxmlformats.org/officeDocument/2006/relationships" ref="I936" r:id="rId1850"/>
    <hyperlink xmlns:r="http://schemas.openxmlformats.org/officeDocument/2006/relationships" ref="J936" display="16" r:id="rId1851"/>
    <hyperlink xmlns:r="http://schemas.openxmlformats.org/officeDocument/2006/relationships" ref="K936" display="16/03/2018" r:id="rId1852"/>
    <hyperlink xmlns:r="http://schemas.openxmlformats.org/officeDocument/2006/relationships" ref="L936" r:id="rId1853"/>
    <hyperlink xmlns:r="http://schemas.openxmlformats.org/officeDocument/2006/relationships" ref="I938" r:id="rId1854"/>
    <hyperlink xmlns:r="http://schemas.openxmlformats.org/officeDocument/2006/relationships" ref="J938" display="1" r:id="rId1855"/>
    <hyperlink xmlns:r="http://schemas.openxmlformats.org/officeDocument/2006/relationships" ref="K938" display="16/02/2018" r:id="rId1856"/>
    <hyperlink xmlns:r="http://schemas.openxmlformats.org/officeDocument/2006/relationships" ref="L938" r:id="rId1857"/>
    <hyperlink xmlns:r="http://schemas.openxmlformats.org/officeDocument/2006/relationships" ref="I940" r:id="rId1858"/>
    <hyperlink xmlns:r="http://schemas.openxmlformats.org/officeDocument/2006/relationships" ref="J940" display="1" r:id="rId1859"/>
    <hyperlink xmlns:r="http://schemas.openxmlformats.org/officeDocument/2006/relationships" ref="K940" display="25/01/2018" r:id="rId1860"/>
    <hyperlink xmlns:r="http://schemas.openxmlformats.org/officeDocument/2006/relationships" ref="L940" r:id="rId1861"/>
    <hyperlink xmlns:r="http://schemas.openxmlformats.org/officeDocument/2006/relationships" ref="I942" r:id="rId1862"/>
    <hyperlink xmlns:r="http://schemas.openxmlformats.org/officeDocument/2006/relationships" ref="J942" display="205" r:id="rId1863"/>
    <hyperlink xmlns:r="http://schemas.openxmlformats.org/officeDocument/2006/relationships" ref="K942" display="19/01/2018" r:id="rId1864"/>
    <hyperlink xmlns:r="http://schemas.openxmlformats.org/officeDocument/2006/relationships" ref="I944" r:id="rId1865"/>
    <hyperlink xmlns:r="http://schemas.openxmlformats.org/officeDocument/2006/relationships" ref="J944" display="98" r:id="rId1866"/>
    <hyperlink xmlns:r="http://schemas.openxmlformats.org/officeDocument/2006/relationships" ref="K944" display="19/01/2018" r:id="rId1867"/>
    <hyperlink xmlns:r="http://schemas.openxmlformats.org/officeDocument/2006/relationships" ref="L944" r:id="rId1868"/>
    <hyperlink xmlns:r="http://schemas.openxmlformats.org/officeDocument/2006/relationships" ref="I946" r:id="rId1869"/>
    <hyperlink xmlns:r="http://schemas.openxmlformats.org/officeDocument/2006/relationships" ref="J946" display="7" r:id="rId1870"/>
    <hyperlink xmlns:r="http://schemas.openxmlformats.org/officeDocument/2006/relationships" ref="K946" display="19/01/2018" r:id="rId1871"/>
    <hyperlink xmlns:r="http://schemas.openxmlformats.org/officeDocument/2006/relationships" ref="L946" r:id="rId1872"/>
    <hyperlink xmlns:r="http://schemas.openxmlformats.org/officeDocument/2006/relationships" ref="I948" r:id="rId1873"/>
    <hyperlink xmlns:r="http://schemas.openxmlformats.org/officeDocument/2006/relationships" ref="J948" display="8" r:id="rId1874"/>
    <hyperlink xmlns:r="http://schemas.openxmlformats.org/officeDocument/2006/relationships" ref="K948" display="01/01/2018" r:id="rId1875"/>
    <hyperlink xmlns:r="http://schemas.openxmlformats.org/officeDocument/2006/relationships" ref="L948" r:id="rId1876"/>
    <hyperlink xmlns:r="http://schemas.openxmlformats.org/officeDocument/2006/relationships" ref="I950" r:id="rId1877"/>
    <hyperlink xmlns:r="http://schemas.openxmlformats.org/officeDocument/2006/relationships" ref="J950" display="3" r:id="rId1878"/>
    <hyperlink xmlns:r="http://schemas.openxmlformats.org/officeDocument/2006/relationships" ref="K950" display="27/12/2017" r:id="rId1879"/>
    <hyperlink xmlns:r="http://schemas.openxmlformats.org/officeDocument/2006/relationships" ref="L950" r:id="rId1880"/>
    <hyperlink xmlns:r="http://schemas.openxmlformats.org/officeDocument/2006/relationships" ref="I952" r:id="rId1881"/>
    <hyperlink xmlns:r="http://schemas.openxmlformats.org/officeDocument/2006/relationships" ref="J952" display="268" r:id="rId1882"/>
    <hyperlink xmlns:r="http://schemas.openxmlformats.org/officeDocument/2006/relationships" ref="K952" display="08/12/2017" r:id="rId1883"/>
    <hyperlink xmlns:r="http://schemas.openxmlformats.org/officeDocument/2006/relationships" ref="L952" r:id="rId1884"/>
    <hyperlink xmlns:r="http://schemas.openxmlformats.org/officeDocument/2006/relationships" ref="I954" r:id="rId1885"/>
    <hyperlink xmlns:r="http://schemas.openxmlformats.org/officeDocument/2006/relationships" ref="J954" display="1" r:id="rId1886"/>
    <hyperlink xmlns:r="http://schemas.openxmlformats.org/officeDocument/2006/relationships" ref="K954" display="08/12/2017" r:id="rId1887"/>
    <hyperlink xmlns:r="http://schemas.openxmlformats.org/officeDocument/2006/relationships" ref="L954" r:id="rId1888"/>
    <hyperlink xmlns:r="http://schemas.openxmlformats.org/officeDocument/2006/relationships" ref="I956" r:id="rId1889"/>
    <hyperlink xmlns:r="http://schemas.openxmlformats.org/officeDocument/2006/relationships" ref="J956" display="20" r:id="rId1890"/>
    <hyperlink xmlns:r="http://schemas.openxmlformats.org/officeDocument/2006/relationships" ref="K956" display="08/12/2017" r:id="rId1891"/>
    <hyperlink xmlns:r="http://schemas.openxmlformats.org/officeDocument/2006/relationships" ref="L956" r:id="rId1892"/>
    <hyperlink xmlns:r="http://schemas.openxmlformats.org/officeDocument/2006/relationships" ref="I958" r:id="rId1893"/>
    <hyperlink xmlns:r="http://schemas.openxmlformats.org/officeDocument/2006/relationships" ref="J958" display="16" r:id="rId1894"/>
    <hyperlink xmlns:r="http://schemas.openxmlformats.org/officeDocument/2006/relationships" ref="K958" display="24/11/2017" r:id="rId1895"/>
    <hyperlink xmlns:r="http://schemas.openxmlformats.org/officeDocument/2006/relationships" ref="L958" r:id="rId1896"/>
    <hyperlink xmlns:r="http://schemas.openxmlformats.org/officeDocument/2006/relationships" ref="I960" r:id="rId1897"/>
    <hyperlink xmlns:r="http://schemas.openxmlformats.org/officeDocument/2006/relationships" ref="J960" display="48" r:id="rId1898"/>
    <hyperlink xmlns:r="http://schemas.openxmlformats.org/officeDocument/2006/relationships" ref="K960" display="24/11/2017" r:id="rId1899"/>
    <hyperlink xmlns:r="http://schemas.openxmlformats.org/officeDocument/2006/relationships" ref="L960" r:id="rId1900"/>
    <hyperlink xmlns:r="http://schemas.openxmlformats.org/officeDocument/2006/relationships" ref="I962" r:id="rId1901"/>
    <hyperlink xmlns:r="http://schemas.openxmlformats.org/officeDocument/2006/relationships" ref="J962" display="249" r:id="rId1902"/>
    <hyperlink xmlns:r="http://schemas.openxmlformats.org/officeDocument/2006/relationships" ref="K962" display="17/11/2017" r:id="rId1903"/>
    <hyperlink xmlns:r="http://schemas.openxmlformats.org/officeDocument/2006/relationships" ref="I964" r:id="rId1904"/>
    <hyperlink xmlns:r="http://schemas.openxmlformats.org/officeDocument/2006/relationships" ref="J964" display="7" r:id="rId1905"/>
    <hyperlink xmlns:r="http://schemas.openxmlformats.org/officeDocument/2006/relationships" ref="K964" display="29/11/2017" r:id="rId1906"/>
    <hyperlink xmlns:r="http://schemas.openxmlformats.org/officeDocument/2006/relationships" ref="L964" r:id="rId1907"/>
    <hyperlink xmlns:r="http://schemas.openxmlformats.org/officeDocument/2006/relationships" ref="I966" r:id="rId1908"/>
    <hyperlink xmlns:r="http://schemas.openxmlformats.org/officeDocument/2006/relationships" ref="J966" display="63" r:id="rId1909"/>
    <hyperlink xmlns:r="http://schemas.openxmlformats.org/officeDocument/2006/relationships" ref="K966" display="24/10/2017" r:id="rId1910"/>
    <hyperlink xmlns:r="http://schemas.openxmlformats.org/officeDocument/2006/relationships" ref="I968" r:id="rId1911"/>
    <hyperlink xmlns:r="http://schemas.openxmlformats.org/officeDocument/2006/relationships" ref="J968" display="3" r:id="rId1912"/>
    <hyperlink xmlns:r="http://schemas.openxmlformats.org/officeDocument/2006/relationships" ref="K968" display="24/10/2017" r:id="rId1913"/>
    <hyperlink xmlns:r="http://schemas.openxmlformats.org/officeDocument/2006/relationships" ref="L968" r:id="rId1914"/>
    <hyperlink xmlns:r="http://schemas.openxmlformats.org/officeDocument/2006/relationships" ref="I970" r:id="rId1915"/>
    <hyperlink xmlns:r="http://schemas.openxmlformats.org/officeDocument/2006/relationships" ref="J970" display="5" r:id="rId1916"/>
    <hyperlink xmlns:r="http://schemas.openxmlformats.org/officeDocument/2006/relationships" ref="K970" display="20/10/2017" r:id="rId1917"/>
    <hyperlink xmlns:r="http://schemas.openxmlformats.org/officeDocument/2006/relationships" ref="L970" r:id="rId1918"/>
    <hyperlink xmlns:r="http://schemas.openxmlformats.org/officeDocument/2006/relationships" ref="I972" r:id="rId1919"/>
    <hyperlink xmlns:r="http://schemas.openxmlformats.org/officeDocument/2006/relationships" ref="J972" display="289" r:id="rId1920"/>
    <hyperlink xmlns:r="http://schemas.openxmlformats.org/officeDocument/2006/relationships" ref="K972" display="29/09/2017" r:id="rId1921"/>
    <hyperlink xmlns:r="http://schemas.openxmlformats.org/officeDocument/2006/relationships" ref="I974" r:id="rId1922"/>
    <hyperlink xmlns:r="http://schemas.openxmlformats.org/officeDocument/2006/relationships" ref="J974" display="120" r:id="rId1923"/>
    <hyperlink xmlns:r="http://schemas.openxmlformats.org/officeDocument/2006/relationships" ref="K974" display="29/09/2017" r:id="rId1924"/>
    <hyperlink xmlns:r="http://schemas.openxmlformats.org/officeDocument/2006/relationships" ref="L974" r:id="rId1925"/>
    <hyperlink xmlns:r="http://schemas.openxmlformats.org/officeDocument/2006/relationships" ref="I976" r:id="rId1926"/>
    <hyperlink xmlns:r="http://schemas.openxmlformats.org/officeDocument/2006/relationships" ref="J976" display="11" r:id="rId1927"/>
    <hyperlink xmlns:r="http://schemas.openxmlformats.org/officeDocument/2006/relationships" ref="K976" display="29/09/2017" r:id="rId1928"/>
    <hyperlink xmlns:r="http://schemas.openxmlformats.org/officeDocument/2006/relationships" ref="L976" r:id="rId1929"/>
    <hyperlink xmlns:r="http://schemas.openxmlformats.org/officeDocument/2006/relationships" ref="I978" r:id="rId1930"/>
    <hyperlink xmlns:r="http://schemas.openxmlformats.org/officeDocument/2006/relationships" ref="J978" display="10" r:id="rId1931"/>
    <hyperlink xmlns:r="http://schemas.openxmlformats.org/officeDocument/2006/relationships" ref="K978" display="24/11/2017" r:id="rId1932"/>
    <hyperlink xmlns:r="http://schemas.openxmlformats.org/officeDocument/2006/relationships" ref="L978" r:id="rId1933"/>
    <hyperlink xmlns:r="http://schemas.openxmlformats.org/officeDocument/2006/relationships" ref="I980" r:id="rId1934"/>
    <hyperlink xmlns:r="http://schemas.openxmlformats.org/officeDocument/2006/relationships" ref="J980" display="5" r:id="rId1935"/>
    <hyperlink xmlns:r="http://schemas.openxmlformats.org/officeDocument/2006/relationships" ref="K980" display="29/09/2017" r:id="rId1936"/>
    <hyperlink xmlns:r="http://schemas.openxmlformats.org/officeDocument/2006/relationships" ref="L980" r:id="rId1937"/>
    <hyperlink xmlns:r="http://schemas.openxmlformats.org/officeDocument/2006/relationships" ref="I982" r:id="rId1938"/>
    <hyperlink xmlns:r="http://schemas.openxmlformats.org/officeDocument/2006/relationships" ref="J982" display="4" r:id="rId1939"/>
    <hyperlink xmlns:r="http://schemas.openxmlformats.org/officeDocument/2006/relationships" ref="K982" display="20/09/2017" r:id="rId1940"/>
    <hyperlink xmlns:r="http://schemas.openxmlformats.org/officeDocument/2006/relationships" ref="L982" r:id="rId1941"/>
    <hyperlink xmlns:r="http://schemas.openxmlformats.org/officeDocument/2006/relationships" ref="I984" r:id="rId1942"/>
    <hyperlink xmlns:r="http://schemas.openxmlformats.org/officeDocument/2006/relationships" ref="J984" display="3" r:id="rId1943"/>
    <hyperlink xmlns:r="http://schemas.openxmlformats.org/officeDocument/2006/relationships" ref="K984" display="20/09/2017" r:id="rId1944"/>
    <hyperlink xmlns:r="http://schemas.openxmlformats.org/officeDocument/2006/relationships" ref="L984" r:id="rId1945"/>
    <hyperlink xmlns:r="http://schemas.openxmlformats.org/officeDocument/2006/relationships" ref="I986" r:id="rId1946"/>
    <hyperlink xmlns:r="http://schemas.openxmlformats.org/officeDocument/2006/relationships" ref="J986" display="540" r:id="rId1947"/>
    <hyperlink xmlns:r="http://schemas.openxmlformats.org/officeDocument/2006/relationships" ref="K986" display="06/09/2017" r:id="rId1948"/>
    <hyperlink xmlns:r="http://schemas.openxmlformats.org/officeDocument/2006/relationships" ref="I988" r:id="rId1949"/>
    <hyperlink xmlns:r="http://schemas.openxmlformats.org/officeDocument/2006/relationships" ref="J988" display="309" r:id="rId1950"/>
    <hyperlink xmlns:r="http://schemas.openxmlformats.org/officeDocument/2006/relationships" ref="K988" display="25/08/2017" r:id="rId1951"/>
    <hyperlink xmlns:r="http://schemas.openxmlformats.org/officeDocument/2006/relationships" ref="I990" r:id="rId1952"/>
    <hyperlink xmlns:r="http://schemas.openxmlformats.org/officeDocument/2006/relationships" ref="J990" display="11" r:id="rId1953"/>
    <hyperlink xmlns:r="http://schemas.openxmlformats.org/officeDocument/2006/relationships" ref="K990" display="25/08/2017" r:id="rId1954"/>
    <hyperlink xmlns:r="http://schemas.openxmlformats.org/officeDocument/2006/relationships" ref="L990" r:id="rId1955"/>
    <hyperlink xmlns:r="http://schemas.openxmlformats.org/officeDocument/2006/relationships" ref="I992" r:id="rId1956"/>
    <hyperlink xmlns:r="http://schemas.openxmlformats.org/officeDocument/2006/relationships" ref="J992" display="4" r:id="rId1957"/>
    <hyperlink xmlns:r="http://schemas.openxmlformats.org/officeDocument/2006/relationships" ref="K992" display="25/08/2017" r:id="rId1958"/>
    <hyperlink xmlns:r="http://schemas.openxmlformats.org/officeDocument/2006/relationships" ref="L992" r:id="rId1959"/>
    <hyperlink xmlns:r="http://schemas.openxmlformats.org/officeDocument/2006/relationships" ref="I994" r:id="rId1960"/>
    <hyperlink xmlns:r="http://schemas.openxmlformats.org/officeDocument/2006/relationships" ref="J994" display="6" r:id="rId1961"/>
    <hyperlink xmlns:r="http://schemas.openxmlformats.org/officeDocument/2006/relationships" ref="K994" display="20/07/2017" r:id="rId1962"/>
    <hyperlink xmlns:r="http://schemas.openxmlformats.org/officeDocument/2006/relationships" ref="L994" r:id="rId1963"/>
    <hyperlink xmlns:r="http://schemas.openxmlformats.org/officeDocument/2006/relationships" ref="I996" r:id="rId1964"/>
    <hyperlink xmlns:r="http://schemas.openxmlformats.org/officeDocument/2006/relationships" ref="J996" display="209" r:id="rId1965"/>
    <hyperlink xmlns:r="http://schemas.openxmlformats.org/officeDocument/2006/relationships" ref="K996" display="14/07/2017" r:id="rId1966"/>
    <hyperlink xmlns:r="http://schemas.openxmlformats.org/officeDocument/2006/relationships" ref="I998" r:id="rId1967"/>
    <hyperlink xmlns:r="http://schemas.openxmlformats.org/officeDocument/2006/relationships" ref="J998" display="62" r:id="rId1968"/>
    <hyperlink xmlns:r="http://schemas.openxmlformats.org/officeDocument/2006/relationships" ref="K998" display="14/07/2017" r:id="rId1969"/>
    <hyperlink xmlns:r="http://schemas.openxmlformats.org/officeDocument/2006/relationships" ref="L998" r:id="rId1970"/>
    <hyperlink xmlns:r="http://schemas.openxmlformats.org/officeDocument/2006/relationships" ref="I1000" r:id="rId1971"/>
    <hyperlink xmlns:r="http://schemas.openxmlformats.org/officeDocument/2006/relationships" ref="J1000" display="13" r:id="rId1972"/>
    <hyperlink xmlns:r="http://schemas.openxmlformats.org/officeDocument/2006/relationships" ref="K1000" display="14/07/2017" r:id="rId1973"/>
    <hyperlink xmlns:r="http://schemas.openxmlformats.org/officeDocument/2006/relationships" ref="L1000" r:id="rId1974"/>
    <hyperlink xmlns:r="http://schemas.openxmlformats.org/officeDocument/2006/relationships" ref="I1002" r:id="rId1975"/>
    <hyperlink xmlns:r="http://schemas.openxmlformats.org/officeDocument/2006/relationships" ref="J1002" display="106" r:id="rId1976"/>
    <hyperlink xmlns:r="http://schemas.openxmlformats.org/officeDocument/2006/relationships" ref="K1002" display="16/06/2017" r:id="rId1977"/>
    <hyperlink xmlns:r="http://schemas.openxmlformats.org/officeDocument/2006/relationships" ref="L1002" r:id="rId1978"/>
    <hyperlink xmlns:r="http://schemas.openxmlformats.org/officeDocument/2006/relationships" ref="I1004" r:id="rId1979"/>
    <hyperlink xmlns:r="http://schemas.openxmlformats.org/officeDocument/2006/relationships" ref="J1004" display="5" r:id="rId1980"/>
    <hyperlink xmlns:r="http://schemas.openxmlformats.org/officeDocument/2006/relationships" ref="K1004" display="08/09/2017" r:id="rId1981"/>
    <hyperlink xmlns:r="http://schemas.openxmlformats.org/officeDocument/2006/relationships" ref="L1004" r:id="rId1982"/>
    <hyperlink xmlns:r="http://schemas.openxmlformats.org/officeDocument/2006/relationships" ref="I1006" r:id="rId1983"/>
    <hyperlink xmlns:r="http://schemas.openxmlformats.org/officeDocument/2006/relationships" ref="J1006" display="20" r:id="rId1984"/>
    <hyperlink xmlns:r="http://schemas.openxmlformats.org/officeDocument/2006/relationships" ref="K1006" display="16/06/2017" r:id="rId1985"/>
    <hyperlink xmlns:r="http://schemas.openxmlformats.org/officeDocument/2006/relationships" ref="L1006" r:id="rId1986"/>
    <hyperlink xmlns:r="http://schemas.openxmlformats.org/officeDocument/2006/relationships" ref="I1008" r:id="rId1987"/>
    <hyperlink xmlns:r="http://schemas.openxmlformats.org/officeDocument/2006/relationships" ref="J1008" display="320" r:id="rId1988"/>
    <hyperlink xmlns:r="http://schemas.openxmlformats.org/officeDocument/2006/relationships" ref="K1008" display="09/06/2017" r:id="rId1989"/>
    <hyperlink xmlns:r="http://schemas.openxmlformats.org/officeDocument/2006/relationships" ref="L1008" r:id="rId1990"/>
    <hyperlink xmlns:r="http://schemas.openxmlformats.org/officeDocument/2006/relationships" ref="I1010" r:id="rId1991"/>
    <hyperlink xmlns:r="http://schemas.openxmlformats.org/officeDocument/2006/relationships" ref="J1010" display="20" r:id="rId1992"/>
    <hyperlink xmlns:r="http://schemas.openxmlformats.org/officeDocument/2006/relationships" ref="K1010" display="09/06/2017" r:id="rId1993"/>
    <hyperlink xmlns:r="http://schemas.openxmlformats.org/officeDocument/2006/relationships" ref="L1010" r:id="rId1994"/>
    <hyperlink xmlns:r="http://schemas.openxmlformats.org/officeDocument/2006/relationships" ref="I1012" r:id="rId1995"/>
    <hyperlink xmlns:r="http://schemas.openxmlformats.org/officeDocument/2006/relationships" ref="J1012" display="287" r:id="rId1996"/>
    <hyperlink xmlns:r="http://schemas.openxmlformats.org/officeDocument/2006/relationships" ref="K1012" display="28/04/2017" r:id="rId1997"/>
    <hyperlink xmlns:r="http://schemas.openxmlformats.org/officeDocument/2006/relationships" ref="I1014" r:id="rId1998"/>
    <hyperlink xmlns:r="http://schemas.openxmlformats.org/officeDocument/2006/relationships" ref="J1014" display="54" r:id="rId1999"/>
    <hyperlink xmlns:r="http://schemas.openxmlformats.org/officeDocument/2006/relationships" ref="K1014" display="28/04/2017" r:id="rId2000"/>
    <hyperlink xmlns:r="http://schemas.openxmlformats.org/officeDocument/2006/relationships" ref="L1014" r:id="rId2001"/>
    <hyperlink xmlns:r="http://schemas.openxmlformats.org/officeDocument/2006/relationships" ref="I1016" r:id="rId2002"/>
    <hyperlink xmlns:r="http://schemas.openxmlformats.org/officeDocument/2006/relationships" ref="J1016" display="77" r:id="rId2003"/>
    <hyperlink xmlns:r="http://schemas.openxmlformats.org/officeDocument/2006/relationships" ref="K1016" display="28/04/2017" r:id="rId2004"/>
    <hyperlink xmlns:r="http://schemas.openxmlformats.org/officeDocument/2006/relationships" ref="L1016" r:id="rId2005"/>
    <hyperlink xmlns:r="http://schemas.openxmlformats.org/officeDocument/2006/relationships" ref="I1018" r:id="rId2006"/>
    <hyperlink xmlns:r="http://schemas.openxmlformats.org/officeDocument/2006/relationships" ref="J1018" display="26" r:id="rId2007"/>
    <hyperlink xmlns:r="http://schemas.openxmlformats.org/officeDocument/2006/relationships" ref="K1018" display="28/04/2017" r:id="rId2008"/>
    <hyperlink xmlns:r="http://schemas.openxmlformats.org/officeDocument/2006/relationships" ref="L1018" r:id="rId2009"/>
    <hyperlink xmlns:r="http://schemas.openxmlformats.org/officeDocument/2006/relationships" ref="I1020" r:id="rId2010"/>
    <hyperlink xmlns:r="http://schemas.openxmlformats.org/officeDocument/2006/relationships" ref="J1020" display="30" r:id="rId2011"/>
    <hyperlink xmlns:r="http://schemas.openxmlformats.org/officeDocument/2006/relationships" ref="K1020" display="15/04/2017" r:id="rId2012"/>
    <hyperlink xmlns:r="http://schemas.openxmlformats.org/officeDocument/2006/relationships" ref="I1022" r:id="rId2013"/>
    <hyperlink xmlns:r="http://schemas.openxmlformats.org/officeDocument/2006/relationships" ref="J1022" display="600" r:id="rId2014"/>
    <hyperlink xmlns:r="http://schemas.openxmlformats.org/officeDocument/2006/relationships" ref="K1022" display="05/04/2017" r:id="rId2015"/>
    <hyperlink xmlns:r="http://schemas.openxmlformats.org/officeDocument/2006/relationships" ref="I1024" r:id="rId2016"/>
    <hyperlink xmlns:r="http://schemas.openxmlformats.org/officeDocument/2006/relationships" ref="J1024" display="65" r:id="rId2017"/>
    <hyperlink xmlns:r="http://schemas.openxmlformats.org/officeDocument/2006/relationships" ref="K1024" display="31/03/2017" r:id="rId2018"/>
    <hyperlink xmlns:r="http://schemas.openxmlformats.org/officeDocument/2006/relationships" ref="I1026" r:id="rId2019"/>
    <hyperlink xmlns:r="http://schemas.openxmlformats.org/officeDocument/2006/relationships" ref="J1026" display="7" r:id="rId2020"/>
    <hyperlink xmlns:r="http://schemas.openxmlformats.org/officeDocument/2006/relationships" ref="K1026" display="31/03/2017" r:id="rId2021"/>
    <hyperlink xmlns:r="http://schemas.openxmlformats.org/officeDocument/2006/relationships" ref="L1026" r:id="rId2022"/>
    <hyperlink xmlns:r="http://schemas.openxmlformats.org/officeDocument/2006/relationships" ref="I1028" r:id="rId2023"/>
    <hyperlink xmlns:r="http://schemas.openxmlformats.org/officeDocument/2006/relationships" ref="J1028" display="249" r:id="rId2024"/>
    <hyperlink xmlns:r="http://schemas.openxmlformats.org/officeDocument/2006/relationships" ref="K1028" display="17/03/2017" r:id="rId2025"/>
    <hyperlink xmlns:r="http://schemas.openxmlformats.org/officeDocument/2006/relationships" ref="I1030" r:id="rId2026"/>
    <hyperlink xmlns:r="http://schemas.openxmlformats.org/officeDocument/2006/relationships" ref="J1030" display="21" r:id="rId2027"/>
    <hyperlink xmlns:r="http://schemas.openxmlformats.org/officeDocument/2006/relationships" ref="K1030" display="17/03/2017" r:id="rId2028"/>
    <hyperlink xmlns:r="http://schemas.openxmlformats.org/officeDocument/2006/relationships" ref="L1030" r:id="rId2029"/>
    <hyperlink xmlns:r="http://schemas.openxmlformats.org/officeDocument/2006/relationships" ref="I1032" r:id="rId2030"/>
    <hyperlink xmlns:r="http://schemas.openxmlformats.org/officeDocument/2006/relationships" ref="J1032" display="197" r:id="rId2031"/>
    <hyperlink xmlns:r="http://schemas.openxmlformats.org/officeDocument/2006/relationships" ref="K1032" display="20/01/2017" r:id="rId2032"/>
    <hyperlink xmlns:r="http://schemas.openxmlformats.org/officeDocument/2006/relationships" ref="I1034" r:id="rId2033"/>
    <hyperlink xmlns:r="http://schemas.openxmlformats.org/officeDocument/2006/relationships" ref="J1034" display="65" r:id="rId2034"/>
    <hyperlink xmlns:r="http://schemas.openxmlformats.org/officeDocument/2006/relationships" ref="K1034" display="20/01/2017" r:id="rId2035"/>
    <hyperlink xmlns:r="http://schemas.openxmlformats.org/officeDocument/2006/relationships" ref="L1034" r:id="rId2036"/>
    <hyperlink xmlns:r="http://schemas.openxmlformats.org/officeDocument/2006/relationships" ref="I1036" r:id="rId2037"/>
    <hyperlink xmlns:r="http://schemas.openxmlformats.org/officeDocument/2006/relationships" ref="J1036" display="4" r:id="rId2038"/>
    <hyperlink xmlns:r="http://schemas.openxmlformats.org/officeDocument/2006/relationships" ref="K1036" display="20/01/2017" r:id="rId2039"/>
    <hyperlink xmlns:r="http://schemas.openxmlformats.org/officeDocument/2006/relationships" ref="L1036" r:id="rId2040"/>
    <hyperlink xmlns:r="http://schemas.openxmlformats.org/officeDocument/2006/relationships" ref="I1038" r:id="rId2041"/>
    <hyperlink xmlns:r="http://schemas.openxmlformats.org/officeDocument/2006/relationships" ref="J1038" display="1" r:id="rId2042"/>
    <hyperlink xmlns:r="http://schemas.openxmlformats.org/officeDocument/2006/relationships" ref="K1038" display="01/01/2017" r:id="rId2043"/>
    <hyperlink xmlns:r="http://schemas.openxmlformats.org/officeDocument/2006/relationships" ref="L1038" r:id="rId2044"/>
    <hyperlink xmlns:r="http://schemas.openxmlformats.org/officeDocument/2006/relationships" ref="I1040" r:id="rId2045"/>
    <hyperlink xmlns:r="http://schemas.openxmlformats.org/officeDocument/2006/relationships" ref="J1040" display="12" r:id="rId2046"/>
    <hyperlink xmlns:r="http://schemas.openxmlformats.org/officeDocument/2006/relationships" ref="K1040" display="01/01/2017" r:id="rId2047"/>
    <hyperlink xmlns:r="http://schemas.openxmlformats.org/officeDocument/2006/relationships" ref="L1040" r:id="rId2048"/>
    <hyperlink xmlns:r="http://schemas.openxmlformats.org/officeDocument/2006/relationships" ref="I1042" r:id="rId2049"/>
    <hyperlink xmlns:r="http://schemas.openxmlformats.org/officeDocument/2006/relationships" ref="J1042" display="9" r:id="rId2050"/>
    <hyperlink xmlns:r="http://schemas.openxmlformats.org/officeDocument/2006/relationships" ref="K1042" display="01/01/2017" r:id="rId2051"/>
    <hyperlink xmlns:r="http://schemas.openxmlformats.org/officeDocument/2006/relationships" ref="L1042" r:id="rId2052"/>
    <hyperlink xmlns:r="http://schemas.openxmlformats.org/officeDocument/2006/relationships" ref="I1044" r:id="rId2053"/>
    <hyperlink xmlns:r="http://schemas.openxmlformats.org/officeDocument/2006/relationships" ref="J1044" display="156" r:id="rId2054"/>
    <hyperlink xmlns:r="http://schemas.openxmlformats.org/officeDocument/2006/relationships" ref="K1044" display="25/11/2016" r:id="rId2055"/>
    <hyperlink xmlns:r="http://schemas.openxmlformats.org/officeDocument/2006/relationships" ref="L1044" r:id="rId2056"/>
    <hyperlink xmlns:r="http://schemas.openxmlformats.org/officeDocument/2006/relationships" ref="I1046" r:id="rId2057"/>
    <hyperlink xmlns:r="http://schemas.openxmlformats.org/officeDocument/2006/relationships" ref="J1046" display="19" r:id="rId2058"/>
    <hyperlink xmlns:r="http://schemas.openxmlformats.org/officeDocument/2006/relationships" ref="K1046" display="25/11/2016" r:id="rId2059"/>
    <hyperlink xmlns:r="http://schemas.openxmlformats.org/officeDocument/2006/relationships" ref="L1046" r:id="rId2060"/>
    <hyperlink xmlns:r="http://schemas.openxmlformats.org/officeDocument/2006/relationships" ref="I1048" r:id="rId2061"/>
    <hyperlink xmlns:r="http://schemas.openxmlformats.org/officeDocument/2006/relationships" ref="J1048" display="86" r:id="rId2062"/>
    <hyperlink xmlns:r="http://schemas.openxmlformats.org/officeDocument/2006/relationships" ref="K1048" display="25/11/2016" r:id="rId2063"/>
    <hyperlink xmlns:r="http://schemas.openxmlformats.org/officeDocument/2006/relationships" ref="L1048" r:id="rId2064"/>
    <hyperlink xmlns:r="http://schemas.openxmlformats.org/officeDocument/2006/relationships" ref="I1050" r:id="rId2065"/>
    <hyperlink xmlns:r="http://schemas.openxmlformats.org/officeDocument/2006/relationships" ref="J1050" display="282" r:id="rId2066"/>
    <hyperlink xmlns:r="http://schemas.openxmlformats.org/officeDocument/2006/relationships" ref="K1050" display="16/11/2016" r:id="rId2067"/>
    <hyperlink xmlns:r="http://schemas.openxmlformats.org/officeDocument/2006/relationships" ref="L1050" r:id="rId2068"/>
    <hyperlink xmlns:r="http://schemas.openxmlformats.org/officeDocument/2006/relationships" ref="I1052" r:id="rId2069"/>
    <hyperlink xmlns:r="http://schemas.openxmlformats.org/officeDocument/2006/relationships" ref="J1052" display="538" r:id="rId2070"/>
    <hyperlink xmlns:r="http://schemas.openxmlformats.org/officeDocument/2006/relationships" ref="K1052" display="16/11/2016" r:id="rId2071"/>
    <hyperlink xmlns:r="http://schemas.openxmlformats.org/officeDocument/2006/relationships" ref="I1054" r:id="rId2072"/>
    <hyperlink xmlns:r="http://schemas.openxmlformats.org/officeDocument/2006/relationships" ref="J1054" display="351" r:id="rId2073"/>
    <hyperlink xmlns:r="http://schemas.openxmlformats.org/officeDocument/2006/relationships" ref="K1054" display="11/11/2016" r:id="rId2074"/>
    <hyperlink xmlns:r="http://schemas.openxmlformats.org/officeDocument/2006/relationships" ref="I1056" r:id="rId2075"/>
    <hyperlink xmlns:r="http://schemas.openxmlformats.org/officeDocument/2006/relationships" ref="J1056" display="21" r:id="rId2076"/>
    <hyperlink xmlns:r="http://schemas.openxmlformats.org/officeDocument/2006/relationships" ref="K1056" display="11/11/2016" r:id="rId2077"/>
    <hyperlink xmlns:r="http://schemas.openxmlformats.org/officeDocument/2006/relationships" ref="L1056" r:id="rId2078"/>
    <hyperlink xmlns:r="http://schemas.openxmlformats.org/officeDocument/2006/relationships" ref="I1058" r:id="rId2079"/>
    <hyperlink xmlns:r="http://schemas.openxmlformats.org/officeDocument/2006/relationships" ref="J1058" display="5" r:id="rId2080"/>
    <hyperlink xmlns:r="http://schemas.openxmlformats.org/officeDocument/2006/relationships" ref="K1058" display="11/11/2016" r:id="rId2081"/>
    <hyperlink xmlns:r="http://schemas.openxmlformats.org/officeDocument/2006/relationships" ref="L1058" r:id="rId2082"/>
    <hyperlink xmlns:r="http://schemas.openxmlformats.org/officeDocument/2006/relationships" ref="I1060" r:id="rId2083"/>
    <hyperlink xmlns:r="http://schemas.openxmlformats.org/officeDocument/2006/relationships" ref="J1060" display="5" r:id="rId2084"/>
    <hyperlink xmlns:r="http://schemas.openxmlformats.org/officeDocument/2006/relationships" ref="K1060" display="01/10/2016" r:id="rId2085"/>
    <hyperlink xmlns:r="http://schemas.openxmlformats.org/officeDocument/2006/relationships" ref="L1060" r:id="rId2086"/>
    <hyperlink xmlns:r="http://schemas.openxmlformats.org/officeDocument/2006/relationships" ref="I1062" r:id="rId2087"/>
    <hyperlink xmlns:r="http://schemas.openxmlformats.org/officeDocument/2006/relationships" ref="J1062" display="278" r:id="rId2088"/>
    <hyperlink xmlns:r="http://schemas.openxmlformats.org/officeDocument/2006/relationships" ref="K1062" display="30/09/2016" r:id="rId2089"/>
    <hyperlink xmlns:r="http://schemas.openxmlformats.org/officeDocument/2006/relationships" ref="I1064" r:id="rId2090"/>
    <hyperlink xmlns:r="http://schemas.openxmlformats.org/officeDocument/2006/relationships" ref="J1064" display="54" r:id="rId2091"/>
    <hyperlink xmlns:r="http://schemas.openxmlformats.org/officeDocument/2006/relationships" ref="K1064" display="30/09/2016" r:id="rId2092"/>
    <hyperlink xmlns:r="http://schemas.openxmlformats.org/officeDocument/2006/relationships" ref="L1064" r:id="rId2093"/>
    <hyperlink xmlns:r="http://schemas.openxmlformats.org/officeDocument/2006/relationships" ref="I1066" r:id="rId2094"/>
    <hyperlink xmlns:r="http://schemas.openxmlformats.org/officeDocument/2006/relationships" ref="J1066" display="83" r:id="rId2095"/>
    <hyperlink xmlns:r="http://schemas.openxmlformats.org/officeDocument/2006/relationships" ref="K1066" display="30/09/2016" r:id="rId2096"/>
    <hyperlink xmlns:r="http://schemas.openxmlformats.org/officeDocument/2006/relationships" ref="L1066" r:id="rId2097"/>
    <hyperlink xmlns:r="http://schemas.openxmlformats.org/officeDocument/2006/relationships" ref="I1068" r:id="rId2098"/>
    <hyperlink xmlns:r="http://schemas.openxmlformats.org/officeDocument/2006/relationships" ref="J1068" display="13" r:id="rId2099"/>
    <hyperlink xmlns:r="http://schemas.openxmlformats.org/officeDocument/2006/relationships" ref="K1068" display="30/09/2016" r:id="rId2100"/>
    <hyperlink xmlns:r="http://schemas.openxmlformats.org/officeDocument/2006/relationships" ref="L1068" r:id="rId2101"/>
    <hyperlink xmlns:r="http://schemas.openxmlformats.org/officeDocument/2006/relationships" ref="I1070" r:id="rId2102"/>
    <hyperlink xmlns:r="http://schemas.openxmlformats.org/officeDocument/2006/relationships" ref="J1070" display="76" r:id="rId2103"/>
    <hyperlink xmlns:r="http://schemas.openxmlformats.org/officeDocument/2006/relationships" ref="K1070" display="02/09/2016" r:id="rId2104"/>
    <hyperlink xmlns:r="http://schemas.openxmlformats.org/officeDocument/2006/relationships" ref="I1072" r:id="rId2105"/>
    <hyperlink xmlns:r="http://schemas.openxmlformats.org/officeDocument/2006/relationships" ref="J1072" display="222" r:id="rId2106"/>
    <hyperlink xmlns:r="http://schemas.openxmlformats.org/officeDocument/2006/relationships" ref="K1072" display="26/08/2016" r:id="rId2107"/>
    <hyperlink xmlns:r="http://schemas.openxmlformats.org/officeDocument/2006/relationships" ref="I1074" r:id="rId2108"/>
    <hyperlink xmlns:r="http://schemas.openxmlformats.org/officeDocument/2006/relationships" ref="J1074" display="12" r:id="rId2109"/>
    <hyperlink xmlns:r="http://schemas.openxmlformats.org/officeDocument/2006/relationships" ref="K1074" display="26/08/2016" r:id="rId2110"/>
    <hyperlink xmlns:r="http://schemas.openxmlformats.org/officeDocument/2006/relationships" ref="L1074" r:id="rId2111"/>
    <hyperlink xmlns:r="http://schemas.openxmlformats.org/officeDocument/2006/relationships" ref="I1076" r:id="rId2112"/>
    <hyperlink xmlns:r="http://schemas.openxmlformats.org/officeDocument/2006/relationships" ref="J1076" display="16" r:id="rId2113"/>
    <hyperlink xmlns:r="http://schemas.openxmlformats.org/officeDocument/2006/relationships" ref="K1076" display="19/08/2016" r:id="rId2114"/>
    <hyperlink xmlns:r="http://schemas.openxmlformats.org/officeDocument/2006/relationships" ref="L1076" r:id="rId2115"/>
    <hyperlink xmlns:r="http://schemas.openxmlformats.org/officeDocument/2006/relationships" ref="I1078" r:id="rId2116"/>
    <hyperlink xmlns:r="http://schemas.openxmlformats.org/officeDocument/2006/relationships" ref="J1078" display="208" r:id="rId2117"/>
    <hyperlink xmlns:r="http://schemas.openxmlformats.org/officeDocument/2006/relationships" ref="K1078" display="22/07/2016" r:id="rId2118"/>
    <hyperlink xmlns:r="http://schemas.openxmlformats.org/officeDocument/2006/relationships" ref="I1080" r:id="rId2119"/>
    <hyperlink xmlns:r="http://schemas.openxmlformats.org/officeDocument/2006/relationships" ref="J1080" display="77" r:id="rId2120"/>
    <hyperlink xmlns:r="http://schemas.openxmlformats.org/officeDocument/2006/relationships" ref="K1080" display="22/07/2016" r:id="rId2121"/>
    <hyperlink xmlns:r="http://schemas.openxmlformats.org/officeDocument/2006/relationships" ref="L1080" r:id="rId2122"/>
    <hyperlink xmlns:r="http://schemas.openxmlformats.org/officeDocument/2006/relationships" ref="I1082" r:id="rId2123"/>
    <hyperlink xmlns:r="http://schemas.openxmlformats.org/officeDocument/2006/relationships" ref="J1082" display="11" r:id="rId2124"/>
    <hyperlink xmlns:r="http://schemas.openxmlformats.org/officeDocument/2006/relationships" ref="K1082" display="22/07/2016" r:id="rId2125"/>
    <hyperlink xmlns:r="http://schemas.openxmlformats.org/officeDocument/2006/relationships" ref="L1082" r:id="rId2126"/>
    <hyperlink xmlns:r="http://schemas.openxmlformats.org/officeDocument/2006/relationships" ref="I1084" r:id="rId2127"/>
    <hyperlink xmlns:r="http://schemas.openxmlformats.org/officeDocument/2006/relationships" ref="J1084" display="249" r:id="rId2128"/>
    <hyperlink xmlns:r="http://schemas.openxmlformats.org/officeDocument/2006/relationships" ref="K1084" display="10/06/2016" r:id="rId2129"/>
    <hyperlink xmlns:r="http://schemas.openxmlformats.org/officeDocument/2006/relationships" ref="I1086" r:id="rId2130"/>
    <hyperlink xmlns:r="http://schemas.openxmlformats.org/officeDocument/2006/relationships" ref="J1086" display="16" r:id="rId2131"/>
    <hyperlink xmlns:r="http://schemas.openxmlformats.org/officeDocument/2006/relationships" ref="K1086" display="10/06/2016" r:id="rId2132"/>
    <hyperlink xmlns:r="http://schemas.openxmlformats.org/officeDocument/2006/relationships" ref="L1086" r:id="rId2133"/>
    <hyperlink xmlns:r="http://schemas.openxmlformats.org/officeDocument/2006/relationships" ref="I1088" r:id="rId2134"/>
    <hyperlink xmlns:r="http://schemas.openxmlformats.org/officeDocument/2006/relationships" ref="J1088" display="302" r:id="rId2135"/>
    <hyperlink xmlns:r="http://schemas.openxmlformats.org/officeDocument/2006/relationships" ref="K1088" display="08/04/2016" r:id="rId2136"/>
    <hyperlink xmlns:r="http://schemas.openxmlformats.org/officeDocument/2006/relationships" ref="I1090" r:id="rId2137"/>
    <hyperlink xmlns:r="http://schemas.openxmlformats.org/officeDocument/2006/relationships" ref="J1090" display="90" r:id="rId2138"/>
    <hyperlink xmlns:r="http://schemas.openxmlformats.org/officeDocument/2006/relationships" ref="K1090" display="08/04/2016" r:id="rId2139"/>
    <hyperlink xmlns:r="http://schemas.openxmlformats.org/officeDocument/2006/relationships" ref="L1090" r:id="rId2140"/>
    <hyperlink xmlns:r="http://schemas.openxmlformats.org/officeDocument/2006/relationships" ref="I1092" r:id="rId2141"/>
    <hyperlink xmlns:r="http://schemas.openxmlformats.org/officeDocument/2006/relationships" ref="J1092" display="20" r:id="rId2142"/>
    <hyperlink xmlns:r="http://schemas.openxmlformats.org/officeDocument/2006/relationships" ref="K1092" display="08/04/2016" r:id="rId2143"/>
    <hyperlink xmlns:r="http://schemas.openxmlformats.org/officeDocument/2006/relationships" ref="L1092" r:id="rId2144"/>
    <hyperlink xmlns:r="http://schemas.openxmlformats.org/officeDocument/2006/relationships" ref="I1094" r:id="rId2145"/>
    <hyperlink xmlns:r="http://schemas.openxmlformats.org/officeDocument/2006/relationships" ref="J1094" display="16" r:id="rId2146"/>
    <hyperlink xmlns:r="http://schemas.openxmlformats.org/officeDocument/2006/relationships" ref="K1094" display="08/04/2016" r:id="rId2147"/>
    <hyperlink xmlns:r="http://schemas.openxmlformats.org/officeDocument/2006/relationships" ref="I1096" r:id="rId2148"/>
    <hyperlink xmlns:r="http://schemas.openxmlformats.org/officeDocument/2006/relationships" ref="J1096" display="80" r:id="rId2149"/>
    <hyperlink xmlns:r="http://schemas.openxmlformats.org/officeDocument/2006/relationships" ref="K1096" display="26/02/2016" r:id="rId2150"/>
    <hyperlink xmlns:r="http://schemas.openxmlformats.org/officeDocument/2006/relationships" ref="I1098" r:id="rId2151"/>
    <hyperlink xmlns:r="http://schemas.openxmlformats.org/officeDocument/2006/relationships" ref="J1098" display="187" r:id="rId2152"/>
    <hyperlink xmlns:r="http://schemas.openxmlformats.org/officeDocument/2006/relationships" ref="K1098" display="22/01/2016" r:id="rId2153"/>
    <hyperlink xmlns:r="http://schemas.openxmlformats.org/officeDocument/2006/relationships" ref="I1100" r:id="rId2154"/>
    <hyperlink xmlns:r="http://schemas.openxmlformats.org/officeDocument/2006/relationships" ref="J1100" display="65" r:id="rId2155"/>
    <hyperlink xmlns:r="http://schemas.openxmlformats.org/officeDocument/2006/relationships" ref="K1100" display="22/01/2016" r:id="rId2156"/>
    <hyperlink xmlns:r="http://schemas.openxmlformats.org/officeDocument/2006/relationships" ref="L1100" r:id="rId2157"/>
    <hyperlink xmlns:r="http://schemas.openxmlformats.org/officeDocument/2006/relationships" ref="I1102" r:id="rId2158"/>
    <hyperlink xmlns:r="http://schemas.openxmlformats.org/officeDocument/2006/relationships" ref="J1102" display="11" r:id="rId2159"/>
    <hyperlink xmlns:r="http://schemas.openxmlformats.org/officeDocument/2006/relationships" ref="K1102" display="22/01/2016" r:id="rId2160"/>
    <hyperlink xmlns:r="http://schemas.openxmlformats.org/officeDocument/2006/relationships" ref="L1102" r:id="rId2161"/>
    <hyperlink xmlns:r="http://schemas.openxmlformats.org/officeDocument/2006/relationships" ref="I1104" r:id="rId2162"/>
    <hyperlink xmlns:r="http://schemas.openxmlformats.org/officeDocument/2006/relationships" ref="J1104" display="1" r:id="rId2163"/>
    <hyperlink xmlns:r="http://schemas.openxmlformats.org/officeDocument/2006/relationships" ref="K1104" display="01/01/2016" r:id="rId2164"/>
    <hyperlink xmlns:r="http://schemas.openxmlformats.org/officeDocument/2006/relationships" ref="L1104" r:id="rId2165"/>
    <hyperlink xmlns:r="http://schemas.openxmlformats.org/officeDocument/2006/relationships" ref="I1106" r:id="rId2166"/>
    <hyperlink xmlns:r="http://schemas.openxmlformats.org/officeDocument/2006/relationships" ref="J1106" display="8" r:id="rId2167"/>
    <hyperlink xmlns:r="http://schemas.openxmlformats.org/officeDocument/2006/relationships" ref="K1106" display="01/01/2016" r:id="rId2168"/>
    <hyperlink xmlns:r="http://schemas.openxmlformats.org/officeDocument/2006/relationships" ref="L1106" r:id="rId2169"/>
    <hyperlink xmlns:r="http://schemas.openxmlformats.org/officeDocument/2006/relationships" ref="I1108" r:id="rId2170"/>
    <hyperlink xmlns:r="http://schemas.openxmlformats.org/officeDocument/2006/relationships" ref="J1108" display="12" r:id="rId2171"/>
    <hyperlink xmlns:r="http://schemas.openxmlformats.org/officeDocument/2006/relationships" ref="K1108" display="01/01/2016" r:id="rId2172"/>
    <hyperlink xmlns:r="http://schemas.openxmlformats.org/officeDocument/2006/relationships" ref="L1108" r:id="rId2173"/>
    <hyperlink xmlns:r="http://schemas.openxmlformats.org/officeDocument/2006/relationships" ref="I1110" r:id="rId2174"/>
    <hyperlink xmlns:r="http://schemas.openxmlformats.org/officeDocument/2006/relationships" ref="J1110" display="149" r:id="rId2175"/>
    <hyperlink xmlns:r="http://schemas.openxmlformats.org/officeDocument/2006/relationships" ref="K1110" display="18/11/2015" r:id="rId2176"/>
    <hyperlink xmlns:r="http://schemas.openxmlformats.org/officeDocument/2006/relationships" ref="L1110" r:id="rId2177"/>
    <hyperlink xmlns:r="http://schemas.openxmlformats.org/officeDocument/2006/relationships" ref="I1112" r:id="rId2178"/>
    <hyperlink xmlns:r="http://schemas.openxmlformats.org/officeDocument/2006/relationships" ref="J1112" display="342" r:id="rId2179"/>
    <hyperlink xmlns:r="http://schemas.openxmlformats.org/officeDocument/2006/relationships" ref="K1112" display="13/11/2015" r:id="rId2180"/>
    <hyperlink xmlns:r="http://schemas.openxmlformats.org/officeDocument/2006/relationships" ref="I1114" r:id="rId2181"/>
    <hyperlink xmlns:r="http://schemas.openxmlformats.org/officeDocument/2006/relationships" ref="J1114" display="25" r:id="rId2182"/>
    <hyperlink xmlns:r="http://schemas.openxmlformats.org/officeDocument/2006/relationships" ref="K1114" display="13/11/2015" r:id="rId2183"/>
    <hyperlink xmlns:r="http://schemas.openxmlformats.org/officeDocument/2006/relationships" ref="L1114" r:id="rId2184"/>
    <hyperlink xmlns:r="http://schemas.openxmlformats.org/officeDocument/2006/relationships" ref="I1116" r:id="rId2185"/>
    <hyperlink xmlns:r="http://schemas.openxmlformats.org/officeDocument/2006/relationships" ref="J1116" display="5" r:id="rId2186"/>
    <hyperlink xmlns:r="http://schemas.openxmlformats.org/officeDocument/2006/relationships" ref="K1116" display="13/11/2015" r:id="rId2187"/>
    <hyperlink xmlns:r="http://schemas.openxmlformats.org/officeDocument/2006/relationships" ref="L1116" r:id="rId2188"/>
    <hyperlink xmlns:r="http://schemas.openxmlformats.org/officeDocument/2006/relationships" ref="I1118" r:id="rId2189"/>
    <hyperlink xmlns:r="http://schemas.openxmlformats.org/officeDocument/2006/relationships" ref="J1118" display="299" r:id="rId2190"/>
    <hyperlink xmlns:r="http://schemas.openxmlformats.org/officeDocument/2006/relationships" ref="K1118" display="02/10/2015" r:id="rId2191"/>
    <hyperlink xmlns:r="http://schemas.openxmlformats.org/officeDocument/2006/relationships" ref="I1120" r:id="rId2192"/>
    <hyperlink xmlns:r="http://schemas.openxmlformats.org/officeDocument/2006/relationships" ref="J1120" display="45" r:id="rId2193"/>
    <hyperlink xmlns:r="http://schemas.openxmlformats.org/officeDocument/2006/relationships" ref="K1120" display="02/10/2015" r:id="rId2194"/>
    <hyperlink xmlns:r="http://schemas.openxmlformats.org/officeDocument/2006/relationships" ref="L1120" r:id="rId2195"/>
    <hyperlink xmlns:r="http://schemas.openxmlformats.org/officeDocument/2006/relationships" ref="I1122" r:id="rId2196"/>
    <hyperlink xmlns:r="http://schemas.openxmlformats.org/officeDocument/2006/relationships" ref="J1122" display="90" r:id="rId2197"/>
    <hyperlink xmlns:r="http://schemas.openxmlformats.org/officeDocument/2006/relationships" ref="K1122" display="02/10/2015" r:id="rId2198"/>
    <hyperlink xmlns:r="http://schemas.openxmlformats.org/officeDocument/2006/relationships" ref="L1122" r:id="rId2199"/>
    <hyperlink xmlns:r="http://schemas.openxmlformats.org/officeDocument/2006/relationships" ref="I1124" r:id="rId2200"/>
    <hyperlink xmlns:r="http://schemas.openxmlformats.org/officeDocument/2006/relationships" ref="J1124" display="14" r:id="rId2201"/>
    <hyperlink xmlns:r="http://schemas.openxmlformats.org/officeDocument/2006/relationships" ref="K1124" display="02/10/2015" r:id="rId2202"/>
    <hyperlink xmlns:r="http://schemas.openxmlformats.org/officeDocument/2006/relationships" ref="L1124" r:id="rId2203"/>
    <hyperlink xmlns:r="http://schemas.openxmlformats.org/officeDocument/2006/relationships" ref="I1126" r:id="rId2204"/>
    <hyperlink xmlns:r="http://schemas.openxmlformats.org/officeDocument/2006/relationships" ref="J1126" display="5" r:id="rId2205"/>
    <hyperlink xmlns:r="http://schemas.openxmlformats.org/officeDocument/2006/relationships" ref="K1126" display="02/10/2015" r:id="rId2206"/>
    <hyperlink xmlns:r="http://schemas.openxmlformats.org/officeDocument/2006/relationships" ref="L1126" r:id="rId2207"/>
    <hyperlink xmlns:r="http://schemas.openxmlformats.org/officeDocument/2006/relationships" ref="I1128" r:id="rId2208"/>
    <hyperlink xmlns:r="http://schemas.openxmlformats.org/officeDocument/2006/relationships" ref="J1128" display="80" r:id="rId2209"/>
    <hyperlink xmlns:r="http://schemas.openxmlformats.org/officeDocument/2006/relationships" ref="K1128" display="28/08/2015" r:id="rId2210"/>
    <hyperlink xmlns:r="http://schemas.openxmlformats.org/officeDocument/2006/relationships" ref="I1130" r:id="rId2211"/>
    <hyperlink xmlns:r="http://schemas.openxmlformats.org/officeDocument/2006/relationships" ref="J1130" display="15" r:id="rId2212"/>
    <hyperlink xmlns:r="http://schemas.openxmlformats.org/officeDocument/2006/relationships" ref="K1130" display="21/08/2015" r:id="rId2213"/>
    <hyperlink xmlns:r="http://schemas.openxmlformats.org/officeDocument/2006/relationships" ref="L1130" r:id="rId2214"/>
    <hyperlink xmlns:r="http://schemas.openxmlformats.org/officeDocument/2006/relationships" ref="I1132" r:id="rId2215"/>
    <hyperlink xmlns:r="http://schemas.openxmlformats.org/officeDocument/2006/relationships" ref="J1132" display="288" r:id="rId2216"/>
    <hyperlink xmlns:r="http://schemas.openxmlformats.org/officeDocument/2006/relationships" ref="K1132" display="17/07/2015" r:id="rId2217"/>
    <hyperlink xmlns:r="http://schemas.openxmlformats.org/officeDocument/2006/relationships" ref="I1134" r:id="rId2218"/>
    <hyperlink xmlns:r="http://schemas.openxmlformats.org/officeDocument/2006/relationships" ref="J1134" display="54" r:id="rId2219"/>
    <hyperlink xmlns:r="http://schemas.openxmlformats.org/officeDocument/2006/relationships" ref="K1134" display="17/07/2015" r:id="rId2220"/>
    <hyperlink xmlns:r="http://schemas.openxmlformats.org/officeDocument/2006/relationships" ref="L1134" r:id="rId2221"/>
    <hyperlink xmlns:r="http://schemas.openxmlformats.org/officeDocument/2006/relationships" ref="I1136" r:id="rId2222"/>
    <hyperlink xmlns:r="http://schemas.openxmlformats.org/officeDocument/2006/relationships" ref="J1136" display="15" r:id="rId2223"/>
    <hyperlink xmlns:r="http://schemas.openxmlformats.org/officeDocument/2006/relationships" ref="K1136" display="17/07/2015" r:id="rId2224"/>
    <hyperlink xmlns:r="http://schemas.openxmlformats.org/officeDocument/2006/relationships" ref="L1136" r:id="rId2225"/>
    <hyperlink xmlns:r="http://schemas.openxmlformats.org/officeDocument/2006/relationships" ref="I1138" r:id="rId2226"/>
    <hyperlink xmlns:r="http://schemas.openxmlformats.org/officeDocument/2006/relationships" ref="J1138" display="6" r:id="rId2227"/>
    <hyperlink xmlns:r="http://schemas.openxmlformats.org/officeDocument/2006/relationships" ref="K1138" display="17/07/2015" r:id="rId2228"/>
    <hyperlink xmlns:r="http://schemas.openxmlformats.org/officeDocument/2006/relationships" ref="L1138" r:id="rId2229"/>
    <hyperlink xmlns:r="http://schemas.openxmlformats.org/officeDocument/2006/relationships" ref="I1140" r:id="rId2230"/>
    <hyperlink xmlns:r="http://schemas.openxmlformats.org/officeDocument/2006/relationships" ref="J1140" display="5" r:id="rId2231"/>
    <hyperlink xmlns:r="http://schemas.openxmlformats.org/officeDocument/2006/relationships" ref="K1140" display="09/07/2015" r:id="rId2232"/>
    <hyperlink xmlns:r="http://schemas.openxmlformats.org/officeDocument/2006/relationships" ref="L1140" r:id="rId2233"/>
    <hyperlink xmlns:r="http://schemas.openxmlformats.org/officeDocument/2006/relationships" ref="I1142" r:id="rId2234"/>
    <hyperlink xmlns:r="http://schemas.openxmlformats.org/officeDocument/2006/relationships" ref="J1142" display="249" r:id="rId2235"/>
    <hyperlink xmlns:r="http://schemas.openxmlformats.org/officeDocument/2006/relationships" ref="K1142" display="22/05/2015" r:id="rId2236"/>
    <hyperlink xmlns:r="http://schemas.openxmlformats.org/officeDocument/2006/relationships" ref="I1144" r:id="rId2237"/>
    <hyperlink xmlns:r="http://schemas.openxmlformats.org/officeDocument/2006/relationships" ref="J1144" display="16" r:id="rId2238"/>
    <hyperlink xmlns:r="http://schemas.openxmlformats.org/officeDocument/2006/relationships" ref="K1144" display="22/05/2015" r:id="rId2239"/>
    <hyperlink xmlns:r="http://schemas.openxmlformats.org/officeDocument/2006/relationships" ref="L1144" r:id="rId2240"/>
    <hyperlink xmlns:r="http://schemas.openxmlformats.org/officeDocument/2006/relationships" ref="I1146" r:id="rId2241"/>
    <hyperlink xmlns:r="http://schemas.openxmlformats.org/officeDocument/2006/relationships" ref="J1146" display="269" r:id="rId2242"/>
    <hyperlink xmlns:r="http://schemas.openxmlformats.org/officeDocument/2006/relationships" ref="K1146" display="06/05/2015" r:id="rId2243"/>
    <hyperlink xmlns:r="http://schemas.openxmlformats.org/officeDocument/2006/relationships" ref="L1146" r:id="rId2244"/>
    <hyperlink xmlns:r="http://schemas.openxmlformats.org/officeDocument/2006/relationships" ref="I1148" r:id="rId2245"/>
    <hyperlink xmlns:r="http://schemas.openxmlformats.org/officeDocument/2006/relationships" ref="J1148" display="264" r:id="rId2246"/>
    <hyperlink xmlns:r="http://schemas.openxmlformats.org/officeDocument/2006/relationships" ref="K1148" display="27/03/2015" r:id="rId2247"/>
    <hyperlink xmlns:r="http://schemas.openxmlformats.org/officeDocument/2006/relationships" ref="I1150" r:id="rId2248"/>
    <hyperlink xmlns:r="http://schemas.openxmlformats.org/officeDocument/2006/relationships" ref="J1150" display="51" r:id="rId2249"/>
    <hyperlink xmlns:r="http://schemas.openxmlformats.org/officeDocument/2006/relationships" ref="K1150" display="27/03/2015" r:id="rId2250"/>
    <hyperlink xmlns:r="http://schemas.openxmlformats.org/officeDocument/2006/relationships" ref="L1150" r:id="rId2251"/>
    <hyperlink xmlns:r="http://schemas.openxmlformats.org/officeDocument/2006/relationships" ref="I1152" r:id="rId2252"/>
    <hyperlink xmlns:r="http://schemas.openxmlformats.org/officeDocument/2006/relationships" ref="J1152" display="8" r:id="rId2253"/>
    <hyperlink xmlns:r="http://schemas.openxmlformats.org/officeDocument/2006/relationships" ref="K1152" display="27/03/2015" r:id="rId2254"/>
    <hyperlink xmlns:r="http://schemas.openxmlformats.org/officeDocument/2006/relationships" ref="L1152" r:id="rId2255"/>
    <hyperlink xmlns:r="http://schemas.openxmlformats.org/officeDocument/2006/relationships" ref="I1154" r:id="rId2256"/>
    <hyperlink xmlns:r="http://schemas.openxmlformats.org/officeDocument/2006/relationships" ref="J1154" display="4" r:id="rId2257"/>
    <hyperlink xmlns:r="http://schemas.openxmlformats.org/officeDocument/2006/relationships" ref="K1154" display="03/04/2015" r:id="rId2258"/>
    <hyperlink xmlns:r="http://schemas.openxmlformats.org/officeDocument/2006/relationships" ref="L1154" r:id="rId2259"/>
    <hyperlink xmlns:r="http://schemas.openxmlformats.org/officeDocument/2006/relationships" ref="I1156" r:id="rId2260"/>
    <hyperlink xmlns:r="http://schemas.openxmlformats.org/officeDocument/2006/relationships" ref="J1156" display="67" r:id="rId2261"/>
    <hyperlink xmlns:r="http://schemas.openxmlformats.org/officeDocument/2006/relationships" ref="K1156" display="27/02/2015" r:id="rId2262"/>
    <hyperlink xmlns:r="http://schemas.openxmlformats.org/officeDocument/2006/relationships" ref="I1158" r:id="rId2263"/>
    <hyperlink xmlns:r="http://schemas.openxmlformats.org/officeDocument/2006/relationships" ref="J1158" display="191" r:id="rId2264"/>
    <hyperlink xmlns:r="http://schemas.openxmlformats.org/officeDocument/2006/relationships" ref="K1158" display="23/01/2015" r:id="rId2265"/>
    <hyperlink xmlns:r="http://schemas.openxmlformats.org/officeDocument/2006/relationships" ref="I1160" r:id="rId2266"/>
    <hyperlink xmlns:r="http://schemas.openxmlformats.org/officeDocument/2006/relationships" ref="J1160" display="43" r:id="rId2267"/>
    <hyperlink xmlns:r="http://schemas.openxmlformats.org/officeDocument/2006/relationships" ref="K1160" display="23/01/2015" r:id="rId2268"/>
    <hyperlink xmlns:r="http://schemas.openxmlformats.org/officeDocument/2006/relationships" ref="L1160" r:id="rId2269"/>
    <hyperlink xmlns:r="http://schemas.openxmlformats.org/officeDocument/2006/relationships" ref="I1162" r:id="rId2270"/>
    <hyperlink xmlns:r="http://schemas.openxmlformats.org/officeDocument/2006/relationships" ref="J1162" display="4" r:id="rId2271"/>
    <hyperlink xmlns:r="http://schemas.openxmlformats.org/officeDocument/2006/relationships" ref="K1162" display="23/01/2015" r:id="rId2272"/>
    <hyperlink xmlns:r="http://schemas.openxmlformats.org/officeDocument/2006/relationships" ref="L1162" r:id="rId2273"/>
    <hyperlink xmlns:r="http://schemas.openxmlformats.org/officeDocument/2006/relationships" ref="I1164" r:id="rId2274"/>
    <hyperlink xmlns:r="http://schemas.openxmlformats.org/officeDocument/2006/relationships" ref="J1164" display="6" r:id="rId2275"/>
    <hyperlink xmlns:r="http://schemas.openxmlformats.org/officeDocument/2006/relationships" ref="K1164" display="23/01/2015" r:id="rId2276"/>
    <hyperlink xmlns:r="http://schemas.openxmlformats.org/officeDocument/2006/relationships" ref="L1164" r:id="rId2277"/>
    <hyperlink xmlns:r="http://schemas.openxmlformats.org/officeDocument/2006/relationships" ref="I1166" r:id="rId2278"/>
    <hyperlink xmlns:r="http://schemas.openxmlformats.org/officeDocument/2006/relationships" ref="J1166" display="26" r:id="rId2279"/>
    <hyperlink xmlns:r="http://schemas.openxmlformats.org/officeDocument/2006/relationships" ref="K1166" display="17/01/2015" r:id="rId2280"/>
    <hyperlink xmlns:r="http://schemas.openxmlformats.org/officeDocument/2006/relationships" ref="I1168" r:id="rId2281"/>
    <hyperlink xmlns:r="http://schemas.openxmlformats.org/officeDocument/2006/relationships" ref="J1168" display="1" r:id="rId2282"/>
    <hyperlink xmlns:r="http://schemas.openxmlformats.org/officeDocument/2006/relationships" ref="K1168" display="01/01/2015" r:id="rId2283"/>
    <hyperlink xmlns:r="http://schemas.openxmlformats.org/officeDocument/2006/relationships" ref="L1168" r:id="rId2284"/>
    <hyperlink xmlns:r="http://schemas.openxmlformats.org/officeDocument/2006/relationships" ref="I1170" r:id="rId2285"/>
    <hyperlink xmlns:r="http://schemas.openxmlformats.org/officeDocument/2006/relationships" ref="J1170" display="12" r:id="rId2286"/>
    <hyperlink xmlns:r="http://schemas.openxmlformats.org/officeDocument/2006/relationships" ref="K1170" display="01/01/2015" r:id="rId2287"/>
    <hyperlink xmlns:r="http://schemas.openxmlformats.org/officeDocument/2006/relationships" ref="L1170" r:id="rId2288"/>
    <hyperlink xmlns:r="http://schemas.openxmlformats.org/officeDocument/2006/relationships" ref="I1172" r:id="rId2289"/>
    <hyperlink xmlns:r="http://schemas.openxmlformats.org/officeDocument/2006/relationships" ref="J1172" display="8" r:id="rId2290"/>
    <hyperlink xmlns:r="http://schemas.openxmlformats.org/officeDocument/2006/relationships" ref="K1172" display="01/01/2015" r:id="rId2291"/>
    <hyperlink xmlns:r="http://schemas.openxmlformats.org/officeDocument/2006/relationships" ref="L1172" r:id="rId2292"/>
    <hyperlink xmlns:r="http://schemas.openxmlformats.org/officeDocument/2006/relationships" ref="I1174" r:id="rId2293"/>
    <hyperlink xmlns:r="http://schemas.openxmlformats.org/officeDocument/2006/relationships" ref="J1174" display="62" r:id="rId2294"/>
    <hyperlink xmlns:r="http://schemas.openxmlformats.org/officeDocument/2006/relationships" ref="K1174" display="05/12/2014" r:id="rId2295"/>
    <hyperlink xmlns:r="http://schemas.openxmlformats.org/officeDocument/2006/relationships" ref="L1174" r:id="rId2296"/>
    <hyperlink xmlns:r="http://schemas.openxmlformats.org/officeDocument/2006/relationships" ref="I1176" r:id="rId2297"/>
    <hyperlink xmlns:r="http://schemas.openxmlformats.org/officeDocument/2006/relationships" ref="J1176" display="3" r:id="rId2298"/>
    <hyperlink xmlns:r="http://schemas.openxmlformats.org/officeDocument/2006/relationships" ref="K1176" display="05/12/2014" r:id="rId2299"/>
    <hyperlink xmlns:r="http://schemas.openxmlformats.org/officeDocument/2006/relationships" ref="L1176" r:id="rId2300"/>
    <hyperlink xmlns:r="http://schemas.openxmlformats.org/officeDocument/2006/relationships" ref="I1178" r:id="rId2301"/>
    <hyperlink xmlns:r="http://schemas.openxmlformats.org/officeDocument/2006/relationships" ref="J1178" display="63" r:id="rId2302"/>
    <hyperlink xmlns:r="http://schemas.openxmlformats.org/officeDocument/2006/relationships" ref="K1178" display="05/12/2014" r:id="rId2303"/>
    <hyperlink xmlns:r="http://schemas.openxmlformats.org/officeDocument/2006/relationships" ref="L1178" r:id="rId2304"/>
    <hyperlink xmlns:r="http://schemas.openxmlformats.org/officeDocument/2006/relationships" ref="I1180" r:id="rId2305"/>
    <hyperlink xmlns:r="http://schemas.openxmlformats.org/officeDocument/2006/relationships" ref="J1180" display="4" r:id="rId2306"/>
    <hyperlink xmlns:r="http://schemas.openxmlformats.org/officeDocument/2006/relationships" ref="K1180" display="05/12/2014" r:id="rId2307"/>
    <hyperlink xmlns:r="http://schemas.openxmlformats.org/officeDocument/2006/relationships" ref="L1180" r:id="rId2308"/>
    <hyperlink xmlns:r="http://schemas.openxmlformats.org/officeDocument/2006/relationships" ref="I1182" r:id="rId2309"/>
    <hyperlink xmlns:r="http://schemas.openxmlformats.org/officeDocument/2006/relationships" ref="J1182" display="62" r:id="rId2310"/>
    <hyperlink xmlns:r="http://schemas.openxmlformats.org/officeDocument/2006/relationships" ref="K1182" display="05/12/2014" r:id="rId2311"/>
    <hyperlink xmlns:r="http://schemas.openxmlformats.org/officeDocument/2006/relationships" ref="L1182" r:id="rId2312"/>
    <hyperlink xmlns:r="http://schemas.openxmlformats.org/officeDocument/2006/relationships" ref="I1184" r:id="rId2313"/>
    <hyperlink xmlns:r="http://schemas.openxmlformats.org/officeDocument/2006/relationships" ref="J1184" display="1" r:id="rId2314"/>
    <hyperlink xmlns:r="http://schemas.openxmlformats.org/officeDocument/2006/relationships" ref="K1184" display="05/12/2014" r:id="rId2315"/>
    <hyperlink xmlns:r="http://schemas.openxmlformats.org/officeDocument/2006/relationships" ref="L1184" r:id="rId2316"/>
    <hyperlink xmlns:r="http://schemas.openxmlformats.org/officeDocument/2006/relationships" ref="I1186" r:id="rId2317"/>
    <hyperlink xmlns:r="http://schemas.openxmlformats.org/officeDocument/2006/relationships" ref="J1186" display="62" r:id="rId2318"/>
    <hyperlink xmlns:r="http://schemas.openxmlformats.org/officeDocument/2006/relationships" ref="K1186" display="05/12/2014" r:id="rId2319"/>
    <hyperlink xmlns:r="http://schemas.openxmlformats.org/officeDocument/2006/relationships" ref="L1186" r:id="rId2320"/>
    <hyperlink xmlns:r="http://schemas.openxmlformats.org/officeDocument/2006/relationships" ref="I1188" r:id="rId2321"/>
    <hyperlink xmlns:r="http://schemas.openxmlformats.org/officeDocument/2006/relationships" ref="J1188" display="3" r:id="rId2322"/>
    <hyperlink xmlns:r="http://schemas.openxmlformats.org/officeDocument/2006/relationships" ref="K1188" display="05/12/2014" r:id="rId2323"/>
    <hyperlink xmlns:r="http://schemas.openxmlformats.org/officeDocument/2006/relationships" ref="L1188" r:id="rId2324"/>
    <hyperlink xmlns:r="http://schemas.openxmlformats.org/officeDocument/2006/relationships" ref="I1190" r:id="rId2325"/>
    <hyperlink xmlns:r="http://schemas.openxmlformats.org/officeDocument/2006/relationships" ref="J1190" display="337" r:id="rId2326"/>
    <hyperlink xmlns:r="http://schemas.openxmlformats.org/officeDocument/2006/relationships" ref="K1190" display="07/11/2014" r:id="rId2327"/>
    <hyperlink xmlns:r="http://schemas.openxmlformats.org/officeDocument/2006/relationships" ref="I1192" r:id="rId2328"/>
    <hyperlink xmlns:r="http://schemas.openxmlformats.org/officeDocument/2006/relationships" ref="J1192" display="36" r:id="rId2329"/>
    <hyperlink xmlns:r="http://schemas.openxmlformats.org/officeDocument/2006/relationships" ref="K1192" display="07/11/2014" r:id="rId2330"/>
    <hyperlink xmlns:r="http://schemas.openxmlformats.org/officeDocument/2006/relationships" ref="L1192" r:id="rId2331"/>
    <hyperlink xmlns:r="http://schemas.openxmlformats.org/officeDocument/2006/relationships" ref="I1194" r:id="rId2332"/>
    <hyperlink xmlns:r="http://schemas.openxmlformats.org/officeDocument/2006/relationships" ref="J1194" display="5" r:id="rId2333"/>
    <hyperlink xmlns:r="http://schemas.openxmlformats.org/officeDocument/2006/relationships" ref="K1194" display="07/11/2014" r:id="rId2334"/>
    <hyperlink xmlns:r="http://schemas.openxmlformats.org/officeDocument/2006/relationships" ref="L1194" r:id="rId2335"/>
    <hyperlink xmlns:r="http://schemas.openxmlformats.org/officeDocument/2006/relationships" ref="I1196" r:id="rId2336"/>
    <hyperlink xmlns:r="http://schemas.openxmlformats.org/officeDocument/2006/relationships" ref="J1196" display="293" r:id="rId2337"/>
    <hyperlink xmlns:r="http://schemas.openxmlformats.org/officeDocument/2006/relationships" ref="K1196" display="26/09/2014" r:id="rId2338"/>
    <hyperlink xmlns:r="http://schemas.openxmlformats.org/officeDocument/2006/relationships" ref="I1198" r:id="rId2339"/>
    <hyperlink xmlns:r="http://schemas.openxmlformats.org/officeDocument/2006/relationships" ref="J1198" display="56" r:id="rId2340"/>
    <hyperlink xmlns:r="http://schemas.openxmlformats.org/officeDocument/2006/relationships" ref="K1198" display="26/09/2014" r:id="rId2341"/>
    <hyperlink xmlns:r="http://schemas.openxmlformats.org/officeDocument/2006/relationships" ref="L1198" r:id="rId2342"/>
    <hyperlink xmlns:r="http://schemas.openxmlformats.org/officeDocument/2006/relationships" ref="I1200" r:id="rId2343"/>
    <hyperlink xmlns:r="http://schemas.openxmlformats.org/officeDocument/2006/relationships" ref="J1200" display="13" r:id="rId2344"/>
    <hyperlink xmlns:r="http://schemas.openxmlformats.org/officeDocument/2006/relationships" ref="K1200" display="26/09/2014" r:id="rId2345"/>
    <hyperlink xmlns:r="http://schemas.openxmlformats.org/officeDocument/2006/relationships" ref="L1200" r:id="rId2346"/>
    <hyperlink xmlns:r="http://schemas.openxmlformats.org/officeDocument/2006/relationships" ref="I1202" r:id="rId2347"/>
    <hyperlink xmlns:r="http://schemas.openxmlformats.org/officeDocument/2006/relationships" ref="J1202" display="82" r:id="rId2348"/>
    <hyperlink xmlns:r="http://schemas.openxmlformats.org/officeDocument/2006/relationships" ref="K1202" display="05/09/2014" r:id="rId2349"/>
    <hyperlink xmlns:r="http://schemas.openxmlformats.org/officeDocument/2006/relationships" ref="I1204" r:id="rId2350"/>
    <hyperlink xmlns:r="http://schemas.openxmlformats.org/officeDocument/2006/relationships" ref="J1204" display="15" r:id="rId2351"/>
    <hyperlink xmlns:r="http://schemas.openxmlformats.org/officeDocument/2006/relationships" ref="K1204" display="22/08/2014" r:id="rId2352"/>
    <hyperlink xmlns:r="http://schemas.openxmlformats.org/officeDocument/2006/relationships" ref="L1204" r:id="rId2353"/>
    <hyperlink xmlns:r="http://schemas.openxmlformats.org/officeDocument/2006/relationships" ref="I1206" r:id="rId2354"/>
    <hyperlink xmlns:r="http://schemas.openxmlformats.org/officeDocument/2006/relationships" ref="J1206" display="284" r:id="rId2355"/>
    <hyperlink xmlns:r="http://schemas.openxmlformats.org/officeDocument/2006/relationships" ref="K1206" display="18/07/2014" r:id="rId2356"/>
    <hyperlink xmlns:r="http://schemas.openxmlformats.org/officeDocument/2006/relationships" ref="I1208" r:id="rId2357"/>
    <hyperlink xmlns:r="http://schemas.openxmlformats.org/officeDocument/2006/relationships" ref="J1208" display="14" r:id="rId2358"/>
    <hyperlink xmlns:r="http://schemas.openxmlformats.org/officeDocument/2006/relationships" ref="K1208" display="17/07/2014" r:id="rId2359"/>
    <hyperlink xmlns:r="http://schemas.openxmlformats.org/officeDocument/2006/relationships" ref="L1208" r:id="rId2360"/>
    <hyperlink xmlns:r="http://schemas.openxmlformats.org/officeDocument/2006/relationships" ref="I1210" r:id="rId2361"/>
    <hyperlink xmlns:r="http://schemas.openxmlformats.org/officeDocument/2006/relationships" ref="J1210" display="14" r:id="rId2362"/>
    <hyperlink xmlns:r="http://schemas.openxmlformats.org/officeDocument/2006/relationships" ref="K1210" display="18/07/2014" r:id="rId2363"/>
    <hyperlink xmlns:r="http://schemas.openxmlformats.org/officeDocument/2006/relationships" ref="L1210" r:id="rId2364"/>
    <hyperlink xmlns:r="http://schemas.openxmlformats.org/officeDocument/2006/relationships" ref="I1212" r:id="rId2365"/>
    <hyperlink xmlns:r="http://schemas.openxmlformats.org/officeDocument/2006/relationships" ref="J1212" display="6" r:id="rId2366"/>
    <hyperlink xmlns:r="http://schemas.openxmlformats.org/officeDocument/2006/relationships" ref="K1212" display="18/07/2014" r:id="rId2367"/>
    <hyperlink xmlns:r="http://schemas.openxmlformats.org/officeDocument/2006/relationships" ref="L1212" r:id="rId2368"/>
    <hyperlink xmlns:r="http://schemas.openxmlformats.org/officeDocument/2006/relationships" ref="I1214" r:id="rId2369"/>
    <hyperlink xmlns:r="http://schemas.openxmlformats.org/officeDocument/2006/relationships" ref="J1214" display="2" r:id="rId2370"/>
    <hyperlink xmlns:r="http://schemas.openxmlformats.org/officeDocument/2006/relationships" ref="K1214" display="12/07/2014" r:id="rId2371"/>
    <hyperlink xmlns:r="http://schemas.openxmlformats.org/officeDocument/2006/relationships" ref="L1214" r:id="rId2372"/>
    <hyperlink xmlns:r="http://schemas.openxmlformats.org/officeDocument/2006/relationships" ref="I1216" r:id="rId2373"/>
    <hyperlink xmlns:r="http://schemas.openxmlformats.org/officeDocument/2006/relationships" ref="J1216" display="2" r:id="rId2374"/>
    <hyperlink xmlns:r="http://schemas.openxmlformats.org/officeDocument/2006/relationships" ref="K1216" display="09/07/2014" r:id="rId2375"/>
    <hyperlink xmlns:r="http://schemas.openxmlformats.org/officeDocument/2006/relationships" ref="L1216" r:id="rId2376"/>
    <hyperlink xmlns:r="http://schemas.openxmlformats.org/officeDocument/2006/relationships" ref="I1218" r:id="rId2377"/>
    <hyperlink xmlns:r="http://schemas.openxmlformats.org/officeDocument/2006/relationships" ref="J1218" display="6" r:id="rId2378"/>
    <hyperlink xmlns:r="http://schemas.openxmlformats.org/officeDocument/2006/relationships" ref="K1218" display="08/07/2014" r:id="rId2379"/>
    <hyperlink xmlns:r="http://schemas.openxmlformats.org/officeDocument/2006/relationships" ref="L1218" r:id="rId2380"/>
    <hyperlink xmlns:r="http://schemas.openxmlformats.org/officeDocument/2006/relationships" ref="I1220" r:id="rId2381"/>
    <hyperlink xmlns:r="http://schemas.openxmlformats.org/officeDocument/2006/relationships" ref="J1220" display="325" r:id="rId2382"/>
    <hyperlink xmlns:r="http://schemas.openxmlformats.org/officeDocument/2006/relationships" ref="K1220" display="16/06/2014" r:id="rId2383"/>
    <hyperlink xmlns:r="http://schemas.openxmlformats.org/officeDocument/2006/relationships" ref="L1220" r:id="rId2384"/>
    <hyperlink xmlns:r="http://schemas.openxmlformats.org/officeDocument/2006/relationships" ref="I1222" r:id="rId2385"/>
    <hyperlink xmlns:r="http://schemas.openxmlformats.org/officeDocument/2006/relationships" ref="J1222" display="210" r:id="rId2386"/>
    <hyperlink xmlns:r="http://schemas.openxmlformats.org/officeDocument/2006/relationships" ref="K1222" display="06/06/2014" r:id="rId2387"/>
    <hyperlink xmlns:r="http://schemas.openxmlformats.org/officeDocument/2006/relationships" ref="I1224" r:id="rId2388"/>
    <hyperlink xmlns:r="http://schemas.openxmlformats.org/officeDocument/2006/relationships" ref="J1224" display="1" r:id="rId2389"/>
    <hyperlink xmlns:r="http://schemas.openxmlformats.org/officeDocument/2006/relationships" ref="K1224" display="06/06/2014" r:id="rId2390"/>
    <hyperlink xmlns:r="http://schemas.openxmlformats.org/officeDocument/2006/relationships" ref="L1224" r:id="rId2391"/>
    <hyperlink xmlns:r="http://schemas.openxmlformats.org/officeDocument/2006/relationships" ref="I1226" r:id="rId2392"/>
    <hyperlink xmlns:r="http://schemas.openxmlformats.org/officeDocument/2006/relationships" ref="J1226" display="9" r:id="rId2393"/>
    <hyperlink xmlns:r="http://schemas.openxmlformats.org/officeDocument/2006/relationships" ref="K1226" display="06/06/2014" r:id="rId2394"/>
    <hyperlink xmlns:r="http://schemas.openxmlformats.org/officeDocument/2006/relationships" ref="L1226" r:id="rId2395"/>
    <hyperlink xmlns:r="http://schemas.openxmlformats.org/officeDocument/2006/relationships" ref="I1228" r:id="rId2396"/>
    <hyperlink xmlns:r="http://schemas.openxmlformats.org/officeDocument/2006/relationships" ref="J1228" display="26" r:id="rId2397"/>
    <hyperlink xmlns:r="http://schemas.openxmlformats.org/officeDocument/2006/relationships" ref="K1228" display="30/05/2014" r:id="rId2398"/>
    <hyperlink xmlns:r="http://schemas.openxmlformats.org/officeDocument/2006/relationships" ref="L1228" r:id="rId2399"/>
    <hyperlink xmlns:r="http://schemas.openxmlformats.org/officeDocument/2006/relationships" ref="I1230" r:id="rId2400"/>
    <hyperlink xmlns:r="http://schemas.openxmlformats.org/officeDocument/2006/relationships" ref="J1230" display="4" r:id="rId2401"/>
    <hyperlink xmlns:r="http://schemas.openxmlformats.org/officeDocument/2006/relationships" ref="K1230" display="30/05/2014" r:id="rId2402"/>
    <hyperlink xmlns:r="http://schemas.openxmlformats.org/officeDocument/2006/relationships" ref="L1230" r:id="rId2403"/>
    <hyperlink xmlns:r="http://schemas.openxmlformats.org/officeDocument/2006/relationships" ref="I1232" r:id="rId2404"/>
    <hyperlink xmlns:r="http://schemas.openxmlformats.org/officeDocument/2006/relationships" ref="J1232" display="165" r:id="rId2405"/>
    <hyperlink xmlns:r="http://schemas.openxmlformats.org/officeDocument/2006/relationships" ref="K1232" display="02/05/2014" r:id="rId2406"/>
    <hyperlink xmlns:r="http://schemas.openxmlformats.org/officeDocument/2006/relationships" ref="I1234" r:id="rId2407"/>
    <hyperlink xmlns:r="http://schemas.openxmlformats.org/officeDocument/2006/relationships" ref="J1234" display="10" r:id="rId2408"/>
    <hyperlink xmlns:r="http://schemas.openxmlformats.org/officeDocument/2006/relationships" ref="K1234" display="26/04/2014" r:id="rId2409"/>
    <hyperlink xmlns:r="http://schemas.openxmlformats.org/officeDocument/2006/relationships" ref="L1234" r:id="rId2410"/>
    <hyperlink xmlns:r="http://schemas.openxmlformats.org/officeDocument/2006/relationships" ref="I1236" r:id="rId2411"/>
    <hyperlink xmlns:r="http://schemas.openxmlformats.org/officeDocument/2006/relationships" ref="J1236" display="6" r:id="rId2412"/>
    <hyperlink xmlns:r="http://schemas.openxmlformats.org/officeDocument/2006/relationships" ref="K1236" display="02/05/2014" r:id="rId2413"/>
    <hyperlink xmlns:r="http://schemas.openxmlformats.org/officeDocument/2006/relationships" ref="L1236" r:id="rId2414"/>
    <hyperlink xmlns:r="http://schemas.openxmlformats.org/officeDocument/2006/relationships" ref="I1238" r:id="rId2415"/>
    <hyperlink xmlns:r="http://schemas.openxmlformats.org/officeDocument/2006/relationships" ref="J1238" display="15" r:id="rId2416"/>
    <hyperlink xmlns:r="http://schemas.openxmlformats.org/officeDocument/2006/relationships" ref="K1238" display="25/05/2014" r:id="rId2417"/>
    <hyperlink xmlns:r="http://schemas.openxmlformats.org/officeDocument/2006/relationships" ref="L1238" r:id="rId2418"/>
    <hyperlink xmlns:r="http://schemas.openxmlformats.org/officeDocument/2006/relationships" ref="I1240" r:id="rId2419"/>
    <hyperlink xmlns:r="http://schemas.openxmlformats.org/officeDocument/2006/relationships" ref="J1240" display="8" r:id="rId2420"/>
    <hyperlink xmlns:r="http://schemas.openxmlformats.org/officeDocument/2006/relationships" ref="K1240" display="02/05/2014" r:id="rId2421"/>
    <hyperlink xmlns:r="http://schemas.openxmlformats.org/officeDocument/2006/relationships" ref="L1240" r:id="rId2422"/>
    <hyperlink xmlns:r="http://schemas.openxmlformats.org/officeDocument/2006/relationships" ref="I1242" r:id="rId2423"/>
    <hyperlink xmlns:r="http://schemas.openxmlformats.org/officeDocument/2006/relationships" ref="J1242" display="88" r:id="rId2424"/>
    <hyperlink xmlns:r="http://schemas.openxmlformats.org/officeDocument/2006/relationships" ref="K1242" display="14/03/2014" r:id="rId2425"/>
    <hyperlink xmlns:r="http://schemas.openxmlformats.org/officeDocument/2006/relationships" ref="I1244" r:id="rId2426"/>
    <hyperlink xmlns:r="http://schemas.openxmlformats.org/officeDocument/2006/relationships" ref="J1244" display="1" r:id="rId2427"/>
    <hyperlink xmlns:r="http://schemas.openxmlformats.org/officeDocument/2006/relationships" ref="K1244" display="14/03/2014" r:id="rId2428"/>
    <hyperlink xmlns:r="http://schemas.openxmlformats.org/officeDocument/2006/relationships" ref="L1244" r:id="rId2429"/>
    <hyperlink xmlns:r="http://schemas.openxmlformats.org/officeDocument/2006/relationships" ref="I1246" r:id="rId2430"/>
    <hyperlink xmlns:r="http://schemas.openxmlformats.org/officeDocument/2006/relationships" ref="J1246" display="165" r:id="rId2431"/>
    <hyperlink xmlns:r="http://schemas.openxmlformats.org/officeDocument/2006/relationships" ref="K1246" display="07/02/2014" r:id="rId2432"/>
    <hyperlink xmlns:r="http://schemas.openxmlformats.org/officeDocument/2006/relationships" ref="I1248" r:id="rId2433"/>
    <hyperlink xmlns:r="http://schemas.openxmlformats.org/officeDocument/2006/relationships" ref="J1248" display="9" r:id="rId2434"/>
    <hyperlink xmlns:r="http://schemas.openxmlformats.org/officeDocument/2006/relationships" ref="K1248" display="01/02/2014" r:id="rId2435"/>
    <hyperlink xmlns:r="http://schemas.openxmlformats.org/officeDocument/2006/relationships" ref="L1248" r:id="rId2436"/>
    <hyperlink xmlns:r="http://schemas.openxmlformats.org/officeDocument/2006/relationships" ref="I1250" r:id="rId2437"/>
    <hyperlink xmlns:r="http://schemas.openxmlformats.org/officeDocument/2006/relationships" ref="J1250" display="11" r:id="rId2438"/>
    <hyperlink xmlns:r="http://schemas.openxmlformats.org/officeDocument/2006/relationships" ref="K1250" display="07/02/2014" r:id="rId2439"/>
    <hyperlink xmlns:r="http://schemas.openxmlformats.org/officeDocument/2006/relationships" ref="L1250" r:id="rId2440"/>
    <hyperlink xmlns:r="http://schemas.openxmlformats.org/officeDocument/2006/relationships" ref="I1252" r:id="rId2441"/>
    <hyperlink xmlns:r="http://schemas.openxmlformats.org/officeDocument/2006/relationships" ref="J1252" display="15" r:id="rId2442"/>
    <hyperlink xmlns:r="http://schemas.openxmlformats.org/officeDocument/2006/relationships" ref="K1252" display="01/03/2014" r:id="rId2443"/>
    <hyperlink xmlns:r="http://schemas.openxmlformats.org/officeDocument/2006/relationships" ref="L1252" r:id="rId2444"/>
    <hyperlink xmlns:r="http://schemas.openxmlformats.org/officeDocument/2006/relationships" ref="I1254" r:id="rId2445"/>
    <hyperlink xmlns:r="http://schemas.openxmlformats.org/officeDocument/2006/relationships" ref="J1254" display="7" r:id="rId2446"/>
    <hyperlink xmlns:r="http://schemas.openxmlformats.org/officeDocument/2006/relationships" ref="K1254" display="07/02/2014" r:id="rId2447"/>
    <hyperlink xmlns:r="http://schemas.openxmlformats.org/officeDocument/2006/relationships" ref="L1254" r:id="rId2448"/>
    <hyperlink xmlns:r="http://schemas.openxmlformats.org/officeDocument/2006/relationships" ref="I1256" r:id="rId2449"/>
    <hyperlink xmlns:r="http://schemas.openxmlformats.org/officeDocument/2006/relationships" ref="J1256" display="4" r:id="rId2450"/>
    <hyperlink xmlns:r="http://schemas.openxmlformats.org/officeDocument/2006/relationships" ref="K1256" display="01/01/2014" r:id="rId2451"/>
    <hyperlink xmlns:r="http://schemas.openxmlformats.org/officeDocument/2006/relationships" ref="L1256" r:id="rId2452"/>
    <hyperlink xmlns:r="http://schemas.openxmlformats.org/officeDocument/2006/relationships" ref="I1258" r:id="rId2453"/>
    <hyperlink xmlns:r="http://schemas.openxmlformats.org/officeDocument/2006/relationships" ref="J1258" display="14" r:id="rId2454"/>
    <hyperlink xmlns:r="http://schemas.openxmlformats.org/officeDocument/2006/relationships" ref="K1258" display="01/01/2014" r:id="rId2455"/>
    <hyperlink xmlns:r="http://schemas.openxmlformats.org/officeDocument/2006/relationships" ref="L1258" r:id="rId2456"/>
    <hyperlink xmlns:r="http://schemas.openxmlformats.org/officeDocument/2006/relationships" ref="I1260" r:id="rId2457"/>
    <hyperlink xmlns:r="http://schemas.openxmlformats.org/officeDocument/2006/relationships" ref="J1260" display="12" r:id="rId2458"/>
    <hyperlink xmlns:r="http://schemas.openxmlformats.org/officeDocument/2006/relationships" ref="K1260" display="01/01/2014" r:id="rId2459"/>
    <hyperlink xmlns:r="http://schemas.openxmlformats.org/officeDocument/2006/relationships" ref="L1260" r:id="rId2460"/>
    <hyperlink xmlns:r="http://schemas.openxmlformats.org/officeDocument/2006/relationships" ref="I1262" r:id="rId2461"/>
    <hyperlink xmlns:r="http://schemas.openxmlformats.org/officeDocument/2006/relationships" ref="J1262" display="356" r:id="rId2462"/>
    <hyperlink xmlns:r="http://schemas.openxmlformats.org/officeDocument/2006/relationships" ref="K1262" display="01/11/2013" r:id="rId2463"/>
    <hyperlink xmlns:r="http://schemas.openxmlformats.org/officeDocument/2006/relationships" ref="I1264" r:id="rId2464"/>
    <hyperlink xmlns:r="http://schemas.openxmlformats.org/officeDocument/2006/relationships" ref="J1264" display="15" r:id="rId2465"/>
    <hyperlink xmlns:r="http://schemas.openxmlformats.org/officeDocument/2006/relationships" ref="K1264" display="01/11/2013" r:id="rId2466"/>
    <hyperlink xmlns:r="http://schemas.openxmlformats.org/officeDocument/2006/relationships" ref="L1264" r:id="rId2467"/>
    <hyperlink xmlns:r="http://schemas.openxmlformats.org/officeDocument/2006/relationships" ref="I1266" r:id="rId2468"/>
    <hyperlink xmlns:r="http://schemas.openxmlformats.org/officeDocument/2006/relationships" ref="J1266" display="249" r:id="rId2469"/>
    <hyperlink xmlns:r="http://schemas.openxmlformats.org/officeDocument/2006/relationships" ref="K1266" display="27/09/2013" r:id="rId2470"/>
    <hyperlink xmlns:r="http://schemas.openxmlformats.org/officeDocument/2006/relationships" ref="I1268" r:id="rId2471"/>
    <hyperlink xmlns:r="http://schemas.openxmlformats.org/officeDocument/2006/relationships" ref="J1268" display="10" r:id="rId2472"/>
    <hyperlink xmlns:r="http://schemas.openxmlformats.org/officeDocument/2006/relationships" ref="K1268" display="21/09/2013" r:id="rId2473"/>
    <hyperlink xmlns:r="http://schemas.openxmlformats.org/officeDocument/2006/relationships" ref="L1268" r:id="rId2474"/>
    <hyperlink xmlns:r="http://schemas.openxmlformats.org/officeDocument/2006/relationships" ref="I1270" r:id="rId2475"/>
    <hyperlink xmlns:r="http://schemas.openxmlformats.org/officeDocument/2006/relationships" ref="J1270" display="11" r:id="rId2476"/>
    <hyperlink xmlns:r="http://schemas.openxmlformats.org/officeDocument/2006/relationships" ref="K1270" display="27/09/2013" r:id="rId2477"/>
    <hyperlink xmlns:r="http://schemas.openxmlformats.org/officeDocument/2006/relationships" ref="L1270" r:id="rId2478"/>
    <hyperlink xmlns:r="http://schemas.openxmlformats.org/officeDocument/2006/relationships" ref="I1272" r:id="rId2479"/>
    <hyperlink xmlns:r="http://schemas.openxmlformats.org/officeDocument/2006/relationships" ref="J1272" display="15" r:id="rId2480"/>
    <hyperlink xmlns:r="http://schemas.openxmlformats.org/officeDocument/2006/relationships" ref="K1272" display="19/10/2013" r:id="rId2481"/>
    <hyperlink xmlns:r="http://schemas.openxmlformats.org/officeDocument/2006/relationships" ref="L1272" r:id="rId2482"/>
    <hyperlink xmlns:r="http://schemas.openxmlformats.org/officeDocument/2006/relationships" ref="I1274" r:id="rId2483"/>
    <hyperlink xmlns:r="http://schemas.openxmlformats.org/officeDocument/2006/relationships" ref="J1274" display="7" r:id="rId2484"/>
    <hyperlink xmlns:r="http://schemas.openxmlformats.org/officeDocument/2006/relationships" ref="K1274" display="27/09/2013" r:id="rId2485"/>
    <hyperlink xmlns:r="http://schemas.openxmlformats.org/officeDocument/2006/relationships" ref="L1274" r:id="rId2486"/>
    <hyperlink xmlns:r="http://schemas.openxmlformats.org/officeDocument/2006/relationships" ref="I1276" r:id="rId2487"/>
    <hyperlink xmlns:r="http://schemas.openxmlformats.org/officeDocument/2006/relationships" ref="J1276" display="81" r:id="rId2488"/>
    <hyperlink xmlns:r="http://schemas.openxmlformats.org/officeDocument/2006/relationships" ref="K1276" display="06/09/2013" r:id="rId2489"/>
    <hyperlink xmlns:r="http://schemas.openxmlformats.org/officeDocument/2006/relationships" ref="I1278" r:id="rId2490"/>
    <hyperlink xmlns:r="http://schemas.openxmlformats.org/officeDocument/2006/relationships" ref="J1278" display="2" r:id="rId2491"/>
    <hyperlink xmlns:r="http://schemas.openxmlformats.org/officeDocument/2006/relationships" ref="K1278" display="06/09/2013" r:id="rId2492"/>
    <hyperlink xmlns:r="http://schemas.openxmlformats.org/officeDocument/2006/relationships" ref="L1278" r:id="rId2493"/>
    <hyperlink xmlns:r="http://schemas.openxmlformats.org/officeDocument/2006/relationships" ref="I1280" r:id="rId2494"/>
    <hyperlink xmlns:r="http://schemas.openxmlformats.org/officeDocument/2006/relationships" ref="J1280" display="20" r:id="rId2495"/>
    <hyperlink xmlns:r="http://schemas.openxmlformats.org/officeDocument/2006/relationships" ref="K1280" display="23/08/2013" r:id="rId2496"/>
    <hyperlink xmlns:r="http://schemas.openxmlformats.org/officeDocument/2006/relationships" ref="L1280" r:id="rId2497"/>
    <hyperlink xmlns:r="http://schemas.openxmlformats.org/officeDocument/2006/relationships" ref="I1282" r:id="rId2498"/>
    <hyperlink xmlns:r="http://schemas.openxmlformats.org/officeDocument/2006/relationships" ref="J1282" display="249" r:id="rId2499"/>
    <hyperlink xmlns:r="http://schemas.openxmlformats.org/officeDocument/2006/relationships" ref="K1282" display="19/07/2013" r:id="rId2500"/>
    <hyperlink xmlns:r="http://schemas.openxmlformats.org/officeDocument/2006/relationships" ref="I1284" r:id="rId2501"/>
    <hyperlink xmlns:r="http://schemas.openxmlformats.org/officeDocument/2006/relationships" ref="J1284" display="6" r:id="rId2502"/>
    <hyperlink xmlns:r="http://schemas.openxmlformats.org/officeDocument/2006/relationships" ref="K1284" display="18/07/2013" r:id="rId2503"/>
    <hyperlink xmlns:r="http://schemas.openxmlformats.org/officeDocument/2006/relationships" ref="L1284" r:id="rId2504"/>
    <hyperlink xmlns:r="http://schemas.openxmlformats.org/officeDocument/2006/relationships" ref="I1286" r:id="rId2505"/>
    <hyperlink xmlns:r="http://schemas.openxmlformats.org/officeDocument/2006/relationships" ref="J1286" display="13" r:id="rId2506"/>
    <hyperlink xmlns:r="http://schemas.openxmlformats.org/officeDocument/2006/relationships" ref="K1286" display="19/07/2013" r:id="rId2507"/>
    <hyperlink xmlns:r="http://schemas.openxmlformats.org/officeDocument/2006/relationships" ref="L1286" r:id="rId2508"/>
    <hyperlink xmlns:r="http://schemas.openxmlformats.org/officeDocument/2006/relationships" ref="I1288" r:id="rId2509"/>
    <hyperlink xmlns:r="http://schemas.openxmlformats.org/officeDocument/2006/relationships" ref="J1288" display="5" r:id="rId2510"/>
    <hyperlink xmlns:r="http://schemas.openxmlformats.org/officeDocument/2006/relationships" ref="K1288" display="18/07/2013" r:id="rId2511"/>
    <hyperlink xmlns:r="http://schemas.openxmlformats.org/officeDocument/2006/relationships" ref="L1288" r:id="rId2512"/>
    <hyperlink xmlns:r="http://schemas.openxmlformats.org/officeDocument/2006/relationships" ref="I1290" r:id="rId2513"/>
    <hyperlink xmlns:r="http://schemas.openxmlformats.org/officeDocument/2006/relationships" ref="J1290" display="229" r:id="rId2514"/>
    <hyperlink xmlns:r="http://schemas.openxmlformats.org/officeDocument/2006/relationships" ref="K1290" display="07/06/2013" r:id="rId2515"/>
    <hyperlink xmlns:r="http://schemas.openxmlformats.org/officeDocument/2006/relationships" ref="L1290" r:id="rId2516"/>
    <hyperlink xmlns:r="http://schemas.openxmlformats.org/officeDocument/2006/relationships" ref="I1292" r:id="rId2517"/>
    <hyperlink xmlns:r="http://schemas.openxmlformats.org/officeDocument/2006/relationships" ref="J1292" display="16" r:id="rId2518"/>
    <hyperlink xmlns:r="http://schemas.openxmlformats.org/officeDocument/2006/relationships" ref="K1292" display="07/06/2013" r:id="rId2519"/>
    <hyperlink xmlns:r="http://schemas.openxmlformats.org/officeDocument/2006/relationships" ref="L1292" r:id="rId2520"/>
    <hyperlink xmlns:r="http://schemas.openxmlformats.org/officeDocument/2006/relationships" ref="I1294" r:id="rId2521"/>
    <hyperlink xmlns:r="http://schemas.openxmlformats.org/officeDocument/2006/relationships" ref="J1294" display="156" r:id="rId2522"/>
    <hyperlink xmlns:r="http://schemas.openxmlformats.org/officeDocument/2006/relationships" ref="K1294" display="03/05/2013" r:id="rId2523"/>
    <hyperlink xmlns:r="http://schemas.openxmlformats.org/officeDocument/2006/relationships" ref="I1296" r:id="rId2524"/>
    <hyperlink xmlns:r="http://schemas.openxmlformats.org/officeDocument/2006/relationships" ref="J1296" display="6" r:id="rId2525"/>
    <hyperlink xmlns:r="http://schemas.openxmlformats.org/officeDocument/2006/relationships" ref="K1296" display="27/04/2013" r:id="rId2526"/>
    <hyperlink xmlns:r="http://schemas.openxmlformats.org/officeDocument/2006/relationships" ref="L1296" r:id="rId2527"/>
    <hyperlink xmlns:r="http://schemas.openxmlformats.org/officeDocument/2006/relationships" ref="I1298" r:id="rId2528"/>
    <hyperlink xmlns:r="http://schemas.openxmlformats.org/officeDocument/2006/relationships" ref="J1298" display="1" r:id="rId2529"/>
    <hyperlink xmlns:r="http://schemas.openxmlformats.org/officeDocument/2006/relationships" ref="K1298" display="03/05/2013" r:id="rId2530"/>
    <hyperlink xmlns:r="http://schemas.openxmlformats.org/officeDocument/2006/relationships" ref="L1298" r:id="rId2531"/>
    <hyperlink xmlns:r="http://schemas.openxmlformats.org/officeDocument/2006/relationships" ref="I1300" r:id="rId2532"/>
    <hyperlink xmlns:r="http://schemas.openxmlformats.org/officeDocument/2006/relationships" ref="J1300" display="5" r:id="rId2533"/>
    <hyperlink xmlns:r="http://schemas.openxmlformats.org/officeDocument/2006/relationships" ref="K1300" display="06/04/2013" r:id="rId2534"/>
    <hyperlink xmlns:r="http://schemas.openxmlformats.org/officeDocument/2006/relationships" ref="L1300" r:id="rId2535"/>
    <hyperlink xmlns:r="http://schemas.openxmlformats.org/officeDocument/2006/relationships" ref="I1302" r:id="rId2536"/>
    <hyperlink xmlns:r="http://schemas.openxmlformats.org/officeDocument/2006/relationships" ref="J1302" display="80" r:id="rId2537"/>
    <hyperlink xmlns:r="http://schemas.openxmlformats.org/officeDocument/2006/relationships" ref="K1302" display="15/03/2013" r:id="rId2538"/>
    <hyperlink xmlns:r="http://schemas.openxmlformats.org/officeDocument/2006/relationships" ref="I1304" r:id="rId2539"/>
    <hyperlink xmlns:r="http://schemas.openxmlformats.org/officeDocument/2006/relationships" ref="J1304" display="1" r:id="rId2540"/>
    <hyperlink xmlns:r="http://schemas.openxmlformats.org/officeDocument/2006/relationships" ref="K1304" display="15/03/2013" r:id="rId2541"/>
    <hyperlink xmlns:r="http://schemas.openxmlformats.org/officeDocument/2006/relationships" ref="L1304" r:id="rId2542"/>
    <hyperlink xmlns:r="http://schemas.openxmlformats.org/officeDocument/2006/relationships" ref="I1306" r:id="rId2543"/>
    <hyperlink xmlns:r="http://schemas.openxmlformats.org/officeDocument/2006/relationships" ref="J1306" display="249" r:id="rId2544"/>
    <hyperlink xmlns:r="http://schemas.openxmlformats.org/officeDocument/2006/relationships" ref="K1306" display="01/02/2013" r:id="rId2545"/>
    <hyperlink xmlns:r="http://schemas.openxmlformats.org/officeDocument/2006/relationships" ref="I1308" r:id="rId2546"/>
    <hyperlink xmlns:r="http://schemas.openxmlformats.org/officeDocument/2006/relationships" ref="J1308" display="10" r:id="rId2547"/>
    <hyperlink xmlns:r="http://schemas.openxmlformats.org/officeDocument/2006/relationships" ref="K1308" display="26/01/2013" r:id="rId2548"/>
    <hyperlink xmlns:r="http://schemas.openxmlformats.org/officeDocument/2006/relationships" ref="L1308" r:id="rId2549"/>
    <hyperlink xmlns:r="http://schemas.openxmlformats.org/officeDocument/2006/relationships" ref="I1310" r:id="rId2550"/>
    <hyperlink xmlns:r="http://schemas.openxmlformats.org/officeDocument/2006/relationships" ref="J1310" display="8" r:id="rId2551"/>
    <hyperlink xmlns:r="http://schemas.openxmlformats.org/officeDocument/2006/relationships" ref="K1310" display="01/02/2013" r:id="rId2552"/>
    <hyperlink xmlns:r="http://schemas.openxmlformats.org/officeDocument/2006/relationships" ref="L1310" r:id="rId2553"/>
    <hyperlink xmlns:r="http://schemas.openxmlformats.org/officeDocument/2006/relationships" ref="I1312" r:id="rId2554"/>
    <hyperlink xmlns:r="http://schemas.openxmlformats.org/officeDocument/2006/relationships" ref="J1312" display="3" r:id="rId2555"/>
    <hyperlink xmlns:r="http://schemas.openxmlformats.org/officeDocument/2006/relationships" ref="K1312" display="01/01/2013" r:id="rId2556"/>
    <hyperlink xmlns:r="http://schemas.openxmlformats.org/officeDocument/2006/relationships" ref="L1312" r:id="rId2557"/>
    <hyperlink xmlns:r="http://schemas.openxmlformats.org/officeDocument/2006/relationships" ref="I1314" r:id="rId2558"/>
    <hyperlink xmlns:r="http://schemas.openxmlformats.org/officeDocument/2006/relationships" ref="J1314" display="4" r:id="rId2559"/>
    <hyperlink xmlns:r="http://schemas.openxmlformats.org/officeDocument/2006/relationships" ref="K1314" display="01/01/2013" r:id="rId2560"/>
    <hyperlink xmlns:r="http://schemas.openxmlformats.org/officeDocument/2006/relationships" ref="L1314" r:id="rId2561"/>
    <hyperlink xmlns:r="http://schemas.openxmlformats.org/officeDocument/2006/relationships" ref="I1316" r:id="rId2562"/>
    <hyperlink xmlns:r="http://schemas.openxmlformats.org/officeDocument/2006/relationships" ref="J1316" display="9" r:id="rId2563"/>
    <hyperlink xmlns:r="http://schemas.openxmlformats.org/officeDocument/2006/relationships" ref="K1316" display="01/01/2013" r:id="rId2564"/>
    <hyperlink xmlns:r="http://schemas.openxmlformats.org/officeDocument/2006/relationships" ref="L1316" r:id="rId2565"/>
    <hyperlink xmlns:r="http://schemas.openxmlformats.org/officeDocument/2006/relationships" ref="I1318" r:id="rId2566"/>
    <hyperlink xmlns:r="http://schemas.openxmlformats.org/officeDocument/2006/relationships" ref="J1318" display="12" r:id="rId2567"/>
    <hyperlink xmlns:r="http://schemas.openxmlformats.org/officeDocument/2006/relationships" ref="K1318" display="01/01/2013" r:id="rId2568"/>
    <hyperlink xmlns:r="http://schemas.openxmlformats.org/officeDocument/2006/relationships" ref="L1318" r:id="rId2569"/>
    <hyperlink xmlns:r="http://schemas.openxmlformats.org/officeDocument/2006/relationships" ref="I1320" r:id="rId2570"/>
    <hyperlink xmlns:r="http://schemas.openxmlformats.org/officeDocument/2006/relationships" ref="J1320" display="18" r:id="rId2571"/>
    <hyperlink xmlns:r="http://schemas.openxmlformats.org/officeDocument/2006/relationships" ref="K1320" display="02/11/2012" r:id="rId2572"/>
    <hyperlink xmlns:r="http://schemas.openxmlformats.org/officeDocument/2006/relationships" ref="L1320" r:id="rId2573"/>
    <hyperlink xmlns:r="http://schemas.openxmlformats.org/officeDocument/2006/relationships" ref="I1322" r:id="rId2574"/>
    <hyperlink xmlns:r="http://schemas.openxmlformats.org/officeDocument/2006/relationships" ref="J1322" display="10" r:id="rId2575"/>
    <hyperlink xmlns:r="http://schemas.openxmlformats.org/officeDocument/2006/relationships" ref="K1322" display="02/11/2012" r:id="rId2576"/>
    <hyperlink xmlns:r="http://schemas.openxmlformats.org/officeDocument/2006/relationships" ref="L1322" r:id="rId2577"/>
    <hyperlink xmlns:r="http://schemas.openxmlformats.org/officeDocument/2006/relationships" ref="I1324" r:id="rId2578"/>
    <hyperlink xmlns:r="http://schemas.openxmlformats.org/officeDocument/2006/relationships" ref="J1324" display="274" r:id="rId2579"/>
    <hyperlink xmlns:r="http://schemas.openxmlformats.org/officeDocument/2006/relationships" ref="K1324" display="05/10/2012" r:id="rId2580"/>
    <hyperlink xmlns:r="http://schemas.openxmlformats.org/officeDocument/2006/relationships" ref="I1326" r:id="rId2581"/>
    <hyperlink xmlns:r="http://schemas.openxmlformats.org/officeDocument/2006/relationships" ref="J1326" display="10" r:id="rId2582"/>
    <hyperlink xmlns:r="http://schemas.openxmlformats.org/officeDocument/2006/relationships" ref="K1326" display="05/10/2012" r:id="rId2583"/>
    <hyperlink xmlns:r="http://schemas.openxmlformats.org/officeDocument/2006/relationships" ref="L1326" r:id="rId2584"/>
    <hyperlink xmlns:r="http://schemas.openxmlformats.org/officeDocument/2006/relationships" ref="I1328" r:id="rId2585"/>
    <hyperlink xmlns:r="http://schemas.openxmlformats.org/officeDocument/2006/relationships" ref="J1328" display="12" r:id="rId2586"/>
    <hyperlink xmlns:r="http://schemas.openxmlformats.org/officeDocument/2006/relationships" ref="K1328" display="05/10/2012" r:id="rId2587"/>
    <hyperlink xmlns:r="http://schemas.openxmlformats.org/officeDocument/2006/relationships" ref="L1328" r:id="rId2588"/>
    <hyperlink xmlns:r="http://schemas.openxmlformats.org/officeDocument/2006/relationships" ref="I1330" r:id="rId2589"/>
    <hyperlink xmlns:r="http://schemas.openxmlformats.org/officeDocument/2006/relationships" ref="J1330" display="90" r:id="rId2590"/>
    <hyperlink xmlns:r="http://schemas.openxmlformats.org/officeDocument/2006/relationships" ref="K1330" display="07/09/2012" r:id="rId2591"/>
    <hyperlink xmlns:r="http://schemas.openxmlformats.org/officeDocument/2006/relationships" ref="I1332" r:id="rId2592"/>
    <hyperlink xmlns:r="http://schemas.openxmlformats.org/officeDocument/2006/relationships" ref="J1332" display="1" r:id="rId2593"/>
    <hyperlink xmlns:r="http://schemas.openxmlformats.org/officeDocument/2006/relationships" ref="K1332" display="07/09/2012" r:id="rId2594"/>
    <hyperlink xmlns:r="http://schemas.openxmlformats.org/officeDocument/2006/relationships" ref="L1332" r:id="rId2595"/>
    <hyperlink xmlns:r="http://schemas.openxmlformats.org/officeDocument/2006/relationships" ref="I1334" r:id="rId2596"/>
    <hyperlink xmlns:r="http://schemas.openxmlformats.org/officeDocument/2006/relationships" ref="J1334" display="15" r:id="rId2597"/>
    <hyperlink xmlns:r="http://schemas.openxmlformats.org/officeDocument/2006/relationships" ref="K1334" display="31/08/2012" r:id="rId2598"/>
    <hyperlink xmlns:r="http://schemas.openxmlformats.org/officeDocument/2006/relationships" ref="L1334" r:id="rId2599"/>
    <hyperlink xmlns:r="http://schemas.openxmlformats.org/officeDocument/2006/relationships" ref="I1336" r:id="rId2600"/>
    <hyperlink xmlns:r="http://schemas.openxmlformats.org/officeDocument/2006/relationships" ref="J1336" display="249" r:id="rId2601"/>
    <hyperlink xmlns:r="http://schemas.openxmlformats.org/officeDocument/2006/relationships" ref="K1336" display="13/07/2012" r:id="rId2602"/>
    <hyperlink xmlns:r="http://schemas.openxmlformats.org/officeDocument/2006/relationships" ref="I1338" r:id="rId2603"/>
    <hyperlink xmlns:r="http://schemas.openxmlformats.org/officeDocument/2006/relationships" ref="J1338" display="6" r:id="rId2604"/>
    <hyperlink xmlns:r="http://schemas.openxmlformats.org/officeDocument/2006/relationships" ref="K1338" display="12/07/2012" r:id="rId2605"/>
    <hyperlink xmlns:r="http://schemas.openxmlformats.org/officeDocument/2006/relationships" ref="L1338" r:id="rId2606"/>
    <hyperlink xmlns:r="http://schemas.openxmlformats.org/officeDocument/2006/relationships" ref="I1340" r:id="rId2607"/>
    <hyperlink xmlns:r="http://schemas.openxmlformats.org/officeDocument/2006/relationships" ref="J1340" display="11" r:id="rId2608"/>
    <hyperlink xmlns:r="http://schemas.openxmlformats.org/officeDocument/2006/relationships" ref="K1340" display="13/07/2012" r:id="rId2609"/>
    <hyperlink xmlns:r="http://schemas.openxmlformats.org/officeDocument/2006/relationships" ref="L1340" r:id="rId2610"/>
    <hyperlink xmlns:r="http://schemas.openxmlformats.org/officeDocument/2006/relationships" ref="I1342" r:id="rId2611"/>
    <hyperlink xmlns:r="http://schemas.openxmlformats.org/officeDocument/2006/relationships" ref="J1342" display="156" r:id="rId2612"/>
    <hyperlink xmlns:r="http://schemas.openxmlformats.org/officeDocument/2006/relationships" ref="K1342" display="01/06/2012" r:id="rId2613"/>
    <hyperlink xmlns:r="http://schemas.openxmlformats.org/officeDocument/2006/relationships" ref="I1344" r:id="rId2614"/>
    <hyperlink xmlns:r="http://schemas.openxmlformats.org/officeDocument/2006/relationships" ref="J1344" display="40" r:id="rId2615"/>
    <hyperlink xmlns:r="http://schemas.openxmlformats.org/officeDocument/2006/relationships" ref="K1344" display="01/06/2012" r:id="rId2616"/>
    <hyperlink xmlns:r="http://schemas.openxmlformats.org/officeDocument/2006/relationships" ref="I1346" r:id="rId2617"/>
    <hyperlink xmlns:r="http://schemas.openxmlformats.org/officeDocument/2006/relationships" ref="J1346" display="244" r:id="rId2618"/>
    <hyperlink xmlns:r="http://schemas.openxmlformats.org/officeDocument/2006/relationships" ref="K1346" display="04/05/2012" r:id="rId2619"/>
    <hyperlink xmlns:r="http://schemas.openxmlformats.org/officeDocument/2006/relationships" ref="I1348" r:id="rId2620"/>
    <hyperlink xmlns:r="http://schemas.openxmlformats.org/officeDocument/2006/relationships" ref="J1348" display="6" r:id="rId2621"/>
    <hyperlink xmlns:r="http://schemas.openxmlformats.org/officeDocument/2006/relationships" ref="K1348" display="28/04/2012" r:id="rId2622"/>
    <hyperlink xmlns:r="http://schemas.openxmlformats.org/officeDocument/2006/relationships" ref="L1348" r:id="rId2623"/>
    <hyperlink xmlns:r="http://schemas.openxmlformats.org/officeDocument/2006/relationships" ref="I1350" r:id="rId2624"/>
    <hyperlink xmlns:r="http://schemas.openxmlformats.org/officeDocument/2006/relationships" ref="J1350" display="8" r:id="rId2625"/>
    <hyperlink xmlns:r="http://schemas.openxmlformats.org/officeDocument/2006/relationships" ref="K1350" display="04/05/2012" r:id="rId2626"/>
    <hyperlink xmlns:r="http://schemas.openxmlformats.org/officeDocument/2006/relationships" ref="L1350" r:id="rId2627"/>
    <hyperlink xmlns:r="http://schemas.openxmlformats.org/officeDocument/2006/relationships" ref="I1352" r:id="rId2628"/>
    <hyperlink xmlns:r="http://schemas.openxmlformats.org/officeDocument/2006/relationships" ref="J1352" display="6" r:id="rId2629"/>
    <hyperlink xmlns:r="http://schemas.openxmlformats.org/officeDocument/2006/relationships" ref="K1352" display="28/04/2012" r:id="rId2630"/>
    <hyperlink xmlns:r="http://schemas.openxmlformats.org/officeDocument/2006/relationships" ref="L1352" r:id="rId2631"/>
    <hyperlink xmlns:r="http://schemas.openxmlformats.org/officeDocument/2006/relationships" ref="I1354" r:id="rId2632"/>
    <hyperlink xmlns:r="http://schemas.openxmlformats.org/officeDocument/2006/relationships" ref="J1354" display="77" r:id="rId2633"/>
    <hyperlink xmlns:r="http://schemas.openxmlformats.org/officeDocument/2006/relationships" ref="K1354" display="30/03/2012" r:id="rId2634"/>
    <hyperlink xmlns:r="http://schemas.openxmlformats.org/officeDocument/2006/relationships" ref="I1356" r:id="rId2635"/>
    <hyperlink xmlns:r="http://schemas.openxmlformats.org/officeDocument/2006/relationships" ref="J1356" display="2" r:id="rId2636"/>
    <hyperlink xmlns:r="http://schemas.openxmlformats.org/officeDocument/2006/relationships" ref="K1356" display="30/03/2012" r:id="rId2637"/>
    <hyperlink xmlns:r="http://schemas.openxmlformats.org/officeDocument/2006/relationships" ref="L1356" r:id="rId2638"/>
    <hyperlink xmlns:r="http://schemas.openxmlformats.org/officeDocument/2006/relationships" ref="I1358" r:id="rId2639"/>
    <hyperlink xmlns:r="http://schemas.openxmlformats.org/officeDocument/2006/relationships" ref="J1358" display="158" r:id="rId2640"/>
    <hyperlink xmlns:r="http://schemas.openxmlformats.org/officeDocument/2006/relationships" ref="K1358" display="03/02/2012" r:id="rId2641"/>
    <hyperlink xmlns:r="http://schemas.openxmlformats.org/officeDocument/2006/relationships" ref="I1360" r:id="rId2642"/>
    <hyperlink xmlns:r="http://schemas.openxmlformats.org/officeDocument/2006/relationships" ref="J1360" display="5" r:id="rId2643"/>
    <hyperlink xmlns:r="http://schemas.openxmlformats.org/officeDocument/2006/relationships" ref="K1360" display="28/01/2012" r:id="rId2644"/>
    <hyperlink xmlns:r="http://schemas.openxmlformats.org/officeDocument/2006/relationships" ref="L1360" r:id="rId2645"/>
    <hyperlink xmlns:r="http://schemas.openxmlformats.org/officeDocument/2006/relationships" ref="I1362" r:id="rId2646"/>
    <hyperlink xmlns:r="http://schemas.openxmlformats.org/officeDocument/2006/relationships" ref="J1362" display="4" r:id="rId2647"/>
    <hyperlink xmlns:r="http://schemas.openxmlformats.org/officeDocument/2006/relationships" ref="K1362" display="03/02/2012" r:id="rId2648"/>
    <hyperlink xmlns:r="http://schemas.openxmlformats.org/officeDocument/2006/relationships" ref="L1362" r:id="rId2649"/>
    <hyperlink xmlns:r="http://schemas.openxmlformats.org/officeDocument/2006/relationships" ref="I1364" r:id="rId2650"/>
    <hyperlink xmlns:r="http://schemas.openxmlformats.org/officeDocument/2006/relationships" ref="J1364" display="3" r:id="rId2651"/>
    <hyperlink xmlns:r="http://schemas.openxmlformats.org/officeDocument/2006/relationships" ref="K1364" display="01/01/2012" r:id="rId2652"/>
    <hyperlink xmlns:r="http://schemas.openxmlformats.org/officeDocument/2006/relationships" ref="L1364" r:id="rId2653"/>
    <hyperlink xmlns:r="http://schemas.openxmlformats.org/officeDocument/2006/relationships" ref="I1366" r:id="rId2654"/>
    <hyperlink xmlns:r="http://schemas.openxmlformats.org/officeDocument/2006/relationships" ref="J1366" display="3" r:id="rId2655"/>
    <hyperlink xmlns:r="http://schemas.openxmlformats.org/officeDocument/2006/relationships" ref="K1366" display="01/01/2012" r:id="rId2656"/>
    <hyperlink xmlns:r="http://schemas.openxmlformats.org/officeDocument/2006/relationships" ref="L1366" r:id="rId2657"/>
    <hyperlink xmlns:r="http://schemas.openxmlformats.org/officeDocument/2006/relationships" ref="I1368" r:id="rId2658"/>
    <hyperlink xmlns:r="http://schemas.openxmlformats.org/officeDocument/2006/relationships" ref="J1368" display="17" r:id="rId2659"/>
    <hyperlink xmlns:r="http://schemas.openxmlformats.org/officeDocument/2006/relationships" ref="K1368" display="01/01/2012" r:id="rId2660"/>
    <hyperlink xmlns:r="http://schemas.openxmlformats.org/officeDocument/2006/relationships" ref="L1368" r:id="rId2661"/>
    <hyperlink xmlns:r="http://schemas.openxmlformats.org/officeDocument/2006/relationships" ref="I1370" r:id="rId2662"/>
    <hyperlink xmlns:r="http://schemas.openxmlformats.org/officeDocument/2006/relationships" ref="J1370" display="2" r:id="rId2663"/>
    <hyperlink xmlns:r="http://schemas.openxmlformats.org/officeDocument/2006/relationships" ref="K1370" display="01/01/2012" r:id="rId2664"/>
    <hyperlink xmlns:r="http://schemas.openxmlformats.org/officeDocument/2006/relationships" ref="L1370" r:id="rId2665"/>
    <hyperlink xmlns:r="http://schemas.openxmlformats.org/officeDocument/2006/relationships" ref="I1372" r:id="rId2666"/>
    <hyperlink xmlns:r="http://schemas.openxmlformats.org/officeDocument/2006/relationships" ref="J1372" display="9" r:id="rId2667"/>
    <hyperlink xmlns:r="http://schemas.openxmlformats.org/officeDocument/2006/relationships" ref="K1372" display="01/01/2012" r:id="rId2668"/>
    <hyperlink xmlns:r="http://schemas.openxmlformats.org/officeDocument/2006/relationships" ref="L1372" r:id="rId2669"/>
    <hyperlink xmlns:r="http://schemas.openxmlformats.org/officeDocument/2006/relationships" ref="I1374" r:id="rId2670"/>
    <hyperlink xmlns:r="http://schemas.openxmlformats.org/officeDocument/2006/relationships" ref="J1374" display="13" r:id="rId2671"/>
    <hyperlink xmlns:r="http://schemas.openxmlformats.org/officeDocument/2006/relationships" ref="K1374" display="01/01/2012" r:id="rId2672"/>
    <hyperlink xmlns:r="http://schemas.openxmlformats.org/officeDocument/2006/relationships" ref="L1374" r:id="rId2673"/>
    <hyperlink xmlns:r="http://schemas.openxmlformats.org/officeDocument/2006/relationships" ref="I1376" r:id="rId2674"/>
    <hyperlink xmlns:r="http://schemas.openxmlformats.org/officeDocument/2006/relationships" ref="J1376" display="30" r:id="rId2675"/>
    <hyperlink xmlns:r="http://schemas.openxmlformats.org/officeDocument/2006/relationships" ref="K1376" display="18/11/2011" r:id="rId2676"/>
    <hyperlink xmlns:r="http://schemas.openxmlformats.org/officeDocument/2006/relationships" ref="L1376" r:id="rId2677"/>
    <hyperlink xmlns:r="http://schemas.openxmlformats.org/officeDocument/2006/relationships" ref="I1378" r:id="rId2678"/>
    <hyperlink xmlns:r="http://schemas.openxmlformats.org/officeDocument/2006/relationships" ref="J1378" display="264" r:id="rId2679"/>
    <hyperlink xmlns:r="http://schemas.openxmlformats.org/officeDocument/2006/relationships" ref="K1378" display="30/09/2011" r:id="rId2680"/>
    <hyperlink xmlns:r="http://schemas.openxmlformats.org/officeDocument/2006/relationships" ref="I1380" r:id="rId2681"/>
    <hyperlink xmlns:r="http://schemas.openxmlformats.org/officeDocument/2006/relationships" ref="J1380" display="5" r:id="rId2682"/>
    <hyperlink xmlns:r="http://schemas.openxmlformats.org/officeDocument/2006/relationships" ref="K1380" display="24/09/2011" r:id="rId2683"/>
    <hyperlink xmlns:r="http://schemas.openxmlformats.org/officeDocument/2006/relationships" ref="L1380" r:id="rId2684"/>
    <hyperlink xmlns:r="http://schemas.openxmlformats.org/officeDocument/2006/relationships" ref="I1382" r:id="rId2685"/>
    <hyperlink xmlns:r="http://schemas.openxmlformats.org/officeDocument/2006/relationships" ref="J1382" display="13" r:id="rId2686"/>
    <hyperlink xmlns:r="http://schemas.openxmlformats.org/officeDocument/2006/relationships" ref="K1382" display="30/09/2011" r:id="rId2687"/>
    <hyperlink xmlns:r="http://schemas.openxmlformats.org/officeDocument/2006/relationships" ref="L1382" r:id="rId2688"/>
    <hyperlink xmlns:r="http://schemas.openxmlformats.org/officeDocument/2006/relationships" ref="I1384" r:id="rId2689"/>
    <hyperlink xmlns:r="http://schemas.openxmlformats.org/officeDocument/2006/relationships" ref="J1384" display="80" r:id="rId2690"/>
    <hyperlink xmlns:r="http://schemas.openxmlformats.org/officeDocument/2006/relationships" ref="K1384" display="02/09/2011" r:id="rId2691"/>
    <hyperlink xmlns:r="http://schemas.openxmlformats.org/officeDocument/2006/relationships" ref="I1386" r:id="rId2692"/>
    <hyperlink xmlns:r="http://schemas.openxmlformats.org/officeDocument/2006/relationships" ref="J1386" display="2" r:id="rId2693"/>
    <hyperlink xmlns:r="http://schemas.openxmlformats.org/officeDocument/2006/relationships" ref="K1386" display="02/09/2011" r:id="rId2694"/>
    <hyperlink xmlns:r="http://schemas.openxmlformats.org/officeDocument/2006/relationships" ref="L1386" r:id="rId2695"/>
    <hyperlink xmlns:r="http://schemas.openxmlformats.org/officeDocument/2006/relationships" ref="I1388" r:id="rId2696"/>
    <hyperlink xmlns:r="http://schemas.openxmlformats.org/officeDocument/2006/relationships" ref="J1388" display="15" r:id="rId2697"/>
    <hyperlink xmlns:r="http://schemas.openxmlformats.org/officeDocument/2006/relationships" ref="K1388" display="26/08/2011" r:id="rId2698"/>
    <hyperlink xmlns:r="http://schemas.openxmlformats.org/officeDocument/2006/relationships" ref="L1388" r:id="rId2699"/>
    <hyperlink xmlns:r="http://schemas.openxmlformats.org/officeDocument/2006/relationships" ref="I1390" r:id="rId2700"/>
    <hyperlink xmlns:r="http://schemas.openxmlformats.org/officeDocument/2006/relationships" ref="J1390" display="249" r:id="rId2701"/>
    <hyperlink xmlns:r="http://schemas.openxmlformats.org/officeDocument/2006/relationships" ref="K1390" display="15/07/2011" r:id="rId2702"/>
    <hyperlink xmlns:r="http://schemas.openxmlformats.org/officeDocument/2006/relationships" ref="I1392" r:id="rId2703"/>
    <hyperlink xmlns:r="http://schemas.openxmlformats.org/officeDocument/2006/relationships" ref="J1392" display="3" r:id="rId2704"/>
    <hyperlink xmlns:r="http://schemas.openxmlformats.org/officeDocument/2006/relationships" ref="K1392" display="14/07/2011" r:id="rId2705"/>
    <hyperlink xmlns:r="http://schemas.openxmlformats.org/officeDocument/2006/relationships" ref="L1392" r:id="rId2706"/>
    <hyperlink xmlns:r="http://schemas.openxmlformats.org/officeDocument/2006/relationships" ref="I1394" r:id="rId2707"/>
    <hyperlink xmlns:r="http://schemas.openxmlformats.org/officeDocument/2006/relationships" ref="J1394" display="7" r:id="rId2708"/>
    <hyperlink xmlns:r="http://schemas.openxmlformats.org/officeDocument/2006/relationships" ref="K1394" display="15/07/2011" r:id="rId2709"/>
    <hyperlink xmlns:r="http://schemas.openxmlformats.org/officeDocument/2006/relationships" ref="L1394" r:id="rId2710"/>
    <hyperlink xmlns:r="http://schemas.openxmlformats.org/officeDocument/2006/relationships" ref="I1396" r:id="rId2711"/>
    <hyperlink xmlns:r="http://schemas.openxmlformats.org/officeDocument/2006/relationships" ref="J1396" display="318" r:id="rId2712"/>
    <hyperlink xmlns:r="http://schemas.openxmlformats.org/officeDocument/2006/relationships" ref="K1396" display="17/06/2011" r:id="rId2713"/>
    <hyperlink xmlns:r="http://schemas.openxmlformats.org/officeDocument/2006/relationships" ref="I1398" r:id="rId2714"/>
    <hyperlink xmlns:r="http://schemas.openxmlformats.org/officeDocument/2006/relationships" ref="J1398" display="5" r:id="rId2715"/>
    <hyperlink xmlns:r="http://schemas.openxmlformats.org/officeDocument/2006/relationships" ref="K1398" display="17/06/2011" r:id="rId2716"/>
    <hyperlink xmlns:r="http://schemas.openxmlformats.org/officeDocument/2006/relationships" ref="L1398" r:id="rId2717"/>
    <hyperlink xmlns:r="http://schemas.openxmlformats.org/officeDocument/2006/relationships" ref="I1400" r:id="rId2718"/>
    <hyperlink xmlns:r="http://schemas.openxmlformats.org/officeDocument/2006/relationships" ref="J1400" display="15" r:id="rId2719"/>
    <hyperlink xmlns:r="http://schemas.openxmlformats.org/officeDocument/2006/relationships" ref="K1400" display="17/06/2011" r:id="rId2720"/>
    <hyperlink xmlns:r="http://schemas.openxmlformats.org/officeDocument/2006/relationships" ref="L1400" r:id="rId2721"/>
    <hyperlink xmlns:r="http://schemas.openxmlformats.org/officeDocument/2006/relationships" ref="I1402" r:id="rId2722"/>
    <hyperlink xmlns:r="http://schemas.openxmlformats.org/officeDocument/2006/relationships" ref="J1402" display="88" r:id="rId2723"/>
    <hyperlink xmlns:r="http://schemas.openxmlformats.org/officeDocument/2006/relationships" ref="K1402" display="14/05/2011" r:id="rId2724"/>
    <hyperlink xmlns:r="http://schemas.openxmlformats.org/officeDocument/2006/relationships" ref="L1402" r:id="rId2725"/>
    <hyperlink xmlns:r="http://schemas.openxmlformats.org/officeDocument/2006/relationships" ref="I1404" r:id="rId2726"/>
    <hyperlink xmlns:r="http://schemas.openxmlformats.org/officeDocument/2006/relationships" ref="J1404" display="175" r:id="rId2727"/>
    <hyperlink xmlns:r="http://schemas.openxmlformats.org/officeDocument/2006/relationships" ref="K1404" display="13/05/2011" r:id="rId2728"/>
    <hyperlink xmlns:r="http://schemas.openxmlformats.org/officeDocument/2006/relationships" ref="I1406" r:id="rId2729"/>
    <hyperlink xmlns:r="http://schemas.openxmlformats.org/officeDocument/2006/relationships" ref="J1406" display="4" r:id="rId2730"/>
    <hyperlink xmlns:r="http://schemas.openxmlformats.org/officeDocument/2006/relationships" ref="K1406" display="12/05/2011" r:id="rId2731"/>
    <hyperlink xmlns:r="http://schemas.openxmlformats.org/officeDocument/2006/relationships" ref="L1406" r:id="rId2732"/>
    <hyperlink xmlns:r="http://schemas.openxmlformats.org/officeDocument/2006/relationships" ref="I1408" r:id="rId2733"/>
    <hyperlink xmlns:r="http://schemas.openxmlformats.org/officeDocument/2006/relationships" ref="J1408" display="5" r:id="rId2734"/>
    <hyperlink xmlns:r="http://schemas.openxmlformats.org/officeDocument/2006/relationships" ref="K1408" display="13/05/2011" r:id="rId2735"/>
    <hyperlink xmlns:r="http://schemas.openxmlformats.org/officeDocument/2006/relationships" ref="L1408" r:id="rId2736"/>
    <hyperlink xmlns:r="http://schemas.openxmlformats.org/officeDocument/2006/relationships" ref="I1410" r:id="rId2737"/>
    <hyperlink xmlns:r="http://schemas.openxmlformats.org/officeDocument/2006/relationships" ref="J1410" display="81" r:id="rId2738"/>
    <hyperlink xmlns:r="http://schemas.openxmlformats.org/officeDocument/2006/relationships" ref="K1410" display="01/04/2011" r:id="rId2739"/>
    <hyperlink xmlns:r="http://schemas.openxmlformats.org/officeDocument/2006/relationships" ref="I1412" r:id="rId2740"/>
    <hyperlink xmlns:r="http://schemas.openxmlformats.org/officeDocument/2006/relationships" ref="J1412" display="1" r:id="rId2741"/>
    <hyperlink xmlns:r="http://schemas.openxmlformats.org/officeDocument/2006/relationships" ref="K1412" display="01/04/2011" r:id="rId2742"/>
    <hyperlink xmlns:r="http://schemas.openxmlformats.org/officeDocument/2006/relationships" ref="L1412" r:id="rId2743"/>
    <hyperlink xmlns:r="http://schemas.openxmlformats.org/officeDocument/2006/relationships" ref="I1414" r:id="rId2744"/>
    <hyperlink xmlns:r="http://schemas.openxmlformats.org/officeDocument/2006/relationships" ref="J1414" display="155" r:id="rId2745"/>
    <hyperlink xmlns:r="http://schemas.openxmlformats.org/officeDocument/2006/relationships" ref="K1414" display="04/02/2011" r:id="rId2746"/>
    <hyperlink xmlns:r="http://schemas.openxmlformats.org/officeDocument/2006/relationships" ref="I1416" r:id="rId2747"/>
    <hyperlink xmlns:r="http://schemas.openxmlformats.org/officeDocument/2006/relationships" ref="J1416" display="4" r:id="rId2748"/>
    <hyperlink xmlns:r="http://schemas.openxmlformats.org/officeDocument/2006/relationships" ref="K1416" display="03/02/2011" r:id="rId2749"/>
    <hyperlink xmlns:r="http://schemas.openxmlformats.org/officeDocument/2006/relationships" ref="L1416" r:id="rId2750"/>
    <hyperlink xmlns:r="http://schemas.openxmlformats.org/officeDocument/2006/relationships" ref="I1418" r:id="rId2751"/>
    <hyperlink xmlns:r="http://schemas.openxmlformats.org/officeDocument/2006/relationships" ref="J1418" display="6" r:id="rId2752"/>
    <hyperlink xmlns:r="http://schemas.openxmlformats.org/officeDocument/2006/relationships" ref="K1418" display="04/02/2011" r:id="rId2753"/>
    <hyperlink xmlns:r="http://schemas.openxmlformats.org/officeDocument/2006/relationships" ref="L1418" r:id="rId2754"/>
    <hyperlink xmlns:r="http://schemas.openxmlformats.org/officeDocument/2006/relationships" ref="I1420" r:id="rId2755"/>
    <hyperlink xmlns:r="http://schemas.openxmlformats.org/officeDocument/2006/relationships" ref="J1420" display="269" r:id="rId2756"/>
    <hyperlink xmlns:r="http://schemas.openxmlformats.org/officeDocument/2006/relationships" ref="K1420" display="10/01/2011" r:id="rId2757"/>
    <hyperlink xmlns:r="http://schemas.openxmlformats.org/officeDocument/2006/relationships" ref="L1420" r:id="rId2758"/>
    <hyperlink xmlns:r="http://schemas.openxmlformats.org/officeDocument/2006/relationships" ref="I1422" r:id="rId2759"/>
    <hyperlink xmlns:r="http://schemas.openxmlformats.org/officeDocument/2006/relationships" ref="J1422" display="5" r:id="rId2760"/>
    <hyperlink xmlns:r="http://schemas.openxmlformats.org/officeDocument/2006/relationships" ref="K1422" display="01/01/2011" r:id="rId2761"/>
    <hyperlink xmlns:r="http://schemas.openxmlformats.org/officeDocument/2006/relationships" ref="L1422" r:id="rId2762"/>
    <hyperlink xmlns:r="http://schemas.openxmlformats.org/officeDocument/2006/relationships" ref="I1424" r:id="rId2763"/>
    <hyperlink xmlns:r="http://schemas.openxmlformats.org/officeDocument/2006/relationships" ref="J1424" display="3" r:id="rId2764"/>
    <hyperlink xmlns:r="http://schemas.openxmlformats.org/officeDocument/2006/relationships" ref="K1424" display="01/01/2011" r:id="rId2765"/>
    <hyperlink xmlns:r="http://schemas.openxmlformats.org/officeDocument/2006/relationships" ref="L1424" r:id="rId2766"/>
    <hyperlink xmlns:r="http://schemas.openxmlformats.org/officeDocument/2006/relationships" ref="I1426" r:id="rId2767"/>
    <hyperlink xmlns:r="http://schemas.openxmlformats.org/officeDocument/2006/relationships" ref="J1426" display="3" r:id="rId2768"/>
    <hyperlink xmlns:r="http://schemas.openxmlformats.org/officeDocument/2006/relationships" ref="K1426" display="01/01/2011" r:id="rId2769"/>
    <hyperlink xmlns:r="http://schemas.openxmlformats.org/officeDocument/2006/relationships" ref="L1426" r:id="rId2770"/>
    <hyperlink xmlns:r="http://schemas.openxmlformats.org/officeDocument/2006/relationships" ref="I1428" r:id="rId2771"/>
    <hyperlink xmlns:r="http://schemas.openxmlformats.org/officeDocument/2006/relationships" ref="J1428" display="224" r:id="rId2772"/>
    <hyperlink xmlns:r="http://schemas.openxmlformats.org/officeDocument/2006/relationships" ref="K1428" display="01/01/2011" r:id="rId2773"/>
    <hyperlink xmlns:r="http://schemas.openxmlformats.org/officeDocument/2006/relationships" ref="L1428" r:id="rId2774"/>
    <hyperlink xmlns:r="http://schemas.openxmlformats.org/officeDocument/2006/relationships" ref="I1430" r:id="rId2775"/>
    <hyperlink xmlns:r="http://schemas.openxmlformats.org/officeDocument/2006/relationships" ref="J1430" display="27" r:id="rId2776"/>
    <hyperlink xmlns:r="http://schemas.openxmlformats.org/officeDocument/2006/relationships" ref="K1430" display="01/01/2011" r:id="rId2777"/>
    <hyperlink xmlns:r="http://schemas.openxmlformats.org/officeDocument/2006/relationships" ref="L1430" r:id="rId2778"/>
    <hyperlink xmlns:r="http://schemas.openxmlformats.org/officeDocument/2006/relationships" ref="I1432" r:id="rId2779"/>
    <hyperlink xmlns:r="http://schemas.openxmlformats.org/officeDocument/2006/relationships" ref="J1432" display="8" r:id="rId2780"/>
    <hyperlink xmlns:r="http://schemas.openxmlformats.org/officeDocument/2006/relationships" ref="K1432" display="01/01/2011" r:id="rId2781"/>
    <hyperlink xmlns:r="http://schemas.openxmlformats.org/officeDocument/2006/relationships" ref="L1432" r:id="rId2782"/>
    <hyperlink xmlns:r="http://schemas.openxmlformats.org/officeDocument/2006/relationships" ref="I1434" r:id="rId2783"/>
    <hyperlink xmlns:r="http://schemas.openxmlformats.org/officeDocument/2006/relationships" ref="J1434" display="7" r:id="rId2784"/>
    <hyperlink xmlns:r="http://schemas.openxmlformats.org/officeDocument/2006/relationships" ref="K1434" display="01/01/2011" r:id="rId2785"/>
    <hyperlink xmlns:r="http://schemas.openxmlformats.org/officeDocument/2006/relationships" ref="L1434" r:id="rId2786"/>
    <hyperlink xmlns:r="http://schemas.openxmlformats.org/officeDocument/2006/relationships" ref="I1436" r:id="rId2787"/>
    <hyperlink xmlns:r="http://schemas.openxmlformats.org/officeDocument/2006/relationships" ref="J1436" display="12" r:id="rId2788"/>
    <hyperlink xmlns:r="http://schemas.openxmlformats.org/officeDocument/2006/relationships" ref="K1436" display="01/01/2011" r:id="rId2789"/>
    <hyperlink xmlns:r="http://schemas.openxmlformats.org/officeDocument/2006/relationships" ref="L1436" r:id="rId2790"/>
    <hyperlink xmlns:r="http://schemas.openxmlformats.org/officeDocument/2006/relationships" ref="I1438" r:id="rId2791"/>
    <hyperlink xmlns:r="http://schemas.openxmlformats.org/officeDocument/2006/relationships" ref="J1438" display="34" r:id="rId2792"/>
    <hyperlink xmlns:r="http://schemas.openxmlformats.org/officeDocument/2006/relationships" ref="K1438" display="19/11/2010" r:id="rId2793"/>
    <hyperlink xmlns:r="http://schemas.openxmlformats.org/officeDocument/2006/relationships" ref="L1438" r:id="rId2794"/>
    <hyperlink xmlns:r="http://schemas.openxmlformats.org/officeDocument/2006/relationships" ref="I1440" r:id="rId2795"/>
    <hyperlink xmlns:r="http://schemas.openxmlformats.org/officeDocument/2006/relationships" ref="J1440" display="197" r:id="rId2796"/>
    <hyperlink xmlns:r="http://schemas.openxmlformats.org/officeDocument/2006/relationships" ref="K1440" display="08/11/2010" r:id="rId2797"/>
    <hyperlink xmlns:r="http://schemas.openxmlformats.org/officeDocument/2006/relationships" ref="L1440" r:id="rId2798"/>
    <hyperlink xmlns:r="http://schemas.openxmlformats.org/officeDocument/2006/relationships" ref="I1442" r:id="rId2799"/>
    <hyperlink xmlns:r="http://schemas.openxmlformats.org/officeDocument/2006/relationships" ref="J1442" display="249" r:id="rId2800"/>
    <hyperlink xmlns:r="http://schemas.openxmlformats.org/officeDocument/2006/relationships" ref="K1442" display="01/10/2010" r:id="rId2801"/>
    <hyperlink xmlns:r="http://schemas.openxmlformats.org/officeDocument/2006/relationships" ref="I1444" r:id="rId2802"/>
    <hyperlink xmlns:r="http://schemas.openxmlformats.org/officeDocument/2006/relationships" ref="J1444" display="4" r:id="rId2803"/>
    <hyperlink xmlns:r="http://schemas.openxmlformats.org/officeDocument/2006/relationships" ref="K1444" display="30/09/2010" r:id="rId2804"/>
    <hyperlink xmlns:r="http://schemas.openxmlformats.org/officeDocument/2006/relationships" ref="L1444" r:id="rId2805"/>
    <hyperlink xmlns:r="http://schemas.openxmlformats.org/officeDocument/2006/relationships" ref="I1446" r:id="rId2806"/>
    <hyperlink xmlns:r="http://schemas.openxmlformats.org/officeDocument/2006/relationships" ref="J1446" display="10" r:id="rId2807"/>
    <hyperlink xmlns:r="http://schemas.openxmlformats.org/officeDocument/2006/relationships" ref="K1446" display="01/10/2010" r:id="rId2808"/>
    <hyperlink xmlns:r="http://schemas.openxmlformats.org/officeDocument/2006/relationships" ref="L1446" r:id="rId2809"/>
    <hyperlink xmlns:r="http://schemas.openxmlformats.org/officeDocument/2006/relationships" ref="I1448" r:id="rId2810"/>
    <hyperlink xmlns:r="http://schemas.openxmlformats.org/officeDocument/2006/relationships" ref="J1448" display="79" r:id="rId2811"/>
    <hyperlink xmlns:r="http://schemas.openxmlformats.org/officeDocument/2006/relationships" ref="K1448" display="03/09/2010" r:id="rId2812"/>
    <hyperlink xmlns:r="http://schemas.openxmlformats.org/officeDocument/2006/relationships" ref="I1450" r:id="rId2813"/>
    <hyperlink xmlns:r="http://schemas.openxmlformats.org/officeDocument/2006/relationships" ref="J1450" display="1" r:id="rId2814"/>
    <hyperlink xmlns:r="http://schemas.openxmlformats.org/officeDocument/2006/relationships" ref="K1450" display="03/09/2010" r:id="rId2815"/>
    <hyperlink xmlns:r="http://schemas.openxmlformats.org/officeDocument/2006/relationships" ref="L1450" r:id="rId2816"/>
    <hyperlink xmlns:r="http://schemas.openxmlformats.org/officeDocument/2006/relationships" ref="I1452" r:id="rId2817"/>
    <hyperlink xmlns:r="http://schemas.openxmlformats.org/officeDocument/2006/relationships" ref="J1452" display="15" r:id="rId2818"/>
    <hyperlink xmlns:r="http://schemas.openxmlformats.org/officeDocument/2006/relationships" ref="K1452" display="27/08/2010" r:id="rId2819"/>
    <hyperlink xmlns:r="http://schemas.openxmlformats.org/officeDocument/2006/relationships" ref="L1452" r:id="rId2820"/>
    <hyperlink xmlns:r="http://schemas.openxmlformats.org/officeDocument/2006/relationships" ref="I1454" r:id="rId2821"/>
    <hyperlink xmlns:r="http://schemas.openxmlformats.org/officeDocument/2006/relationships" ref="J1454" display="249" r:id="rId2822"/>
    <hyperlink xmlns:r="http://schemas.openxmlformats.org/officeDocument/2006/relationships" ref="K1454" display="16/07/2010" r:id="rId2823"/>
    <hyperlink xmlns:r="http://schemas.openxmlformats.org/officeDocument/2006/relationships" ref="I1456" r:id="rId2824"/>
    <hyperlink xmlns:r="http://schemas.openxmlformats.org/officeDocument/2006/relationships" ref="J1456" display="6" r:id="rId2825"/>
    <hyperlink xmlns:r="http://schemas.openxmlformats.org/officeDocument/2006/relationships" ref="K1456" display="15/07/2010" r:id="rId2826"/>
    <hyperlink xmlns:r="http://schemas.openxmlformats.org/officeDocument/2006/relationships" ref="I1458" r:id="rId2827"/>
    <hyperlink xmlns:r="http://schemas.openxmlformats.org/officeDocument/2006/relationships" ref="J1458" display="6" r:id="rId2828"/>
    <hyperlink xmlns:r="http://schemas.openxmlformats.org/officeDocument/2006/relationships" ref="K1458" display="16/07/2010" r:id="rId2829"/>
    <hyperlink xmlns:r="http://schemas.openxmlformats.org/officeDocument/2006/relationships" ref="L1458" r:id="rId2830"/>
    <hyperlink xmlns:r="http://schemas.openxmlformats.org/officeDocument/2006/relationships" ref="I1460" r:id="rId2831"/>
    <hyperlink xmlns:r="http://schemas.openxmlformats.org/officeDocument/2006/relationships" ref="J1460" display="150" r:id="rId2832"/>
    <hyperlink xmlns:r="http://schemas.openxmlformats.org/officeDocument/2006/relationships" ref="K1460" display="18/06/2010" r:id="rId2833"/>
    <hyperlink xmlns:r="http://schemas.openxmlformats.org/officeDocument/2006/relationships" ref="L1460" r:id="rId2834"/>
    <hyperlink xmlns:r="http://schemas.openxmlformats.org/officeDocument/2006/relationships" ref="I1462" r:id="rId2835"/>
    <hyperlink xmlns:r="http://schemas.openxmlformats.org/officeDocument/2006/relationships" ref="J1462" display="45" r:id="rId2836"/>
    <hyperlink xmlns:r="http://schemas.openxmlformats.org/officeDocument/2006/relationships" ref="K1462" display="18/06/2010" r:id="rId2837"/>
    <hyperlink xmlns:r="http://schemas.openxmlformats.org/officeDocument/2006/relationships" ref="L1462" r:id="rId2838"/>
    <hyperlink xmlns:r="http://schemas.openxmlformats.org/officeDocument/2006/relationships" ref="I1464" r:id="rId2839"/>
    <hyperlink xmlns:r="http://schemas.openxmlformats.org/officeDocument/2006/relationships" ref="J1464" display="113" r:id="rId2840"/>
    <hyperlink xmlns:r="http://schemas.openxmlformats.org/officeDocument/2006/relationships" ref="K1464" display="04/06/2010" r:id="rId2841"/>
    <hyperlink xmlns:r="http://schemas.openxmlformats.org/officeDocument/2006/relationships" ref="L1464" r:id="rId2842"/>
    <hyperlink xmlns:r="http://schemas.openxmlformats.org/officeDocument/2006/relationships" ref="I1466" r:id="rId2843"/>
    <hyperlink xmlns:r="http://schemas.openxmlformats.org/officeDocument/2006/relationships" ref="J1466" display="248" r:id="rId2844"/>
    <hyperlink xmlns:r="http://schemas.openxmlformats.org/officeDocument/2006/relationships" ref="K1466" display="23/04/2010" r:id="rId2845"/>
    <hyperlink xmlns:r="http://schemas.openxmlformats.org/officeDocument/2006/relationships" ref="I1468" r:id="rId2846"/>
    <hyperlink xmlns:r="http://schemas.openxmlformats.org/officeDocument/2006/relationships" ref="J1468" display="4" r:id="rId2847"/>
    <hyperlink xmlns:r="http://schemas.openxmlformats.org/officeDocument/2006/relationships" ref="K1468" display="23/04/2010" r:id="rId2848"/>
    <hyperlink xmlns:r="http://schemas.openxmlformats.org/officeDocument/2006/relationships" ref="I1470" r:id="rId2849"/>
    <hyperlink xmlns:r="http://schemas.openxmlformats.org/officeDocument/2006/relationships" ref="J1470" display="7" r:id="rId2850"/>
    <hyperlink xmlns:r="http://schemas.openxmlformats.org/officeDocument/2006/relationships" ref="K1470" display="23/04/2010" r:id="rId2851"/>
    <hyperlink xmlns:r="http://schemas.openxmlformats.org/officeDocument/2006/relationships" ref="L1470" r:id="rId2852"/>
    <hyperlink xmlns:r="http://schemas.openxmlformats.org/officeDocument/2006/relationships" ref="I1472" r:id="rId2853"/>
    <hyperlink xmlns:r="http://schemas.openxmlformats.org/officeDocument/2006/relationships" ref="J1472" display="71" r:id="rId2854"/>
    <hyperlink xmlns:r="http://schemas.openxmlformats.org/officeDocument/2006/relationships" ref="K1472" display="19/03/2010" r:id="rId2855"/>
    <hyperlink xmlns:r="http://schemas.openxmlformats.org/officeDocument/2006/relationships" ref="I1474" r:id="rId2856"/>
    <hyperlink xmlns:r="http://schemas.openxmlformats.org/officeDocument/2006/relationships" ref="J1474" display="3" r:id="rId2857"/>
    <hyperlink xmlns:r="http://schemas.openxmlformats.org/officeDocument/2006/relationships" ref="K1474" display="19/03/2010" r:id="rId2858"/>
    <hyperlink xmlns:r="http://schemas.openxmlformats.org/officeDocument/2006/relationships" ref="L1474" r:id="rId2859"/>
    <hyperlink xmlns:r="http://schemas.openxmlformats.org/officeDocument/2006/relationships" ref="I1476" r:id="rId2860"/>
    <hyperlink xmlns:r="http://schemas.openxmlformats.org/officeDocument/2006/relationships" ref="J1476" display="145" r:id="rId2861"/>
    <hyperlink xmlns:r="http://schemas.openxmlformats.org/officeDocument/2006/relationships" ref="K1476" display="05/02/2010" r:id="rId2862"/>
    <hyperlink xmlns:r="http://schemas.openxmlformats.org/officeDocument/2006/relationships" ref="I1478" r:id="rId2863"/>
    <hyperlink xmlns:r="http://schemas.openxmlformats.org/officeDocument/2006/relationships" ref="J1478" display="6" r:id="rId2864"/>
    <hyperlink xmlns:r="http://schemas.openxmlformats.org/officeDocument/2006/relationships" ref="K1478" display="05/02/2010" r:id="rId2865"/>
    <hyperlink xmlns:r="http://schemas.openxmlformats.org/officeDocument/2006/relationships" ref="I1480" r:id="rId2866"/>
    <hyperlink xmlns:r="http://schemas.openxmlformats.org/officeDocument/2006/relationships" ref="J1480" display="6" r:id="rId2867"/>
    <hyperlink xmlns:r="http://schemas.openxmlformats.org/officeDocument/2006/relationships" ref="K1480" display="05/02/2010" r:id="rId2868"/>
    <hyperlink xmlns:r="http://schemas.openxmlformats.org/officeDocument/2006/relationships" ref="L1480" r:id="rId2869"/>
    <hyperlink xmlns:r="http://schemas.openxmlformats.org/officeDocument/2006/relationships" ref="I1482" r:id="rId2870"/>
    <hyperlink xmlns:r="http://schemas.openxmlformats.org/officeDocument/2006/relationships" ref="J1482" display="2" r:id="rId2871"/>
    <hyperlink xmlns:r="http://schemas.openxmlformats.org/officeDocument/2006/relationships" ref="K1482" display="01/01/2010" r:id="rId2872"/>
    <hyperlink xmlns:r="http://schemas.openxmlformats.org/officeDocument/2006/relationships" ref="L1482" r:id="rId2873"/>
    <hyperlink xmlns:r="http://schemas.openxmlformats.org/officeDocument/2006/relationships" ref="I1484" r:id="rId2874"/>
    <hyperlink xmlns:r="http://schemas.openxmlformats.org/officeDocument/2006/relationships" ref="J1484" display="5" r:id="rId2875"/>
    <hyperlink xmlns:r="http://schemas.openxmlformats.org/officeDocument/2006/relationships" ref="K1484" display="01/01/2010" r:id="rId2876"/>
    <hyperlink xmlns:r="http://schemas.openxmlformats.org/officeDocument/2006/relationships" ref="L1484" r:id="rId2877"/>
    <hyperlink xmlns:r="http://schemas.openxmlformats.org/officeDocument/2006/relationships" ref="I1486" r:id="rId2878"/>
    <hyperlink xmlns:r="http://schemas.openxmlformats.org/officeDocument/2006/relationships" ref="J1486" display="13" r:id="rId2879"/>
    <hyperlink xmlns:r="http://schemas.openxmlformats.org/officeDocument/2006/relationships" ref="K1486" display="01/01/2010" r:id="rId2880"/>
    <hyperlink xmlns:r="http://schemas.openxmlformats.org/officeDocument/2006/relationships" ref="L1486" r:id="rId2881"/>
    <hyperlink xmlns:r="http://schemas.openxmlformats.org/officeDocument/2006/relationships" ref="I1488" r:id="rId2882"/>
    <hyperlink xmlns:r="http://schemas.openxmlformats.org/officeDocument/2006/relationships" ref="J1488" display="8" r:id="rId2883"/>
    <hyperlink xmlns:r="http://schemas.openxmlformats.org/officeDocument/2006/relationships" ref="K1488" display="01/01/2010" r:id="rId2884"/>
    <hyperlink xmlns:r="http://schemas.openxmlformats.org/officeDocument/2006/relationships" ref="L1488" r:id="rId2885"/>
    <hyperlink xmlns:r="http://schemas.openxmlformats.org/officeDocument/2006/relationships" ref="I1490" r:id="rId2886"/>
    <hyperlink xmlns:r="http://schemas.openxmlformats.org/officeDocument/2006/relationships" ref="J1490" display="12" r:id="rId2887"/>
    <hyperlink xmlns:r="http://schemas.openxmlformats.org/officeDocument/2006/relationships" ref="K1490" display="01/01/2010" r:id="rId2888"/>
    <hyperlink xmlns:r="http://schemas.openxmlformats.org/officeDocument/2006/relationships" ref="L1490" r:id="rId2889"/>
    <hyperlink xmlns:r="http://schemas.openxmlformats.org/officeDocument/2006/relationships" ref="I1492" r:id="rId2890"/>
    <hyperlink xmlns:r="http://schemas.openxmlformats.org/officeDocument/2006/relationships" ref="J1492" display="41" r:id="rId2891"/>
    <hyperlink xmlns:r="http://schemas.openxmlformats.org/officeDocument/2006/relationships" ref="K1492" display="20/11/2009" r:id="rId2892"/>
    <hyperlink xmlns:r="http://schemas.openxmlformats.org/officeDocument/2006/relationships" ref="L1492" r:id="rId2893"/>
    <hyperlink xmlns:r="http://schemas.openxmlformats.org/officeDocument/2006/relationships" ref="I1494" r:id="rId2894"/>
    <hyperlink xmlns:r="http://schemas.openxmlformats.org/officeDocument/2006/relationships" ref="J1494" display="63" r:id="rId2895"/>
    <hyperlink xmlns:r="http://schemas.openxmlformats.org/officeDocument/2006/relationships" ref="K1494" display="30/10/2009" r:id="rId2896"/>
    <hyperlink xmlns:r="http://schemas.openxmlformats.org/officeDocument/2006/relationships" ref="L1494" r:id="rId2897"/>
    <hyperlink xmlns:r="http://schemas.openxmlformats.org/officeDocument/2006/relationships" ref="I1496" r:id="rId2898"/>
    <hyperlink xmlns:r="http://schemas.openxmlformats.org/officeDocument/2006/relationships" ref="J1496" display="3" r:id="rId2899"/>
    <hyperlink xmlns:r="http://schemas.openxmlformats.org/officeDocument/2006/relationships" ref="K1496" display="30/10/2009" r:id="rId2900"/>
    <hyperlink xmlns:r="http://schemas.openxmlformats.org/officeDocument/2006/relationships" ref="L1496" r:id="rId2901"/>
    <hyperlink xmlns:r="http://schemas.openxmlformats.org/officeDocument/2006/relationships" ref="I1498" r:id="rId2902"/>
    <hyperlink xmlns:r="http://schemas.openxmlformats.org/officeDocument/2006/relationships" ref="J1498" display="269" r:id="rId2903"/>
    <hyperlink xmlns:r="http://schemas.openxmlformats.org/officeDocument/2006/relationships" ref="K1498" display="02/10/2009" r:id="rId2904"/>
    <hyperlink xmlns:r="http://schemas.openxmlformats.org/officeDocument/2006/relationships" ref="I1500" r:id="rId2905"/>
    <hyperlink xmlns:r="http://schemas.openxmlformats.org/officeDocument/2006/relationships" ref="J1500" display="5" r:id="rId2906"/>
    <hyperlink xmlns:r="http://schemas.openxmlformats.org/officeDocument/2006/relationships" ref="K1500" display="02/10/2009" r:id="rId2907"/>
    <hyperlink xmlns:r="http://schemas.openxmlformats.org/officeDocument/2006/relationships" ref="I1502" r:id="rId2908"/>
    <hyperlink xmlns:r="http://schemas.openxmlformats.org/officeDocument/2006/relationships" ref="J1502" display="11" r:id="rId2909"/>
    <hyperlink xmlns:r="http://schemas.openxmlformats.org/officeDocument/2006/relationships" ref="K1502" display="02/10/2009" r:id="rId2910"/>
    <hyperlink xmlns:r="http://schemas.openxmlformats.org/officeDocument/2006/relationships" ref="L1502" r:id="rId2911"/>
    <hyperlink xmlns:r="http://schemas.openxmlformats.org/officeDocument/2006/relationships" ref="I1504" r:id="rId2912"/>
    <hyperlink xmlns:r="http://schemas.openxmlformats.org/officeDocument/2006/relationships" ref="J1504" display="230" r:id="rId2913"/>
    <hyperlink xmlns:r="http://schemas.openxmlformats.org/officeDocument/2006/relationships" ref="K1504" display="07/09/2009" r:id="rId2914"/>
    <hyperlink xmlns:r="http://schemas.openxmlformats.org/officeDocument/2006/relationships" ref="L1504" r:id="rId2915"/>
    <hyperlink xmlns:r="http://schemas.openxmlformats.org/officeDocument/2006/relationships" ref="I1506" r:id="rId2916"/>
    <hyperlink xmlns:r="http://schemas.openxmlformats.org/officeDocument/2006/relationships" ref="J1506" display="169" r:id="rId2917"/>
    <hyperlink xmlns:r="http://schemas.openxmlformats.org/officeDocument/2006/relationships" ref="K1506" display="04/09/2009" r:id="rId2918"/>
    <hyperlink xmlns:r="http://schemas.openxmlformats.org/officeDocument/2006/relationships" ref="L1506" r:id="rId2919"/>
    <hyperlink xmlns:r="http://schemas.openxmlformats.org/officeDocument/2006/relationships" ref="I1508" r:id="rId2920"/>
    <hyperlink xmlns:r="http://schemas.openxmlformats.org/officeDocument/2006/relationships" ref="J1508" display="1" r:id="rId2921"/>
    <hyperlink xmlns:r="http://schemas.openxmlformats.org/officeDocument/2006/relationships" ref="K1508" display="04/09/2009" r:id="rId2922"/>
    <hyperlink xmlns:r="http://schemas.openxmlformats.org/officeDocument/2006/relationships" ref="L1508" r:id="rId2923"/>
    <hyperlink xmlns:r="http://schemas.openxmlformats.org/officeDocument/2006/relationships" ref="I1510" r:id="rId2924"/>
    <hyperlink xmlns:r="http://schemas.openxmlformats.org/officeDocument/2006/relationships" ref="J1510" display="40" r:id="rId2925"/>
    <hyperlink xmlns:r="http://schemas.openxmlformats.org/officeDocument/2006/relationships" ref="K1510" display="04/09/2009" r:id="rId2926"/>
    <hyperlink xmlns:r="http://schemas.openxmlformats.org/officeDocument/2006/relationships" ref="I1512" r:id="rId2927"/>
    <hyperlink xmlns:r="http://schemas.openxmlformats.org/officeDocument/2006/relationships" ref="J1512" display="15" r:id="rId2928"/>
    <hyperlink xmlns:r="http://schemas.openxmlformats.org/officeDocument/2006/relationships" ref="K1512" display="28/08/2009" r:id="rId2929"/>
    <hyperlink xmlns:r="http://schemas.openxmlformats.org/officeDocument/2006/relationships" ref="L1512" r:id="rId2930"/>
    <hyperlink xmlns:r="http://schemas.openxmlformats.org/officeDocument/2006/relationships" ref="I1514" r:id="rId2931"/>
    <hyperlink xmlns:r="http://schemas.openxmlformats.org/officeDocument/2006/relationships" ref="J1514" display="249" r:id="rId2932"/>
    <hyperlink xmlns:r="http://schemas.openxmlformats.org/officeDocument/2006/relationships" ref="K1514" display="17/07/2009" r:id="rId2933"/>
    <hyperlink xmlns:r="http://schemas.openxmlformats.org/officeDocument/2006/relationships" ref="I1516" r:id="rId2934"/>
    <hyperlink xmlns:r="http://schemas.openxmlformats.org/officeDocument/2006/relationships" ref="J1516" display="3" r:id="rId2935"/>
    <hyperlink xmlns:r="http://schemas.openxmlformats.org/officeDocument/2006/relationships" ref="K1516" display="16/07/2009" r:id="rId2936"/>
    <hyperlink xmlns:r="http://schemas.openxmlformats.org/officeDocument/2006/relationships" ref="L1516" r:id="rId2937"/>
    <hyperlink xmlns:r="http://schemas.openxmlformats.org/officeDocument/2006/relationships" ref="I1518" r:id="rId2938"/>
    <hyperlink xmlns:r="http://schemas.openxmlformats.org/officeDocument/2006/relationships" ref="J1518" display="8" r:id="rId2939"/>
    <hyperlink xmlns:r="http://schemas.openxmlformats.org/officeDocument/2006/relationships" ref="K1518" display="17/07/2009" r:id="rId2940"/>
    <hyperlink xmlns:r="http://schemas.openxmlformats.org/officeDocument/2006/relationships" ref="L1518" r:id="rId2941"/>
    <hyperlink xmlns:r="http://schemas.openxmlformats.org/officeDocument/2006/relationships" ref="I1520" r:id="rId2942"/>
    <hyperlink xmlns:r="http://schemas.openxmlformats.org/officeDocument/2006/relationships" ref="J1520" display="145" r:id="rId2943"/>
    <hyperlink xmlns:r="http://schemas.openxmlformats.org/officeDocument/2006/relationships" ref="K1520" display="30/04/2009" r:id="rId2944"/>
    <hyperlink xmlns:r="http://schemas.openxmlformats.org/officeDocument/2006/relationships" ref="I1522" r:id="rId2945"/>
    <hyperlink xmlns:r="http://schemas.openxmlformats.org/officeDocument/2006/relationships" ref="J1522" display="3" r:id="rId2946"/>
    <hyperlink xmlns:r="http://schemas.openxmlformats.org/officeDocument/2006/relationships" ref="K1522" display="30/04/2009" r:id="rId2947"/>
    <hyperlink xmlns:r="http://schemas.openxmlformats.org/officeDocument/2006/relationships" ref="L1522" r:id="rId2948"/>
    <hyperlink xmlns:r="http://schemas.openxmlformats.org/officeDocument/2006/relationships" ref="I1524" r:id="rId2949"/>
    <hyperlink xmlns:r="http://schemas.openxmlformats.org/officeDocument/2006/relationships" ref="J1524" display="4" r:id="rId2950"/>
    <hyperlink xmlns:r="http://schemas.openxmlformats.org/officeDocument/2006/relationships" ref="K1524" display="30/04/2009" r:id="rId2951"/>
    <hyperlink xmlns:r="http://schemas.openxmlformats.org/officeDocument/2006/relationships" ref="L1524" r:id="rId2952"/>
    <hyperlink xmlns:r="http://schemas.openxmlformats.org/officeDocument/2006/relationships" ref="I1526" r:id="rId2953"/>
    <hyperlink xmlns:r="http://schemas.openxmlformats.org/officeDocument/2006/relationships" ref="J1526" display="62" r:id="rId2954"/>
    <hyperlink xmlns:r="http://schemas.openxmlformats.org/officeDocument/2006/relationships" ref="K1526" display="10/04/2009" r:id="rId2955"/>
    <hyperlink xmlns:r="http://schemas.openxmlformats.org/officeDocument/2006/relationships" ref="L1526" r:id="rId2956"/>
    <hyperlink xmlns:r="http://schemas.openxmlformats.org/officeDocument/2006/relationships" ref="I1528" r:id="rId2957"/>
    <hyperlink xmlns:r="http://schemas.openxmlformats.org/officeDocument/2006/relationships" ref="J1528" display="3" r:id="rId2958"/>
    <hyperlink xmlns:r="http://schemas.openxmlformats.org/officeDocument/2006/relationships" ref="K1528" display="10/04/2009" r:id="rId2959"/>
    <hyperlink xmlns:r="http://schemas.openxmlformats.org/officeDocument/2006/relationships" ref="L1528" r:id="rId2960"/>
    <hyperlink xmlns:r="http://schemas.openxmlformats.org/officeDocument/2006/relationships" ref="I1530" r:id="rId2961"/>
    <hyperlink xmlns:r="http://schemas.openxmlformats.org/officeDocument/2006/relationships" ref="J1530" display="15" r:id="rId2962"/>
    <hyperlink xmlns:r="http://schemas.openxmlformats.org/officeDocument/2006/relationships" ref="K1530" display="08/02/2009" r:id="rId2963"/>
    <hyperlink xmlns:r="http://schemas.openxmlformats.org/officeDocument/2006/relationships" ref="I1532" r:id="rId2964"/>
    <hyperlink xmlns:r="http://schemas.openxmlformats.org/officeDocument/2006/relationships" ref="J1532" display="145" r:id="rId2965"/>
    <hyperlink xmlns:r="http://schemas.openxmlformats.org/officeDocument/2006/relationships" ref="K1532" display="06/02/2009" r:id="rId2966"/>
    <hyperlink xmlns:r="http://schemas.openxmlformats.org/officeDocument/2006/relationships" ref="I1534" r:id="rId2967"/>
    <hyperlink xmlns:r="http://schemas.openxmlformats.org/officeDocument/2006/relationships" ref="J1534" display="2" r:id="rId2968"/>
    <hyperlink xmlns:r="http://schemas.openxmlformats.org/officeDocument/2006/relationships" ref="K1534" display="06/02/2009" r:id="rId2969"/>
    <hyperlink xmlns:r="http://schemas.openxmlformats.org/officeDocument/2006/relationships" ref="L1534" r:id="rId2970"/>
    <hyperlink xmlns:r="http://schemas.openxmlformats.org/officeDocument/2006/relationships" ref="I1536" r:id="rId2971"/>
    <hyperlink xmlns:r="http://schemas.openxmlformats.org/officeDocument/2006/relationships" ref="J1536" display="2" r:id="rId2972"/>
    <hyperlink xmlns:r="http://schemas.openxmlformats.org/officeDocument/2006/relationships" ref="K1536" display="06/02/2009" r:id="rId2973"/>
    <hyperlink xmlns:r="http://schemas.openxmlformats.org/officeDocument/2006/relationships" ref="L1536" r:id="rId2974"/>
    <hyperlink xmlns:r="http://schemas.openxmlformats.org/officeDocument/2006/relationships" ref="I1538" r:id="rId2975"/>
    <hyperlink xmlns:r="http://schemas.openxmlformats.org/officeDocument/2006/relationships" ref="J1538" display="1" r:id="rId2976"/>
    <hyperlink xmlns:r="http://schemas.openxmlformats.org/officeDocument/2006/relationships" ref="K1538" display="01/01/2009" r:id="rId2977"/>
    <hyperlink xmlns:r="http://schemas.openxmlformats.org/officeDocument/2006/relationships" ref="L1538" r:id="rId2978"/>
    <hyperlink xmlns:r="http://schemas.openxmlformats.org/officeDocument/2006/relationships" ref="I1540" r:id="rId2979"/>
    <hyperlink xmlns:r="http://schemas.openxmlformats.org/officeDocument/2006/relationships" ref="J1540" display="5" r:id="rId2980"/>
    <hyperlink xmlns:r="http://schemas.openxmlformats.org/officeDocument/2006/relationships" ref="K1540" display="01/01/2009" r:id="rId2981"/>
    <hyperlink xmlns:r="http://schemas.openxmlformats.org/officeDocument/2006/relationships" ref="L1540" r:id="rId2982"/>
    <hyperlink xmlns:r="http://schemas.openxmlformats.org/officeDocument/2006/relationships" ref="I1542" r:id="rId2983"/>
    <hyperlink xmlns:r="http://schemas.openxmlformats.org/officeDocument/2006/relationships" ref="J1542" display="12" r:id="rId2984"/>
    <hyperlink xmlns:r="http://schemas.openxmlformats.org/officeDocument/2006/relationships" ref="K1542" display="01/01/2009" r:id="rId2985"/>
    <hyperlink xmlns:r="http://schemas.openxmlformats.org/officeDocument/2006/relationships" ref="L1542" r:id="rId2986"/>
    <hyperlink xmlns:r="http://schemas.openxmlformats.org/officeDocument/2006/relationships" ref="I1544" r:id="rId2987"/>
    <hyperlink xmlns:r="http://schemas.openxmlformats.org/officeDocument/2006/relationships" ref="J1544" display="13" r:id="rId2988"/>
    <hyperlink xmlns:r="http://schemas.openxmlformats.org/officeDocument/2006/relationships" ref="K1544" display="01/01/2009" r:id="rId2989"/>
    <hyperlink xmlns:r="http://schemas.openxmlformats.org/officeDocument/2006/relationships" ref="L1544" r:id="rId2990"/>
    <hyperlink xmlns:r="http://schemas.openxmlformats.org/officeDocument/2006/relationships" ref="I1546" r:id="rId2991"/>
    <hyperlink xmlns:r="http://schemas.openxmlformats.org/officeDocument/2006/relationships" ref="J1546" display="10" r:id="rId2992"/>
    <hyperlink xmlns:r="http://schemas.openxmlformats.org/officeDocument/2006/relationships" ref="K1546" display="01/01/2009" r:id="rId2993"/>
    <hyperlink xmlns:r="http://schemas.openxmlformats.org/officeDocument/2006/relationships" ref="L1546" r:id="rId2994"/>
    <hyperlink xmlns:r="http://schemas.openxmlformats.org/officeDocument/2006/relationships" ref="I1548" r:id="rId2995"/>
    <hyperlink xmlns:r="http://schemas.openxmlformats.org/officeDocument/2006/relationships" ref="J1548" display="64" r:id="rId2996"/>
    <hyperlink xmlns:r="http://schemas.openxmlformats.org/officeDocument/2006/relationships" ref="K1548" display="07/11/2008" r:id="rId2997"/>
    <hyperlink xmlns:r="http://schemas.openxmlformats.org/officeDocument/2006/relationships" ref="I1550" r:id="rId2998"/>
    <hyperlink xmlns:r="http://schemas.openxmlformats.org/officeDocument/2006/relationships" ref="J1550" display="1" r:id="rId2999"/>
    <hyperlink xmlns:r="http://schemas.openxmlformats.org/officeDocument/2006/relationships" ref="K1550" display="07/11/2008" r:id="rId3000"/>
    <hyperlink xmlns:r="http://schemas.openxmlformats.org/officeDocument/2006/relationships" ref="L1550" r:id="rId3001"/>
    <hyperlink xmlns:r="http://schemas.openxmlformats.org/officeDocument/2006/relationships" ref="I1552" r:id="rId3002"/>
    <hyperlink xmlns:r="http://schemas.openxmlformats.org/officeDocument/2006/relationships" ref="J1552" display="250" r:id="rId3003"/>
    <hyperlink xmlns:r="http://schemas.openxmlformats.org/officeDocument/2006/relationships" ref="K1552" display="03/10/2008" r:id="rId3004"/>
    <hyperlink xmlns:r="http://schemas.openxmlformats.org/officeDocument/2006/relationships" ref="I1554" r:id="rId3005"/>
    <hyperlink xmlns:r="http://schemas.openxmlformats.org/officeDocument/2006/relationships" ref="J1554" display="2" r:id="rId3006"/>
    <hyperlink xmlns:r="http://schemas.openxmlformats.org/officeDocument/2006/relationships" ref="K1554" display="03/10/2008" r:id="rId3007"/>
    <hyperlink xmlns:r="http://schemas.openxmlformats.org/officeDocument/2006/relationships" ref="L1554" r:id="rId3008"/>
    <hyperlink xmlns:r="http://schemas.openxmlformats.org/officeDocument/2006/relationships" ref="I1556" r:id="rId3009"/>
    <hyperlink xmlns:r="http://schemas.openxmlformats.org/officeDocument/2006/relationships" ref="J1556" display="10" r:id="rId3010"/>
    <hyperlink xmlns:r="http://schemas.openxmlformats.org/officeDocument/2006/relationships" ref="K1556" display="03/10/2008" r:id="rId3011"/>
    <hyperlink xmlns:r="http://schemas.openxmlformats.org/officeDocument/2006/relationships" ref="L1556" r:id="rId3012"/>
    <hyperlink xmlns:r="http://schemas.openxmlformats.org/officeDocument/2006/relationships" ref="I1558" r:id="rId3013"/>
    <hyperlink xmlns:r="http://schemas.openxmlformats.org/officeDocument/2006/relationships" ref="J1558" display="245" r:id="rId3014"/>
    <hyperlink xmlns:r="http://schemas.openxmlformats.org/officeDocument/2006/relationships" ref="K1558" display="22/09/2008" r:id="rId3015"/>
    <hyperlink xmlns:r="http://schemas.openxmlformats.org/officeDocument/2006/relationships" ref="L1558" r:id="rId3016"/>
    <hyperlink xmlns:r="http://schemas.openxmlformats.org/officeDocument/2006/relationships" ref="I1560" r:id="rId3017"/>
    <hyperlink xmlns:r="http://schemas.openxmlformats.org/officeDocument/2006/relationships" ref="J1560" display="15" r:id="rId3018"/>
    <hyperlink xmlns:r="http://schemas.openxmlformats.org/officeDocument/2006/relationships" ref="K1560" display="29/08/2008" r:id="rId3019"/>
    <hyperlink xmlns:r="http://schemas.openxmlformats.org/officeDocument/2006/relationships" ref="L1560" r:id="rId3020"/>
    <hyperlink xmlns:r="http://schemas.openxmlformats.org/officeDocument/2006/relationships" ref="I1562" r:id="rId3021"/>
    <hyperlink xmlns:r="http://schemas.openxmlformats.org/officeDocument/2006/relationships" ref="J1562" display="180" r:id="rId3022"/>
    <hyperlink xmlns:r="http://schemas.openxmlformats.org/officeDocument/2006/relationships" ref="K1562" display="25/07/2008" r:id="rId3023"/>
    <hyperlink xmlns:r="http://schemas.openxmlformats.org/officeDocument/2006/relationships" ref="I1564" r:id="rId3024"/>
    <hyperlink xmlns:r="http://schemas.openxmlformats.org/officeDocument/2006/relationships" ref="J1564" display="2" r:id="rId3025"/>
    <hyperlink xmlns:r="http://schemas.openxmlformats.org/officeDocument/2006/relationships" ref="K1564" display="25/07/2008" r:id="rId3026"/>
    <hyperlink xmlns:r="http://schemas.openxmlformats.org/officeDocument/2006/relationships" ref="L1564" r:id="rId3027"/>
    <hyperlink xmlns:r="http://schemas.openxmlformats.org/officeDocument/2006/relationships" ref="I1566" r:id="rId3028"/>
    <hyperlink xmlns:r="http://schemas.openxmlformats.org/officeDocument/2006/relationships" ref="J1566" display="7" r:id="rId3029"/>
    <hyperlink xmlns:r="http://schemas.openxmlformats.org/officeDocument/2006/relationships" ref="K1566" display="25/07/2008" r:id="rId3030"/>
    <hyperlink xmlns:r="http://schemas.openxmlformats.org/officeDocument/2006/relationships" ref="L1566" r:id="rId3031"/>
    <hyperlink xmlns:r="http://schemas.openxmlformats.org/officeDocument/2006/relationships" ref="I1568" r:id="rId3032"/>
    <hyperlink xmlns:r="http://schemas.openxmlformats.org/officeDocument/2006/relationships" ref="J1568" display="302" r:id="rId3033"/>
    <hyperlink xmlns:r="http://schemas.openxmlformats.org/officeDocument/2006/relationships" ref="K1568" display="02/05/2008" r:id="rId3034"/>
    <hyperlink xmlns:r="http://schemas.openxmlformats.org/officeDocument/2006/relationships" ref="I1570" r:id="rId3035"/>
    <hyperlink xmlns:r="http://schemas.openxmlformats.org/officeDocument/2006/relationships" ref="J1570" display="2" r:id="rId3036"/>
    <hyperlink xmlns:r="http://schemas.openxmlformats.org/officeDocument/2006/relationships" ref="K1570" display="02/05/2008" r:id="rId3037"/>
    <hyperlink xmlns:r="http://schemas.openxmlformats.org/officeDocument/2006/relationships" ref="L1570" r:id="rId3038"/>
    <hyperlink xmlns:r="http://schemas.openxmlformats.org/officeDocument/2006/relationships" ref="I1572" r:id="rId3039"/>
    <hyperlink xmlns:r="http://schemas.openxmlformats.org/officeDocument/2006/relationships" ref="J1572" display="12" r:id="rId3040"/>
    <hyperlink xmlns:r="http://schemas.openxmlformats.org/officeDocument/2006/relationships" ref="K1572" display="02/05/2008" r:id="rId3041"/>
    <hyperlink xmlns:r="http://schemas.openxmlformats.org/officeDocument/2006/relationships" ref="L1572" r:id="rId3042"/>
    <hyperlink xmlns:r="http://schemas.openxmlformats.org/officeDocument/2006/relationships" ref="I1574" r:id="rId3043"/>
    <hyperlink xmlns:r="http://schemas.openxmlformats.org/officeDocument/2006/relationships" ref="J1574" display="2" r:id="rId3044"/>
    <hyperlink xmlns:r="http://schemas.openxmlformats.org/officeDocument/2006/relationships" ref="K1574" display="01/04/2008" r:id="rId3045"/>
    <hyperlink xmlns:r="http://schemas.openxmlformats.org/officeDocument/2006/relationships" ref="L1574" r:id="rId3046"/>
    <hyperlink xmlns:r="http://schemas.openxmlformats.org/officeDocument/2006/relationships" ref="I1576" r:id="rId3047"/>
    <hyperlink xmlns:r="http://schemas.openxmlformats.org/officeDocument/2006/relationships" ref="J1576" display="150" r:id="rId3048"/>
    <hyperlink xmlns:r="http://schemas.openxmlformats.org/officeDocument/2006/relationships" ref="K1576" display="01/02/2008" r:id="rId3049"/>
    <hyperlink xmlns:r="http://schemas.openxmlformats.org/officeDocument/2006/relationships" ref="I1578" r:id="rId3050"/>
    <hyperlink xmlns:r="http://schemas.openxmlformats.org/officeDocument/2006/relationships" ref="J1578" display="2" r:id="rId3051"/>
    <hyperlink xmlns:r="http://schemas.openxmlformats.org/officeDocument/2006/relationships" ref="K1578" display="01/02/2008" r:id="rId3052"/>
    <hyperlink xmlns:r="http://schemas.openxmlformats.org/officeDocument/2006/relationships" ref="L1578" r:id="rId3053"/>
    <hyperlink xmlns:r="http://schemas.openxmlformats.org/officeDocument/2006/relationships" ref="I1580" r:id="rId3054"/>
    <hyperlink xmlns:r="http://schemas.openxmlformats.org/officeDocument/2006/relationships" ref="J1580" display="3" r:id="rId3055"/>
    <hyperlink xmlns:r="http://schemas.openxmlformats.org/officeDocument/2006/relationships" ref="K1580" display="01/02/2008" r:id="rId3056"/>
    <hyperlink xmlns:r="http://schemas.openxmlformats.org/officeDocument/2006/relationships" ref="L1580" r:id="rId3057"/>
    <hyperlink xmlns:r="http://schemas.openxmlformats.org/officeDocument/2006/relationships" ref="I1582" r:id="rId3058"/>
    <hyperlink xmlns:r="http://schemas.openxmlformats.org/officeDocument/2006/relationships" ref="J1582" display="6" r:id="rId3059"/>
    <hyperlink xmlns:r="http://schemas.openxmlformats.org/officeDocument/2006/relationships" ref="K1582" display="01/01/2008" r:id="rId3060"/>
    <hyperlink xmlns:r="http://schemas.openxmlformats.org/officeDocument/2006/relationships" ref="L1582" r:id="rId3061"/>
    <hyperlink xmlns:r="http://schemas.openxmlformats.org/officeDocument/2006/relationships" ref="I1584" r:id="rId3062"/>
    <hyperlink xmlns:r="http://schemas.openxmlformats.org/officeDocument/2006/relationships" ref="J1584" display="7" r:id="rId3063"/>
    <hyperlink xmlns:r="http://schemas.openxmlformats.org/officeDocument/2006/relationships" ref="K1584" display="01/01/2008" r:id="rId3064"/>
    <hyperlink xmlns:r="http://schemas.openxmlformats.org/officeDocument/2006/relationships" ref="L1584" r:id="rId3065"/>
    <hyperlink xmlns:r="http://schemas.openxmlformats.org/officeDocument/2006/relationships" ref="I1586" r:id="rId3066"/>
    <hyperlink xmlns:r="http://schemas.openxmlformats.org/officeDocument/2006/relationships" ref="J1586" display="12" r:id="rId3067"/>
    <hyperlink xmlns:r="http://schemas.openxmlformats.org/officeDocument/2006/relationships" ref="K1586" display="01/01/2008" r:id="rId3068"/>
    <hyperlink xmlns:r="http://schemas.openxmlformats.org/officeDocument/2006/relationships" ref="L1586" r:id="rId3069"/>
    <hyperlink xmlns:r="http://schemas.openxmlformats.org/officeDocument/2006/relationships" ref="I1588" r:id="rId3070"/>
    <hyperlink xmlns:r="http://schemas.openxmlformats.org/officeDocument/2006/relationships" ref="J1588" display="5" r:id="rId3071"/>
    <hyperlink xmlns:r="http://schemas.openxmlformats.org/officeDocument/2006/relationships" ref="K1588" display="01/01/2008" r:id="rId3072"/>
    <hyperlink xmlns:r="http://schemas.openxmlformats.org/officeDocument/2006/relationships" ref="L1588" r:id="rId3073"/>
    <hyperlink xmlns:r="http://schemas.openxmlformats.org/officeDocument/2006/relationships" ref="I1590" r:id="rId3074"/>
    <hyperlink xmlns:r="http://schemas.openxmlformats.org/officeDocument/2006/relationships" ref="J1590" display="62" r:id="rId3075"/>
    <hyperlink xmlns:r="http://schemas.openxmlformats.org/officeDocument/2006/relationships" ref="K1590" display="16/11/2007" r:id="rId3076"/>
    <hyperlink xmlns:r="http://schemas.openxmlformats.org/officeDocument/2006/relationships" ref="L1590" r:id="rId3077"/>
    <hyperlink xmlns:r="http://schemas.openxmlformats.org/officeDocument/2006/relationships" ref="I1592" r:id="rId3078"/>
    <hyperlink xmlns:r="http://schemas.openxmlformats.org/officeDocument/2006/relationships" ref="J1592" display="3" r:id="rId3079"/>
    <hyperlink xmlns:r="http://schemas.openxmlformats.org/officeDocument/2006/relationships" ref="K1592" display="16/11/2007" r:id="rId3080"/>
    <hyperlink xmlns:r="http://schemas.openxmlformats.org/officeDocument/2006/relationships" ref="L1592" r:id="rId3081"/>
    <hyperlink xmlns:r="http://schemas.openxmlformats.org/officeDocument/2006/relationships" ref="I1594" r:id="rId3082"/>
    <hyperlink xmlns:r="http://schemas.openxmlformats.org/officeDocument/2006/relationships" ref="J1594" display="301" r:id="rId3083"/>
    <hyperlink xmlns:r="http://schemas.openxmlformats.org/officeDocument/2006/relationships" ref="K1594" display="12/10/2007" r:id="rId3084"/>
    <hyperlink xmlns:r="http://schemas.openxmlformats.org/officeDocument/2006/relationships" ref="I1596" r:id="rId3085"/>
    <hyperlink xmlns:r="http://schemas.openxmlformats.org/officeDocument/2006/relationships" ref="J1596" display="3" r:id="rId3086"/>
    <hyperlink xmlns:r="http://schemas.openxmlformats.org/officeDocument/2006/relationships" ref="K1596" display="12/10/2007" r:id="rId3087"/>
    <hyperlink xmlns:r="http://schemas.openxmlformats.org/officeDocument/2006/relationships" ref="L1596" r:id="rId3088"/>
    <hyperlink xmlns:r="http://schemas.openxmlformats.org/officeDocument/2006/relationships" ref="I1598" r:id="rId3089"/>
    <hyperlink xmlns:r="http://schemas.openxmlformats.org/officeDocument/2006/relationships" ref="J1598" display="11" r:id="rId3090"/>
    <hyperlink xmlns:r="http://schemas.openxmlformats.org/officeDocument/2006/relationships" ref="K1598" display="12/10/2007" r:id="rId3091"/>
    <hyperlink xmlns:r="http://schemas.openxmlformats.org/officeDocument/2006/relationships" ref="L1598" r:id="rId3092"/>
    <hyperlink xmlns:r="http://schemas.openxmlformats.org/officeDocument/2006/relationships" ref="I1600" r:id="rId3093"/>
    <hyperlink xmlns:r="http://schemas.openxmlformats.org/officeDocument/2006/relationships" ref="J1600" display="195" r:id="rId3094"/>
    <hyperlink xmlns:r="http://schemas.openxmlformats.org/officeDocument/2006/relationships" ref="K1600" display="10/09/2007" r:id="rId3095"/>
    <hyperlink xmlns:r="http://schemas.openxmlformats.org/officeDocument/2006/relationships" ref="L1600" r:id="rId3096"/>
    <hyperlink xmlns:r="http://schemas.openxmlformats.org/officeDocument/2006/relationships" ref="I1602" r:id="rId3097"/>
    <hyperlink xmlns:r="http://schemas.openxmlformats.org/officeDocument/2006/relationships" ref="J1602" display="510" r:id="rId3098"/>
    <hyperlink xmlns:r="http://schemas.openxmlformats.org/officeDocument/2006/relationships" ref="K1602" display="13/07/2007" r:id="rId3099"/>
    <hyperlink xmlns:r="http://schemas.openxmlformats.org/officeDocument/2006/relationships" ref="I1604" r:id="rId3100"/>
    <hyperlink xmlns:r="http://schemas.openxmlformats.org/officeDocument/2006/relationships" ref="J1604" display="3" r:id="rId3101"/>
    <hyperlink xmlns:r="http://schemas.openxmlformats.org/officeDocument/2006/relationships" ref="K1604" display="13/07/2007" r:id="rId3102"/>
    <hyperlink xmlns:r="http://schemas.openxmlformats.org/officeDocument/2006/relationships" ref="L1604" r:id="rId3103"/>
    <hyperlink xmlns:r="http://schemas.openxmlformats.org/officeDocument/2006/relationships" ref="I1606" r:id="rId3104"/>
    <hyperlink xmlns:r="http://schemas.openxmlformats.org/officeDocument/2006/relationships" ref="J1606" display="6" r:id="rId3105"/>
    <hyperlink xmlns:r="http://schemas.openxmlformats.org/officeDocument/2006/relationships" ref="K1606" display="13/07/2007" r:id="rId3106"/>
    <hyperlink xmlns:r="http://schemas.openxmlformats.org/officeDocument/2006/relationships" ref="L1606" r:id="rId3107"/>
    <hyperlink xmlns:r="http://schemas.openxmlformats.org/officeDocument/2006/relationships" ref="I1608" r:id="rId3108"/>
    <hyperlink xmlns:r="http://schemas.openxmlformats.org/officeDocument/2006/relationships" ref="J1608" display="180" r:id="rId3109"/>
    <hyperlink xmlns:r="http://schemas.openxmlformats.org/officeDocument/2006/relationships" ref="K1608" display="04/05/2007" r:id="rId3110"/>
    <hyperlink xmlns:r="http://schemas.openxmlformats.org/officeDocument/2006/relationships" ref="I1610" r:id="rId3111"/>
    <hyperlink xmlns:r="http://schemas.openxmlformats.org/officeDocument/2006/relationships" ref="J1610" display="2" r:id="rId3112"/>
    <hyperlink xmlns:r="http://schemas.openxmlformats.org/officeDocument/2006/relationships" ref="K1610" display="04/05/2007" r:id="rId3113"/>
    <hyperlink xmlns:r="http://schemas.openxmlformats.org/officeDocument/2006/relationships" ref="L1610" r:id="rId3114"/>
    <hyperlink xmlns:r="http://schemas.openxmlformats.org/officeDocument/2006/relationships" ref="I1612" r:id="rId3115"/>
    <hyperlink xmlns:r="http://schemas.openxmlformats.org/officeDocument/2006/relationships" ref="J1612" display="20" r:id="rId3116"/>
    <hyperlink xmlns:r="http://schemas.openxmlformats.org/officeDocument/2006/relationships" ref="K1612" display="24/02/2007" r:id="rId3117"/>
    <hyperlink xmlns:r="http://schemas.openxmlformats.org/officeDocument/2006/relationships" ref="L1612" r:id="rId3118"/>
    <hyperlink xmlns:r="http://schemas.openxmlformats.org/officeDocument/2006/relationships" ref="I1614" r:id="rId3119"/>
    <hyperlink xmlns:r="http://schemas.openxmlformats.org/officeDocument/2006/relationships" ref="J1614" display="17" r:id="rId3120"/>
    <hyperlink xmlns:r="http://schemas.openxmlformats.org/officeDocument/2006/relationships" ref="K1614" display="09/02/2007" r:id="rId3121"/>
    <hyperlink xmlns:r="http://schemas.openxmlformats.org/officeDocument/2006/relationships" ref="L1614" r:id="rId3122"/>
    <hyperlink xmlns:r="http://schemas.openxmlformats.org/officeDocument/2006/relationships" ref="I1616" r:id="rId3123"/>
    <hyperlink xmlns:r="http://schemas.openxmlformats.org/officeDocument/2006/relationships" ref="J1616" display="165" r:id="rId3124"/>
    <hyperlink xmlns:r="http://schemas.openxmlformats.org/officeDocument/2006/relationships" ref="K1616" display="02/02/2007" r:id="rId3125"/>
    <hyperlink xmlns:r="http://schemas.openxmlformats.org/officeDocument/2006/relationships" ref="I1618" r:id="rId3126"/>
    <hyperlink xmlns:r="http://schemas.openxmlformats.org/officeDocument/2006/relationships" ref="J1618" display="2" r:id="rId3127"/>
    <hyperlink xmlns:r="http://schemas.openxmlformats.org/officeDocument/2006/relationships" ref="K1618" display="02/02/2007" r:id="rId3128"/>
    <hyperlink xmlns:r="http://schemas.openxmlformats.org/officeDocument/2006/relationships" ref="L1618" r:id="rId3129"/>
    <hyperlink xmlns:r="http://schemas.openxmlformats.org/officeDocument/2006/relationships" ref="I1620" r:id="rId3130"/>
    <hyperlink xmlns:r="http://schemas.openxmlformats.org/officeDocument/2006/relationships" ref="J1620" display="5" r:id="rId3131"/>
    <hyperlink xmlns:r="http://schemas.openxmlformats.org/officeDocument/2006/relationships" ref="K1620" display="01/01/2007" r:id="rId3132"/>
    <hyperlink xmlns:r="http://schemas.openxmlformats.org/officeDocument/2006/relationships" ref="L1620" r:id="rId3133"/>
    <hyperlink xmlns:r="http://schemas.openxmlformats.org/officeDocument/2006/relationships" ref="I1622" r:id="rId3134"/>
    <hyperlink xmlns:r="http://schemas.openxmlformats.org/officeDocument/2006/relationships" ref="J1622" display="5" r:id="rId3135"/>
    <hyperlink xmlns:r="http://schemas.openxmlformats.org/officeDocument/2006/relationships" ref="K1622" display="01/01/2007" r:id="rId3136"/>
    <hyperlink xmlns:r="http://schemas.openxmlformats.org/officeDocument/2006/relationships" ref="L1622" r:id="rId3137"/>
    <hyperlink xmlns:r="http://schemas.openxmlformats.org/officeDocument/2006/relationships" ref="I1624" r:id="rId3138"/>
    <hyperlink xmlns:r="http://schemas.openxmlformats.org/officeDocument/2006/relationships" ref="J1624" display="7" r:id="rId3139"/>
    <hyperlink xmlns:r="http://schemas.openxmlformats.org/officeDocument/2006/relationships" ref="K1624" display="01/01/2007" r:id="rId3140"/>
    <hyperlink xmlns:r="http://schemas.openxmlformats.org/officeDocument/2006/relationships" ref="L1624" r:id="rId3141"/>
    <hyperlink xmlns:r="http://schemas.openxmlformats.org/officeDocument/2006/relationships" ref="I1626" r:id="rId3142"/>
    <hyperlink xmlns:r="http://schemas.openxmlformats.org/officeDocument/2006/relationships" ref="J1626" display="12" r:id="rId3143"/>
    <hyperlink xmlns:r="http://schemas.openxmlformats.org/officeDocument/2006/relationships" ref="K1626" display="01/01/2007" r:id="rId3144"/>
    <hyperlink xmlns:r="http://schemas.openxmlformats.org/officeDocument/2006/relationships" ref="L1626" r:id="rId3145"/>
    <hyperlink xmlns:r="http://schemas.openxmlformats.org/officeDocument/2006/relationships" ref="I1628" r:id="rId3146"/>
    <hyperlink xmlns:r="http://schemas.openxmlformats.org/officeDocument/2006/relationships" ref="J1628" display="23" r:id="rId3147"/>
    <hyperlink xmlns:r="http://schemas.openxmlformats.org/officeDocument/2006/relationships" ref="K1628" display="31/12/2006" r:id="rId3148"/>
    <hyperlink xmlns:r="http://schemas.openxmlformats.org/officeDocument/2006/relationships" ref="L1628" r:id="rId3149"/>
    <hyperlink xmlns:r="http://schemas.openxmlformats.org/officeDocument/2006/relationships" ref="I1630" r:id="rId3150"/>
    <hyperlink xmlns:r="http://schemas.openxmlformats.org/officeDocument/2006/relationships" ref="J1630" display="301" r:id="rId3151"/>
    <hyperlink xmlns:r="http://schemas.openxmlformats.org/officeDocument/2006/relationships" ref="K1630" display="06/10/2006" r:id="rId3152"/>
    <hyperlink xmlns:r="http://schemas.openxmlformats.org/officeDocument/2006/relationships" ref="I1632" r:id="rId3153"/>
    <hyperlink xmlns:r="http://schemas.openxmlformats.org/officeDocument/2006/relationships" ref="J1632" display="3" r:id="rId3154"/>
    <hyperlink xmlns:r="http://schemas.openxmlformats.org/officeDocument/2006/relationships" ref="K1632" display="06/10/2006" r:id="rId3155"/>
    <hyperlink xmlns:r="http://schemas.openxmlformats.org/officeDocument/2006/relationships" ref="L1632" r:id="rId3156"/>
    <hyperlink xmlns:r="http://schemas.openxmlformats.org/officeDocument/2006/relationships" ref="I1634" r:id="rId3157"/>
    <hyperlink xmlns:r="http://schemas.openxmlformats.org/officeDocument/2006/relationships" ref="J1634" display="121" r:id="rId3158"/>
    <hyperlink xmlns:r="http://schemas.openxmlformats.org/officeDocument/2006/relationships" ref="K1634" display="06/10/2006" r:id="rId3159"/>
    <hyperlink xmlns:r="http://schemas.openxmlformats.org/officeDocument/2006/relationships" ref="I1636" r:id="rId3160"/>
    <hyperlink xmlns:r="http://schemas.openxmlformats.org/officeDocument/2006/relationships" ref="J1636" display="155" r:id="rId3161"/>
    <hyperlink xmlns:r="http://schemas.openxmlformats.org/officeDocument/2006/relationships" ref="K1636" display="21/07/2006" r:id="rId3162"/>
    <hyperlink xmlns:r="http://schemas.openxmlformats.org/officeDocument/2006/relationships" ref="I1638" r:id="rId3163"/>
    <hyperlink xmlns:r="http://schemas.openxmlformats.org/officeDocument/2006/relationships" ref="J1638" display="2" r:id="rId3164"/>
    <hyperlink xmlns:r="http://schemas.openxmlformats.org/officeDocument/2006/relationships" ref="K1638" display="21/07/2006" r:id="rId3165"/>
    <hyperlink xmlns:r="http://schemas.openxmlformats.org/officeDocument/2006/relationships" ref="L1638" r:id="rId3166"/>
    <hyperlink xmlns:r="http://schemas.openxmlformats.org/officeDocument/2006/relationships" ref="I1640" r:id="rId3167"/>
    <hyperlink xmlns:r="http://schemas.openxmlformats.org/officeDocument/2006/relationships" ref="J1640" display="62" r:id="rId3168"/>
    <hyperlink xmlns:r="http://schemas.openxmlformats.org/officeDocument/2006/relationships" ref="K1640" display="21/07/2006" r:id="rId3169"/>
    <hyperlink xmlns:r="http://schemas.openxmlformats.org/officeDocument/2006/relationships" ref="I1642" r:id="rId3170"/>
    <hyperlink xmlns:r="http://schemas.openxmlformats.org/officeDocument/2006/relationships" ref="J1642" display="180" r:id="rId3171"/>
    <hyperlink xmlns:r="http://schemas.openxmlformats.org/officeDocument/2006/relationships" ref="K1642" display="05/05/2006" r:id="rId3172"/>
    <hyperlink xmlns:r="http://schemas.openxmlformats.org/officeDocument/2006/relationships" ref="I1644" r:id="rId3173"/>
    <hyperlink xmlns:r="http://schemas.openxmlformats.org/officeDocument/2006/relationships" ref="J1644" display="2" r:id="rId3174"/>
    <hyperlink xmlns:r="http://schemas.openxmlformats.org/officeDocument/2006/relationships" ref="K1644" display="05/05/2006" r:id="rId3175"/>
    <hyperlink xmlns:r="http://schemas.openxmlformats.org/officeDocument/2006/relationships" ref="L1644" r:id="rId3176"/>
    <hyperlink xmlns:r="http://schemas.openxmlformats.org/officeDocument/2006/relationships" ref="I1646" r:id="rId3177"/>
    <hyperlink xmlns:r="http://schemas.openxmlformats.org/officeDocument/2006/relationships" ref="J1646" display="12" r:id="rId3178"/>
    <hyperlink xmlns:r="http://schemas.openxmlformats.org/officeDocument/2006/relationships" ref="K1646" display="18/03/2006" r:id="rId3179"/>
    <hyperlink xmlns:r="http://schemas.openxmlformats.org/officeDocument/2006/relationships" ref="L1646" r:id="rId3180"/>
    <hyperlink xmlns:r="http://schemas.openxmlformats.org/officeDocument/2006/relationships" ref="I1648" r:id="rId3181"/>
    <hyperlink xmlns:r="http://schemas.openxmlformats.org/officeDocument/2006/relationships" ref="J1648" display="167" r:id="rId3182"/>
    <hyperlink xmlns:r="http://schemas.openxmlformats.org/officeDocument/2006/relationships" ref="K1648" display="03/02/2006" r:id="rId3183"/>
    <hyperlink xmlns:r="http://schemas.openxmlformats.org/officeDocument/2006/relationships" ref="I1650" r:id="rId3184"/>
    <hyperlink xmlns:r="http://schemas.openxmlformats.org/officeDocument/2006/relationships" ref="J1650" display="2" r:id="rId3185"/>
    <hyperlink xmlns:r="http://schemas.openxmlformats.org/officeDocument/2006/relationships" ref="K1650" display="03/02/2006" r:id="rId3186"/>
    <hyperlink xmlns:r="http://schemas.openxmlformats.org/officeDocument/2006/relationships" ref="L1650" r:id="rId3187"/>
    <hyperlink xmlns:r="http://schemas.openxmlformats.org/officeDocument/2006/relationships" ref="I1652" r:id="rId3188"/>
    <hyperlink xmlns:r="http://schemas.openxmlformats.org/officeDocument/2006/relationships" ref="J1652" display="5" r:id="rId3189"/>
    <hyperlink xmlns:r="http://schemas.openxmlformats.org/officeDocument/2006/relationships" ref="K1652" display="01/01/2006" r:id="rId3190"/>
    <hyperlink xmlns:r="http://schemas.openxmlformats.org/officeDocument/2006/relationships" ref="L1652" r:id="rId3191"/>
    <hyperlink xmlns:r="http://schemas.openxmlformats.org/officeDocument/2006/relationships" ref="I1654" r:id="rId3192"/>
    <hyperlink xmlns:r="http://schemas.openxmlformats.org/officeDocument/2006/relationships" ref="J1654" display="9" r:id="rId3193"/>
    <hyperlink xmlns:r="http://schemas.openxmlformats.org/officeDocument/2006/relationships" ref="K1654" display="01/01/2006" r:id="rId3194"/>
    <hyperlink xmlns:r="http://schemas.openxmlformats.org/officeDocument/2006/relationships" ref="L1654" r:id="rId3195"/>
    <hyperlink xmlns:r="http://schemas.openxmlformats.org/officeDocument/2006/relationships" ref="I1656" r:id="rId3196"/>
    <hyperlink xmlns:r="http://schemas.openxmlformats.org/officeDocument/2006/relationships" ref="J1656" display="6" r:id="rId3197"/>
    <hyperlink xmlns:r="http://schemas.openxmlformats.org/officeDocument/2006/relationships" ref="K1656" display="01/01/2006" r:id="rId3198"/>
    <hyperlink xmlns:r="http://schemas.openxmlformats.org/officeDocument/2006/relationships" ref="L1656" r:id="rId3199"/>
    <hyperlink xmlns:r="http://schemas.openxmlformats.org/officeDocument/2006/relationships" ref="I1658" r:id="rId3200"/>
    <hyperlink xmlns:r="http://schemas.openxmlformats.org/officeDocument/2006/relationships" ref="J1658" display="12" r:id="rId3201"/>
    <hyperlink xmlns:r="http://schemas.openxmlformats.org/officeDocument/2006/relationships" ref="K1658" display="01/01/2006" r:id="rId3202"/>
    <hyperlink xmlns:r="http://schemas.openxmlformats.org/officeDocument/2006/relationships" ref="L1658" r:id="rId3203"/>
    <hyperlink xmlns:r="http://schemas.openxmlformats.org/officeDocument/2006/relationships" ref="I1660" r:id="rId3204"/>
    <hyperlink xmlns:r="http://schemas.openxmlformats.org/officeDocument/2006/relationships" ref="J1660" display="60" r:id="rId3205"/>
    <hyperlink xmlns:r="http://schemas.openxmlformats.org/officeDocument/2006/relationships" ref="K1660" display="01/01/2006" r:id="rId3206"/>
    <hyperlink xmlns:r="http://schemas.openxmlformats.org/officeDocument/2006/relationships" ref="L1660" r:id="rId3207"/>
    <hyperlink xmlns:r="http://schemas.openxmlformats.org/officeDocument/2006/relationships" ref="I1662" r:id="rId3208"/>
    <hyperlink xmlns:r="http://schemas.openxmlformats.org/officeDocument/2006/relationships" ref="J1662" display="4" r:id="rId3209"/>
    <hyperlink xmlns:r="http://schemas.openxmlformats.org/officeDocument/2006/relationships" ref="K1662" display="01/01/2006" r:id="rId3210"/>
    <hyperlink xmlns:r="http://schemas.openxmlformats.org/officeDocument/2006/relationships" ref="L1662" r:id="rId3211"/>
    <hyperlink xmlns:r="http://schemas.openxmlformats.org/officeDocument/2006/relationships" ref="I1664" r:id="rId3212"/>
    <hyperlink xmlns:r="http://schemas.openxmlformats.org/officeDocument/2006/relationships" ref="J1664" display="80" r:id="rId3213"/>
    <hyperlink xmlns:r="http://schemas.openxmlformats.org/officeDocument/2006/relationships" ref="K1664" display="01/01/2006" r:id="rId3214"/>
    <hyperlink xmlns:r="http://schemas.openxmlformats.org/officeDocument/2006/relationships" ref="I1666" r:id="rId3215"/>
    <hyperlink xmlns:r="http://schemas.openxmlformats.org/officeDocument/2006/relationships" ref="J1666" display="7" r:id="rId3216"/>
    <hyperlink xmlns:r="http://schemas.openxmlformats.org/officeDocument/2006/relationships" ref="K1666" display="01/01/2006" r:id="rId3217"/>
    <hyperlink xmlns:r="http://schemas.openxmlformats.org/officeDocument/2006/relationships" ref="L1666" r:id="rId3218"/>
    <hyperlink xmlns:r="http://schemas.openxmlformats.org/officeDocument/2006/relationships" ref="I1668" r:id="rId3219"/>
    <hyperlink xmlns:r="http://schemas.openxmlformats.org/officeDocument/2006/relationships" ref="J1668" display="1" r:id="rId3220"/>
    <hyperlink xmlns:r="http://schemas.openxmlformats.org/officeDocument/2006/relationships" ref="K1668" display="09/12/2005" r:id="rId3221"/>
    <hyperlink xmlns:r="http://schemas.openxmlformats.org/officeDocument/2006/relationships" ref="L1668" r:id="rId3222"/>
    <hyperlink xmlns:r="http://schemas.openxmlformats.org/officeDocument/2006/relationships" ref="I1670" r:id="rId3223"/>
    <hyperlink xmlns:r="http://schemas.openxmlformats.org/officeDocument/2006/relationships" ref="J1670" display="20" r:id="rId3224"/>
    <hyperlink xmlns:r="http://schemas.openxmlformats.org/officeDocument/2006/relationships" ref="K1670" display="07/10/2005" r:id="rId3225"/>
    <hyperlink xmlns:r="http://schemas.openxmlformats.org/officeDocument/2006/relationships" ref="L1670" r:id="rId3226"/>
    <hyperlink xmlns:r="http://schemas.openxmlformats.org/officeDocument/2006/relationships" ref="I1672" r:id="rId3227"/>
    <hyperlink xmlns:r="http://schemas.openxmlformats.org/officeDocument/2006/relationships" ref="J1672" display="306" r:id="rId3228"/>
    <hyperlink xmlns:r="http://schemas.openxmlformats.org/officeDocument/2006/relationships" ref="K1672" display="07/10/2005" r:id="rId3229"/>
    <hyperlink xmlns:r="http://schemas.openxmlformats.org/officeDocument/2006/relationships" ref="I1674" r:id="rId3230"/>
    <hyperlink xmlns:r="http://schemas.openxmlformats.org/officeDocument/2006/relationships" ref="J1674" display="2" r:id="rId3231"/>
    <hyperlink xmlns:r="http://schemas.openxmlformats.org/officeDocument/2006/relationships" ref="K1674" display="07/10/2005" r:id="rId3232"/>
    <hyperlink xmlns:r="http://schemas.openxmlformats.org/officeDocument/2006/relationships" ref="L1674" r:id="rId3233"/>
    <hyperlink xmlns:r="http://schemas.openxmlformats.org/officeDocument/2006/relationships" ref="I1676" r:id="rId3234"/>
    <hyperlink xmlns:r="http://schemas.openxmlformats.org/officeDocument/2006/relationships" ref="J1676" display="720" r:id="rId3235"/>
    <hyperlink xmlns:r="http://schemas.openxmlformats.org/officeDocument/2006/relationships" ref="K1676" display="22/08/2005" r:id="rId3236"/>
    <hyperlink xmlns:r="http://schemas.openxmlformats.org/officeDocument/2006/relationships" ref="I1678" r:id="rId3237"/>
    <hyperlink xmlns:r="http://schemas.openxmlformats.org/officeDocument/2006/relationships" ref="J1678" display="710" r:id="rId3238"/>
    <hyperlink xmlns:r="http://schemas.openxmlformats.org/officeDocument/2006/relationships" ref="K1678" display="29/07/2005" r:id="rId3239"/>
    <hyperlink xmlns:r="http://schemas.openxmlformats.org/officeDocument/2006/relationships" ref="I1680" r:id="rId3240"/>
    <hyperlink xmlns:r="http://schemas.openxmlformats.org/officeDocument/2006/relationships" ref="J1680" display="2" r:id="rId3241"/>
    <hyperlink xmlns:r="http://schemas.openxmlformats.org/officeDocument/2006/relationships" ref="K1680" display="29/07/2005" r:id="rId3242"/>
    <hyperlink xmlns:r="http://schemas.openxmlformats.org/officeDocument/2006/relationships" ref="I1682" r:id="rId3243"/>
    <hyperlink xmlns:r="http://schemas.openxmlformats.org/officeDocument/2006/relationships" ref="J1682" display="165" r:id="rId3244"/>
    <hyperlink xmlns:r="http://schemas.openxmlformats.org/officeDocument/2006/relationships" ref="K1682" display="03/06/2005" r:id="rId3245"/>
    <hyperlink xmlns:r="http://schemas.openxmlformats.org/officeDocument/2006/relationships" ref="I1684" r:id="rId3246"/>
    <hyperlink xmlns:r="http://schemas.openxmlformats.org/officeDocument/2006/relationships" ref="J1684" display="2" r:id="rId3247"/>
    <hyperlink xmlns:r="http://schemas.openxmlformats.org/officeDocument/2006/relationships" ref="K1684" display="03/06/2005" r:id="rId3248"/>
    <hyperlink xmlns:r="http://schemas.openxmlformats.org/officeDocument/2006/relationships" ref="L1684" r:id="rId3249"/>
    <hyperlink xmlns:r="http://schemas.openxmlformats.org/officeDocument/2006/relationships" ref="I1686" r:id="rId3250"/>
    <hyperlink xmlns:r="http://schemas.openxmlformats.org/officeDocument/2006/relationships" ref="J1686" display="165" r:id="rId3251"/>
    <hyperlink xmlns:r="http://schemas.openxmlformats.org/officeDocument/2006/relationships" ref="K1686" display="04/02/2005" r:id="rId3252"/>
    <hyperlink xmlns:r="http://schemas.openxmlformats.org/officeDocument/2006/relationships" ref="I1688" r:id="rId3253"/>
    <hyperlink xmlns:r="http://schemas.openxmlformats.org/officeDocument/2006/relationships" ref="J1688" display="2" r:id="rId3254"/>
    <hyperlink xmlns:r="http://schemas.openxmlformats.org/officeDocument/2006/relationships" ref="K1688" display="04/02/2005" r:id="rId3255"/>
    <hyperlink xmlns:r="http://schemas.openxmlformats.org/officeDocument/2006/relationships" ref="L1688" r:id="rId3256"/>
    <hyperlink xmlns:r="http://schemas.openxmlformats.org/officeDocument/2006/relationships" ref="I1690" r:id="rId3257"/>
    <hyperlink xmlns:r="http://schemas.openxmlformats.org/officeDocument/2006/relationships" ref="J1690" display="8" r:id="rId3258"/>
    <hyperlink xmlns:r="http://schemas.openxmlformats.org/officeDocument/2006/relationships" ref="K1690" display="01/01/2005" r:id="rId3259"/>
    <hyperlink xmlns:r="http://schemas.openxmlformats.org/officeDocument/2006/relationships" ref="L1690" r:id="rId3260"/>
    <hyperlink xmlns:r="http://schemas.openxmlformats.org/officeDocument/2006/relationships" ref="I1692" r:id="rId3261"/>
    <hyperlink xmlns:r="http://schemas.openxmlformats.org/officeDocument/2006/relationships" ref="J1692" display="8" r:id="rId3262"/>
    <hyperlink xmlns:r="http://schemas.openxmlformats.org/officeDocument/2006/relationships" ref="K1692" display="01/01/2005" r:id="rId3263"/>
    <hyperlink xmlns:r="http://schemas.openxmlformats.org/officeDocument/2006/relationships" ref="L1692" r:id="rId3264"/>
    <hyperlink xmlns:r="http://schemas.openxmlformats.org/officeDocument/2006/relationships" ref="I1694" r:id="rId3265"/>
    <hyperlink xmlns:r="http://schemas.openxmlformats.org/officeDocument/2006/relationships" ref="J1694" display="12" r:id="rId3266"/>
    <hyperlink xmlns:r="http://schemas.openxmlformats.org/officeDocument/2006/relationships" ref="K1694" display="01/01/2005" r:id="rId3267"/>
    <hyperlink xmlns:r="http://schemas.openxmlformats.org/officeDocument/2006/relationships" ref="L1694" r:id="rId3268"/>
    <hyperlink xmlns:r="http://schemas.openxmlformats.org/officeDocument/2006/relationships" ref="I1696" r:id="rId3269"/>
    <hyperlink xmlns:r="http://schemas.openxmlformats.org/officeDocument/2006/relationships" ref="J1696" display="6" r:id="rId3270"/>
    <hyperlink xmlns:r="http://schemas.openxmlformats.org/officeDocument/2006/relationships" ref="K1696" display="01/01/2005" r:id="rId3271"/>
    <hyperlink xmlns:r="http://schemas.openxmlformats.org/officeDocument/2006/relationships" ref="L1696" r:id="rId3272"/>
    <hyperlink xmlns:r="http://schemas.openxmlformats.org/officeDocument/2006/relationships" ref="I1698" r:id="rId3273"/>
    <hyperlink xmlns:r="http://schemas.openxmlformats.org/officeDocument/2006/relationships" ref="J1698" display="4" r:id="rId3274"/>
    <hyperlink xmlns:r="http://schemas.openxmlformats.org/officeDocument/2006/relationships" ref="K1698" display="01/01/2005" r:id="rId3275"/>
    <hyperlink xmlns:r="http://schemas.openxmlformats.org/officeDocument/2006/relationships" ref="L1698" r:id="rId3276"/>
    <hyperlink xmlns:r="http://schemas.openxmlformats.org/officeDocument/2006/relationships" ref="I1700" r:id="rId3277"/>
    <hyperlink xmlns:r="http://schemas.openxmlformats.org/officeDocument/2006/relationships" ref="J1700" display="168" r:id="rId3278"/>
    <hyperlink xmlns:r="http://schemas.openxmlformats.org/officeDocument/2006/relationships" ref="K1700" display="19/11/2004" r:id="rId3279"/>
    <hyperlink xmlns:r="http://schemas.openxmlformats.org/officeDocument/2006/relationships" ref="L1700" r:id="rId3280"/>
    <hyperlink xmlns:r="http://schemas.openxmlformats.org/officeDocument/2006/relationships" ref="I1702" r:id="rId3281"/>
    <hyperlink xmlns:r="http://schemas.openxmlformats.org/officeDocument/2006/relationships" ref="J1702" display="1" r:id="rId3282"/>
    <hyperlink xmlns:r="http://schemas.openxmlformats.org/officeDocument/2006/relationships" ref="K1702" display="19/11/2004" r:id="rId3283"/>
    <hyperlink xmlns:r="http://schemas.openxmlformats.org/officeDocument/2006/relationships" ref="L1702" r:id="rId3284"/>
    <hyperlink xmlns:r="http://schemas.openxmlformats.org/officeDocument/2006/relationships" ref="I1704" r:id="rId3285"/>
    <hyperlink xmlns:r="http://schemas.openxmlformats.org/officeDocument/2006/relationships" ref="J1704" display="307" r:id="rId3286"/>
    <hyperlink xmlns:r="http://schemas.openxmlformats.org/officeDocument/2006/relationships" ref="K1704" display="01/10/2004" r:id="rId3287"/>
    <hyperlink xmlns:r="http://schemas.openxmlformats.org/officeDocument/2006/relationships" ref="I1706" r:id="rId3288"/>
    <hyperlink xmlns:r="http://schemas.openxmlformats.org/officeDocument/2006/relationships" ref="J1706" display="1" r:id="rId3289"/>
    <hyperlink xmlns:r="http://schemas.openxmlformats.org/officeDocument/2006/relationships" ref="K1706" display="01/10/2004" r:id="rId3290"/>
    <hyperlink xmlns:r="http://schemas.openxmlformats.org/officeDocument/2006/relationships" ref="L1706" r:id="rId3291"/>
    <hyperlink xmlns:r="http://schemas.openxmlformats.org/officeDocument/2006/relationships" ref="I1708" r:id="rId3292"/>
    <hyperlink xmlns:r="http://schemas.openxmlformats.org/officeDocument/2006/relationships" ref="J1708" display="103" r:id="rId3293"/>
    <hyperlink xmlns:r="http://schemas.openxmlformats.org/officeDocument/2006/relationships" ref="K1708" display="01/09/2004" r:id="rId3294"/>
    <hyperlink xmlns:r="http://schemas.openxmlformats.org/officeDocument/2006/relationships" ref="L1708" r:id="rId3295"/>
    <hyperlink xmlns:r="http://schemas.openxmlformats.org/officeDocument/2006/relationships" ref="I1710" r:id="rId3296"/>
    <hyperlink xmlns:r="http://schemas.openxmlformats.org/officeDocument/2006/relationships" ref="J1710" display="165" r:id="rId3297"/>
    <hyperlink xmlns:r="http://schemas.openxmlformats.org/officeDocument/2006/relationships" ref="K1710" display="04/06/2004" r:id="rId3298"/>
    <hyperlink xmlns:r="http://schemas.openxmlformats.org/officeDocument/2006/relationships" ref="I1712" r:id="rId3299"/>
    <hyperlink xmlns:r="http://schemas.openxmlformats.org/officeDocument/2006/relationships" ref="J1712" display="1" r:id="rId3300"/>
    <hyperlink xmlns:r="http://schemas.openxmlformats.org/officeDocument/2006/relationships" ref="K1712" display="04/06/2004" r:id="rId3301"/>
    <hyperlink xmlns:r="http://schemas.openxmlformats.org/officeDocument/2006/relationships" ref="L1712" r:id="rId3302"/>
    <hyperlink xmlns:r="http://schemas.openxmlformats.org/officeDocument/2006/relationships" ref="I1714" r:id="rId3303"/>
    <hyperlink xmlns:r="http://schemas.openxmlformats.org/officeDocument/2006/relationships" ref="J1714" display="165" r:id="rId3304"/>
    <hyperlink xmlns:r="http://schemas.openxmlformats.org/officeDocument/2006/relationships" ref="K1714" display="06/02/2004" r:id="rId3305"/>
    <hyperlink xmlns:r="http://schemas.openxmlformats.org/officeDocument/2006/relationships" ref="I1716" r:id="rId3306"/>
    <hyperlink xmlns:r="http://schemas.openxmlformats.org/officeDocument/2006/relationships" ref="J1716" display="1" r:id="rId3307"/>
    <hyperlink xmlns:r="http://schemas.openxmlformats.org/officeDocument/2006/relationships" ref="K1716" display="06/02/2004" r:id="rId3308"/>
    <hyperlink xmlns:r="http://schemas.openxmlformats.org/officeDocument/2006/relationships" ref="L1716" r:id="rId3309"/>
    <hyperlink xmlns:r="http://schemas.openxmlformats.org/officeDocument/2006/relationships" ref="I1718" r:id="rId3310"/>
    <hyperlink xmlns:r="http://schemas.openxmlformats.org/officeDocument/2006/relationships" ref="J1718" display="14" r:id="rId3311"/>
    <hyperlink xmlns:r="http://schemas.openxmlformats.org/officeDocument/2006/relationships" ref="K1718" display="01/01/2004" r:id="rId3312"/>
    <hyperlink xmlns:r="http://schemas.openxmlformats.org/officeDocument/2006/relationships" ref="L1718" r:id="rId3313"/>
    <hyperlink xmlns:r="http://schemas.openxmlformats.org/officeDocument/2006/relationships" ref="I1720" r:id="rId3314"/>
    <hyperlink xmlns:r="http://schemas.openxmlformats.org/officeDocument/2006/relationships" ref="J1720" display="6" r:id="rId3315"/>
    <hyperlink xmlns:r="http://schemas.openxmlformats.org/officeDocument/2006/relationships" ref="K1720" display="01/01/2004" r:id="rId3316"/>
    <hyperlink xmlns:r="http://schemas.openxmlformats.org/officeDocument/2006/relationships" ref="L1720" r:id="rId3317"/>
    <hyperlink xmlns:r="http://schemas.openxmlformats.org/officeDocument/2006/relationships" ref="I1722" r:id="rId3318"/>
    <hyperlink xmlns:r="http://schemas.openxmlformats.org/officeDocument/2006/relationships" ref="J1722" display="6" r:id="rId3319"/>
    <hyperlink xmlns:r="http://schemas.openxmlformats.org/officeDocument/2006/relationships" ref="K1722" display="01/01/2004" r:id="rId3320"/>
    <hyperlink xmlns:r="http://schemas.openxmlformats.org/officeDocument/2006/relationships" ref="L1722" r:id="rId3321"/>
    <hyperlink xmlns:r="http://schemas.openxmlformats.org/officeDocument/2006/relationships" ref="I1724" r:id="rId3322"/>
    <hyperlink xmlns:r="http://schemas.openxmlformats.org/officeDocument/2006/relationships" ref="J1724" display="12" r:id="rId3323"/>
    <hyperlink xmlns:r="http://schemas.openxmlformats.org/officeDocument/2006/relationships" ref="K1724" display="01/01/2004" r:id="rId3324"/>
    <hyperlink xmlns:r="http://schemas.openxmlformats.org/officeDocument/2006/relationships" ref="L1724" r:id="rId3325"/>
    <hyperlink xmlns:r="http://schemas.openxmlformats.org/officeDocument/2006/relationships" ref="I1726" r:id="rId3326"/>
    <hyperlink xmlns:r="http://schemas.openxmlformats.org/officeDocument/2006/relationships" ref="J1726" display="306" r:id="rId3327"/>
    <hyperlink xmlns:r="http://schemas.openxmlformats.org/officeDocument/2006/relationships" ref="K1726" display="02/10/2003" r:id="rId3328"/>
    <hyperlink xmlns:r="http://schemas.openxmlformats.org/officeDocument/2006/relationships" ref="I1728" r:id="rId3329"/>
    <hyperlink xmlns:r="http://schemas.openxmlformats.org/officeDocument/2006/relationships" ref="J1728" display="1" r:id="rId3330"/>
    <hyperlink xmlns:r="http://schemas.openxmlformats.org/officeDocument/2006/relationships" ref="K1728" display="04/06/2004" r:id="rId3331"/>
    <hyperlink xmlns:r="http://schemas.openxmlformats.org/officeDocument/2006/relationships" ref="L1728" r:id="rId3332"/>
    <hyperlink xmlns:r="http://schemas.openxmlformats.org/officeDocument/2006/relationships" ref="I1730" r:id="rId3333"/>
    <hyperlink xmlns:r="http://schemas.openxmlformats.org/officeDocument/2006/relationships" ref="J1730" display="142" r:id="rId3334"/>
    <hyperlink xmlns:r="http://schemas.openxmlformats.org/officeDocument/2006/relationships" ref="K1730" display="06/08/2003" r:id="rId3335"/>
    <hyperlink xmlns:r="http://schemas.openxmlformats.org/officeDocument/2006/relationships" ref="L1730" r:id="rId3336"/>
    <hyperlink xmlns:r="http://schemas.openxmlformats.org/officeDocument/2006/relationships" ref="I1732" r:id="rId3337"/>
    <hyperlink xmlns:r="http://schemas.openxmlformats.org/officeDocument/2006/relationships" ref="J1732" display="711" r:id="rId3338"/>
    <hyperlink xmlns:r="http://schemas.openxmlformats.org/officeDocument/2006/relationships" ref="K1732" display="28/07/2003" r:id="rId3339"/>
    <hyperlink xmlns:r="http://schemas.openxmlformats.org/officeDocument/2006/relationships" ref="I1734" r:id="rId3340"/>
    <hyperlink xmlns:r="http://schemas.openxmlformats.org/officeDocument/2006/relationships" ref="J1734" display="1" r:id="rId3341"/>
    <hyperlink xmlns:r="http://schemas.openxmlformats.org/officeDocument/2006/relationships" ref="K1734" display="28/07/2003" r:id="rId3342"/>
    <hyperlink xmlns:r="http://schemas.openxmlformats.org/officeDocument/2006/relationships" ref="L1734" r:id="rId3343"/>
    <hyperlink xmlns:r="http://schemas.openxmlformats.org/officeDocument/2006/relationships" ref="I1736" r:id="rId3344"/>
    <hyperlink xmlns:r="http://schemas.openxmlformats.org/officeDocument/2006/relationships" ref="J1736" display="143" r:id="rId3345"/>
    <hyperlink xmlns:r="http://schemas.openxmlformats.org/officeDocument/2006/relationships" ref="K1736" display="26/05/2003" r:id="rId3346"/>
    <hyperlink xmlns:r="http://schemas.openxmlformats.org/officeDocument/2006/relationships" ref="I1738" r:id="rId3347"/>
    <hyperlink xmlns:r="http://schemas.openxmlformats.org/officeDocument/2006/relationships" ref="J1738" display="1" r:id="rId3348"/>
    <hyperlink xmlns:r="http://schemas.openxmlformats.org/officeDocument/2006/relationships" ref="K1738" display="26/05/2003" r:id="rId3349"/>
    <hyperlink xmlns:r="http://schemas.openxmlformats.org/officeDocument/2006/relationships" ref="L1738" r:id="rId3350"/>
    <hyperlink xmlns:r="http://schemas.openxmlformats.org/officeDocument/2006/relationships" ref="I1740" r:id="rId3351"/>
    <hyperlink xmlns:r="http://schemas.openxmlformats.org/officeDocument/2006/relationships" ref="J1740" display="145" r:id="rId3352"/>
    <hyperlink xmlns:r="http://schemas.openxmlformats.org/officeDocument/2006/relationships" ref="K1740" display="03/02/2003" r:id="rId3353"/>
    <hyperlink xmlns:r="http://schemas.openxmlformats.org/officeDocument/2006/relationships" ref="I1742" r:id="rId3354"/>
    <hyperlink xmlns:r="http://schemas.openxmlformats.org/officeDocument/2006/relationships" ref="J1742" display="1" r:id="rId3355"/>
    <hyperlink xmlns:r="http://schemas.openxmlformats.org/officeDocument/2006/relationships" ref="K1742" display="03/02/2003" r:id="rId3356"/>
    <hyperlink xmlns:r="http://schemas.openxmlformats.org/officeDocument/2006/relationships" ref="L1742" r:id="rId3357"/>
    <hyperlink xmlns:r="http://schemas.openxmlformats.org/officeDocument/2006/relationships" ref="I1744" r:id="rId3358"/>
    <hyperlink xmlns:r="http://schemas.openxmlformats.org/officeDocument/2006/relationships" ref="J1744" display="85" r:id="rId3359"/>
    <hyperlink xmlns:r="http://schemas.openxmlformats.org/officeDocument/2006/relationships" ref="K1744" display="01/01/2003" r:id="rId3360"/>
    <hyperlink xmlns:r="http://schemas.openxmlformats.org/officeDocument/2006/relationships" ref="L1744" r:id="rId3361"/>
    <hyperlink xmlns:r="http://schemas.openxmlformats.org/officeDocument/2006/relationships" ref="I1746" r:id="rId3362"/>
    <hyperlink xmlns:r="http://schemas.openxmlformats.org/officeDocument/2006/relationships" ref="J1746" display="12" r:id="rId3363"/>
    <hyperlink xmlns:r="http://schemas.openxmlformats.org/officeDocument/2006/relationships" ref="K1746" display="01/01/2003" r:id="rId3364"/>
    <hyperlink xmlns:r="http://schemas.openxmlformats.org/officeDocument/2006/relationships" ref="L1746" r:id="rId3365"/>
    <hyperlink xmlns:r="http://schemas.openxmlformats.org/officeDocument/2006/relationships" ref="I1748" r:id="rId3366"/>
    <hyperlink xmlns:r="http://schemas.openxmlformats.org/officeDocument/2006/relationships" ref="J1748" display="8" r:id="rId3367"/>
    <hyperlink xmlns:r="http://schemas.openxmlformats.org/officeDocument/2006/relationships" ref="K1748" display="01/01/2003" r:id="rId3368"/>
    <hyperlink xmlns:r="http://schemas.openxmlformats.org/officeDocument/2006/relationships" ref="L1748" r:id="rId3369"/>
    <hyperlink xmlns:r="http://schemas.openxmlformats.org/officeDocument/2006/relationships" ref="I1750" r:id="rId3370"/>
    <hyperlink xmlns:r="http://schemas.openxmlformats.org/officeDocument/2006/relationships" ref="J1750" display="3" r:id="rId3371"/>
    <hyperlink xmlns:r="http://schemas.openxmlformats.org/officeDocument/2006/relationships" ref="K1750" display="01/01/2003" r:id="rId3372"/>
    <hyperlink xmlns:r="http://schemas.openxmlformats.org/officeDocument/2006/relationships" ref="L1750" r:id="rId3373"/>
    <hyperlink xmlns:r="http://schemas.openxmlformats.org/officeDocument/2006/relationships" ref="I1752" r:id="rId3374"/>
    <hyperlink xmlns:r="http://schemas.openxmlformats.org/officeDocument/2006/relationships" ref="J1752" display="7" r:id="rId3375"/>
    <hyperlink xmlns:r="http://schemas.openxmlformats.org/officeDocument/2006/relationships" ref="K1752" display="01/01/2003" r:id="rId3376"/>
    <hyperlink xmlns:r="http://schemas.openxmlformats.org/officeDocument/2006/relationships" ref="L1752" r:id="rId3377"/>
    <hyperlink xmlns:r="http://schemas.openxmlformats.org/officeDocument/2006/relationships" ref="I1754" r:id="rId3378"/>
    <hyperlink xmlns:r="http://schemas.openxmlformats.org/officeDocument/2006/relationships" ref="J1754" display="13" r:id="rId3379"/>
    <hyperlink xmlns:r="http://schemas.openxmlformats.org/officeDocument/2006/relationships" ref="K1754" display="01/01/2003" r:id="rId3380"/>
    <hyperlink xmlns:r="http://schemas.openxmlformats.org/officeDocument/2006/relationships" ref="L1754" r:id="rId3381"/>
    <hyperlink xmlns:r="http://schemas.openxmlformats.org/officeDocument/2006/relationships" ref="I1756" r:id="rId3382"/>
    <hyperlink xmlns:r="http://schemas.openxmlformats.org/officeDocument/2006/relationships" ref="J1756" display="35" r:id="rId3383"/>
    <hyperlink xmlns:r="http://schemas.openxmlformats.org/officeDocument/2006/relationships" ref="K1756" display="01/01/2003" r:id="rId3384"/>
    <hyperlink xmlns:r="http://schemas.openxmlformats.org/officeDocument/2006/relationships" ref="L1756" r:id="rId3385"/>
    <hyperlink xmlns:r="http://schemas.openxmlformats.org/officeDocument/2006/relationships" ref="I1758" r:id="rId3386"/>
    <hyperlink xmlns:r="http://schemas.openxmlformats.org/officeDocument/2006/relationships" ref="J1758" display="153" r:id="rId3387"/>
    <hyperlink xmlns:r="http://schemas.openxmlformats.org/officeDocument/2006/relationships" ref="K1758" display="01/12/2002" r:id="rId3388"/>
    <hyperlink xmlns:r="http://schemas.openxmlformats.org/officeDocument/2006/relationships" ref="L1758" r:id="rId3389"/>
    <hyperlink xmlns:r="http://schemas.openxmlformats.org/officeDocument/2006/relationships" ref="I1760" r:id="rId3390"/>
    <hyperlink xmlns:r="http://schemas.openxmlformats.org/officeDocument/2006/relationships" ref="J1760" display="351" r:id="rId3391"/>
    <hyperlink xmlns:r="http://schemas.openxmlformats.org/officeDocument/2006/relationships" ref="K1760" display="07/10/2002" r:id="rId3392"/>
    <hyperlink xmlns:r="http://schemas.openxmlformats.org/officeDocument/2006/relationships" ref="I1762" r:id="rId3393"/>
    <hyperlink xmlns:r="http://schemas.openxmlformats.org/officeDocument/2006/relationships" ref="J1762" display="1" r:id="rId3394"/>
    <hyperlink xmlns:r="http://schemas.openxmlformats.org/officeDocument/2006/relationships" ref="K1762" display="28/09/2002" r:id="rId3395"/>
    <hyperlink xmlns:r="http://schemas.openxmlformats.org/officeDocument/2006/relationships" ref="L1762" r:id="rId3396"/>
    <hyperlink xmlns:r="http://schemas.openxmlformats.org/officeDocument/2006/relationships" ref="I1764" r:id="rId3397"/>
    <hyperlink xmlns:r="http://schemas.openxmlformats.org/officeDocument/2006/relationships" ref="J1764" display="5" r:id="rId3398"/>
    <hyperlink xmlns:r="http://schemas.openxmlformats.org/officeDocument/2006/relationships" ref="K1764" display="01/07/2002" r:id="rId3399"/>
    <hyperlink xmlns:r="http://schemas.openxmlformats.org/officeDocument/2006/relationships" ref="L1764" r:id="rId3400"/>
    <hyperlink xmlns:r="http://schemas.openxmlformats.org/officeDocument/2006/relationships" ref="I1766" r:id="rId3401"/>
    <hyperlink xmlns:r="http://schemas.openxmlformats.org/officeDocument/2006/relationships" ref="J1766" display="3110" r:id="rId3402"/>
    <hyperlink xmlns:r="http://schemas.openxmlformats.org/officeDocument/2006/relationships" ref="K1766" display="24/06/2002" r:id="rId3403"/>
    <hyperlink xmlns:r="http://schemas.openxmlformats.org/officeDocument/2006/relationships" ref="L1766" r:id="rId3404"/>
    <hyperlink xmlns:r="http://schemas.openxmlformats.org/officeDocument/2006/relationships" ref="I1768" r:id="rId3405"/>
    <hyperlink xmlns:r="http://schemas.openxmlformats.org/officeDocument/2006/relationships" ref="J1768" display="143" r:id="rId3406"/>
    <hyperlink xmlns:r="http://schemas.openxmlformats.org/officeDocument/2006/relationships" ref="K1768" display="27/05/2002" r:id="rId3407"/>
    <hyperlink xmlns:r="http://schemas.openxmlformats.org/officeDocument/2006/relationships" ref="I1770" r:id="rId3408"/>
    <hyperlink xmlns:r="http://schemas.openxmlformats.org/officeDocument/2006/relationships" ref="J1770" display="1" r:id="rId3409"/>
    <hyperlink xmlns:r="http://schemas.openxmlformats.org/officeDocument/2006/relationships" ref="K1770" display="27/05/2002" r:id="rId3410"/>
    <hyperlink xmlns:r="http://schemas.openxmlformats.org/officeDocument/2006/relationships" ref="I1772" r:id="rId3411"/>
    <hyperlink xmlns:r="http://schemas.openxmlformats.org/officeDocument/2006/relationships" ref="J1772" display="143" r:id="rId3412"/>
    <hyperlink xmlns:r="http://schemas.openxmlformats.org/officeDocument/2006/relationships" ref="K1772" display="04/02/2002" r:id="rId3413"/>
    <hyperlink xmlns:r="http://schemas.openxmlformats.org/officeDocument/2006/relationships" ref="I1774" r:id="rId3414"/>
    <hyperlink xmlns:r="http://schemas.openxmlformats.org/officeDocument/2006/relationships" ref="J1774" display="3" r:id="rId3415"/>
    <hyperlink xmlns:r="http://schemas.openxmlformats.org/officeDocument/2006/relationships" ref="K1774" display="04/02/2002" r:id="rId3416"/>
    <hyperlink xmlns:r="http://schemas.openxmlformats.org/officeDocument/2006/relationships" ref="L1774" r:id="rId3417"/>
    <hyperlink xmlns:r="http://schemas.openxmlformats.org/officeDocument/2006/relationships" ref="I1776" r:id="rId3418"/>
    <hyperlink xmlns:r="http://schemas.openxmlformats.org/officeDocument/2006/relationships" ref="J1776" display="5" r:id="rId3419"/>
    <hyperlink xmlns:r="http://schemas.openxmlformats.org/officeDocument/2006/relationships" ref="K1776" display="01/01/2002" r:id="rId3420"/>
    <hyperlink xmlns:r="http://schemas.openxmlformats.org/officeDocument/2006/relationships" ref="L1776" r:id="rId3421"/>
    <hyperlink xmlns:r="http://schemas.openxmlformats.org/officeDocument/2006/relationships" ref="I1778" r:id="rId3422"/>
    <hyperlink xmlns:r="http://schemas.openxmlformats.org/officeDocument/2006/relationships" ref="J1778" display="6" r:id="rId3423"/>
    <hyperlink xmlns:r="http://schemas.openxmlformats.org/officeDocument/2006/relationships" ref="K1778" display="01/01/2002" r:id="rId3424"/>
    <hyperlink xmlns:r="http://schemas.openxmlformats.org/officeDocument/2006/relationships" ref="L1778" r:id="rId3425"/>
    <hyperlink xmlns:r="http://schemas.openxmlformats.org/officeDocument/2006/relationships" ref="I1780" r:id="rId3426"/>
    <hyperlink xmlns:r="http://schemas.openxmlformats.org/officeDocument/2006/relationships" ref="J1780" display="2" r:id="rId3427"/>
    <hyperlink xmlns:r="http://schemas.openxmlformats.org/officeDocument/2006/relationships" ref="K1780" display="01/01/2002" r:id="rId3428"/>
    <hyperlink xmlns:r="http://schemas.openxmlformats.org/officeDocument/2006/relationships" ref="L1780" r:id="rId3429"/>
    <hyperlink xmlns:r="http://schemas.openxmlformats.org/officeDocument/2006/relationships" ref="I1782" r:id="rId3430"/>
    <hyperlink xmlns:r="http://schemas.openxmlformats.org/officeDocument/2006/relationships" ref="J1782" display="12" r:id="rId3431"/>
    <hyperlink xmlns:r="http://schemas.openxmlformats.org/officeDocument/2006/relationships" ref="K1782" display="01/01/2002" r:id="rId3432"/>
    <hyperlink xmlns:r="http://schemas.openxmlformats.org/officeDocument/2006/relationships" ref="L1782" r:id="rId3433"/>
    <hyperlink xmlns:r="http://schemas.openxmlformats.org/officeDocument/2006/relationships" ref="I1784" r:id="rId3434"/>
    <hyperlink xmlns:r="http://schemas.openxmlformats.org/officeDocument/2006/relationships" ref="J1784" display="58" r:id="rId3435"/>
    <hyperlink xmlns:r="http://schemas.openxmlformats.org/officeDocument/2006/relationships" ref="K1784" display="01/12/2001" r:id="rId3436"/>
    <hyperlink xmlns:r="http://schemas.openxmlformats.org/officeDocument/2006/relationships" ref="L1784" r:id="rId3437"/>
    <hyperlink xmlns:r="http://schemas.openxmlformats.org/officeDocument/2006/relationships" ref="I1786" r:id="rId3438"/>
    <hyperlink xmlns:r="http://schemas.openxmlformats.org/officeDocument/2006/relationships" ref="J1786" display="353" r:id="rId3439"/>
    <hyperlink xmlns:r="http://schemas.openxmlformats.org/officeDocument/2006/relationships" ref="K1786" display="01/10/2001" r:id="rId3440"/>
    <hyperlink xmlns:r="http://schemas.openxmlformats.org/officeDocument/2006/relationships" ref="I1788" r:id="rId3441"/>
    <hyperlink xmlns:r="http://schemas.openxmlformats.org/officeDocument/2006/relationships" ref="J1788" display="1" r:id="rId3442"/>
    <hyperlink xmlns:r="http://schemas.openxmlformats.org/officeDocument/2006/relationships" ref="K1788" display="01/10/2001" r:id="rId3443"/>
    <hyperlink xmlns:r="http://schemas.openxmlformats.org/officeDocument/2006/relationships" ref="I1790" r:id="rId3444"/>
    <hyperlink xmlns:r="http://schemas.openxmlformats.org/officeDocument/2006/relationships" ref="J1790" display="138" r:id="rId3445"/>
    <hyperlink xmlns:r="http://schemas.openxmlformats.org/officeDocument/2006/relationships" ref="K1790" display="08/08/2001" r:id="rId3446"/>
    <hyperlink xmlns:r="http://schemas.openxmlformats.org/officeDocument/2006/relationships" ref="L1790" r:id="rId3447"/>
    <hyperlink xmlns:r="http://schemas.openxmlformats.org/officeDocument/2006/relationships" ref="I1792" r:id="rId3448"/>
    <hyperlink xmlns:r="http://schemas.openxmlformats.org/officeDocument/2006/relationships" ref="J1792" display="10" r:id="rId3449"/>
    <hyperlink xmlns:r="http://schemas.openxmlformats.org/officeDocument/2006/relationships" ref="K1792" display="28/06/2001" r:id="rId3450"/>
    <hyperlink xmlns:r="http://schemas.openxmlformats.org/officeDocument/2006/relationships" ref="L1792" r:id="rId3451"/>
    <hyperlink xmlns:r="http://schemas.openxmlformats.org/officeDocument/2006/relationships" ref="I1794" r:id="rId3452"/>
    <hyperlink xmlns:r="http://schemas.openxmlformats.org/officeDocument/2006/relationships" ref="J1794" display="143" r:id="rId3453"/>
    <hyperlink xmlns:r="http://schemas.openxmlformats.org/officeDocument/2006/relationships" ref="K1794" display="04/06/2001" r:id="rId3454"/>
    <hyperlink xmlns:r="http://schemas.openxmlformats.org/officeDocument/2006/relationships" ref="I1796" r:id="rId3455"/>
    <hyperlink xmlns:r="http://schemas.openxmlformats.org/officeDocument/2006/relationships" ref="J1796" display="1" r:id="rId3456"/>
    <hyperlink xmlns:r="http://schemas.openxmlformats.org/officeDocument/2006/relationships" ref="K1796" display="04/06/2001" r:id="rId3457"/>
    <hyperlink xmlns:r="http://schemas.openxmlformats.org/officeDocument/2006/relationships" ref="I1798" r:id="rId3458"/>
    <hyperlink xmlns:r="http://schemas.openxmlformats.org/officeDocument/2006/relationships" ref="J1798" display="708" r:id="rId3459"/>
    <hyperlink xmlns:r="http://schemas.openxmlformats.org/officeDocument/2006/relationships" ref="K1798" display="11/04/2001" r:id="rId3460"/>
    <hyperlink xmlns:r="http://schemas.openxmlformats.org/officeDocument/2006/relationships" ref="I1800" r:id="rId3461"/>
    <hyperlink xmlns:r="http://schemas.openxmlformats.org/officeDocument/2006/relationships" ref="J1800" display="146" r:id="rId3462"/>
    <hyperlink xmlns:r="http://schemas.openxmlformats.org/officeDocument/2006/relationships" ref="K1800" display="05/02/2001" r:id="rId3463"/>
    <hyperlink xmlns:r="http://schemas.openxmlformats.org/officeDocument/2006/relationships" ref="I1802" r:id="rId3464"/>
    <hyperlink xmlns:r="http://schemas.openxmlformats.org/officeDocument/2006/relationships" ref="J1802" display="1" r:id="rId3465"/>
    <hyperlink xmlns:r="http://schemas.openxmlformats.org/officeDocument/2006/relationships" ref="K1802" display="05/02/2001" r:id="rId3466"/>
    <hyperlink xmlns:r="http://schemas.openxmlformats.org/officeDocument/2006/relationships" ref="I1804" r:id="rId3467"/>
    <hyperlink xmlns:r="http://schemas.openxmlformats.org/officeDocument/2006/relationships" ref="J1804" display="12" r:id="rId3468"/>
    <hyperlink xmlns:r="http://schemas.openxmlformats.org/officeDocument/2006/relationships" ref="K1804" display="01/01/2001" r:id="rId3469"/>
    <hyperlink xmlns:r="http://schemas.openxmlformats.org/officeDocument/2006/relationships" ref="L1804" r:id="rId3470"/>
    <hyperlink xmlns:r="http://schemas.openxmlformats.org/officeDocument/2006/relationships" ref="I1806" r:id="rId3471"/>
    <hyperlink xmlns:r="http://schemas.openxmlformats.org/officeDocument/2006/relationships" ref="J1806" display="8" r:id="rId3472"/>
    <hyperlink xmlns:r="http://schemas.openxmlformats.org/officeDocument/2006/relationships" ref="K1806" display="01/01/2001" r:id="rId3473"/>
    <hyperlink xmlns:r="http://schemas.openxmlformats.org/officeDocument/2006/relationships" ref="L1806" r:id="rId3474"/>
    <hyperlink xmlns:r="http://schemas.openxmlformats.org/officeDocument/2006/relationships" ref="I1808" r:id="rId3475"/>
    <hyperlink xmlns:r="http://schemas.openxmlformats.org/officeDocument/2006/relationships" ref="J1808" display="2" r:id="rId3476"/>
    <hyperlink xmlns:r="http://schemas.openxmlformats.org/officeDocument/2006/relationships" ref="K1808" display="01/01/2001" r:id="rId3477"/>
    <hyperlink xmlns:r="http://schemas.openxmlformats.org/officeDocument/2006/relationships" ref="L1808" r:id="rId3478"/>
    <hyperlink xmlns:r="http://schemas.openxmlformats.org/officeDocument/2006/relationships" ref="I1810" r:id="rId3479"/>
    <hyperlink xmlns:r="http://schemas.openxmlformats.org/officeDocument/2006/relationships" ref="J1810" display="7" r:id="rId3480"/>
    <hyperlink xmlns:r="http://schemas.openxmlformats.org/officeDocument/2006/relationships" ref="K1810" display="01/01/2001" r:id="rId3481"/>
    <hyperlink xmlns:r="http://schemas.openxmlformats.org/officeDocument/2006/relationships" ref="L1810" r:id="rId3482"/>
    <hyperlink xmlns:r="http://schemas.openxmlformats.org/officeDocument/2006/relationships" ref="I1812" r:id="rId3483"/>
    <hyperlink xmlns:r="http://schemas.openxmlformats.org/officeDocument/2006/relationships" ref="J1812" display="354" r:id="rId3484"/>
    <hyperlink xmlns:r="http://schemas.openxmlformats.org/officeDocument/2006/relationships" ref="K1812" display="02/10/2000" r:id="rId3485"/>
    <hyperlink xmlns:r="http://schemas.openxmlformats.org/officeDocument/2006/relationships" ref="I1814" r:id="rId3486"/>
    <hyperlink xmlns:r="http://schemas.openxmlformats.org/officeDocument/2006/relationships" ref="J1814" display="1" r:id="rId3487"/>
    <hyperlink xmlns:r="http://schemas.openxmlformats.org/officeDocument/2006/relationships" ref="K1814" display="02/10/2000" r:id="rId3488"/>
    <hyperlink xmlns:r="http://schemas.openxmlformats.org/officeDocument/2006/relationships" ref="I1816" r:id="rId3489"/>
    <hyperlink xmlns:r="http://schemas.openxmlformats.org/officeDocument/2006/relationships" ref="J1816" display="90" r:id="rId3490"/>
    <hyperlink xmlns:r="http://schemas.openxmlformats.org/officeDocument/2006/relationships" ref="K1816" display="01/10/2000" r:id="rId3491"/>
    <hyperlink xmlns:r="http://schemas.openxmlformats.org/officeDocument/2006/relationships" ref="L1816" r:id="rId3492"/>
    <hyperlink xmlns:r="http://schemas.openxmlformats.org/officeDocument/2006/relationships" ref="I1818" r:id="rId3493"/>
    <hyperlink xmlns:r="http://schemas.openxmlformats.org/officeDocument/2006/relationships" ref="J1818" display="117" r:id="rId3494"/>
    <hyperlink xmlns:r="http://schemas.openxmlformats.org/officeDocument/2006/relationships" ref="K1818" display="02/08/2000" r:id="rId3495"/>
    <hyperlink xmlns:r="http://schemas.openxmlformats.org/officeDocument/2006/relationships" ref="L1818" r:id="rId3496"/>
    <hyperlink xmlns:r="http://schemas.openxmlformats.org/officeDocument/2006/relationships" ref="I1820" r:id="rId3497"/>
    <hyperlink xmlns:r="http://schemas.openxmlformats.org/officeDocument/2006/relationships" ref="J1820" display="144" r:id="rId3498"/>
    <hyperlink xmlns:r="http://schemas.openxmlformats.org/officeDocument/2006/relationships" ref="K1820" display="05/06/2000" r:id="rId3499"/>
    <hyperlink xmlns:r="http://schemas.openxmlformats.org/officeDocument/2006/relationships" ref="I1822" r:id="rId3500"/>
    <hyperlink xmlns:r="http://schemas.openxmlformats.org/officeDocument/2006/relationships" ref="J1822" display="1" r:id="rId3501"/>
    <hyperlink xmlns:r="http://schemas.openxmlformats.org/officeDocument/2006/relationships" ref="K1822" display="05/06/2000" r:id="rId3502"/>
    <hyperlink xmlns:r="http://schemas.openxmlformats.org/officeDocument/2006/relationships" ref="L1822" r:id="rId3503"/>
    <hyperlink xmlns:r="http://schemas.openxmlformats.org/officeDocument/2006/relationships" ref="I1824" r:id="rId3504"/>
    <hyperlink xmlns:r="http://schemas.openxmlformats.org/officeDocument/2006/relationships" ref="J1824" display="20" r:id="rId3505"/>
    <hyperlink xmlns:r="http://schemas.openxmlformats.org/officeDocument/2006/relationships" ref="K1824" display="01/04/2000" r:id="rId3506"/>
    <hyperlink xmlns:r="http://schemas.openxmlformats.org/officeDocument/2006/relationships" ref="I1826" r:id="rId3507"/>
    <hyperlink xmlns:r="http://schemas.openxmlformats.org/officeDocument/2006/relationships" ref="J1826" display="143" r:id="rId3508"/>
    <hyperlink xmlns:r="http://schemas.openxmlformats.org/officeDocument/2006/relationships" ref="K1826" display="14/02/2000" r:id="rId3509"/>
    <hyperlink xmlns:r="http://schemas.openxmlformats.org/officeDocument/2006/relationships" ref="I1828" r:id="rId3510"/>
    <hyperlink xmlns:r="http://schemas.openxmlformats.org/officeDocument/2006/relationships" ref="J1828" display="1" r:id="rId3511"/>
    <hyperlink xmlns:r="http://schemas.openxmlformats.org/officeDocument/2006/relationships" ref="K1828" display="14/02/2000" r:id="rId3512"/>
    <hyperlink xmlns:r="http://schemas.openxmlformats.org/officeDocument/2006/relationships" ref="L1828" r:id="rId3513"/>
    <hyperlink xmlns:r="http://schemas.openxmlformats.org/officeDocument/2006/relationships" ref="I1830" r:id="rId3514"/>
    <hyperlink xmlns:r="http://schemas.openxmlformats.org/officeDocument/2006/relationships" ref="J1830" display="15" r:id="rId3515"/>
    <hyperlink xmlns:r="http://schemas.openxmlformats.org/officeDocument/2006/relationships" ref="K1830" display="05/02/2000" r:id="rId3516"/>
    <hyperlink xmlns:r="http://schemas.openxmlformats.org/officeDocument/2006/relationships" ref="L1830" r:id="rId3517"/>
    <hyperlink xmlns:r="http://schemas.openxmlformats.org/officeDocument/2006/relationships" ref="I1832" r:id="rId3518"/>
    <hyperlink xmlns:r="http://schemas.openxmlformats.org/officeDocument/2006/relationships" ref="J1832" display="11" r:id="rId3519"/>
    <hyperlink xmlns:r="http://schemas.openxmlformats.org/officeDocument/2006/relationships" ref="K1832" display="01/01/2000" r:id="rId3520"/>
    <hyperlink xmlns:r="http://schemas.openxmlformats.org/officeDocument/2006/relationships" ref="L1832" r:id="rId3521"/>
    <hyperlink xmlns:r="http://schemas.openxmlformats.org/officeDocument/2006/relationships" ref="I1834" r:id="rId3522"/>
    <hyperlink xmlns:r="http://schemas.openxmlformats.org/officeDocument/2006/relationships" ref="J1834" display="2" r:id="rId3523"/>
    <hyperlink xmlns:r="http://schemas.openxmlformats.org/officeDocument/2006/relationships" ref="K1834" display="01/01/2000" r:id="rId3524"/>
    <hyperlink xmlns:r="http://schemas.openxmlformats.org/officeDocument/2006/relationships" ref="L1834" r:id="rId3525"/>
    <hyperlink xmlns:r="http://schemas.openxmlformats.org/officeDocument/2006/relationships" ref="I1836" r:id="rId3526"/>
    <hyperlink xmlns:r="http://schemas.openxmlformats.org/officeDocument/2006/relationships" ref="J1836" display="11" r:id="rId3527"/>
    <hyperlink xmlns:r="http://schemas.openxmlformats.org/officeDocument/2006/relationships" ref="K1836" display="01/01/2000" r:id="rId3528"/>
    <hyperlink xmlns:r="http://schemas.openxmlformats.org/officeDocument/2006/relationships" ref="L1836" r:id="rId3529"/>
    <hyperlink xmlns:r="http://schemas.openxmlformats.org/officeDocument/2006/relationships" ref="I1838" r:id="rId3530"/>
    <hyperlink xmlns:r="http://schemas.openxmlformats.org/officeDocument/2006/relationships" ref="J1838" display="18" r:id="rId3531"/>
    <hyperlink xmlns:r="http://schemas.openxmlformats.org/officeDocument/2006/relationships" ref="K1838" display="01/12/1999" r:id="rId3532"/>
    <hyperlink xmlns:r="http://schemas.openxmlformats.org/officeDocument/2006/relationships" ref="L1838" r:id="rId3533"/>
    <hyperlink xmlns:r="http://schemas.openxmlformats.org/officeDocument/2006/relationships" ref="I1840" r:id="rId3534"/>
    <hyperlink xmlns:r="http://schemas.openxmlformats.org/officeDocument/2006/relationships" ref="J1840" display="136" r:id="rId3535"/>
    <hyperlink xmlns:r="http://schemas.openxmlformats.org/officeDocument/2006/relationships" ref="K1840" display="12/11/1999" r:id="rId3536"/>
    <hyperlink xmlns:r="http://schemas.openxmlformats.org/officeDocument/2006/relationships" ref="L1840" r:id="rId3537"/>
    <hyperlink xmlns:r="http://schemas.openxmlformats.org/officeDocument/2006/relationships" ref="I1842" r:id="rId3538"/>
    <hyperlink xmlns:r="http://schemas.openxmlformats.org/officeDocument/2006/relationships" ref="J1842" display="350" r:id="rId3539"/>
    <hyperlink xmlns:r="http://schemas.openxmlformats.org/officeDocument/2006/relationships" ref="K1842" display="04/10/1999" r:id="rId3540"/>
    <hyperlink xmlns:r="http://schemas.openxmlformats.org/officeDocument/2006/relationships" ref="I1844" r:id="rId3541"/>
    <hyperlink xmlns:r="http://schemas.openxmlformats.org/officeDocument/2006/relationships" ref="J1844" display="1" r:id="rId3542"/>
    <hyperlink xmlns:r="http://schemas.openxmlformats.org/officeDocument/2006/relationships" ref="K1844" display="04/10/1999" r:id="rId3543"/>
    <hyperlink xmlns:r="http://schemas.openxmlformats.org/officeDocument/2006/relationships" ref="L1844" r:id="rId3544"/>
    <hyperlink xmlns:r="http://schemas.openxmlformats.org/officeDocument/2006/relationships" ref="I1846" r:id="rId3545"/>
    <hyperlink xmlns:r="http://schemas.openxmlformats.org/officeDocument/2006/relationships" ref="J1846" display="1" r:id="rId3546"/>
    <hyperlink xmlns:r="http://schemas.openxmlformats.org/officeDocument/2006/relationships" ref="K1846" display="04/09/1999" r:id="rId3547"/>
    <hyperlink xmlns:r="http://schemas.openxmlformats.org/officeDocument/2006/relationships" ref="L1846" r:id="rId3548"/>
    <hyperlink xmlns:r="http://schemas.openxmlformats.org/officeDocument/2006/relationships" ref="I1848" r:id="rId3549"/>
    <hyperlink xmlns:r="http://schemas.openxmlformats.org/officeDocument/2006/relationships" ref="J1848" display="111" r:id="rId3550"/>
    <hyperlink xmlns:r="http://schemas.openxmlformats.org/officeDocument/2006/relationships" ref="K1848" display="04/08/1999" r:id="rId3551"/>
    <hyperlink xmlns:r="http://schemas.openxmlformats.org/officeDocument/2006/relationships" ref="L1848" r:id="rId3552"/>
    <hyperlink xmlns:r="http://schemas.openxmlformats.org/officeDocument/2006/relationships" ref="I1850" r:id="rId3553"/>
    <hyperlink xmlns:r="http://schemas.openxmlformats.org/officeDocument/2006/relationships" ref="J1850" display="2" r:id="rId3554"/>
    <hyperlink xmlns:r="http://schemas.openxmlformats.org/officeDocument/2006/relationships" ref="K1850" display="04/08/1999" r:id="rId3555"/>
    <hyperlink xmlns:r="http://schemas.openxmlformats.org/officeDocument/2006/relationships" ref="L1850" r:id="rId3556"/>
    <hyperlink xmlns:r="http://schemas.openxmlformats.org/officeDocument/2006/relationships" ref="I1852" r:id="rId3557"/>
    <hyperlink xmlns:r="http://schemas.openxmlformats.org/officeDocument/2006/relationships" ref="J1852" display="5" r:id="rId3558"/>
    <hyperlink xmlns:r="http://schemas.openxmlformats.org/officeDocument/2006/relationships" ref="K1852" display="12/07/1999" r:id="rId3559"/>
    <hyperlink xmlns:r="http://schemas.openxmlformats.org/officeDocument/2006/relationships" ref="L1852" r:id="rId3560"/>
    <hyperlink xmlns:r="http://schemas.openxmlformats.org/officeDocument/2006/relationships" ref="I1854" r:id="rId3561"/>
    <hyperlink xmlns:r="http://schemas.openxmlformats.org/officeDocument/2006/relationships" ref="J1854" display="173" r:id="rId3562"/>
    <hyperlink xmlns:r="http://schemas.openxmlformats.org/officeDocument/2006/relationships" ref="K1854" display="01/07/1999" r:id="rId3563"/>
    <hyperlink xmlns:r="http://schemas.openxmlformats.org/officeDocument/2006/relationships" ref="L1854" r:id="rId3564"/>
    <hyperlink xmlns:r="http://schemas.openxmlformats.org/officeDocument/2006/relationships" ref="I1856" r:id="rId3565"/>
    <hyperlink xmlns:r="http://schemas.openxmlformats.org/officeDocument/2006/relationships" ref="J1856" display="143" r:id="rId3566"/>
    <hyperlink xmlns:r="http://schemas.openxmlformats.org/officeDocument/2006/relationships" ref="K1856" display="07/06/1999" r:id="rId3567"/>
    <hyperlink xmlns:r="http://schemas.openxmlformats.org/officeDocument/2006/relationships" ref="I1858" r:id="rId3568"/>
    <hyperlink xmlns:r="http://schemas.openxmlformats.org/officeDocument/2006/relationships" ref="J1858" display="1" r:id="rId3569"/>
    <hyperlink xmlns:r="http://schemas.openxmlformats.org/officeDocument/2006/relationships" ref="K1858" display="07/06/1999" r:id="rId3570"/>
    <hyperlink xmlns:r="http://schemas.openxmlformats.org/officeDocument/2006/relationships" ref="L1858" r:id="rId3571"/>
    <hyperlink xmlns:r="http://schemas.openxmlformats.org/officeDocument/2006/relationships" ref="I1860" r:id="rId3572"/>
    <hyperlink xmlns:r="http://schemas.openxmlformats.org/officeDocument/2006/relationships" ref="J1860" display="180" r:id="rId3573"/>
    <hyperlink xmlns:r="http://schemas.openxmlformats.org/officeDocument/2006/relationships" ref="K1860" display="01/05/1999" r:id="rId3574"/>
    <hyperlink xmlns:r="http://schemas.openxmlformats.org/officeDocument/2006/relationships" ref="I1862" r:id="rId3575"/>
    <hyperlink xmlns:r="http://schemas.openxmlformats.org/officeDocument/2006/relationships" ref="J1862" display="2" r:id="rId3576"/>
    <hyperlink xmlns:r="http://schemas.openxmlformats.org/officeDocument/2006/relationships" ref="K1862" display="01/05/1999" r:id="rId3577"/>
    <hyperlink xmlns:r="http://schemas.openxmlformats.org/officeDocument/2006/relationships" ref="L1862" r:id="rId3578"/>
    <hyperlink xmlns:r="http://schemas.openxmlformats.org/officeDocument/2006/relationships" ref="I1864" r:id="rId3579"/>
    <hyperlink xmlns:r="http://schemas.openxmlformats.org/officeDocument/2006/relationships" ref="J1864" display="351" r:id="rId3580"/>
    <hyperlink xmlns:r="http://schemas.openxmlformats.org/officeDocument/2006/relationships" ref="K1864" display="21/04/1999" r:id="rId3581"/>
    <hyperlink xmlns:r="http://schemas.openxmlformats.org/officeDocument/2006/relationships" ref="I1866" r:id="rId3582"/>
    <hyperlink xmlns:r="http://schemas.openxmlformats.org/officeDocument/2006/relationships" ref="J1866" display="143" r:id="rId3583"/>
    <hyperlink xmlns:r="http://schemas.openxmlformats.org/officeDocument/2006/relationships" ref="K1866" display="15/02/1999" r:id="rId3584"/>
    <hyperlink xmlns:r="http://schemas.openxmlformats.org/officeDocument/2006/relationships" ref="I1868" r:id="rId3585"/>
    <hyperlink xmlns:r="http://schemas.openxmlformats.org/officeDocument/2006/relationships" ref="J1868" display="2" r:id="rId3586"/>
    <hyperlink xmlns:r="http://schemas.openxmlformats.org/officeDocument/2006/relationships" ref="K1868" display="15/02/1999" r:id="rId3587"/>
    <hyperlink xmlns:r="http://schemas.openxmlformats.org/officeDocument/2006/relationships" ref="L1868" r:id="rId3588"/>
    <hyperlink xmlns:r="http://schemas.openxmlformats.org/officeDocument/2006/relationships" ref="I1870" r:id="rId3589"/>
    <hyperlink xmlns:r="http://schemas.openxmlformats.org/officeDocument/2006/relationships" ref="J1870" display="10" r:id="rId3590"/>
    <hyperlink xmlns:r="http://schemas.openxmlformats.org/officeDocument/2006/relationships" ref="K1870" display="01/01/1999" r:id="rId3591"/>
    <hyperlink xmlns:r="http://schemas.openxmlformats.org/officeDocument/2006/relationships" ref="L1870" r:id="rId3592"/>
    <hyperlink xmlns:r="http://schemas.openxmlformats.org/officeDocument/2006/relationships" ref="I1872" r:id="rId3593"/>
    <hyperlink xmlns:r="http://schemas.openxmlformats.org/officeDocument/2006/relationships" ref="J1872" display="1" r:id="rId3594"/>
    <hyperlink xmlns:r="http://schemas.openxmlformats.org/officeDocument/2006/relationships" ref="K1872" display="01/01/1999" r:id="rId3595"/>
    <hyperlink xmlns:r="http://schemas.openxmlformats.org/officeDocument/2006/relationships" ref="L1872" r:id="rId3596"/>
    <hyperlink xmlns:r="http://schemas.openxmlformats.org/officeDocument/2006/relationships" ref="I1874" r:id="rId3597"/>
    <hyperlink xmlns:r="http://schemas.openxmlformats.org/officeDocument/2006/relationships" ref="J1874" display="85" r:id="rId3598"/>
    <hyperlink xmlns:r="http://schemas.openxmlformats.org/officeDocument/2006/relationships" ref="K1874" display="01/11/1998" r:id="rId3599"/>
    <hyperlink xmlns:r="http://schemas.openxmlformats.org/officeDocument/2006/relationships" ref="L1874" r:id="rId3600"/>
    <hyperlink xmlns:r="http://schemas.openxmlformats.org/officeDocument/2006/relationships" ref="I1876" r:id="rId3601"/>
    <hyperlink xmlns:r="http://schemas.openxmlformats.org/officeDocument/2006/relationships" ref="J1876" display="357" r:id="rId3602"/>
    <hyperlink xmlns:r="http://schemas.openxmlformats.org/officeDocument/2006/relationships" ref="K1876" display="12/10/1998" r:id="rId3603"/>
    <hyperlink xmlns:r="http://schemas.openxmlformats.org/officeDocument/2006/relationships" ref="I1878" r:id="rId3604"/>
    <hyperlink xmlns:r="http://schemas.openxmlformats.org/officeDocument/2006/relationships" ref="J1878" display="1" r:id="rId3605"/>
    <hyperlink xmlns:r="http://schemas.openxmlformats.org/officeDocument/2006/relationships" ref="K1878" display="12/10/1998" r:id="rId3606"/>
    <hyperlink xmlns:r="http://schemas.openxmlformats.org/officeDocument/2006/relationships" ref="L1878" r:id="rId3607"/>
    <hyperlink xmlns:r="http://schemas.openxmlformats.org/officeDocument/2006/relationships" ref="I1880" r:id="rId3608"/>
    <hyperlink xmlns:r="http://schemas.openxmlformats.org/officeDocument/2006/relationships" ref="J1880" display="15" r:id="rId3609"/>
    <hyperlink xmlns:r="http://schemas.openxmlformats.org/officeDocument/2006/relationships" ref="K1880" display="01/09/1998" r:id="rId3610"/>
    <hyperlink xmlns:r="http://schemas.openxmlformats.org/officeDocument/2006/relationships" ref="L1880" r:id="rId3611"/>
    <hyperlink xmlns:r="http://schemas.openxmlformats.org/officeDocument/2006/relationships" ref="I1882" r:id="rId3612"/>
    <hyperlink xmlns:r="http://schemas.openxmlformats.org/officeDocument/2006/relationships" ref="J1882" display="117" r:id="rId3613"/>
    <hyperlink xmlns:r="http://schemas.openxmlformats.org/officeDocument/2006/relationships" ref="K1882" display="12/08/1998" r:id="rId3614"/>
    <hyperlink xmlns:r="http://schemas.openxmlformats.org/officeDocument/2006/relationships" ref="L1882" r:id="rId3615"/>
    <hyperlink xmlns:r="http://schemas.openxmlformats.org/officeDocument/2006/relationships" ref="I1884" r:id="rId3616"/>
    <hyperlink xmlns:r="http://schemas.openxmlformats.org/officeDocument/2006/relationships" ref="J1884" display="88" r:id="rId3617"/>
    <hyperlink xmlns:r="http://schemas.openxmlformats.org/officeDocument/2006/relationships" ref="K1884" display="11/08/1998" r:id="rId3618"/>
    <hyperlink xmlns:r="http://schemas.openxmlformats.org/officeDocument/2006/relationships" ref="L1884" r:id="rId3619"/>
    <hyperlink xmlns:r="http://schemas.openxmlformats.org/officeDocument/2006/relationships" ref="I1886" r:id="rId3620"/>
    <hyperlink xmlns:r="http://schemas.openxmlformats.org/officeDocument/2006/relationships" ref="J1886" display="6" r:id="rId3621"/>
    <hyperlink xmlns:r="http://schemas.openxmlformats.org/officeDocument/2006/relationships" ref="K1886" display="11/08/1998" r:id="rId3622"/>
    <hyperlink xmlns:r="http://schemas.openxmlformats.org/officeDocument/2006/relationships" ref="L1886" r:id="rId3623"/>
    <hyperlink xmlns:r="http://schemas.openxmlformats.org/officeDocument/2006/relationships" ref="I1888" r:id="rId3624"/>
    <hyperlink xmlns:r="http://schemas.openxmlformats.org/officeDocument/2006/relationships" ref="J1888" display="165" r:id="rId3625"/>
    <hyperlink xmlns:r="http://schemas.openxmlformats.org/officeDocument/2006/relationships" ref="K1888" display="24/06/1998" r:id="rId3626"/>
    <hyperlink xmlns:r="http://schemas.openxmlformats.org/officeDocument/2006/relationships" ref="I1890" r:id="rId3627"/>
    <hyperlink xmlns:r="http://schemas.openxmlformats.org/officeDocument/2006/relationships" ref="J1890" display="143" r:id="rId3628"/>
    <hyperlink xmlns:r="http://schemas.openxmlformats.org/officeDocument/2006/relationships" ref="K1890" display="15/06/1998" r:id="rId3629"/>
    <hyperlink xmlns:r="http://schemas.openxmlformats.org/officeDocument/2006/relationships" ref="I1892" r:id="rId3630"/>
    <hyperlink xmlns:r="http://schemas.openxmlformats.org/officeDocument/2006/relationships" ref="J1892" display="1" r:id="rId3631"/>
    <hyperlink xmlns:r="http://schemas.openxmlformats.org/officeDocument/2006/relationships" ref="K1892" display="15/06/1998" r:id="rId3632"/>
    <hyperlink xmlns:r="http://schemas.openxmlformats.org/officeDocument/2006/relationships" ref="L1892" r:id="rId3633"/>
    <hyperlink xmlns:r="http://schemas.openxmlformats.org/officeDocument/2006/relationships" ref="I1894" r:id="rId3634"/>
    <hyperlink xmlns:r="http://schemas.openxmlformats.org/officeDocument/2006/relationships" ref="J1894" display="143" r:id="rId3635"/>
    <hyperlink xmlns:r="http://schemas.openxmlformats.org/officeDocument/2006/relationships" ref="K1894" display="02/03/1998" r:id="rId3636"/>
    <hyperlink xmlns:r="http://schemas.openxmlformats.org/officeDocument/2006/relationships" ref="I1896" r:id="rId3637"/>
    <hyperlink xmlns:r="http://schemas.openxmlformats.org/officeDocument/2006/relationships" ref="J1896" display="1" r:id="rId3638"/>
    <hyperlink xmlns:r="http://schemas.openxmlformats.org/officeDocument/2006/relationships" ref="K1896" display="02/03/1998" r:id="rId3639"/>
    <hyperlink xmlns:r="http://schemas.openxmlformats.org/officeDocument/2006/relationships" ref="L1896" r:id="rId3640"/>
    <hyperlink xmlns:r="http://schemas.openxmlformats.org/officeDocument/2006/relationships" ref="I1898" r:id="rId3641"/>
    <hyperlink xmlns:r="http://schemas.openxmlformats.org/officeDocument/2006/relationships" ref="J1898" display="3" r:id="rId3642"/>
    <hyperlink xmlns:r="http://schemas.openxmlformats.org/officeDocument/2006/relationships" ref="K1898" display="01/01/1998" r:id="rId3643"/>
    <hyperlink xmlns:r="http://schemas.openxmlformats.org/officeDocument/2006/relationships" ref="L1898" r:id="rId3644"/>
    <hyperlink xmlns:r="http://schemas.openxmlformats.org/officeDocument/2006/relationships" ref="I1900" r:id="rId3645"/>
    <hyperlink xmlns:r="http://schemas.openxmlformats.org/officeDocument/2006/relationships" ref="J1900" display="350" r:id="rId3646"/>
    <hyperlink xmlns:r="http://schemas.openxmlformats.org/officeDocument/2006/relationships" ref="K1900" display="14/10/1997" r:id="rId3647"/>
    <hyperlink xmlns:r="http://schemas.openxmlformats.org/officeDocument/2006/relationships" ref="I1902" r:id="rId3648"/>
    <hyperlink xmlns:r="http://schemas.openxmlformats.org/officeDocument/2006/relationships" ref="J1902" display="1" r:id="rId3649"/>
    <hyperlink xmlns:r="http://schemas.openxmlformats.org/officeDocument/2006/relationships" ref="K1902" display="14/10/1997" r:id="rId3650"/>
    <hyperlink xmlns:r="http://schemas.openxmlformats.org/officeDocument/2006/relationships" ref="L1902" r:id="rId3651"/>
    <hyperlink xmlns:r="http://schemas.openxmlformats.org/officeDocument/2006/relationships" ref="I1904" r:id="rId3652"/>
    <hyperlink xmlns:r="http://schemas.openxmlformats.org/officeDocument/2006/relationships" ref="J1904" display="131" r:id="rId3653"/>
    <hyperlink xmlns:r="http://schemas.openxmlformats.org/officeDocument/2006/relationships" ref="K1904" display="13/08/1997" r:id="rId3654"/>
    <hyperlink xmlns:r="http://schemas.openxmlformats.org/officeDocument/2006/relationships" ref="L1904" r:id="rId3655"/>
    <hyperlink xmlns:r="http://schemas.openxmlformats.org/officeDocument/2006/relationships" ref="I1906" r:id="rId3656"/>
    <hyperlink xmlns:r="http://schemas.openxmlformats.org/officeDocument/2006/relationships" ref="J1906" display="167" r:id="rId3657"/>
    <hyperlink xmlns:r="http://schemas.openxmlformats.org/officeDocument/2006/relationships" ref="K1906" display="09/06/1997" r:id="rId3658"/>
    <hyperlink xmlns:r="http://schemas.openxmlformats.org/officeDocument/2006/relationships" ref="I1908" r:id="rId3659"/>
    <hyperlink xmlns:r="http://schemas.openxmlformats.org/officeDocument/2006/relationships" ref="J1908" display="83" r:id="rId3660"/>
    <hyperlink xmlns:r="http://schemas.openxmlformats.org/officeDocument/2006/relationships" ref="K1908" display="30/05/1997" r:id="rId3661"/>
    <hyperlink xmlns:r="http://schemas.openxmlformats.org/officeDocument/2006/relationships" ref="L1908" r:id="rId3662"/>
    <hyperlink xmlns:r="http://schemas.openxmlformats.org/officeDocument/2006/relationships" ref="I1910" r:id="rId3663"/>
    <hyperlink xmlns:r="http://schemas.openxmlformats.org/officeDocument/2006/relationships" ref="J1910" display="32" r:id="rId3664"/>
    <hyperlink xmlns:r="http://schemas.openxmlformats.org/officeDocument/2006/relationships" ref="K1910" display="01/05/1997" r:id="rId3665"/>
    <hyperlink xmlns:r="http://schemas.openxmlformats.org/officeDocument/2006/relationships" ref="L1910" r:id="rId3666"/>
    <hyperlink xmlns:r="http://schemas.openxmlformats.org/officeDocument/2006/relationships" ref="I1912" r:id="rId3667"/>
    <hyperlink xmlns:r="http://schemas.openxmlformats.org/officeDocument/2006/relationships" ref="J1912" display="257" r:id="rId3668"/>
    <hyperlink xmlns:r="http://schemas.openxmlformats.org/officeDocument/2006/relationships" ref="K1912" display="01/05/1997" r:id="rId3669"/>
    <hyperlink xmlns:r="http://schemas.openxmlformats.org/officeDocument/2006/relationships" ref="I1914" r:id="rId3670"/>
    <hyperlink xmlns:r="http://schemas.openxmlformats.org/officeDocument/2006/relationships" ref="J1914" display="12" r:id="rId3671"/>
    <hyperlink xmlns:r="http://schemas.openxmlformats.org/officeDocument/2006/relationships" ref="K1914" display="01/04/1997" r:id="rId3672"/>
    <hyperlink xmlns:r="http://schemas.openxmlformats.org/officeDocument/2006/relationships" ref="L1914" r:id="rId3673"/>
    <hyperlink xmlns:r="http://schemas.openxmlformats.org/officeDocument/2006/relationships" ref="I1916" r:id="rId3674"/>
    <hyperlink xmlns:r="http://schemas.openxmlformats.org/officeDocument/2006/relationships" ref="J1916" display="1" r:id="rId3675"/>
    <hyperlink xmlns:r="http://schemas.openxmlformats.org/officeDocument/2006/relationships" ref="K1916" display="01/04/1997" r:id="rId3676"/>
    <hyperlink xmlns:r="http://schemas.openxmlformats.org/officeDocument/2006/relationships" ref="L1916" r:id="rId3677"/>
    <hyperlink xmlns:r="http://schemas.openxmlformats.org/officeDocument/2006/relationships" ref="I1918" r:id="rId3678"/>
    <hyperlink xmlns:r="http://schemas.openxmlformats.org/officeDocument/2006/relationships" ref="J1918" display="460" r:id="rId3679"/>
    <hyperlink xmlns:r="http://schemas.openxmlformats.org/officeDocument/2006/relationships" ref="K1918" display="24/03/1997" r:id="rId3680"/>
    <hyperlink xmlns:r="http://schemas.openxmlformats.org/officeDocument/2006/relationships" ref="I1920" r:id="rId3681"/>
    <hyperlink xmlns:r="http://schemas.openxmlformats.org/officeDocument/2006/relationships" ref="J1920" display="167" r:id="rId3682"/>
    <hyperlink xmlns:r="http://schemas.openxmlformats.org/officeDocument/2006/relationships" ref="K1920" display="03/02/1997" r:id="rId3683"/>
    <hyperlink xmlns:r="http://schemas.openxmlformats.org/officeDocument/2006/relationships" ref="I1922" r:id="rId3684"/>
    <hyperlink xmlns:r="http://schemas.openxmlformats.org/officeDocument/2006/relationships" ref="J1922" display="10" r:id="rId3685"/>
    <hyperlink xmlns:r="http://schemas.openxmlformats.org/officeDocument/2006/relationships" ref="K1922" display="01/11/1996" r:id="rId3686"/>
    <hyperlink xmlns:r="http://schemas.openxmlformats.org/officeDocument/2006/relationships" ref="L1922" r:id="rId3687"/>
    <hyperlink xmlns:r="http://schemas.openxmlformats.org/officeDocument/2006/relationships" ref="I1924" r:id="rId3688"/>
    <hyperlink xmlns:r="http://schemas.openxmlformats.org/officeDocument/2006/relationships" ref="J1924" display="67" r:id="rId3689"/>
    <hyperlink xmlns:r="http://schemas.openxmlformats.org/officeDocument/2006/relationships" ref="K1924" display="31/12/1996" r:id="rId3690"/>
    <hyperlink xmlns:r="http://schemas.openxmlformats.org/officeDocument/2006/relationships" ref="I1926" r:id="rId3691"/>
    <hyperlink xmlns:r="http://schemas.openxmlformats.org/officeDocument/2006/relationships" ref="J1926" display="353" r:id="rId3692"/>
    <hyperlink xmlns:r="http://schemas.openxmlformats.org/officeDocument/2006/relationships" ref="K1926" display="08/10/1996" r:id="rId3693"/>
    <hyperlink xmlns:r="http://schemas.openxmlformats.org/officeDocument/2006/relationships" ref="I1928" r:id="rId3694"/>
    <hyperlink xmlns:r="http://schemas.openxmlformats.org/officeDocument/2006/relationships" ref="J1928" display="1" r:id="rId3695"/>
    <hyperlink xmlns:r="http://schemas.openxmlformats.org/officeDocument/2006/relationships" ref="K1928" display="01/10/1996" r:id="rId3696"/>
    <hyperlink xmlns:r="http://schemas.openxmlformats.org/officeDocument/2006/relationships" ref="L1928" r:id="rId3697"/>
    <hyperlink xmlns:r="http://schemas.openxmlformats.org/officeDocument/2006/relationships" ref="I1930" r:id="rId3698"/>
    <hyperlink xmlns:r="http://schemas.openxmlformats.org/officeDocument/2006/relationships" ref="J1930" display="9" r:id="rId3699"/>
    <hyperlink xmlns:r="http://schemas.openxmlformats.org/officeDocument/2006/relationships" ref="K1930" display="14/08/1996" r:id="rId3700"/>
    <hyperlink xmlns:r="http://schemas.openxmlformats.org/officeDocument/2006/relationships" ref="L1930" r:id="rId3701"/>
    <hyperlink xmlns:r="http://schemas.openxmlformats.org/officeDocument/2006/relationships" ref="I1932" r:id="rId3702"/>
    <hyperlink xmlns:r="http://schemas.openxmlformats.org/officeDocument/2006/relationships" ref="J1932" display="7" r:id="rId3703"/>
    <hyperlink xmlns:r="http://schemas.openxmlformats.org/officeDocument/2006/relationships" ref="K1932" display="02/08/1996" r:id="rId3704"/>
    <hyperlink xmlns:r="http://schemas.openxmlformats.org/officeDocument/2006/relationships" ref="L1932" r:id="rId3705"/>
    <hyperlink xmlns:r="http://schemas.openxmlformats.org/officeDocument/2006/relationships" ref="I1934" r:id="rId3706"/>
    <hyperlink xmlns:r="http://schemas.openxmlformats.org/officeDocument/2006/relationships" ref="J1934" display="2" r:id="rId3707"/>
    <hyperlink xmlns:r="http://schemas.openxmlformats.org/officeDocument/2006/relationships" ref="K1934" display="01/07/1996" r:id="rId3708"/>
    <hyperlink xmlns:r="http://schemas.openxmlformats.org/officeDocument/2006/relationships" ref="L1934" r:id="rId3709"/>
    <hyperlink xmlns:r="http://schemas.openxmlformats.org/officeDocument/2006/relationships" ref="I1936" r:id="rId3710"/>
    <hyperlink xmlns:r="http://schemas.openxmlformats.org/officeDocument/2006/relationships" ref="J1936" display="65" r:id="rId3711"/>
    <hyperlink xmlns:r="http://schemas.openxmlformats.org/officeDocument/2006/relationships" ref="K1936" display="01/07/1996" r:id="rId3712"/>
    <hyperlink xmlns:r="http://schemas.openxmlformats.org/officeDocument/2006/relationships" ref="L1936" r:id="rId3713"/>
    <hyperlink xmlns:r="http://schemas.openxmlformats.org/officeDocument/2006/relationships" ref="I1938" r:id="rId3714"/>
    <hyperlink xmlns:r="http://schemas.openxmlformats.org/officeDocument/2006/relationships" ref="J1938" display="199" r:id="rId3715"/>
    <hyperlink xmlns:r="http://schemas.openxmlformats.org/officeDocument/2006/relationships" ref="K1938" display="10/06/1996" r:id="rId3716"/>
    <hyperlink xmlns:r="http://schemas.openxmlformats.org/officeDocument/2006/relationships" ref="I1940" r:id="rId3717"/>
    <hyperlink xmlns:r="http://schemas.openxmlformats.org/officeDocument/2006/relationships" ref="J1940" display="308" r:id="rId3718"/>
    <hyperlink xmlns:r="http://schemas.openxmlformats.org/officeDocument/2006/relationships" ref="K1940" display="01/05/1996" r:id="rId3719"/>
    <hyperlink xmlns:r="http://schemas.openxmlformats.org/officeDocument/2006/relationships" ref="L1940" r:id="rId3720"/>
    <hyperlink xmlns:r="http://schemas.openxmlformats.org/officeDocument/2006/relationships" ref="I1942" r:id="rId3721"/>
    <hyperlink xmlns:r="http://schemas.openxmlformats.org/officeDocument/2006/relationships" ref="J1942" display="10" r:id="rId3722"/>
    <hyperlink xmlns:r="http://schemas.openxmlformats.org/officeDocument/2006/relationships" ref="K1942" display="01/04/1996" r:id="rId3723"/>
    <hyperlink xmlns:r="http://schemas.openxmlformats.org/officeDocument/2006/relationships" ref="L1942" r:id="rId3724"/>
    <hyperlink xmlns:r="http://schemas.openxmlformats.org/officeDocument/2006/relationships" ref="I1944" r:id="rId3725"/>
    <hyperlink xmlns:r="http://schemas.openxmlformats.org/officeDocument/2006/relationships" ref="J1944" display="140" r:id="rId3726"/>
    <hyperlink xmlns:r="http://schemas.openxmlformats.org/officeDocument/2006/relationships" ref="K1944" display="01/10/1995" r:id="rId3727"/>
    <hyperlink xmlns:r="http://schemas.openxmlformats.org/officeDocument/2006/relationships" ref="I1946" r:id="rId3728"/>
    <hyperlink xmlns:r="http://schemas.openxmlformats.org/officeDocument/2006/relationships" ref="J1946" display="122" r:id="rId3729"/>
    <hyperlink xmlns:r="http://schemas.openxmlformats.org/officeDocument/2006/relationships" ref="K1946" display="01/08/1995" r:id="rId3730"/>
    <hyperlink xmlns:r="http://schemas.openxmlformats.org/officeDocument/2006/relationships" ref="I1948" r:id="rId3731"/>
    <hyperlink xmlns:r="http://schemas.openxmlformats.org/officeDocument/2006/relationships" ref="J1948" display="69" r:id="rId3732"/>
    <hyperlink xmlns:r="http://schemas.openxmlformats.org/officeDocument/2006/relationships" ref="K1948" display="01/08/1995" r:id="rId3733"/>
    <hyperlink xmlns:r="http://schemas.openxmlformats.org/officeDocument/2006/relationships" ref="L1948" r:id="rId3734"/>
    <hyperlink xmlns:r="http://schemas.openxmlformats.org/officeDocument/2006/relationships" ref="I1950" r:id="rId3735"/>
    <hyperlink xmlns:r="http://schemas.openxmlformats.org/officeDocument/2006/relationships" ref="J1950" display="125" r:id="rId3736"/>
    <hyperlink xmlns:r="http://schemas.openxmlformats.org/officeDocument/2006/relationships" ref="K1950" display="01/07/1995" r:id="rId3737"/>
    <hyperlink xmlns:r="http://schemas.openxmlformats.org/officeDocument/2006/relationships" ref="L1950" r:id="rId3738"/>
    <hyperlink xmlns:r="http://schemas.openxmlformats.org/officeDocument/2006/relationships" ref="I1952" r:id="rId3739"/>
    <hyperlink xmlns:r="http://schemas.openxmlformats.org/officeDocument/2006/relationships" ref="J1952" display="125" r:id="rId3740"/>
    <hyperlink xmlns:r="http://schemas.openxmlformats.org/officeDocument/2006/relationships" ref="K1952" display="01/07/1995" r:id="rId3741"/>
    <hyperlink xmlns:r="http://schemas.openxmlformats.org/officeDocument/2006/relationships" ref="L1952" r:id="rId3742"/>
    <hyperlink xmlns:r="http://schemas.openxmlformats.org/officeDocument/2006/relationships" ref="I1954" r:id="rId3743"/>
    <hyperlink xmlns:r="http://schemas.openxmlformats.org/officeDocument/2006/relationships" ref="J1954" display="383" r:id="rId3744"/>
    <hyperlink xmlns:r="http://schemas.openxmlformats.org/officeDocument/2006/relationships" ref="K1954" display="03/06/1995" r:id="rId3745"/>
    <hyperlink xmlns:r="http://schemas.openxmlformats.org/officeDocument/2006/relationships" ref="I1956" r:id="rId3746"/>
    <hyperlink xmlns:r="http://schemas.openxmlformats.org/officeDocument/2006/relationships" ref="J1956" display="380" r:id="rId3747"/>
    <hyperlink xmlns:r="http://schemas.openxmlformats.org/officeDocument/2006/relationships" ref="K1956" display="01/04/1995" r:id="rId3748"/>
    <hyperlink xmlns:r="http://schemas.openxmlformats.org/officeDocument/2006/relationships" ref="I1958" r:id="rId3749"/>
    <hyperlink xmlns:r="http://schemas.openxmlformats.org/officeDocument/2006/relationships" ref="J1958" display="378" r:id="rId3750"/>
    <hyperlink xmlns:r="http://schemas.openxmlformats.org/officeDocument/2006/relationships" ref="K1958" display="01/04/1995" r:id="rId3751"/>
    <hyperlink xmlns:r="http://schemas.openxmlformats.org/officeDocument/2006/relationships" ref="I1960" r:id="rId3752"/>
    <hyperlink xmlns:r="http://schemas.openxmlformats.org/officeDocument/2006/relationships" ref="J1960" display="82" r:id="rId3753"/>
    <hyperlink xmlns:r="http://schemas.openxmlformats.org/officeDocument/2006/relationships" ref="K1960" display="01/01/1995" r:id="rId3754"/>
    <hyperlink xmlns:r="http://schemas.openxmlformats.org/officeDocument/2006/relationships" ref="I1962" r:id="rId3755"/>
    <hyperlink xmlns:r="http://schemas.openxmlformats.org/officeDocument/2006/relationships" ref="J1962" display="187" r:id="rId3756"/>
    <hyperlink xmlns:r="http://schemas.openxmlformats.org/officeDocument/2006/relationships" ref="K1962" display="01/11/1994" r:id="rId3757"/>
    <hyperlink xmlns:r="http://schemas.openxmlformats.org/officeDocument/2006/relationships" ref="L1962" r:id="rId3758"/>
    <hyperlink xmlns:r="http://schemas.openxmlformats.org/officeDocument/2006/relationships" ref="I1964" r:id="rId3759"/>
    <hyperlink xmlns:r="http://schemas.openxmlformats.org/officeDocument/2006/relationships" ref="J1964" display="5" r:id="rId3760"/>
    <hyperlink xmlns:r="http://schemas.openxmlformats.org/officeDocument/2006/relationships" ref="K1964" display="01/09/1994" r:id="rId3761"/>
    <hyperlink xmlns:r="http://schemas.openxmlformats.org/officeDocument/2006/relationships" ref="I1966" r:id="rId3762"/>
    <hyperlink xmlns:r="http://schemas.openxmlformats.org/officeDocument/2006/relationships" ref="J1966" display="122" r:id="rId3763"/>
    <hyperlink xmlns:r="http://schemas.openxmlformats.org/officeDocument/2006/relationships" ref="K1966" display="01/08/1994" r:id="rId3764"/>
    <hyperlink xmlns:r="http://schemas.openxmlformats.org/officeDocument/2006/relationships" ref="I1968" r:id="rId3765"/>
    <hyperlink xmlns:r="http://schemas.openxmlformats.org/officeDocument/2006/relationships" ref="J1968" display="1" r:id="rId3766"/>
    <hyperlink xmlns:r="http://schemas.openxmlformats.org/officeDocument/2006/relationships" ref="K1968" display="15/07/1994" r:id="rId3767"/>
    <hyperlink xmlns:r="http://schemas.openxmlformats.org/officeDocument/2006/relationships" ref="L1968" r:id="rId3768"/>
    <hyperlink xmlns:r="http://schemas.openxmlformats.org/officeDocument/2006/relationships" ref="I1970" r:id="rId3769"/>
    <hyperlink xmlns:r="http://schemas.openxmlformats.org/officeDocument/2006/relationships" ref="J1970" display="306" r:id="rId3770"/>
    <hyperlink xmlns:r="http://schemas.openxmlformats.org/officeDocument/2006/relationships" ref="K1970" display="21/06/1994" r:id="rId3771"/>
    <hyperlink xmlns:r="http://schemas.openxmlformats.org/officeDocument/2006/relationships" ref="L1970" r:id="rId3772"/>
    <hyperlink xmlns:r="http://schemas.openxmlformats.org/officeDocument/2006/relationships" ref="I1972" r:id="rId3773"/>
    <hyperlink xmlns:r="http://schemas.openxmlformats.org/officeDocument/2006/relationships" ref="J1972" display="310" r:id="rId3774"/>
    <hyperlink xmlns:r="http://schemas.openxmlformats.org/officeDocument/2006/relationships" ref="K1972" display="01/06/1994" r:id="rId3775"/>
    <hyperlink xmlns:r="http://schemas.openxmlformats.org/officeDocument/2006/relationships" ref="I1974" r:id="rId3776"/>
    <hyperlink xmlns:r="http://schemas.openxmlformats.org/officeDocument/2006/relationships" ref="J1974" display="306" r:id="rId3777"/>
    <hyperlink xmlns:r="http://schemas.openxmlformats.org/officeDocument/2006/relationships" ref="K1974" display="11/04/1994" r:id="rId3778"/>
    <hyperlink xmlns:r="http://schemas.openxmlformats.org/officeDocument/2006/relationships" ref="I1976" r:id="rId3779"/>
    <hyperlink xmlns:r="http://schemas.openxmlformats.org/officeDocument/2006/relationships" ref="J1976" display="307" r:id="rId3780"/>
    <hyperlink xmlns:r="http://schemas.openxmlformats.org/officeDocument/2006/relationships" ref="K1976" display="11/04/1994" r:id="rId3781"/>
    <hyperlink xmlns:r="http://schemas.openxmlformats.org/officeDocument/2006/relationships" ref="I1978" r:id="rId3782"/>
    <hyperlink xmlns:r="http://schemas.openxmlformats.org/officeDocument/2006/relationships" ref="J1978" display="102" r:id="rId3783"/>
    <hyperlink xmlns:r="http://schemas.openxmlformats.org/officeDocument/2006/relationships" ref="K1978" display="04/03/1994" r:id="rId3784"/>
    <hyperlink xmlns:r="http://schemas.openxmlformats.org/officeDocument/2006/relationships" ref="L1978" r:id="rId3785"/>
    <hyperlink xmlns:r="http://schemas.openxmlformats.org/officeDocument/2006/relationships" ref="I1980" r:id="rId3786"/>
    <hyperlink xmlns:r="http://schemas.openxmlformats.org/officeDocument/2006/relationships" ref="J1980" display="92" r:id="rId3787"/>
    <hyperlink xmlns:r="http://schemas.openxmlformats.org/officeDocument/2006/relationships" ref="K1980" display="17/12/1993" r:id="rId3788"/>
    <hyperlink xmlns:r="http://schemas.openxmlformats.org/officeDocument/2006/relationships" ref="L1980" r:id="rId3789"/>
    <hyperlink xmlns:r="http://schemas.openxmlformats.org/officeDocument/2006/relationships" ref="I1982" r:id="rId3790"/>
    <hyperlink xmlns:r="http://schemas.openxmlformats.org/officeDocument/2006/relationships" ref="J1982" display="302" r:id="rId3791"/>
    <hyperlink xmlns:r="http://schemas.openxmlformats.org/officeDocument/2006/relationships" ref="K1982" display="10/12/1993" r:id="rId3792"/>
    <hyperlink xmlns:r="http://schemas.openxmlformats.org/officeDocument/2006/relationships" ref="L1982" r:id="rId3793"/>
    <hyperlink xmlns:r="http://schemas.openxmlformats.org/officeDocument/2006/relationships" ref="I1984" r:id="rId3794"/>
    <hyperlink xmlns:r="http://schemas.openxmlformats.org/officeDocument/2006/relationships" ref="J1984" display="302" r:id="rId3795"/>
    <hyperlink xmlns:r="http://schemas.openxmlformats.org/officeDocument/2006/relationships" ref="K1984" display="10/12/1993" r:id="rId3796"/>
    <hyperlink xmlns:r="http://schemas.openxmlformats.org/officeDocument/2006/relationships" ref="L1984" r:id="rId3797"/>
    <hyperlink xmlns:r="http://schemas.openxmlformats.org/officeDocument/2006/relationships" ref="I1986" r:id="rId3798"/>
    <hyperlink xmlns:r="http://schemas.openxmlformats.org/officeDocument/2006/relationships" ref="J1986" display="302" r:id="rId3799"/>
    <hyperlink xmlns:r="http://schemas.openxmlformats.org/officeDocument/2006/relationships" ref="K1986" display="01/12/1993" r:id="rId3800"/>
    <hyperlink xmlns:r="http://schemas.openxmlformats.org/officeDocument/2006/relationships" ref="L1986" r:id="rId3801"/>
    <hyperlink xmlns:r="http://schemas.openxmlformats.org/officeDocument/2006/relationships" ref="I1988" r:id="rId3802"/>
    <hyperlink xmlns:r="http://schemas.openxmlformats.org/officeDocument/2006/relationships" ref="J1988" display="302" r:id="rId3803"/>
    <hyperlink xmlns:r="http://schemas.openxmlformats.org/officeDocument/2006/relationships" ref="K1988" display="04/10/1993" r:id="rId3804"/>
    <hyperlink xmlns:r="http://schemas.openxmlformats.org/officeDocument/2006/relationships" ref="L1988" r:id="rId3805"/>
    <hyperlink xmlns:r="http://schemas.openxmlformats.org/officeDocument/2006/relationships" ref="I1990" r:id="rId3806"/>
    <hyperlink xmlns:r="http://schemas.openxmlformats.org/officeDocument/2006/relationships" ref="J1990" display="295" r:id="rId3807"/>
    <hyperlink xmlns:r="http://schemas.openxmlformats.org/officeDocument/2006/relationships" ref="K1990" display="05/08/1993" r:id="rId3808"/>
    <hyperlink xmlns:r="http://schemas.openxmlformats.org/officeDocument/2006/relationships" ref="L1990" r:id="rId380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Edward Middleton - Smith</dc:creator>
  <dcterms:created xmlns:dcterms="http://purl.org/dc/terms/" xmlns:xsi="http://www.w3.org/2001/XMLSchema-instance" xsi:type="dcterms:W3CDTF">2025-11-22T14:35:25Z</dcterms:created>
  <dcterms:modified xmlns:dcterms="http://purl.org/dc/terms/" xmlns:xsi="http://www.w3.org/2001/XMLSchema-instance" xsi:type="dcterms:W3CDTF">2026-01-07T11:51:50Z</dcterms:modified>
</cp:coreProperties>
</file>